
<file path=[Content_Types].xml><?xml version="1.0" encoding="utf-8"?>
<Types xmlns="http://schemas.openxmlformats.org/package/2006/content-type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workbookPr defaultThemeVersion="202300"/>
  <mc:AlternateContent xmlns:mc="http://schemas.openxmlformats.org/markup-compatibility/2006">
    <mc:Choice Requires="x15">
      <x15ac:absPath xmlns:x15ac="http://schemas.microsoft.com/office/spreadsheetml/2010/11/ac" url="C:\Users\Juan.Castillo\Desktop\Macro Test\"/>
    </mc:Choice>
  </mc:AlternateContent>
  <xr:revisionPtr revIDLastSave="0" documentId="8_{78E9841D-85D9-4D0F-AB1A-995C17820E87}" xr6:coauthVersionLast="47" xr6:coauthVersionMax="47" xr10:uidLastSave="{00000000-0000-0000-0000-000000000000}"/>
  <bookViews>
    <workbookView xWindow="-108" yWindow="-108" windowWidth="23256" windowHeight="12456" firstSheet="1" activeTab="24" xr2:uid="{05EB2DB2-A646-4852-ACDD-1F7B00297511}"/>
  </bookViews>
  <sheets>
    <sheet name="Oceania" sheetId="1" r:id="rId1"/>
    <sheet name="ASM" sheetId="2" r:id="rId2"/>
    <sheet name="AUS" sheetId="3" r:id="rId3"/>
    <sheet name="CXR" sheetId="4" r:id="rId4"/>
    <sheet name="CCK" sheetId="5" r:id="rId5"/>
    <sheet name="CKI" sheetId="6" r:id="rId6"/>
    <sheet name="FJI" sheetId="7" r:id="rId7"/>
    <sheet name="PLY" sheetId="8" r:id="rId8"/>
    <sheet name="GUM" sheetId="9" r:id="rId9"/>
    <sheet name="KIR" sheetId="10" r:id="rId10"/>
    <sheet name="MHL" sheetId="11" r:id="rId11"/>
    <sheet name="MIC" sheetId="12" r:id="rId12"/>
    <sheet name="NRU" sheetId="13" r:id="rId13"/>
    <sheet name="NCL" sheetId="14" r:id="rId14"/>
    <sheet name="NZE" sheetId="15" r:id="rId15"/>
    <sheet name="NIU" sheetId="16" r:id="rId16"/>
    <sheet name="NFK" sheetId="17" r:id="rId17"/>
    <sheet name="MNP" sheetId="18" r:id="rId18"/>
    <sheet name="PAU" sheetId="19" r:id="rId19"/>
    <sheet name="PNG" sheetId="20" r:id="rId20"/>
    <sheet name="PCN" sheetId="21" r:id="rId21"/>
    <sheet name="SMO" sheetId="22" r:id="rId22"/>
    <sheet name="SOL" sheetId="23" r:id="rId23"/>
    <sheet name="TON" sheetId="24" r:id="rId24"/>
    <sheet name="TUV" sheetId="25" r:id="rId25"/>
    <sheet name="VUT" sheetId="26" r:id="rId26"/>
    <sheet name="WLF" sheetId="27" r:id="rId2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X4" i="25" l="1"/>
  <c r="IT4" i="25"/>
  <c r="IS4" i="25"/>
  <c r="IN4" i="25"/>
  <c r="HX4" i="25" a="1"/>
  <c r="HX4" i="25" s="1"/>
  <c r="IW4" i="25" s="1"/>
  <c r="HW4" i="25"/>
  <c r="IV4" i="25" s="1"/>
  <c r="HW4" i="25" a="1"/>
  <c r="HV4" i="25"/>
  <c r="IU4" i="25" s="1"/>
  <c r="HV4" i="25" a="1"/>
  <c r="HU4" i="25" a="1"/>
  <c r="HU4" i="25" s="1"/>
  <c r="HT4" i="25" a="1"/>
  <c r="HT4" i="25" s="1"/>
  <c r="HS4" i="25" a="1"/>
  <c r="HS4" i="25" s="1"/>
  <c r="IR4" i="25" s="1"/>
  <c r="HR4" i="25" a="1"/>
  <c r="HR4" i="25" s="1"/>
  <c r="IQ4" i="25" s="1"/>
  <c r="HQ4" i="25"/>
  <c r="IP4" i="25" s="1"/>
  <c r="HQ4" i="25" a="1"/>
  <c r="HP4" i="25" a="1"/>
  <c r="HP4" i="25" s="1"/>
  <c r="IO4" i="25" s="1"/>
  <c r="HL4" i="25"/>
  <c r="HJ4" i="25"/>
  <c r="HH4" i="25"/>
  <c r="HB4" i="25"/>
  <c r="HA4" i="25"/>
  <c r="GZ4" i="25"/>
  <c r="GY4" i="25"/>
  <c r="GX4" i="25"/>
  <c r="GW4" i="25"/>
  <c r="GV4" i="25"/>
  <c r="GU4" i="25"/>
  <c r="GT4" i="25"/>
  <c r="GP4" i="25"/>
  <c r="GN4" i="25"/>
  <c r="GK4" i="25"/>
  <c r="GI4" i="25"/>
  <c r="GH4" i="25"/>
  <c r="GG4" i="25"/>
  <c r="GF4" i="25"/>
  <c r="GE4" i="25"/>
  <c r="GB4" i="25"/>
  <c r="GA4" i="25"/>
  <c r="FZ4" i="25"/>
  <c r="FY4" i="25"/>
  <c r="FW4" i="25"/>
  <c r="FV4" i="25"/>
  <c r="FU4" i="25"/>
  <c r="FT4" i="25"/>
  <c r="FS4" i="25"/>
  <c r="FR4" i="25"/>
  <c r="FQ4" i="25"/>
  <c r="FP4" i="25"/>
  <c r="FL4" i="25"/>
  <c r="FK4" i="25"/>
  <c r="FJ4" i="25"/>
  <c r="FM4" i="25" s="1"/>
  <c r="FI4" i="25"/>
  <c r="FH4" i="25"/>
  <c r="FG4" i="25"/>
  <c r="FF4" i="25"/>
  <c r="FE4" i="25"/>
  <c r="FO4" i="25" s="1"/>
  <c r="FD4" i="25"/>
  <c r="FB4" i="25"/>
  <c r="FA4" i="25"/>
  <c r="EZ4" i="25"/>
  <c r="EY4" i="25"/>
  <c r="EX4" i="25"/>
  <c r="EW4" i="25"/>
  <c r="EV4" i="25"/>
  <c r="EU4" i="25"/>
  <c r="ET4" i="25"/>
  <c r="ES4" i="25"/>
  <c r="ER4" i="25"/>
  <c r="EQ4" i="25"/>
  <c r="EP4" i="25"/>
  <c r="EO4" i="25"/>
  <c r="EN4" i="25"/>
  <c r="EM4" i="25"/>
  <c r="EL4" i="25"/>
  <c r="EK4" i="25"/>
  <c r="EJ4" i="25"/>
  <c r="EI4" i="25"/>
  <c r="EH4" i="25"/>
  <c r="EG4" i="25"/>
  <c r="EF4" i="25"/>
  <c r="EE4" i="25"/>
  <c r="ED4" i="25"/>
  <c r="EC4" i="25"/>
  <c r="EB4" i="25"/>
  <c r="EA4" i="25"/>
  <c r="DZ4" i="25"/>
  <c r="DY4" i="25"/>
  <c r="DU4" i="25"/>
  <c r="DT4" i="25"/>
  <c r="DS4" i="25"/>
  <c r="DR4" i="25"/>
  <c r="DQ4" i="25"/>
  <c r="DP4" i="25"/>
  <c r="DO4" i="25"/>
  <c r="DN4" i="25"/>
  <c r="DK4" i="25"/>
  <c r="DJ4" i="25"/>
  <c r="DI4" i="25"/>
  <c r="DH4" i="25"/>
  <c r="DG4" i="25"/>
  <c r="DF4" i="25"/>
  <c r="DE4" i="25"/>
  <c r="DD4" i="25"/>
  <c r="DB4" i="25"/>
  <c r="DA4" i="25"/>
  <c r="CV4" i="25"/>
  <c r="CU4" i="25"/>
  <c r="CT4" i="25"/>
  <c r="CS4" i="25"/>
  <c r="CR4" i="25"/>
  <c r="GM4" i="25" s="1"/>
  <c r="CQ4" i="25"/>
  <c r="GL4" i="25" s="1"/>
  <c r="CP4" i="25"/>
  <c r="GJ4" i="25" s="1"/>
  <c r="CO4" i="25"/>
  <c r="CN4" i="25"/>
  <c r="CM4" i="25"/>
  <c r="DX4" i="25" s="1"/>
  <c r="CL4" i="25"/>
  <c r="DW4" i="25" s="1"/>
  <c r="CH4" i="25"/>
  <c r="CW4" i="25" s="1"/>
  <c r="CG4" i="25"/>
  <c r="DM4" i="25" s="1" a="1"/>
  <c r="DM4" i="25" s="1"/>
  <c r="CG4" i="25" a="1"/>
  <c r="AW4" i="25"/>
  <c r="AV4" i="25"/>
  <c r="J4" i="25"/>
  <c r="HI4" i="25" s="1"/>
  <c r="G4" i="25"/>
  <c r="IP3" i="24"/>
  <c r="HX3" i="24" a="1"/>
  <c r="HX3" i="24" s="1"/>
  <c r="IW3" i="24" s="1"/>
  <c r="HW3" i="24" a="1"/>
  <c r="HW3" i="24" s="1"/>
  <c r="IV3" i="24" s="1"/>
  <c r="HV3" i="24" a="1"/>
  <c r="HV3" i="24" s="1"/>
  <c r="IU3" i="24" s="1"/>
  <c r="HU3" i="24"/>
  <c r="IT3" i="24" s="1"/>
  <c r="HU3" i="24" a="1"/>
  <c r="HT3" i="24" a="1"/>
  <c r="HT3" i="24" s="1"/>
  <c r="IS3" i="24" s="1"/>
  <c r="HS3" i="24" a="1"/>
  <c r="HS3" i="24" s="1"/>
  <c r="IR3" i="24" s="1"/>
  <c r="HR3" i="24" a="1"/>
  <c r="HR3" i="24" s="1"/>
  <c r="IQ3" i="24" s="1"/>
  <c r="HQ3" i="24" a="1"/>
  <c r="HQ3" i="24" s="1"/>
  <c r="HP3" i="24"/>
  <c r="IO3" i="24" s="1"/>
  <c r="HP3" i="24" a="1"/>
  <c r="HL3" i="24"/>
  <c r="HJ3" i="24"/>
  <c r="HH3" i="24"/>
  <c r="HB3" i="24"/>
  <c r="HA3" i="24"/>
  <c r="GZ3" i="24"/>
  <c r="GY3" i="24"/>
  <c r="GX3" i="24"/>
  <c r="GW3" i="24"/>
  <c r="GV3" i="24"/>
  <c r="GU3" i="24"/>
  <c r="GT3" i="24"/>
  <c r="GP3" i="24"/>
  <c r="GL3" i="24"/>
  <c r="GJ3" i="24"/>
  <c r="GK3" i="24" s="1"/>
  <c r="GI3" i="24"/>
  <c r="GH3" i="24"/>
  <c r="GG3" i="24"/>
  <c r="GF3" i="24"/>
  <c r="GE3" i="24"/>
  <c r="GB3" i="24"/>
  <c r="GA3" i="24"/>
  <c r="FZ3" i="24"/>
  <c r="FY3" i="24"/>
  <c r="FW3" i="24"/>
  <c r="FV3" i="24"/>
  <c r="FU3" i="24"/>
  <c r="FT3" i="24"/>
  <c r="FS3" i="24"/>
  <c r="FR3" i="24"/>
  <c r="FQ3" i="24"/>
  <c r="FP3" i="24"/>
  <c r="FK3" i="24"/>
  <c r="FJ3" i="24"/>
  <c r="FM3" i="24" s="1"/>
  <c r="FI3" i="24"/>
  <c r="FL3" i="24" s="1"/>
  <c r="FH3" i="24"/>
  <c r="FG3" i="24"/>
  <c r="FF3" i="24"/>
  <c r="FE3" i="24"/>
  <c r="FD3" i="24"/>
  <c r="FB3" i="24"/>
  <c r="FA3" i="24"/>
  <c r="EZ3" i="24"/>
  <c r="EY3" i="24"/>
  <c r="EX3" i="24"/>
  <c r="EW3" i="24"/>
  <c r="EV3" i="24"/>
  <c r="EU3" i="24"/>
  <c r="ET3" i="24"/>
  <c r="ES3" i="24"/>
  <c r="ER3" i="24"/>
  <c r="EQ3" i="24"/>
  <c r="EP3" i="24"/>
  <c r="EO3" i="24"/>
  <c r="EN3" i="24"/>
  <c r="EM3" i="24"/>
  <c r="EL3" i="24"/>
  <c r="EK3" i="24"/>
  <c r="EJ3" i="24"/>
  <c r="EI3" i="24"/>
  <c r="EH3" i="24"/>
  <c r="EG3" i="24"/>
  <c r="EF3" i="24"/>
  <c r="EE3" i="24"/>
  <c r="ED3" i="24"/>
  <c r="EC3" i="24"/>
  <c r="EB3" i="24"/>
  <c r="EA3" i="24"/>
  <c r="DU3" i="24"/>
  <c r="DT3" i="24"/>
  <c r="DS3" i="24"/>
  <c r="DR3" i="24"/>
  <c r="DQ3" i="24"/>
  <c r="DP3" i="24"/>
  <c r="DO3" i="24"/>
  <c r="DN3" i="24"/>
  <c r="DK3" i="24"/>
  <c r="DJ3" i="24"/>
  <c r="DI3" i="24"/>
  <c r="DH3" i="24"/>
  <c r="DG3" i="24"/>
  <c r="DF3" i="24"/>
  <c r="DE3" i="24"/>
  <c r="DD3" i="24"/>
  <c r="DB3" i="24"/>
  <c r="DA3" i="24"/>
  <c r="CV3" i="24"/>
  <c r="CU3" i="24"/>
  <c r="CT3" i="24"/>
  <c r="CS3" i="24"/>
  <c r="GN3" i="24" s="1"/>
  <c r="CR3" i="24"/>
  <c r="GM3" i="24" s="1"/>
  <c r="CQ3" i="24"/>
  <c r="CP3" i="24"/>
  <c r="CO3" i="24"/>
  <c r="DZ3" i="24" s="1"/>
  <c r="CN3" i="24"/>
  <c r="DY3" i="24" s="1"/>
  <c r="CM3" i="24"/>
  <c r="DX3" i="24" s="1"/>
  <c r="CL3" i="24"/>
  <c r="DW3" i="24" s="1"/>
  <c r="CG3" i="24" a="1"/>
  <c r="CG3" i="24" s="1"/>
  <c r="AW3" i="24"/>
  <c r="AV3" i="24"/>
  <c r="J3" i="24"/>
  <c r="HI3" i="24" s="1"/>
  <c r="G3" i="24"/>
  <c r="IQ3" i="22"/>
  <c r="IP3" i="22"/>
  <c r="HX3" i="22" a="1"/>
  <c r="HX3" i="22" s="1"/>
  <c r="IW3" i="22" s="1"/>
  <c r="HW3" i="22"/>
  <c r="IV3" i="22" s="1"/>
  <c r="HW3" i="22" a="1"/>
  <c r="HV3" i="22"/>
  <c r="IU3" i="22" s="1"/>
  <c r="HV3" i="22" a="1"/>
  <c r="HU3" i="22" a="1"/>
  <c r="HU3" i="22" s="1"/>
  <c r="IT3" i="22" s="1"/>
  <c r="HT3" i="22" a="1"/>
  <c r="HT3" i="22" s="1"/>
  <c r="IS3" i="22" s="1"/>
  <c r="HS3" i="22"/>
  <c r="IR3" i="22" s="1"/>
  <c r="HS3" i="22" a="1"/>
  <c r="HR3" i="22" a="1"/>
  <c r="HR3" i="22" s="1"/>
  <c r="HQ3" i="22"/>
  <c r="HQ3" i="22" a="1"/>
  <c r="HP3" i="22"/>
  <c r="IO3" i="22" s="1"/>
  <c r="HP3" i="22" a="1"/>
  <c r="HL3" i="22"/>
  <c r="HJ3" i="22"/>
  <c r="HH3" i="22"/>
  <c r="HI3" i="22" s="1"/>
  <c r="HB3" i="22"/>
  <c r="HA3" i="22"/>
  <c r="GZ3" i="22"/>
  <c r="GY3" i="22"/>
  <c r="GX3" i="22"/>
  <c r="GW3" i="22"/>
  <c r="GV3" i="22"/>
  <c r="GU3" i="22"/>
  <c r="GT3" i="22"/>
  <c r="GP3" i="22"/>
  <c r="GL3" i="22"/>
  <c r="GJ3" i="22"/>
  <c r="GK3" i="22" s="1"/>
  <c r="GI3" i="22"/>
  <c r="GH3" i="22"/>
  <c r="GG3" i="22"/>
  <c r="GF3" i="22"/>
  <c r="GE3" i="22"/>
  <c r="GB3" i="22"/>
  <c r="GA3" i="22"/>
  <c r="FZ3" i="22"/>
  <c r="FY3" i="22"/>
  <c r="FW3" i="22"/>
  <c r="FV3" i="22"/>
  <c r="FU3" i="22"/>
  <c r="FT3" i="22"/>
  <c r="FS3" i="22"/>
  <c r="FR3" i="22"/>
  <c r="FQ3" i="22"/>
  <c r="FJ3" i="22"/>
  <c r="FI3" i="22"/>
  <c r="FH3" i="22"/>
  <c r="FG3" i="22"/>
  <c r="FF3" i="22"/>
  <c r="FP3" i="22" s="1"/>
  <c r="FE3" i="22"/>
  <c r="FD3" i="22"/>
  <c r="FB3" i="22"/>
  <c r="FA3" i="22"/>
  <c r="EZ3" i="22"/>
  <c r="EY3" i="22"/>
  <c r="EX3" i="22"/>
  <c r="EW3" i="22"/>
  <c r="EV3" i="22"/>
  <c r="EU3" i="22"/>
  <c r="ET3" i="22"/>
  <c r="ES3" i="22"/>
  <c r="ER3" i="22"/>
  <c r="EQ3" i="22"/>
  <c r="EP3" i="22"/>
  <c r="EO3" i="22"/>
  <c r="EN3" i="22"/>
  <c r="EM3" i="22"/>
  <c r="EL3" i="22"/>
  <c r="EK3" i="22"/>
  <c r="EJ3" i="22"/>
  <c r="EI3" i="22"/>
  <c r="EH3" i="22"/>
  <c r="EG3" i="22"/>
  <c r="EF3" i="22"/>
  <c r="EE3" i="22"/>
  <c r="ED3" i="22"/>
  <c r="EC3" i="22"/>
  <c r="EB3" i="22"/>
  <c r="EA3" i="22"/>
  <c r="DU3" i="22"/>
  <c r="DT3" i="22"/>
  <c r="DS3" i="22"/>
  <c r="DR3" i="22"/>
  <c r="DQ3" i="22"/>
  <c r="DP3" i="22"/>
  <c r="DO3" i="22"/>
  <c r="DN3" i="22"/>
  <c r="DK3" i="22"/>
  <c r="DJ3" i="22"/>
  <c r="DI3" i="22"/>
  <c r="DH3" i="22"/>
  <c r="DG3" i="22"/>
  <c r="DF3" i="22"/>
  <c r="DE3" i="22"/>
  <c r="DD3" i="22"/>
  <c r="DB3" i="22"/>
  <c r="DA3" i="22"/>
  <c r="CV3" i="22"/>
  <c r="CU3" i="22"/>
  <c r="CT3" i="22"/>
  <c r="CS3" i="22"/>
  <c r="GN3" i="22" s="1"/>
  <c r="CR3" i="22"/>
  <c r="GM3" i="22" s="1"/>
  <c r="CQ3" i="22"/>
  <c r="CP3" i="22"/>
  <c r="CO3" i="22"/>
  <c r="DZ3" i="22" s="1"/>
  <c r="CN3" i="22"/>
  <c r="DY3" i="22" s="1"/>
  <c r="CM3" i="22"/>
  <c r="DX3" i="22" s="1"/>
  <c r="CL3" i="22"/>
  <c r="DW3" i="22" s="1"/>
  <c r="CK3" i="22"/>
  <c r="CZ3" i="22" s="1"/>
  <c r="CJ3" i="22"/>
  <c r="CY3" i="22" s="1"/>
  <c r="CI3" i="22"/>
  <c r="CX3" i="22" s="1"/>
  <c r="CH3" i="22"/>
  <c r="CW3" i="22" s="1"/>
  <c r="CG3" i="22" a="1"/>
  <c r="CG3" i="22" s="1"/>
  <c r="IM3" i="22" s="1"/>
  <c r="AW3" i="22"/>
  <c r="AV3" i="22"/>
  <c r="J3" i="22"/>
  <c r="G3" i="22"/>
  <c r="IV16" i="15"/>
  <c r="IU16" i="15"/>
  <c r="IT16" i="15"/>
  <c r="IS16" i="15"/>
  <c r="HX16" i="15"/>
  <c r="IW16" i="15" s="1"/>
  <c r="HX16" i="15" a="1"/>
  <c r="HW16" i="15"/>
  <c r="HW16" i="15" a="1"/>
  <c r="HV16" i="15" a="1"/>
  <c r="HV16" i="15" s="1"/>
  <c r="HU16" i="15" a="1"/>
  <c r="HU16" i="15" s="1"/>
  <c r="HT16" i="15"/>
  <c r="HT16" i="15" a="1"/>
  <c r="HS16" i="15"/>
  <c r="IR16" i="15" s="1"/>
  <c r="HS16" i="15" a="1"/>
  <c r="HR16" i="15" a="1"/>
  <c r="HR16" i="15" s="1"/>
  <c r="IQ16" i="15" s="1"/>
  <c r="HQ16" i="15"/>
  <c r="IP16" i="15" s="1"/>
  <c r="HQ16" i="15" a="1"/>
  <c r="HP16" i="15"/>
  <c r="IO16" i="15" s="1"/>
  <c r="HP16" i="15" a="1"/>
  <c r="HL16" i="15"/>
  <c r="HJ16" i="15"/>
  <c r="HI16" i="15"/>
  <c r="HH16" i="15"/>
  <c r="HB16" i="15"/>
  <c r="HA16" i="15"/>
  <c r="HC16" i="15" s="1"/>
  <c r="GZ16" i="15"/>
  <c r="GY16" i="15"/>
  <c r="GX16" i="15"/>
  <c r="GW16" i="15"/>
  <c r="GV16" i="15"/>
  <c r="GU16" i="15"/>
  <c r="GT16" i="15"/>
  <c r="GP16" i="15"/>
  <c r="GN16" i="15"/>
  <c r="GM16" i="15"/>
  <c r="GL16" i="15"/>
  <c r="GK16" i="15"/>
  <c r="GI16" i="15"/>
  <c r="GH16" i="15"/>
  <c r="GG16" i="15"/>
  <c r="GF16" i="15"/>
  <c r="GE16" i="15"/>
  <c r="GB16" i="15"/>
  <c r="GA16" i="15"/>
  <c r="FZ16" i="15"/>
  <c r="FY16" i="15"/>
  <c r="FW16" i="15"/>
  <c r="FV16" i="15"/>
  <c r="FU16" i="15"/>
  <c r="FT16" i="15"/>
  <c r="FS16" i="15"/>
  <c r="FR16" i="15"/>
  <c r="FQ16" i="15"/>
  <c r="FP16" i="15"/>
  <c r="FN16" i="15"/>
  <c r="FL16" i="15"/>
  <c r="FK16" i="15"/>
  <c r="FJ16" i="15"/>
  <c r="FM16" i="15" s="1"/>
  <c r="FI16" i="15"/>
  <c r="FH16" i="15"/>
  <c r="FG16" i="15"/>
  <c r="FF16" i="15"/>
  <c r="FE16" i="15"/>
  <c r="FO16" i="15" s="1"/>
  <c r="FD16" i="15"/>
  <c r="FB16" i="15"/>
  <c r="FA16" i="15"/>
  <c r="EZ16" i="15"/>
  <c r="EY16" i="15"/>
  <c r="EX16" i="15"/>
  <c r="EW16" i="15"/>
  <c r="EV16" i="15"/>
  <c r="EU16" i="15"/>
  <c r="ET16" i="15"/>
  <c r="ES16" i="15"/>
  <c r="ER16" i="15"/>
  <c r="EQ16" i="15"/>
  <c r="EP16" i="15"/>
  <c r="EO16" i="15"/>
  <c r="EN16" i="15"/>
  <c r="EM16" i="15"/>
  <c r="EL16" i="15"/>
  <c r="EK16" i="15"/>
  <c r="EJ16" i="15"/>
  <c r="EI16" i="15"/>
  <c r="EH16" i="15"/>
  <c r="EG16" i="15"/>
  <c r="EF16" i="15"/>
  <c r="EE16" i="15"/>
  <c r="ED16" i="15"/>
  <c r="EC16" i="15"/>
  <c r="EB16" i="15"/>
  <c r="EA16" i="15"/>
  <c r="DZ16" i="15"/>
  <c r="DY16" i="15"/>
  <c r="DU16" i="15"/>
  <c r="DT16" i="15"/>
  <c r="DS16" i="15"/>
  <c r="DR16" i="15"/>
  <c r="DQ16" i="15"/>
  <c r="DP16" i="15"/>
  <c r="DO16" i="15"/>
  <c r="DN16" i="15"/>
  <c r="DK16" i="15"/>
  <c r="DJ16" i="15"/>
  <c r="DI16" i="15"/>
  <c r="DH16" i="15"/>
  <c r="DG16" i="15"/>
  <c r="DF16" i="15"/>
  <c r="DE16" i="15"/>
  <c r="DD16" i="15"/>
  <c r="DB16" i="15"/>
  <c r="DA16" i="15"/>
  <c r="CV16" i="15"/>
  <c r="CU16" i="15"/>
  <c r="CT16" i="15"/>
  <c r="CS16" i="15"/>
  <c r="CR16" i="15"/>
  <c r="CQ16" i="15"/>
  <c r="CP16" i="15"/>
  <c r="GJ16" i="15" s="1"/>
  <c r="CO16" i="15"/>
  <c r="CN16" i="15"/>
  <c r="CM16" i="15"/>
  <c r="DX16" i="15" s="1"/>
  <c r="CL16" i="15"/>
  <c r="DW16" i="15" s="1"/>
  <c r="CG16" i="15" a="1"/>
  <c r="CG16" i="15" s="1"/>
  <c r="AW16" i="15"/>
  <c r="AV16" i="15"/>
  <c r="J16" i="15"/>
  <c r="G16" i="15"/>
  <c r="IQ15" i="15"/>
  <c r="IP15" i="15"/>
  <c r="IN15" i="15"/>
  <c r="IX15" i="15" s="1"/>
  <c r="IM15" i="15"/>
  <c r="HX15" i="15" a="1"/>
  <c r="HX15" i="15" s="1"/>
  <c r="IW15" i="15" s="1"/>
  <c r="HW15" i="15"/>
  <c r="IV15" i="15" s="1"/>
  <c r="HW15" i="15" a="1"/>
  <c r="HV15" i="15" a="1"/>
  <c r="HV15" i="15" s="1"/>
  <c r="IU15" i="15" s="1"/>
  <c r="HU15" i="15" a="1"/>
  <c r="HU15" i="15" s="1"/>
  <c r="IT15" i="15" s="1"/>
  <c r="HT15" i="15" a="1"/>
  <c r="HT15" i="15" s="1"/>
  <c r="IS15" i="15" s="1"/>
  <c r="HS15" i="15" a="1"/>
  <c r="HS15" i="15" s="1"/>
  <c r="IR15" i="15" s="1"/>
  <c r="HR15" i="15" a="1"/>
  <c r="HR15" i="15" s="1"/>
  <c r="HQ15" i="15"/>
  <c r="HQ15" i="15" a="1"/>
  <c r="HP15" i="15" a="1"/>
  <c r="HP15" i="15" s="1"/>
  <c r="IO15" i="15" s="1"/>
  <c r="HL15" i="15"/>
  <c r="HJ15" i="15"/>
  <c r="HH15" i="15"/>
  <c r="HB15" i="15"/>
  <c r="HA15" i="15"/>
  <c r="GZ15" i="15"/>
  <c r="GY15" i="15"/>
  <c r="GX15" i="15"/>
  <c r="GW15" i="15"/>
  <c r="GV15" i="15"/>
  <c r="GU15" i="15"/>
  <c r="GT15" i="15"/>
  <c r="GP15" i="15"/>
  <c r="GN15" i="15"/>
  <c r="GL15" i="15"/>
  <c r="GJ15" i="15"/>
  <c r="GK15" i="15" s="1"/>
  <c r="GI15" i="15"/>
  <c r="GH15" i="15"/>
  <c r="GG15" i="15"/>
  <c r="GF15" i="15"/>
  <c r="GE15" i="15"/>
  <c r="GB15" i="15"/>
  <c r="GA15" i="15"/>
  <c r="FZ15" i="15"/>
  <c r="FY15" i="15"/>
  <c r="FW15" i="15"/>
  <c r="FV15" i="15"/>
  <c r="FU15" i="15"/>
  <c r="FT15" i="15"/>
  <c r="FS15" i="15"/>
  <c r="FR15" i="15"/>
  <c r="FQ15" i="15"/>
  <c r="FJ15" i="15"/>
  <c r="FI15" i="15"/>
  <c r="FH15" i="15"/>
  <c r="FK15" i="15" s="1"/>
  <c r="FG15" i="15"/>
  <c r="FF15" i="15"/>
  <c r="FP15" i="15" s="1"/>
  <c r="FE15" i="15"/>
  <c r="FD15" i="15"/>
  <c r="FB15" i="15"/>
  <c r="FA15" i="15"/>
  <c r="EZ15" i="15"/>
  <c r="EY15" i="15"/>
  <c r="EX15" i="15"/>
  <c r="EW15" i="15"/>
  <c r="EV15" i="15"/>
  <c r="EU15" i="15"/>
  <c r="ET15" i="15"/>
  <c r="ES15" i="15"/>
  <c r="ER15" i="15"/>
  <c r="EQ15" i="15"/>
  <c r="EP15" i="15"/>
  <c r="EO15" i="15"/>
  <c r="EN15" i="15"/>
  <c r="EM15" i="15"/>
  <c r="EL15" i="15"/>
  <c r="EK15" i="15"/>
  <c r="EJ15" i="15"/>
  <c r="EI15" i="15"/>
  <c r="EH15" i="15"/>
  <c r="EG15" i="15"/>
  <c r="EF15" i="15"/>
  <c r="EE15" i="15"/>
  <c r="ED15" i="15"/>
  <c r="EC15" i="15"/>
  <c r="EB15" i="15"/>
  <c r="EA15" i="15"/>
  <c r="DU15" i="15"/>
  <c r="DT15" i="15"/>
  <c r="DS15" i="15"/>
  <c r="DR15" i="15"/>
  <c r="DQ15" i="15"/>
  <c r="DP15" i="15"/>
  <c r="DO15" i="15"/>
  <c r="DN15" i="15"/>
  <c r="DM15" i="15" a="1"/>
  <c r="DM15" i="15" s="1"/>
  <c r="DL15" i="15"/>
  <c r="DK15" i="15"/>
  <c r="DJ15" i="15"/>
  <c r="DI15" i="15"/>
  <c r="DH15" i="15"/>
  <c r="DG15" i="15"/>
  <c r="DF15" i="15"/>
  <c r="DE15" i="15"/>
  <c r="DD15" i="15"/>
  <c r="DB15" i="15"/>
  <c r="DA15" i="15"/>
  <c r="CW15" i="15"/>
  <c r="CV15" i="15"/>
  <c r="CU15" i="15"/>
  <c r="CT15" i="15"/>
  <c r="CS15" i="15"/>
  <c r="CR15" i="15"/>
  <c r="GM15" i="15" s="1"/>
  <c r="CQ15" i="15"/>
  <c r="CP15" i="15"/>
  <c r="CO15" i="15"/>
  <c r="DZ15" i="15" s="1"/>
  <c r="CN15" i="15"/>
  <c r="DY15" i="15" s="1"/>
  <c r="CM15" i="15"/>
  <c r="DX15" i="15" s="1"/>
  <c r="CL15" i="15"/>
  <c r="DW15" i="15" s="1"/>
  <c r="CK15" i="15"/>
  <c r="CZ15" i="15" s="1"/>
  <c r="CJ15" i="15"/>
  <c r="CY15" i="15" s="1"/>
  <c r="CI15" i="15"/>
  <c r="CX15" i="15" s="1"/>
  <c r="CH15" i="15"/>
  <c r="CG15" i="15" a="1"/>
  <c r="CG15" i="15" s="1"/>
  <c r="AW15" i="15"/>
  <c r="AV15" i="15"/>
  <c r="J15" i="15"/>
  <c r="HI15" i="15" s="1"/>
  <c r="G15" i="15"/>
  <c r="IT14" i="15"/>
  <c r="IS14" i="15"/>
  <c r="HX14" i="15" a="1"/>
  <c r="HX14" i="15" s="1"/>
  <c r="IW14" i="15" s="1"/>
  <c r="HW14" i="15"/>
  <c r="IV14" i="15" s="1"/>
  <c r="HW14" i="15" a="1"/>
  <c r="HV14" i="15"/>
  <c r="IU14" i="15" s="1"/>
  <c r="HV14" i="15" a="1"/>
  <c r="HU14" i="15" a="1"/>
  <c r="HU14" i="15" s="1"/>
  <c r="HT14" i="15"/>
  <c r="HT14" i="15" a="1"/>
  <c r="HS14" i="15"/>
  <c r="IR14" i="15" s="1"/>
  <c r="HS14" i="15" a="1"/>
  <c r="HR14" i="15" a="1"/>
  <c r="HR14" i="15" s="1"/>
  <c r="IQ14" i="15" s="1"/>
  <c r="HQ14" i="15" a="1"/>
  <c r="HQ14" i="15" s="1"/>
  <c r="IP14" i="15" s="1"/>
  <c r="HP14" i="15" a="1"/>
  <c r="HP14" i="15" s="1"/>
  <c r="IO14" i="15" s="1"/>
  <c r="HL14" i="15"/>
  <c r="HJ14" i="15"/>
  <c r="HI14" i="15"/>
  <c r="HH14" i="15"/>
  <c r="HB14" i="15"/>
  <c r="HA14" i="15"/>
  <c r="GZ14" i="15"/>
  <c r="GY14" i="15"/>
  <c r="GX14" i="15"/>
  <c r="GW14" i="15"/>
  <c r="GV14" i="15"/>
  <c r="GU14" i="15"/>
  <c r="GT14" i="15"/>
  <c r="GP14" i="15"/>
  <c r="GI14" i="15"/>
  <c r="GH14" i="15"/>
  <c r="GG14" i="15"/>
  <c r="GF14" i="15"/>
  <c r="GE14" i="15"/>
  <c r="GB14" i="15"/>
  <c r="GA14" i="15"/>
  <c r="FZ14" i="15"/>
  <c r="FY14" i="15"/>
  <c r="FW14" i="15"/>
  <c r="FV14" i="15"/>
  <c r="FU14" i="15"/>
  <c r="FT14" i="15"/>
  <c r="FS14" i="15"/>
  <c r="FR14" i="15"/>
  <c r="FQ14" i="15"/>
  <c r="FP14" i="15"/>
  <c r="FM14" i="15"/>
  <c r="FL14" i="15"/>
  <c r="FK14" i="15"/>
  <c r="FJ14" i="15"/>
  <c r="FI14" i="15"/>
  <c r="FH14" i="15"/>
  <c r="FG14" i="15"/>
  <c r="FF14" i="15"/>
  <c r="FE14" i="15"/>
  <c r="FD14" i="15"/>
  <c r="FB14" i="15"/>
  <c r="FA14" i="15"/>
  <c r="EZ14" i="15"/>
  <c r="EY14" i="15"/>
  <c r="EX14" i="15"/>
  <c r="EW14" i="15"/>
  <c r="EV14" i="15"/>
  <c r="EU14" i="15"/>
  <c r="ET14" i="15"/>
  <c r="ES14" i="15"/>
  <c r="ER14" i="15"/>
  <c r="EQ14" i="15"/>
  <c r="EP14" i="15"/>
  <c r="EO14" i="15"/>
  <c r="EN14" i="15"/>
  <c r="EM14" i="15"/>
  <c r="EL14" i="15"/>
  <c r="EK14" i="15"/>
  <c r="EJ14" i="15"/>
  <c r="EI14" i="15"/>
  <c r="EH14" i="15"/>
  <c r="EG14" i="15"/>
  <c r="EF14" i="15"/>
  <c r="EE14" i="15"/>
  <c r="ED14" i="15"/>
  <c r="EC14" i="15"/>
  <c r="EB14" i="15"/>
  <c r="EA14" i="15"/>
  <c r="DU14" i="15"/>
  <c r="DT14" i="15"/>
  <c r="DS14" i="15"/>
  <c r="DR14" i="15"/>
  <c r="DQ14" i="15"/>
  <c r="DP14" i="15"/>
  <c r="DO14" i="15"/>
  <c r="DN14" i="15"/>
  <c r="DK14" i="15"/>
  <c r="DJ14" i="15"/>
  <c r="DI14" i="15"/>
  <c r="DH14" i="15"/>
  <c r="DG14" i="15"/>
  <c r="DF14" i="15"/>
  <c r="DE14" i="15"/>
  <c r="DD14" i="15"/>
  <c r="DB14" i="15"/>
  <c r="DA14" i="15"/>
  <c r="CV14" i="15"/>
  <c r="CU14" i="15"/>
  <c r="CT14" i="15"/>
  <c r="CS14" i="15"/>
  <c r="GN14" i="15" s="1"/>
  <c r="CR14" i="15"/>
  <c r="GM14" i="15" s="1"/>
  <c r="CQ14" i="15"/>
  <c r="GL14" i="15" s="1"/>
  <c r="CP14" i="15"/>
  <c r="GJ14" i="15" s="1"/>
  <c r="GK14" i="15" s="1"/>
  <c r="CO14" i="15"/>
  <c r="DZ14" i="15" s="1"/>
  <c r="CN14" i="15"/>
  <c r="DY14" i="15" s="1"/>
  <c r="CM14" i="15"/>
  <c r="DX14" i="15" s="1"/>
  <c r="CL14" i="15"/>
  <c r="DW14" i="15" s="1"/>
  <c r="CG14" i="15" a="1"/>
  <c r="CG14" i="15" s="1"/>
  <c r="AW14" i="15"/>
  <c r="AV14" i="15"/>
  <c r="J14" i="15"/>
  <c r="G14" i="15"/>
  <c r="IQ13" i="15"/>
  <c r="IP13" i="15"/>
  <c r="HX13" i="15" a="1"/>
  <c r="HX13" i="15" s="1"/>
  <c r="IW13" i="15" s="1"/>
  <c r="HW13" i="15"/>
  <c r="IV13" i="15" s="1"/>
  <c r="HW13" i="15" a="1"/>
  <c r="HV13" i="15" a="1"/>
  <c r="HV13" i="15" s="1"/>
  <c r="IU13" i="15" s="1"/>
  <c r="HU13" i="15"/>
  <c r="IT13" i="15" s="1"/>
  <c r="HU13" i="15" a="1"/>
  <c r="HT13" i="15" a="1"/>
  <c r="HT13" i="15" s="1"/>
  <c r="IS13" i="15" s="1"/>
  <c r="HS13" i="15" a="1"/>
  <c r="HS13" i="15" s="1"/>
  <c r="IR13" i="15" s="1"/>
  <c r="HR13" i="15" a="1"/>
  <c r="HR13" i="15" s="1"/>
  <c r="HQ13" i="15"/>
  <c r="HQ13" i="15" a="1"/>
  <c r="HP13" i="15" a="1"/>
  <c r="HP13" i="15" s="1"/>
  <c r="IO13" i="15" s="1"/>
  <c r="HL13" i="15"/>
  <c r="HJ13" i="15"/>
  <c r="HH13" i="15"/>
  <c r="HB13" i="15"/>
  <c r="HA13" i="15"/>
  <c r="GZ13" i="15"/>
  <c r="GY13" i="15"/>
  <c r="GX13" i="15"/>
  <c r="GW13" i="15"/>
  <c r="GV13" i="15"/>
  <c r="GU13" i="15"/>
  <c r="GT13" i="15"/>
  <c r="HC13" i="15" s="1"/>
  <c r="GP13" i="15"/>
  <c r="GN13" i="15"/>
  <c r="GL13" i="15"/>
  <c r="GJ13" i="15"/>
  <c r="GK13" i="15" s="1"/>
  <c r="GI13" i="15"/>
  <c r="GH13" i="15"/>
  <c r="GG13" i="15"/>
  <c r="GF13" i="15"/>
  <c r="GE13" i="15"/>
  <c r="GB13" i="15"/>
  <c r="GA13" i="15"/>
  <c r="FZ13" i="15"/>
  <c r="FY13" i="15"/>
  <c r="FW13" i="15"/>
  <c r="FV13" i="15"/>
  <c r="FU13" i="15"/>
  <c r="FT13" i="15"/>
  <c r="FS13" i="15"/>
  <c r="FR13" i="15"/>
  <c r="FQ13" i="15"/>
  <c r="FP13" i="15"/>
  <c r="FK13" i="15"/>
  <c r="FJ13" i="15"/>
  <c r="FM13" i="15" s="1"/>
  <c r="FI13" i="15"/>
  <c r="FL13" i="15" s="1"/>
  <c r="FH13" i="15"/>
  <c r="FG13" i="15"/>
  <c r="FF13" i="15"/>
  <c r="FE13" i="15"/>
  <c r="FD13" i="15"/>
  <c r="FB13" i="15"/>
  <c r="FA13" i="15"/>
  <c r="EZ13" i="15"/>
  <c r="EY13" i="15"/>
  <c r="EX13" i="15"/>
  <c r="EW13" i="15"/>
  <c r="EV13" i="15"/>
  <c r="EU13" i="15"/>
  <c r="ET13" i="15"/>
  <c r="ES13" i="15"/>
  <c r="ER13" i="15"/>
  <c r="EQ13" i="15"/>
  <c r="EP13" i="15"/>
  <c r="EO13" i="15"/>
  <c r="EN13" i="15"/>
  <c r="EM13" i="15"/>
  <c r="EL13" i="15"/>
  <c r="EK13" i="15"/>
  <c r="EJ13" i="15"/>
  <c r="EI13" i="15"/>
  <c r="EH13" i="15"/>
  <c r="EG13" i="15"/>
  <c r="EF13" i="15"/>
  <c r="EE13" i="15"/>
  <c r="ED13" i="15"/>
  <c r="EC13" i="15"/>
  <c r="EB13" i="15"/>
  <c r="EA13" i="15"/>
  <c r="DZ13" i="15"/>
  <c r="DY13" i="15"/>
  <c r="DX13" i="15"/>
  <c r="DU13" i="15"/>
  <c r="DT13" i="15"/>
  <c r="DS13" i="15"/>
  <c r="DR13" i="15"/>
  <c r="DQ13" i="15"/>
  <c r="DP13" i="15"/>
  <c r="DO13" i="15"/>
  <c r="DN13" i="15"/>
  <c r="DM13" i="15" a="1"/>
  <c r="DM13" i="15" s="1"/>
  <c r="DL13" i="15"/>
  <c r="DK13" i="15"/>
  <c r="DJ13" i="15"/>
  <c r="DI13" i="15"/>
  <c r="DH13" i="15"/>
  <c r="DG13" i="15"/>
  <c r="DF13" i="15"/>
  <c r="DE13" i="15"/>
  <c r="DD13" i="15"/>
  <c r="DB13" i="15"/>
  <c r="DA13" i="15"/>
  <c r="CV13" i="15"/>
  <c r="CU13" i="15"/>
  <c r="CT13" i="15"/>
  <c r="CS13" i="15"/>
  <c r="CR13" i="15"/>
  <c r="GM13" i="15" s="1"/>
  <c r="CQ13" i="15"/>
  <c r="CP13" i="15"/>
  <c r="CO13" i="15"/>
  <c r="CN13" i="15"/>
  <c r="CM13" i="15"/>
  <c r="CL13" i="15"/>
  <c r="DW13" i="15" s="1"/>
  <c r="CG13" i="15" a="1"/>
  <c r="CG13" i="15" s="1"/>
  <c r="AW13" i="15"/>
  <c r="AV13" i="15"/>
  <c r="J13" i="15"/>
  <c r="HI13" i="15" s="1"/>
  <c r="G13" i="15"/>
  <c r="IV12" i="15"/>
  <c r="IS12" i="15"/>
  <c r="HX12" i="15" a="1"/>
  <c r="HX12" i="15" s="1"/>
  <c r="IW12" i="15" s="1"/>
  <c r="HW12" i="15"/>
  <c r="HW12" i="15" a="1"/>
  <c r="HV12" i="15"/>
  <c r="IU12" i="15" s="1"/>
  <c r="HV12" i="15" a="1"/>
  <c r="HU12" i="15" a="1"/>
  <c r="HU12" i="15" s="1"/>
  <c r="IT12" i="15" s="1"/>
  <c r="HT12" i="15"/>
  <c r="HT12" i="15" a="1"/>
  <c r="HS12" i="15" a="1"/>
  <c r="HS12" i="15" s="1"/>
  <c r="IR12" i="15" s="1"/>
  <c r="HR12" i="15"/>
  <c r="IQ12" i="15" s="1"/>
  <c r="HR12" i="15" a="1"/>
  <c r="HQ12" i="15" a="1"/>
  <c r="HQ12" i="15" s="1"/>
  <c r="IP12" i="15" s="1"/>
  <c r="HP12" i="15"/>
  <c r="IO12" i="15" s="1"/>
  <c r="HP12" i="15" a="1"/>
  <c r="HL12" i="15"/>
  <c r="HJ12" i="15"/>
  <c r="HH12" i="15"/>
  <c r="HB12" i="15"/>
  <c r="HA12" i="15"/>
  <c r="GZ12" i="15"/>
  <c r="HC12" i="15" s="1"/>
  <c r="GY12" i="15"/>
  <c r="GX12" i="15"/>
  <c r="GW12" i="15"/>
  <c r="GV12" i="15"/>
  <c r="GU12" i="15"/>
  <c r="GT12" i="15"/>
  <c r="GP12" i="15"/>
  <c r="GK12" i="15"/>
  <c r="GI12" i="15"/>
  <c r="GH12" i="15"/>
  <c r="GG12" i="15"/>
  <c r="GF12" i="15"/>
  <c r="GE12" i="15"/>
  <c r="GB12" i="15"/>
  <c r="GA12" i="15"/>
  <c r="FZ12" i="15"/>
  <c r="FY12" i="15"/>
  <c r="FW12" i="15"/>
  <c r="FV12" i="15"/>
  <c r="FU12" i="15"/>
  <c r="FT12" i="15"/>
  <c r="FS12" i="15"/>
  <c r="FR12" i="15"/>
  <c r="FQ12" i="15"/>
  <c r="FP12" i="15"/>
  <c r="FM12" i="15"/>
  <c r="FL12" i="15"/>
  <c r="FK12" i="15"/>
  <c r="FJ12" i="15"/>
  <c r="FI12" i="15"/>
  <c r="FH12" i="15"/>
  <c r="FG12" i="15"/>
  <c r="FF12" i="15"/>
  <c r="FE12" i="15"/>
  <c r="FD12" i="15"/>
  <c r="FB12" i="15"/>
  <c r="FA12" i="15"/>
  <c r="EZ12" i="15"/>
  <c r="EY12" i="15"/>
  <c r="EX12" i="15"/>
  <c r="EW12" i="15"/>
  <c r="EV12" i="15"/>
  <c r="EU12" i="15"/>
  <c r="ET12" i="15"/>
  <c r="ES12" i="15"/>
  <c r="ER12" i="15"/>
  <c r="EQ12" i="15"/>
  <c r="EP12" i="15"/>
  <c r="EO12" i="15"/>
  <c r="EN12" i="15"/>
  <c r="EM12" i="15"/>
  <c r="EL12" i="15"/>
  <c r="EK12" i="15"/>
  <c r="EJ12" i="15"/>
  <c r="EI12" i="15"/>
  <c r="EH12" i="15"/>
  <c r="EG12" i="15"/>
  <c r="EF12" i="15"/>
  <c r="EE12" i="15"/>
  <c r="ED12" i="15"/>
  <c r="EC12" i="15"/>
  <c r="EB12" i="15"/>
  <c r="EA12" i="15"/>
  <c r="DZ12" i="15"/>
  <c r="DY12" i="15"/>
  <c r="DU12" i="15"/>
  <c r="DT12" i="15"/>
  <c r="DS12" i="15"/>
  <c r="DR12" i="15"/>
  <c r="DQ12" i="15"/>
  <c r="DP12" i="15"/>
  <c r="DO12" i="15"/>
  <c r="DN12" i="15"/>
  <c r="DM12" i="15"/>
  <c r="DM12" i="15" a="1"/>
  <c r="DK12" i="15"/>
  <c r="DJ12" i="15"/>
  <c r="DI12" i="15"/>
  <c r="DH12" i="15"/>
  <c r="DG12" i="15"/>
  <c r="DF12" i="15"/>
  <c r="DE12" i="15"/>
  <c r="DD12" i="15"/>
  <c r="DB12" i="15"/>
  <c r="DA12" i="15"/>
  <c r="CZ12" i="15"/>
  <c r="CV12" i="15"/>
  <c r="CU12" i="15"/>
  <c r="CT12" i="15"/>
  <c r="CS12" i="15"/>
  <c r="GN12" i="15" s="1"/>
  <c r="CR12" i="15"/>
  <c r="GM12" i="15" s="1"/>
  <c r="CQ12" i="15"/>
  <c r="GL12" i="15" s="1"/>
  <c r="CP12" i="15"/>
  <c r="GJ12" i="15" s="1"/>
  <c r="CO12" i="15"/>
  <c r="CN12" i="15"/>
  <c r="CM12" i="15"/>
  <c r="DX12" i="15" s="1"/>
  <c r="CL12" i="15"/>
  <c r="DW12" i="15" s="1"/>
  <c r="CK12" i="15"/>
  <c r="CG12" i="15" a="1"/>
  <c r="CG12" i="15" s="1"/>
  <c r="AW12" i="15"/>
  <c r="AV12" i="15"/>
  <c r="J12" i="15"/>
  <c r="HI12" i="15" s="1"/>
  <c r="G12" i="15"/>
  <c r="IO11" i="15"/>
  <c r="IN11" i="15"/>
  <c r="IX11" i="15" s="1"/>
  <c r="IM11" i="15"/>
  <c r="HX11" i="15" a="1"/>
  <c r="HX11" i="15" s="1"/>
  <c r="IW11" i="15" s="1"/>
  <c r="HW11" i="15"/>
  <c r="IV11" i="15" s="1"/>
  <c r="HW11" i="15" a="1"/>
  <c r="HV11" i="15" a="1"/>
  <c r="HV11" i="15" s="1"/>
  <c r="IU11" i="15" s="1"/>
  <c r="HU11" i="15" a="1"/>
  <c r="HU11" i="15" s="1"/>
  <c r="IT11" i="15" s="1"/>
  <c r="HT11" i="15" a="1"/>
  <c r="HT11" i="15" s="1"/>
  <c r="IS11" i="15" s="1"/>
  <c r="HS11" i="15" a="1"/>
  <c r="HS11" i="15" s="1"/>
  <c r="IR11" i="15" s="1"/>
  <c r="HR11" i="15" a="1"/>
  <c r="HR11" i="15" s="1"/>
  <c r="IQ11" i="15" s="1"/>
  <c r="HQ11" i="15"/>
  <c r="IP11" i="15" s="1"/>
  <c r="HQ11" i="15" a="1"/>
  <c r="HP11" i="15" a="1"/>
  <c r="HP11" i="15" s="1"/>
  <c r="HL11" i="15"/>
  <c r="HJ11" i="15"/>
  <c r="HH11" i="15"/>
  <c r="HB11" i="15"/>
  <c r="HA11" i="15"/>
  <c r="GZ11" i="15"/>
  <c r="GY11" i="15"/>
  <c r="GX11" i="15"/>
  <c r="GW11" i="15"/>
  <c r="GV11" i="15"/>
  <c r="GU11" i="15"/>
  <c r="GT11" i="15"/>
  <c r="GP11" i="15"/>
  <c r="GN11" i="15"/>
  <c r="GM11" i="15"/>
  <c r="GL11" i="15"/>
  <c r="GJ11" i="15"/>
  <c r="GK11" i="15" s="1"/>
  <c r="GI11" i="15"/>
  <c r="GH11" i="15"/>
  <c r="GG11" i="15"/>
  <c r="GF11" i="15"/>
  <c r="GE11" i="15"/>
  <c r="GB11" i="15"/>
  <c r="GA11" i="15"/>
  <c r="FZ11" i="15"/>
  <c r="FY11" i="15"/>
  <c r="FW11" i="15"/>
  <c r="FV11" i="15"/>
  <c r="FU11" i="15"/>
  <c r="FT11" i="15"/>
  <c r="FS11" i="15"/>
  <c r="FR11" i="15"/>
  <c r="FQ11" i="15"/>
  <c r="FP11" i="15"/>
  <c r="FJ11" i="15"/>
  <c r="FM11" i="15" s="1"/>
  <c r="FI11" i="15"/>
  <c r="FL11" i="15" s="1"/>
  <c r="FH11" i="15"/>
  <c r="FK11" i="15" s="1"/>
  <c r="FG11" i="15"/>
  <c r="FF11" i="15"/>
  <c r="FE11" i="15"/>
  <c r="FD11" i="15"/>
  <c r="FB11" i="15"/>
  <c r="FA11" i="15"/>
  <c r="EZ11" i="15"/>
  <c r="EY11" i="15"/>
  <c r="EX11" i="15"/>
  <c r="EW11" i="15"/>
  <c r="EV11" i="15"/>
  <c r="EU11" i="15"/>
  <c r="ET11" i="15"/>
  <c r="ES11" i="15"/>
  <c r="ER11" i="15"/>
  <c r="EQ11" i="15"/>
  <c r="EP11" i="15"/>
  <c r="EO11" i="15"/>
  <c r="EN11" i="15"/>
  <c r="EM11" i="15"/>
  <c r="EL11" i="15"/>
  <c r="EK11" i="15"/>
  <c r="EJ11" i="15"/>
  <c r="EI11" i="15"/>
  <c r="EH11" i="15"/>
  <c r="EG11" i="15"/>
  <c r="EF11" i="15"/>
  <c r="EE11" i="15"/>
  <c r="ED11" i="15"/>
  <c r="EC11" i="15"/>
  <c r="EB11" i="15"/>
  <c r="EA11" i="15"/>
  <c r="DU11" i="15"/>
  <c r="DT11" i="15"/>
  <c r="DS11" i="15"/>
  <c r="DR11" i="15"/>
  <c r="DQ11" i="15"/>
  <c r="DP11" i="15"/>
  <c r="DO11" i="15"/>
  <c r="DN11" i="15"/>
  <c r="DL11" i="15"/>
  <c r="DK11" i="15"/>
  <c r="DJ11" i="15"/>
  <c r="DI11" i="15"/>
  <c r="DH11" i="15"/>
  <c r="DG11" i="15"/>
  <c r="DF11" i="15"/>
  <c r="DE11" i="15"/>
  <c r="DD11" i="15"/>
  <c r="DB11" i="15"/>
  <c r="DA11" i="15"/>
  <c r="CV11" i="15"/>
  <c r="CU11" i="15"/>
  <c r="CT11" i="15"/>
  <c r="CS11" i="15"/>
  <c r="CR11" i="15"/>
  <c r="CQ11" i="15"/>
  <c r="CP11" i="15"/>
  <c r="CO11" i="15"/>
  <c r="DZ11" i="15" s="1"/>
  <c r="CN11" i="15"/>
  <c r="DY11" i="15" s="1"/>
  <c r="CM11" i="15"/>
  <c r="DX11" i="15" s="1"/>
  <c r="CL11" i="15"/>
  <c r="DW11" i="15" s="1"/>
  <c r="CK11" i="15"/>
  <c r="CZ11" i="15" s="1"/>
  <c r="CG11" i="15" a="1"/>
  <c r="CG11" i="15" s="1"/>
  <c r="AW11" i="15"/>
  <c r="AV11" i="15"/>
  <c r="J11" i="15"/>
  <c r="HI11" i="15" s="1"/>
  <c r="G11" i="15"/>
  <c r="IV10" i="15"/>
  <c r="IQ10" i="15"/>
  <c r="IP10" i="15"/>
  <c r="HX10" i="15" a="1"/>
  <c r="HX10" i="15" s="1"/>
  <c r="IW10" i="15" s="1"/>
  <c r="HW10" i="15"/>
  <c r="HW10" i="15" a="1"/>
  <c r="HV10" i="15"/>
  <c r="IU10" i="15" s="1"/>
  <c r="HV10" i="15" a="1"/>
  <c r="HU10" i="15" a="1"/>
  <c r="HU10" i="15" s="1"/>
  <c r="IT10" i="15" s="1"/>
  <c r="HT10" i="15" a="1"/>
  <c r="HT10" i="15" s="1"/>
  <c r="IS10" i="15" s="1"/>
  <c r="HS10" i="15" a="1"/>
  <c r="HS10" i="15" s="1"/>
  <c r="IR10" i="15" s="1"/>
  <c r="HR10" i="15"/>
  <c r="HR10" i="15" a="1"/>
  <c r="HQ10" i="15" a="1"/>
  <c r="HQ10" i="15" s="1"/>
  <c r="HP10" i="15" a="1"/>
  <c r="HP10" i="15" s="1"/>
  <c r="IO10" i="15" s="1"/>
  <c r="HL10" i="15"/>
  <c r="HJ10" i="15"/>
  <c r="HH10" i="15"/>
  <c r="HB10" i="15"/>
  <c r="HA10" i="15"/>
  <c r="GZ10" i="15"/>
  <c r="GY10" i="15"/>
  <c r="GX10" i="15"/>
  <c r="GW10" i="15"/>
  <c r="GV10" i="15"/>
  <c r="HC10" i="15" s="1"/>
  <c r="GU10" i="15"/>
  <c r="GT10" i="15"/>
  <c r="GP10" i="15"/>
  <c r="GN10" i="15"/>
  <c r="GI10" i="15"/>
  <c r="GH10" i="15"/>
  <c r="GG10" i="15"/>
  <c r="GF10" i="15"/>
  <c r="GE10" i="15"/>
  <c r="GB10" i="15"/>
  <c r="GA10" i="15"/>
  <c r="FZ10" i="15"/>
  <c r="FY10" i="15"/>
  <c r="FW10" i="15"/>
  <c r="FV10" i="15"/>
  <c r="FU10" i="15"/>
  <c r="FT10" i="15"/>
  <c r="FS10" i="15"/>
  <c r="FR10" i="15"/>
  <c r="FQ10" i="15"/>
  <c r="FP10" i="15"/>
  <c r="FO10" i="15"/>
  <c r="FN10" i="15"/>
  <c r="FM10" i="15"/>
  <c r="FL10" i="15"/>
  <c r="FJ10" i="15"/>
  <c r="FI10" i="15"/>
  <c r="FH10" i="15"/>
  <c r="FK10" i="15" s="1"/>
  <c r="FG10" i="15"/>
  <c r="FF10" i="15"/>
  <c r="FE10" i="15"/>
  <c r="FD10" i="15"/>
  <c r="FB10" i="15"/>
  <c r="FA10" i="15"/>
  <c r="EZ10" i="15"/>
  <c r="EY10" i="15"/>
  <c r="EX10" i="15"/>
  <c r="EW10" i="15"/>
  <c r="EV10" i="15"/>
  <c r="EU10" i="15"/>
  <c r="ET10" i="15"/>
  <c r="ES10" i="15"/>
  <c r="ER10" i="15"/>
  <c r="EQ10" i="15"/>
  <c r="EP10" i="15"/>
  <c r="EO10" i="15"/>
  <c r="EN10" i="15"/>
  <c r="EM10" i="15"/>
  <c r="EL10" i="15"/>
  <c r="EK10" i="15"/>
  <c r="EJ10" i="15"/>
  <c r="EI10" i="15"/>
  <c r="EH10" i="15"/>
  <c r="EG10" i="15"/>
  <c r="EF10" i="15"/>
  <c r="EE10" i="15"/>
  <c r="ED10" i="15"/>
  <c r="EC10" i="15"/>
  <c r="EB10" i="15"/>
  <c r="EA10" i="15"/>
  <c r="DW10" i="15"/>
  <c r="DU10" i="15"/>
  <c r="DT10" i="15"/>
  <c r="DS10" i="15"/>
  <c r="DR10" i="15"/>
  <c r="DQ10" i="15"/>
  <c r="DP10" i="15"/>
  <c r="DO10" i="15"/>
  <c r="DN10" i="15"/>
  <c r="DK10" i="15"/>
  <c r="DJ10" i="15"/>
  <c r="DI10" i="15"/>
  <c r="DH10" i="15"/>
  <c r="DG10" i="15"/>
  <c r="DF10" i="15"/>
  <c r="DE10" i="15"/>
  <c r="DD10" i="15"/>
  <c r="DB10" i="15"/>
  <c r="DA10" i="15"/>
  <c r="CV10" i="15"/>
  <c r="CU10" i="15"/>
  <c r="CT10" i="15"/>
  <c r="CS10" i="15"/>
  <c r="CR10" i="15"/>
  <c r="GM10" i="15" s="1"/>
  <c r="CQ10" i="15"/>
  <c r="GL10" i="15" s="1"/>
  <c r="CP10" i="15"/>
  <c r="GJ10" i="15" s="1"/>
  <c r="GK10" i="15" s="1"/>
  <c r="CO10" i="15"/>
  <c r="DZ10" i="15" s="1"/>
  <c r="CN10" i="15"/>
  <c r="DY10" i="15" s="1"/>
  <c r="CM10" i="15"/>
  <c r="DX10" i="15" s="1"/>
  <c r="CL10" i="15"/>
  <c r="CG10" i="15" a="1"/>
  <c r="CG10" i="15" s="1"/>
  <c r="AW10" i="15"/>
  <c r="AV10" i="15"/>
  <c r="J10" i="15"/>
  <c r="HI10" i="15" s="1"/>
  <c r="G10" i="15"/>
  <c r="HX3" i="13"/>
  <c r="IW3" i="13" s="1"/>
  <c r="HX3" i="13" a="1"/>
  <c r="HW3" i="13" a="1"/>
  <c r="HW3" i="13" s="1"/>
  <c r="IV3" i="13" s="1"/>
  <c r="HV3" i="13"/>
  <c r="IU3" i="13" s="1"/>
  <c r="HV3" i="13" a="1"/>
  <c r="HU3" i="13" a="1"/>
  <c r="HU3" i="13" s="1"/>
  <c r="IT3" i="13" s="1"/>
  <c r="HT3" i="13" a="1"/>
  <c r="HT3" i="13" s="1"/>
  <c r="IS3" i="13" s="1"/>
  <c r="HS3" i="13" a="1"/>
  <c r="HS3" i="13" s="1"/>
  <c r="IR3" i="13" s="1"/>
  <c r="HR3" i="13"/>
  <c r="IQ3" i="13" s="1"/>
  <c r="HR3" i="13" a="1"/>
  <c r="HQ3" i="13" a="1"/>
  <c r="HQ3" i="13" s="1"/>
  <c r="IP3" i="13" s="1"/>
  <c r="HP3" i="13"/>
  <c r="IO3" i="13" s="1"/>
  <c r="HP3" i="13" a="1"/>
  <c r="HL3" i="13"/>
  <c r="HJ3" i="13"/>
  <c r="HH3" i="13"/>
  <c r="HB3" i="13"/>
  <c r="HA3" i="13"/>
  <c r="GZ3" i="13"/>
  <c r="GY3" i="13"/>
  <c r="GX3" i="13"/>
  <c r="GW3" i="13"/>
  <c r="GV3" i="13"/>
  <c r="GU3" i="13"/>
  <c r="GT3" i="13"/>
  <c r="GP3" i="13"/>
  <c r="GK3" i="13"/>
  <c r="GI3" i="13"/>
  <c r="GH3" i="13"/>
  <c r="GG3" i="13"/>
  <c r="GF3" i="13"/>
  <c r="GE3" i="13"/>
  <c r="GB3" i="13"/>
  <c r="GA3" i="13"/>
  <c r="FZ3" i="13"/>
  <c r="FY3" i="13"/>
  <c r="FW3" i="13"/>
  <c r="FV3" i="13"/>
  <c r="FU3" i="13"/>
  <c r="FT3" i="13"/>
  <c r="FS3" i="13"/>
  <c r="FR3" i="13"/>
  <c r="FQ3" i="13"/>
  <c r="FJ3" i="13"/>
  <c r="FI3" i="13"/>
  <c r="FH3" i="13"/>
  <c r="FG3" i="13"/>
  <c r="FO3" i="13" s="1"/>
  <c r="FF3" i="13"/>
  <c r="FE3" i="13"/>
  <c r="FD3" i="13"/>
  <c r="FB3" i="13"/>
  <c r="FA3" i="13"/>
  <c r="EZ3" i="13"/>
  <c r="EY3" i="13"/>
  <c r="EX3" i="13"/>
  <c r="EW3" i="13"/>
  <c r="EV3" i="13"/>
  <c r="EU3" i="13"/>
  <c r="ET3" i="13"/>
  <c r="ES3" i="13"/>
  <c r="ER3" i="13"/>
  <c r="EQ3" i="13"/>
  <c r="EP3" i="13"/>
  <c r="EO3" i="13"/>
  <c r="EN3" i="13"/>
  <c r="EM3" i="13"/>
  <c r="EL3" i="13"/>
  <c r="EK3" i="13"/>
  <c r="EJ3" i="13"/>
  <c r="EI3" i="13"/>
  <c r="EH3" i="13"/>
  <c r="EG3" i="13"/>
  <c r="EF3" i="13"/>
  <c r="EE3" i="13"/>
  <c r="ED3" i="13"/>
  <c r="EC3" i="13"/>
  <c r="EB3" i="13"/>
  <c r="EA3" i="13"/>
  <c r="DZ3" i="13"/>
  <c r="DY3" i="13"/>
  <c r="DU3" i="13"/>
  <c r="DT3" i="13"/>
  <c r="DS3" i="13"/>
  <c r="DR3" i="13"/>
  <c r="DQ3" i="13"/>
  <c r="DP3" i="13"/>
  <c r="DO3" i="13"/>
  <c r="DN3" i="13"/>
  <c r="DM3" i="13" a="1"/>
  <c r="DM3" i="13" s="1"/>
  <c r="DK3" i="13"/>
  <c r="DJ3" i="13"/>
  <c r="DI3" i="13"/>
  <c r="DH3" i="13"/>
  <c r="DG3" i="13"/>
  <c r="DF3" i="13"/>
  <c r="DE3" i="13"/>
  <c r="DD3" i="13"/>
  <c r="DB3" i="13"/>
  <c r="DA3" i="13"/>
  <c r="CV3" i="13"/>
  <c r="CU3" i="13"/>
  <c r="CT3" i="13"/>
  <c r="CS3" i="13"/>
  <c r="GN3" i="13" s="1"/>
  <c r="CR3" i="13"/>
  <c r="GM3" i="13" s="1"/>
  <c r="CQ3" i="13"/>
  <c r="GL3" i="13" s="1"/>
  <c r="CP3" i="13"/>
  <c r="GJ3" i="13" s="1"/>
  <c r="CO3" i="13"/>
  <c r="CN3" i="13"/>
  <c r="CM3" i="13"/>
  <c r="DX3" i="13" s="1"/>
  <c r="CL3" i="13"/>
  <c r="DW3" i="13" s="1"/>
  <c r="CK3" i="13"/>
  <c r="CZ3" i="13" s="1"/>
  <c r="CJ3" i="13"/>
  <c r="CY3" i="13" s="1"/>
  <c r="CG3" i="13" a="1"/>
  <c r="CG3" i="13" s="1"/>
  <c r="IN3" i="13" s="1"/>
  <c r="IX3" i="13" s="1"/>
  <c r="AW3" i="13"/>
  <c r="AV3" i="13"/>
  <c r="J3" i="13"/>
  <c r="HI3" i="13" s="1"/>
  <c r="G3" i="13"/>
  <c r="IU4" i="18"/>
  <c r="IT4" i="18"/>
  <c r="IQ4" i="18"/>
  <c r="HX4" i="18" a="1"/>
  <c r="HX4" i="18" s="1"/>
  <c r="IW4" i="18" s="1"/>
  <c r="HW4" i="18"/>
  <c r="IV4" i="18" s="1"/>
  <c r="HW4" i="18" a="1"/>
  <c r="HV4" i="18" a="1"/>
  <c r="HV4" i="18" s="1"/>
  <c r="HU4" i="18" a="1"/>
  <c r="HU4" i="18" s="1"/>
  <c r="HT4" i="18"/>
  <c r="IS4" i="18" s="1"/>
  <c r="HT4" i="18" a="1"/>
  <c r="HS4" i="18" a="1"/>
  <c r="HS4" i="18" s="1"/>
  <c r="IR4" i="18" s="1"/>
  <c r="HR4" i="18" a="1"/>
  <c r="HR4" i="18" s="1"/>
  <c r="HQ4" i="18" a="1"/>
  <c r="HQ4" i="18" s="1"/>
  <c r="IP4" i="18" s="1"/>
  <c r="HP4" i="18" a="1"/>
  <c r="HP4" i="18" s="1"/>
  <c r="IO4" i="18" s="1"/>
  <c r="HL4" i="18"/>
  <c r="HJ4" i="18"/>
  <c r="HH4" i="18"/>
  <c r="HB4" i="18"/>
  <c r="HA4" i="18"/>
  <c r="GZ4" i="18"/>
  <c r="GY4" i="18"/>
  <c r="GX4" i="18"/>
  <c r="GW4" i="18"/>
  <c r="GV4" i="18"/>
  <c r="GU4" i="18"/>
  <c r="GT4" i="18"/>
  <c r="GP4" i="18"/>
  <c r="GN4" i="18"/>
  <c r="GM4" i="18"/>
  <c r="GI4" i="18"/>
  <c r="GH4" i="18"/>
  <c r="GG4" i="18"/>
  <c r="GF4" i="18"/>
  <c r="GE4" i="18"/>
  <c r="GB4" i="18"/>
  <c r="GA4" i="18"/>
  <c r="FZ4" i="18"/>
  <c r="FY4" i="18"/>
  <c r="FW4" i="18"/>
  <c r="FV4" i="18"/>
  <c r="FU4" i="18"/>
  <c r="FT4" i="18"/>
  <c r="FS4" i="18"/>
  <c r="FR4" i="18"/>
  <c r="FQ4" i="18"/>
  <c r="FP4" i="18"/>
  <c r="FL4" i="18"/>
  <c r="FK4" i="18"/>
  <c r="FJ4" i="18"/>
  <c r="FM4" i="18" s="1"/>
  <c r="FI4" i="18"/>
  <c r="FH4" i="18"/>
  <c r="FG4" i="18"/>
  <c r="FF4" i="18"/>
  <c r="FE4" i="18"/>
  <c r="FD4" i="18"/>
  <c r="FB4" i="18"/>
  <c r="FA4" i="18"/>
  <c r="EZ4" i="18"/>
  <c r="EY4" i="18"/>
  <c r="EX4" i="18"/>
  <c r="EW4" i="18"/>
  <c r="EV4" i="18"/>
  <c r="EU4" i="18"/>
  <c r="ET4" i="18"/>
  <c r="ES4" i="18"/>
  <c r="ER4" i="18"/>
  <c r="EQ4" i="18"/>
  <c r="EP4" i="18"/>
  <c r="EO4" i="18"/>
  <c r="EN4" i="18"/>
  <c r="EM4" i="18"/>
  <c r="EL4" i="18"/>
  <c r="EK4" i="18"/>
  <c r="EJ4" i="18"/>
  <c r="EI4" i="18"/>
  <c r="EH4" i="18"/>
  <c r="EG4" i="18"/>
  <c r="EF4" i="18"/>
  <c r="EE4" i="18"/>
  <c r="ED4" i="18"/>
  <c r="EC4" i="18"/>
  <c r="EB4" i="18"/>
  <c r="EA4" i="18"/>
  <c r="DZ4" i="18"/>
  <c r="DY4" i="18"/>
  <c r="DU4" i="18"/>
  <c r="DT4" i="18"/>
  <c r="DS4" i="18"/>
  <c r="DR4" i="18"/>
  <c r="DQ4" i="18"/>
  <c r="DP4" i="18"/>
  <c r="DO4" i="18"/>
  <c r="DN4" i="18"/>
  <c r="DK4" i="18"/>
  <c r="DJ4" i="18"/>
  <c r="DI4" i="18"/>
  <c r="DH4" i="18"/>
  <c r="DG4" i="18"/>
  <c r="DF4" i="18"/>
  <c r="DE4" i="18"/>
  <c r="DD4" i="18"/>
  <c r="DB4" i="18"/>
  <c r="DA4" i="18"/>
  <c r="CV4" i="18"/>
  <c r="CU4" i="18"/>
  <c r="CT4" i="18"/>
  <c r="CS4" i="18"/>
  <c r="CR4" i="18"/>
  <c r="CQ4" i="18"/>
  <c r="GL4" i="18" s="1"/>
  <c r="CP4" i="18"/>
  <c r="GJ4" i="18" s="1"/>
  <c r="GK4" i="18" s="1"/>
  <c r="CO4" i="18"/>
  <c r="CN4" i="18"/>
  <c r="CM4" i="18"/>
  <c r="DX4" i="18" s="1"/>
  <c r="CL4" i="18"/>
  <c r="DW4" i="18" s="1"/>
  <c r="CG4" i="18" a="1"/>
  <c r="CG4" i="18" s="1"/>
  <c r="AW4" i="18"/>
  <c r="AV4" i="18"/>
  <c r="J4" i="18"/>
  <c r="HI4" i="18" s="1"/>
  <c r="G4" i="18"/>
  <c r="HX3" i="18"/>
  <c r="IW3" i="18" s="1"/>
  <c r="HX3" i="18" a="1"/>
  <c r="HW3" i="18"/>
  <c r="IV3" i="18" s="1"/>
  <c r="HW3" i="18" a="1"/>
  <c r="HV3" i="18" a="1"/>
  <c r="HV3" i="18" s="1"/>
  <c r="IU3" i="18" s="1"/>
  <c r="HU3" i="18" a="1"/>
  <c r="HU3" i="18" s="1"/>
  <c r="IT3" i="18" s="1"/>
  <c r="HT3" i="18" a="1"/>
  <c r="HT3" i="18" s="1"/>
  <c r="IS3" i="18" s="1"/>
  <c r="HS3" i="18"/>
  <c r="IR3" i="18" s="1"/>
  <c r="HS3" i="18" a="1"/>
  <c r="HR3" i="18"/>
  <c r="IQ3" i="18" s="1"/>
  <c r="HR3" i="18" a="1"/>
  <c r="HQ3" i="18" a="1"/>
  <c r="HQ3" i="18" s="1"/>
  <c r="IP3" i="18" s="1"/>
  <c r="HP3" i="18" a="1"/>
  <c r="HP3" i="18" s="1"/>
  <c r="IO3" i="18" s="1"/>
  <c r="HL3" i="18"/>
  <c r="HJ3" i="18"/>
  <c r="HH3" i="18"/>
  <c r="HB3" i="18"/>
  <c r="HA3" i="18"/>
  <c r="GZ3" i="18"/>
  <c r="GY3" i="18"/>
  <c r="GX3" i="18"/>
  <c r="GW3" i="18"/>
  <c r="HC3" i="18" s="1"/>
  <c r="GV3" i="18"/>
  <c r="GU3" i="18"/>
  <c r="GT3" i="18"/>
  <c r="GP3" i="18"/>
  <c r="GN3" i="18"/>
  <c r="GM3" i="18"/>
  <c r="GK3" i="18"/>
  <c r="GI3" i="18"/>
  <c r="GH3" i="18"/>
  <c r="GG3" i="18"/>
  <c r="GF3" i="18"/>
  <c r="GE3" i="18"/>
  <c r="GB3" i="18"/>
  <c r="GA3" i="18"/>
  <c r="FZ3" i="18"/>
  <c r="FY3" i="18"/>
  <c r="FW3" i="18"/>
  <c r="FV3" i="18"/>
  <c r="FU3" i="18"/>
  <c r="FT3" i="18"/>
  <c r="FS3" i="18"/>
  <c r="FR3" i="18"/>
  <c r="FQ3" i="18"/>
  <c r="FO3" i="18"/>
  <c r="FM3" i="18"/>
  <c r="FJ3" i="18"/>
  <c r="FI3" i="18"/>
  <c r="FH3" i="18"/>
  <c r="FG3" i="18"/>
  <c r="FF3" i="18"/>
  <c r="FE3" i="18"/>
  <c r="FD3" i="18"/>
  <c r="FB3" i="18"/>
  <c r="FA3" i="18"/>
  <c r="EZ3" i="18"/>
  <c r="EY3" i="18"/>
  <c r="EX3" i="18"/>
  <c r="EW3" i="18"/>
  <c r="EV3" i="18"/>
  <c r="EU3" i="18"/>
  <c r="ET3" i="18"/>
  <c r="ES3" i="18"/>
  <c r="ER3" i="18"/>
  <c r="EQ3" i="18"/>
  <c r="EP3" i="18"/>
  <c r="EO3" i="18"/>
  <c r="EN3" i="18"/>
  <c r="EM3" i="18"/>
  <c r="EL3" i="18"/>
  <c r="EK3" i="18"/>
  <c r="EJ3" i="18"/>
  <c r="EI3" i="18"/>
  <c r="EH3" i="18"/>
  <c r="EG3" i="18"/>
  <c r="EF3" i="18"/>
  <c r="EE3" i="18"/>
  <c r="ED3" i="18"/>
  <c r="EC3" i="18"/>
  <c r="EB3" i="18"/>
  <c r="EA3" i="18"/>
  <c r="DZ3" i="18"/>
  <c r="DY3" i="18"/>
  <c r="DU3" i="18"/>
  <c r="DT3" i="18"/>
  <c r="DS3" i="18"/>
  <c r="DR3" i="18"/>
  <c r="DQ3" i="18"/>
  <c r="DP3" i="18"/>
  <c r="DO3" i="18"/>
  <c r="DN3" i="18"/>
  <c r="DM3" i="18"/>
  <c r="DM3" i="18" a="1"/>
  <c r="DK3" i="18"/>
  <c r="DJ3" i="18"/>
  <c r="DI3" i="18"/>
  <c r="DH3" i="18"/>
  <c r="DG3" i="18"/>
  <c r="DF3" i="18"/>
  <c r="DE3" i="18"/>
  <c r="DD3" i="18"/>
  <c r="DB3" i="18"/>
  <c r="DA3" i="18"/>
  <c r="CZ3" i="18"/>
  <c r="CW3" i="18"/>
  <c r="CV3" i="18"/>
  <c r="CU3" i="18"/>
  <c r="CT3" i="18"/>
  <c r="CS3" i="18"/>
  <c r="CR3" i="18"/>
  <c r="CQ3" i="18"/>
  <c r="GL3" i="18" s="1"/>
  <c r="CP3" i="18"/>
  <c r="GJ3" i="18" s="1"/>
  <c r="CO3" i="18"/>
  <c r="CN3" i="18"/>
  <c r="CM3" i="18"/>
  <c r="DX3" i="18" s="1"/>
  <c r="CL3" i="18"/>
  <c r="DW3" i="18" s="1"/>
  <c r="CK3" i="18"/>
  <c r="CH3" i="18"/>
  <c r="CG3" i="18" a="1"/>
  <c r="CG3" i="18" s="1"/>
  <c r="AW3" i="18"/>
  <c r="AV3" i="18"/>
  <c r="J3" i="18"/>
  <c r="HI3" i="18" s="1"/>
  <c r="G3" i="18"/>
  <c r="IS7" i="12"/>
  <c r="IR7" i="12"/>
  <c r="IQ7" i="12"/>
  <c r="IO7" i="12"/>
  <c r="IN7" i="12"/>
  <c r="IX7" i="12" s="1"/>
  <c r="HX7" i="12" a="1"/>
  <c r="HX7" i="12" s="1"/>
  <c r="IW7" i="12" s="1"/>
  <c r="HW7" i="12"/>
  <c r="IV7" i="12" s="1"/>
  <c r="HW7" i="12" a="1"/>
  <c r="HV7" i="12" a="1"/>
  <c r="HV7" i="12" s="1"/>
  <c r="IU7" i="12" s="1"/>
  <c r="HU7" i="12" a="1"/>
  <c r="HU7" i="12" s="1"/>
  <c r="IT7" i="12" s="1"/>
  <c r="HT7" i="12"/>
  <c r="HT7" i="12" a="1"/>
  <c r="HS7" i="12" a="1"/>
  <c r="HS7" i="12" s="1"/>
  <c r="HR7" i="12" a="1"/>
  <c r="HR7" i="12" s="1"/>
  <c r="HQ7" i="12" a="1"/>
  <c r="HQ7" i="12" s="1"/>
  <c r="IP7" i="12" s="1"/>
  <c r="HP7" i="12"/>
  <c r="HP7" i="12" a="1"/>
  <c r="HL7" i="12"/>
  <c r="HJ7" i="12"/>
  <c r="HH7" i="12"/>
  <c r="HB7" i="12"/>
  <c r="HA7" i="12"/>
  <c r="GZ7" i="12"/>
  <c r="GY7" i="12"/>
  <c r="GX7" i="12"/>
  <c r="GW7" i="12"/>
  <c r="GV7" i="12"/>
  <c r="GU7" i="12"/>
  <c r="GT7" i="12"/>
  <c r="GP7" i="12"/>
  <c r="GN7" i="12"/>
  <c r="GM7" i="12"/>
  <c r="GK7" i="12"/>
  <c r="GJ7" i="12"/>
  <c r="GI7" i="12"/>
  <c r="GH7" i="12"/>
  <c r="GG7" i="12"/>
  <c r="GF7" i="12"/>
  <c r="GE7" i="12"/>
  <c r="GB7" i="12"/>
  <c r="GA7" i="12"/>
  <c r="FZ7" i="12"/>
  <c r="FY7" i="12"/>
  <c r="FW7" i="12"/>
  <c r="FV7" i="12"/>
  <c r="FU7" i="12"/>
  <c r="FT7" i="12"/>
  <c r="FS7" i="12"/>
  <c r="FR7" i="12"/>
  <c r="FQ7" i="12"/>
  <c r="FK7" i="12"/>
  <c r="FJ7" i="12"/>
  <c r="FI7" i="12"/>
  <c r="FH7" i="12"/>
  <c r="FG7" i="12"/>
  <c r="FF7" i="12"/>
  <c r="FP7" i="12" s="1"/>
  <c r="FE7" i="12"/>
  <c r="FD7" i="12"/>
  <c r="FB7" i="12"/>
  <c r="FA7" i="12"/>
  <c r="EZ7" i="12"/>
  <c r="EY7" i="12"/>
  <c r="EX7" i="12"/>
  <c r="EW7" i="12"/>
  <c r="EV7" i="12"/>
  <c r="EU7" i="12"/>
  <c r="ET7" i="12"/>
  <c r="ES7" i="12"/>
  <c r="ER7" i="12"/>
  <c r="EQ7" i="12"/>
  <c r="EP7" i="12"/>
  <c r="EO7" i="12"/>
  <c r="EN7" i="12"/>
  <c r="EM7" i="12"/>
  <c r="EL7" i="12"/>
  <c r="EK7" i="12"/>
  <c r="EJ7" i="12"/>
  <c r="EI7" i="12"/>
  <c r="EH7" i="12"/>
  <c r="EG7" i="12"/>
  <c r="EF7" i="12"/>
  <c r="EE7" i="12"/>
  <c r="ED7" i="12"/>
  <c r="EC7" i="12"/>
  <c r="EB7" i="12"/>
  <c r="EA7" i="12"/>
  <c r="DZ7" i="12"/>
  <c r="DY7" i="12"/>
  <c r="DU7" i="12"/>
  <c r="DT7" i="12"/>
  <c r="DS7" i="12"/>
  <c r="DR7" i="12"/>
  <c r="DQ7" i="12"/>
  <c r="DP7" i="12"/>
  <c r="DO7" i="12"/>
  <c r="DN7" i="12"/>
  <c r="DM7" i="12" a="1"/>
  <c r="DM7" i="12" s="1"/>
  <c r="DK7" i="12"/>
  <c r="DJ7" i="12"/>
  <c r="DI7" i="12"/>
  <c r="DH7" i="12"/>
  <c r="DG7" i="12"/>
  <c r="DF7" i="12"/>
  <c r="DE7" i="12"/>
  <c r="DD7" i="12"/>
  <c r="DB7" i="12"/>
  <c r="DA7" i="12"/>
  <c r="CW7" i="12"/>
  <c r="CV7" i="12"/>
  <c r="CU7" i="12"/>
  <c r="CT7" i="12"/>
  <c r="CS7" i="12"/>
  <c r="CR7" i="12"/>
  <c r="CQ7" i="12"/>
  <c r="GL7" i="12" s="1"/>
  <c r="CP7" i="12"/>
  <c r="CO7" i="12"/>
  <c r="CN7" i="12"/>
  <c r="CM7" i="12"/>
  <c r="DX7" i="12" s="1"/>
  <c r="CL7" i="12"/>
  <c r="DW7" i="12" s="1"/>
  <c r="CK7" i="12"/>
  <c r="CZ7" i="12" s="1"/>
  <c r="CJ7" i="12"/>
  <c r="CY7" i="12" s="1"/>
  <c r="CH7" i="12"/>
  <c r="CG7" i="12" a="1"/>
  <c r="CG7" i="12" s="1"/>
  <c r="AW7" i="12"/>
  <c r="AV7" i="12"/>
  <c r="J7" i="12"/>
  <c r="HI7" i="12" s="1"/>
  <c r="G7" i="12"/>
  <c r="IV10" i="11"/>
  <c r="IP10" i="11"/>
  <c r="HX10" i="11"/>
  <c r="IW10" i="11" s="1"/>
  <c r="HX10" i="11" a="1"/>
  <c r="HW10" i="11" a="1"/>
  <c r="HW10" i="11" s="1"/>
  <c r="HV10" i="11" a="1"/>
  <c r="HV10" i="11" s="1"/>
  <c r="IU10" i="11" s="1"/>
  <c r="HU10" i="11" a="1"/>
  <c r="HU10" i="11" s="1"/>
  <c r="IT10" i="11" s="1"/>
  <c r="HT10" i="11" a="1"/>
  <c r="HT10" i="11" s="1"/>
  <c r="IS10" i="11" s="1"/>
  <c r="HS10" i="11" a="1"/>
  <c r="HS10" i="11" s="1"/>
  <c r="IR10" i="11" s="1"/>
  <c r="HR10" i="11" a="1"/>
  <c r="HR10" i="11" s="1"/>
  <c r="IQ10" i="11" s="1"/>
  <c r="HQ10" i="11"/>
  <c r="HQ10" i="11" a="1"/>
  <c r="HP10" i="11"/>
  <c r="IO10" i="11" s="1"/>
  <c r="HP10" i="11" a="1"/>
  <c r="HL10" i="11"/>
  <c r="HJ10" i="11"/>
  <c r="HH10" i="11"/>
  <c r="HI10" i="11" s="1"/>
  <c r="HB10" i="11"/>
  <c r="HA10" i="11"/>
  <c r="GZ10" i="11"/>
  <c r="GY10" i="11"/>
  <c r="GX10" i="11"/>
  <c r="GW10" i="11"/>
  <c r="GV10" i="11"/>
  <c r="GU10" i="11"/>
  <c r="GT10" i="11"/>
  <c r="GP10" i="11"/>
  <c r="GM10" i="11"/>
  <c r="GK10" i="11"/>
  <c r="GI10" i="11"/>
  <c r="GH10" i="11"/>
  <c r="GG10" i="11"/>
  <c r="GF10" i="11"/>
  <c r="GE10" i="11"/>
  <c r="GB10" i="11"/>
  <c r="GA10" i="11"/>
  <c r="FZ10" i="11"/>
  <c r="FY10" i="11"/>
  <c r="FW10" i="11"/>
  <c r="FV10" i="11"/>
  <c r="FU10" i="11"/>
  <c r="FT10" i="11"/>
  <c r="FS10" i="11"/>
  <c r="FR10" i="11"/>
  <c r="FQ10" i="11"/>
  <c r="FO10" i="11"/>
  <c r="FN10" i="11"/>
  <c r="FL10" i="11"/>
  <c r="FJ10" i="11"/>
  <c r="FM10" i="11" s="1"/>
  <c r="FI10" i="11"/>
  <c r="FH10" i="11"/>
  <c r="FG10" i="11"/>
  <c r="FF10" i="11"/>
  <c r="FP10" i="11" s="1"/>
  <c r="FE10" i="11"/>
  <c r="FD10" i="11"/>
  <c r="FB10" i="11"/>
  <c r="FA10" i="11"/>
  <c r="EZ10" i="11"/>
  <c r="EY10" i="11"/>
  <c r="EX10" i="11"/>
  <c r="EW10" i="11"/>
  <c r="EV10" i="11"/>
  <c r="EU10" i="11"/>
  <c r="ET10" i="11"/>
  <c r="ES10" i="11"/>
  <c r="ER10" i="11"/>
  <c r="EQ10" i="11"/>
  <c r="EP10" i="11"/>
  <c r="EO10" i="11"/>
  <c r="EN10" i="11"/>
  <c r="EM10" i="11"/>
  <c r="EL10" i="11"/>
  <c r="EK10" i="11"/>
  <c r="EJ10" i="11"/>
  <c r="EI10" i="11"/>
  <c r="EH10" i="11"/>
  <c r="EG10" i="11"/>
  <c r="EF10" i="11"/>
  <c r="EE10" i="11"/>
  <c r="ED10" i="11"/>
  <c r="EC10" i="11"/>
  <c r="EB10" i="11"/>
  <c r="EA10" i="11"/>
  <c r="DZ10" i="11"/>
  <c r="DY10" i="11"/>
  <c r="DU10" i="11"/>
  <c r="DT10" i="11"/>
  <c r="DS10" i="11"/>
  <c r="DR10" i="11"/>
  <c r="DQ10" i="11"/>
  <c r="DP10" i="11"/>
  <c r="DO10" i="11"/>
  <c r="DN10" i="11"/>
  <c r="DK10" i="11"/>
  <c r="DJ10" i="11"/>
  <c r="DI10" i="11"/>
  <c r="DH10" i="11"/>
  <c r="DG10" i="11"/>
  <c r="DF10" i="11"/>
  <c r="DE10" i="11"/>
  <c r="DD10" i="11"/>
  <c r="DB10" i="11"/>
  <c r="DA10" i="11"/>
  <c r="CV10" i="11"/>
  <c r="CU10" i="11"/>
  <c r="CT10" i="11"/>
  <c r="CS10" i="11"/>
  <c r="GN10" i="11" s="1"/>
  <c r="CR10" i="11"/>
  <c r="CQ10" i="11"/>
  <c r="GL10" i="11" s="1"/>
  <c r="CP10" i="11"/>
  <c r="GJ10" i="11" s="1"/>
  <c r="CO10" i="11"/>
  <c r="CN10" i="11"/>
  <c r="CM10" i="11"/>
  <c r="DX10" i="11" s="1"/>
  <c r="CL10" i="11"/>
  <c r="DW10" i="11" s="1"/>
  <c r="CI10" i="11"/>
  <c r="CX10" i="11" s="1"/>
  <c r="CG10" i="11" a="1"/>
  <c r="CG10" i="11" s="1"/>
  <c r="AW10" i="11"/>
  <c r="AV10" i="11"/>
  <c r="J10" i="11"/>
  <c r="G10" i="11"/>
  <c r="IW3" i="10"/>
  <c r="IV3" i="10"/>
  <c r="IT3" i="10"/>
  <c r="IR3" i="10"/>
  <c r="IQ3" i="10"/>
  <c r="IP3" i="10"/>
  <c r="IO3" i="10"/>
  <c r="IN3" i="10"/>
  <c r="IX3" i="10" s="1"/>
  <c r="HX3" i="10" a="1"/>
  <c r="HX3" i="10" s="1"/>
  <c r="HW3" i="10" a="1"/>
  <c r="HW3" i="10" s="1"/>
  <c r="HV3" i="10" a="1"/>
  <c r="HV3" i="10" s="1"/>
  <c r="IU3" i="10" s="1"/>
  <c r="HU3" i="10"/>
  <c r="HU3" i="10" a="1"/>
  <c r="HT3" i="10" a="1"/>
  <c r="HT3" i="10" s="1"/>
  <c r="IS3" i="10" s="1"/>
  <c r="HS3" i="10" a="1"/>
  <c r="HS3" i="10" s="1"/>
  <c r="HR3" i="10" a="1"/>
  <c r="HR3" i="10" s="1"/>
  <c r="HQ3" i="10" a="1"/>
  <c r="HQ3" i="10" s="1"/>
  <c r="HP3" i="10"/>
  <c r="HP3" i="10" a="1"/>
  <c r="HL3" i="10"/>
  <c r="HJ3" i="10"/>
  <c r="HH3" i="10"/>
  <c r="HC3" i="10"/>
  <c r="HB3" i="10"/>
  <c r="HA3" i="10"/>
  <c r="GZ3" i="10"/>
  <c r="GY3" i="10"/>
  <c r="GX3" i="10"/>
  <c r="GW3" i="10"/>
  <c r="GV3" i="10"/>
  <c r="GU3" i="10"/>
  <c r="GT3" i="10"/>
  <c r="GP3" i="10"/>
  <c r="GN3" i="10"/>
  <c r="GM3" i="10"/>
  <c r="GI3" i="10"/>
  <c r="GH3" i="10"/>
  <c r="GG3" i="10"/>
  <c r="GF3" i="10"/>
  <c r="GE3" i="10"/>
  <c r="GB3" i="10"/>
  <c r="GA3" i="10"/>
  <c r="FZ3" i="10"/>
  <c r="FY3" i="10"/>
  <c r="FW3" i="10"/>
  <c r="FV3" i="10"/>
  <c r="FU3" i="10"/>
  <c r="FT3" i="10"/>
  <c r="FS3" i="10"/>
  <c r="FR3" i="10"/>
  <c r="FQ3" i="10"/>
  <c r="FP3" i="10"/>
  <c r="FM3" i="10"/>
  <c r="FK3" i="10"/>
  <c r="FJ3" i="10"/>
  <c r="FI3" i="10"/>
  <c r="FL3" i="10" s="1"/>
  <c r="FH3" i="10"/>
  <c r="FG3" i="10"/>
  <c r="FF3" i="10"/>
  <c r="FE3" i="10"/>
  <c r="FD3" i="10"/>
  <c r="FB3" i="10"/>
  <c r="FA3" i="10"/>
  <c r="EZ3" i="10"/>
  <c r="EY3" i="10"/>
  <c r="EX3" i="10"/>
  <c r="EW3" i="10"/>
  <c r="EV3" i="10"/>
  <c r="EU3" i="10"/>
  <c r="ET3" i="10"/>
  <c r="ES3" i="10"/>
  <c r="ER3" i="10"/>
  <c r="EQ3" i="10"/>
  <c r="EP3" i="10"/>
  <c r="EO3" i="10"/>
  <c r="EN3" i="10"/>
  <c r="EM3" i="10"/>
  <c r="EL3" i="10"/>
  <c r="EK3" i="10"/>
  <c r="EJ3" i="10"/>
  <c r="EI3" i="10"/>
  <c r="EH3" i="10"/>
  <c r="EG3" i="10"/>
  <c r="EF3" i="10"/>
  <c r="EE3" i="10"/>
  <c r="ED3" i="10"/>
  <c r="EC3" i="10"/>
  <c r="EB3" i="10"/>
  <c r="EA3" i="10"/>
  <c r="DZ3" i="10"/>
  <c r="DX3" i="10"/>
  <c r="DW3" i="10"/>
  <c r="DU3" i="10"/>
  <c r="DT3" i="10"/>
  <c r="DS3" i="10"/>
  <c r="DR3" i="10"/>
  <c r="DQ3" i="10"/>
  <c r="DP3" i="10"/>
  <c r="DO3" i="10"/>
  <c r="DN3" i="10"/>
  <c r="DL3" i="10"/>
  <c r="DK3" i="10"/>
  <c r="DJ3" i="10"/>
  <c r="DI3" i="10"/>
  <c r="DH3" i="10"/>
  <c r="DG3" i="10"/>
  <c r="DF3" i="10"/>
  <c r="DE3" i="10"/>
  <c r="DD3" i="10"/>
  <c r="DB3" i="10"/>
  <c r="DA3" i="10"/>
  <c r="CY3" i="10"/>
  <c r="CV3" i="10"/>
  <c r="CU3" i="10"/>
  <c r="CT3" i="10"/>
  <c r="CS3" i="10"/>
  <c r="CR3" i="10"/>
  <c r="CQ3" i="10"/>
  <c r="GL3" i="10" s="1"/>
  <c r="CP3" i="10"/>
  <c r="GJ3" i="10" s="1"/>
  <c r="GK3" i="10" s="1"/>
  <c r="CO3" i="10"/>
  <c r="CN3" i="10"/>
  <c r="DY3" i="10" s="1"/>
  <c r="CM3" i="10"/>
  <c r="CL3" i="10"/>
  <c r="CJ3" i="10"/>
  <c r="CI3" i="10"/>
  <c r="CX3" i="10" s="1"/>
  <c r="CH3" i="10"/>
  <c r="CW3" i="10" s="1"/>
  <c r="CG3" i="10" a="1"/>
  <c r="CG3" i="10" s="1"/>
  <c r="AW3" i="10"/>
  <c r="AV3" i="10"/>
  <c r="J3" i="10"/>
  <c r="G3" i="10"/>
  <c r="IU6" i="7"/>
  <c r="IT6" i="7"/>
  <c r="IQ6" i="7"/>
  <c r="HX6" i="7" a="1"/>
  <c r="HX6" i="7" s="1"/>
  <c r="IW6" i="7" s="1"/>
  <c r="HW6" i="7"/>
  <c r="IV6" i="7" s="1"/>
  <c r="HW6" i="7" a="1"/>
  <c r="HV6" i="7" a="1"/>
  <c r="HV6" i="7" s="1"/>
  <c r="HU6" i="7" a="1"/>
  <c r="HU6" i="7" s="1"/>
  <c r="HT6" i="7" a="1"/>
  <c r="HT6" i="7" s="1"/>
  <c r="IS6" i="7" s="1"/>
  <c r="HS6" i="7"/>
  <c r="IR6" i="7" s="1"/>
  <c r="HS6" i="7" a="1"/>
  <c r="HR6" i="7" a="1"/>
  <c r="HR6" i="7" s="1"/>
  <c r="HQ6" i="7" a="1"/>
  <c r="HQ6" i="7" s="1"/>
  <c r="IP6" i="7" s="1"/>
  <c r="HP6" i="7" a="1"/>
  <c r="HP6" i="7" s="1"/>
  <c r="IO6" i="7" s="1"/>
  <c r="HL6" i="7"/>
  <c r="HJ6" i="7"/>
  <c r="HH6" i="7"/>
  <c r="HB6" i="7"/>
  <c r="HA6" i="7"/>
  <c r="GZ6" i="7"/>
  <c r="GY6" i="7"/>
  <c r="GX6" i="7"/>
  <c r="GW6" i="7"/>
  <c r="GV6" i="7"/>
  <c r="GU6" i="7"/>
  <c r="HC6" i="7" s="1"/>
  <c r="GT6" i="7"/>
  <c r="GP6" i="7"/>
  <c r="GN6" i="7"/>
  <c r="GI6" i="7"/>
  <c r="GH6" i="7"/>
  <c r="GG6" i="7"/>
  <c r="GF6" i="7"/>
  <c r="GE6" i="7"/>
  <c r="GB6" i="7"/>
  <c r="GA6" i="7"/>
  <c r="FZ6" i="7"/>
  <c r="FY6" i="7"/>
  <c r="FW6" i="7"/>
  <c r="FV6" i="7"/>
  <c r="FU6" i="7"/>
  <c r="FT6" i="7"/>
  <c r="FS6" i="7"/>
  <c r="FR6" i="7"/>
  <c r="FQ6" i="7"/>
  <c r="FO6" i="7"/>
  <c r="FJ6" i="7"/>
  <c r="FI6" i="7"/>
  <c r="FH6" i="7"/>
  <c r="FG6" i="7"/>
  <c r="FF6" i="7"/>
  <c r="FE6" i="7"/>
  <c r="FD6" i="7"/>
  <c r="FB6" i="7"/>
  <c r="FA6" i="7"/>
  <c r="EZ6" i="7"/>
  <c r="EY6" i="7"/>
  <c r="EX6" i="7"/>
  <c r="EW6" i="7"/>
  <c r="EV6" i="7"/>
  <c r="EU6" i="7"/>
  <c r="ET6" i="7"/>
  <c r="ES6" i="7"/>
  <c r="ER6" i="7"/>
  <c r="EQ6" i="7"/>
  <c r="EP6" i="7"/>
  <c r="EO6" i="7"/>
  <c r="EN6" i="7"/>
  <c r="EM6" i="7"/>
  <c r="EL6" i="7"/>
  <c r="EK6" i="7"/>
  <c r="EJ6" i="7"/>
  <c r="EI6" i="7"/>
  <c r="EH6" i="7"/>
  <c r="EG6" i="7"/>
  <c r="EF6" i="7"/>
  <c r="EE6" i="7"/>
  <c r="ED6" i="7"/>
  <c r="EC6" i="7"/>
  <c r="EB6" i="7"/>
  <c r="EA6" i="7"/>
  <c r="DU6" i="7"/>
  <c r="DT6" i="7"/>
  <c r="DS6" i="7"/>
  <c r="DR6" i="7"/>
  <c r="DQ6" i="7"/>
  <c r="DP6" i="7"/>
  <c r="DO6" i="7"/>
  <c r="DN6" i="7"/>
  <c r="DK6" i="7"/>
  <c r="DJ6" i="7"/>
  <c r="DI6" i="7"/>
  <c r="DH6" i="7"/>
  <c r="DG6" i="7"/>
  <c r="DF6" i="7"/>
  <c r="DE6" i="7"/>
  <c r="DD6" i="7"/>
  <c r="DB6" i="7"/>
  <c r="DA6" i="7"/>
  <c r="CV6" i="7"/>
  <c r="CU6" i="7"/>
  <c r="CT6" i="7"/>
  <c r="CS6" i="7"/>
  <c r="CR6" i="7"/>
  <c r="GM6" i="7" s="1"/>
  <c r="CQ6" i="7"/>
  <c r="GL6" i="7" s="1"/>
  <c r="CP6" i="7"/>
  <c r="GJ6" i="7" s="1"/>
  <c r="GK6" i="7" s="1"/>
  <c r="CO6" i="7"/>
  <c r="DZ6" i="7" s="1"/>
  <c r="CN6" i="7"/>
  <c r="DY6" i="7" s="1"/>
  <c r="CM6" i="7"/>
  <c r="DX6" i="7" s="1"/>
  <c r="CL6" i="7"/>
  <c r="DW6" i="7" s="1"/>
  <c r="CG6" i="7"/>
  <c r="CG6" i="7" a="1"/>
  <c r="AW6" i="7"/>
  <c r="AV6" i="7"/>
  <c r="J6" i="7"/>
  <c r="HI6" i="7" s="1"/>
  <c r="G6" i="7"/>
  <c r="IQ5" i="7"/>
  <c r="IP5" i="7"/>
  <c r="HX5" i="7" a="1"/>
  <c r="HX5" i="7" s="1"/>
  <c r="IW5" i="7" s="1"/>
  <c r="HW5" i="7" a="1"/>
  <c r="HW5" i="7" s="1"/>
  <c r="IV5" i="7" s="1"/>
  <c r="HV5" i="7" a="1"/>
  <c r="HV5" i="7" s="1"/>
  <c r="IU5" i="7" s="1"/>
  <c r="HU5" i="7" a="1"/>
  <c r="HU5" i="7" s="1"/>
  <c r="IT5" i="7" s="1"/>
  <c r="HT5" i="7" a="1"/>
  <c r="HT5" i="7" s="1"/>
  <c r="IS5" i="7" s="1"/>
  <c r="HS5" i="7"/>
  <c r="IR5" i="7" s="1"/>
  <c r="HS5" i="7" a="1"/>
  <c r="HR5" i="7" a="1"/>
  <c r="HR5" i="7" s="1"/>
  <c r="HQ5" i="7" a="1"/>
  <c r="HQ5" i="7" s="1"/>
  <c r="HP5" i="7" a="1"/>
  <c r="HP5" i="7" s="1"/>
  <c r="IO5" i="7" s="1"/>
  <c r="HL5" i="7"/>
  <c r="HJ5" i="7"/>
  <c r="HI5" i="7"/>
  <c r="HH5" i="7"/>
  <c r="HB5" i="7"/>
  <c r="HA5" i="7"/>
  <c r="GZ5" i="7"/>
  <c r="GY5" i="7"/>
  <c r="GX5" i="7"/>
  <c r="GW5" i="7"/>
  <c r="GV5" i="7"/>
  <c r="GU5" i="7"/>
  <c r="GT5" i="7"/>
  <c r="GP5" i="7"/>
  <c r="GM5" i="7"/>
  <c r="GL5" i="7"/>
  <c r="GK5" i="7"/>
  <c r="GI5" i="7"/>
  <c r="GH5" i="7"/>
  <c r="GG5" i="7"/>
  <c r="GF5" i="7"/>
  <c r="GE5" i="7"/>
  <c r="GB5" i="7"/>
  <c r="GA5" i="7"/>
  <c r="FZ5" i="7"/>
  <c r="FY5" i="7"/>
  <c r="FW5" i="7"/>
  <c r="FV5" i="7"/>
  <c r="FU5" i="7"/>
  <c r="FT5" i="7"/>
  <c r="FS5" i="7"/>
  <c r="FR5" i="7"/>
  <c r="FQ5" i="7"/>
  <c r="FJ5" i="7"/>
  <c r="FI5" i="7"/>
  <c r="FH5" i="7"/>
  <c r="FG5" i="7"/>
  <c r="FF5" i="7"/>
  <c r="FE5" i="7"/>
  <c r="FD5" i="7"/>
  <c r="FB5" i="7"/>
  <c r="FA5" i="7"/>
  <c r="EZ5" i="7"/>
  <c r="EY5" i="7"/>
  <c r="EX5" i="7"/>
  <c r="EW5" i="7"/>
  <c r="EV5" i="7"/>
  <c r="EU5" i="7"/>
  <c r="ET5" i="7"/>
  <c r="ES5" i="7"/>
  <c r="ER5" i="7"/>
  <c r="EQ5" i="7"/>
  <c r="EP5" i="7"/>
  <c r="EO5" i="7"/>
  <c r="EN5" i="7"/>
  <c r="EM5" i="7"/>
  <c r="EL5" i="7"/>
  <c r="EK5" i="7"/>
  <c r="EJ5" i="7"/>
  <c r="EI5" i="7"/>
  <c r="EH5" i="7"/>
  <c r="EG5" i="7"/>
  <c r="EF5" i="7"/>
  <c r="EE5" i="7"/>
  <c r="ED5" i="7"/>
  <c r="EC5" i="7"/>
  <c r="EB5" i="7"/>
  <c r="EA5" i="7"/>
  <c r="DU5" i="7"/>
  <c r="DT5" i="7"/>
  <c r="DS5" i="7"/>
  <c r="DR5" i="7"/>
  <c r="DQ5" i="7"/>
  <c r="DP5" i="7"/>
  <c r="DO5" i="7"/>
  <c r="DN5" i="7"/>
  <c r="DL5" i="7"/>
  <c r="DK5" i="7"/>
  <c r="DJ5" i="7"/>
  <c r="DI5" i="7"/>
  <c r="DH5" i="7"/>
  <c r="DG5" i="7"/>
  <c r="DF5" i="7"/>
  <c r="DE5" i="7"/>
  <c r="DD5" i="7"/>
  <c r="DB5" i="7"/>
  <c r="DA5" i="7"/>
  <c r="CV5" i="7"/>
  <c r="CU5" i="7"/>
  <c r="CT5" i="7"/>
  <c r="CS5" i="7"/>
  <c r="GN5" i="7" s="1"/>
  <c r="CR5" i="7"/>
  <c r="CQ5" i="7"/>
  <c r="CP5" i="7"/>
  <c r="GJ5" i="7" s="1"/>
  <c r="CO5" i="7"/>
  <c r="DZ5" i="7" s="1"/>
  <c r="CN5" i="7"/>
  <c r="DY5" i="7" s="1"/>
  <c r="CM5" i="7"/>
  <c r="DX5" i="7" s="1"/>
  <c r="CL5" i="7"/>
  <c r="DW5" i="7" s="1"/>
  <c r="CI5" i="7"/>
  <c r="CX5" i="7" s="1"/>
  <c r="CG5" i="7" a="1"/>
  <c r="CG5" i="7" s="1"/>
  <c r="AW5" i="7"/>
  <c r="AV5" i="7"/>
  <c r="J5" i="7"/>
  <c r="G5" i="7"/>
  <c r="IV4" i="7"/>
  <c r="IU4" i="7"/>
  <c r="IT4" i="7"/>
  <c r="IR4" i="7"/>
  <c r="HX4" i="7" a="1"/>
  <c r="HX4" i="7" s="1"/>
  <c r="IW4" i="7" s="1"/>
  <c r="HW4" i="7" a="1"/>
  <c r="HW4" i="7" s="1"/>
  <c r="HV4" i="7"/>
  <c r="HV4" i="7" a="1"/>
  <c r="HU4" i="7" a="1"/>
  <c r="HU4" i="7" s="1"/>
  <c r="HT4" i="7" a="1"/>
  <c r="HT4" i="7" s="1"/>
  <c r="IS4" i="7" s="1"/>
  <c r="HS4" i="7"/>
  <c r="HS4" i="7" a="1"/>
  <c r="HR4" i="7" a="1"/>
  <c r="HR4" i="7" s="1"/>
  <c r="IQ4" i="7" s="1"/>
  <c r="HQ4" i="7"/>
  <c r="IP4" i="7" s="1"/>
  <c r="HQ4" i="7" a="1"/>
  <c r="HP4" i="7"/>
  <c r="IO4" i="7" s="1"/>
  <c r="HP4" i="7" a="1"/>
  <c r="HL4" i="7"/>
  <c r="HJ4" i="7"/>
  <c r="HH4" i="7"/>
  <c r="HB4" i="7"/>
  <c r="HA4" i="7"/>
  <c r="GZ4" i="7"/>
  <c r="GY4" i="7"/>
  <c r="GX4" i="7"/>
  <c r="HC4" i="7" s="1"/>
  <c r="GW4" i="7"/>
  <c r="GV4" i="7"/>
  <c r="GU4" i="7"/>
  <c r="GT4" i="7"/>
  <c r="GP4" i="7"/>
  <c r="GL4" i="7"/>
  <c r="GJ4" i="7"/>
  <c r="GK4" i="7" s="1"/>
  <c r="GI4" i="7"/>
  <c r="GH4" i="7"/>
  <c r="GG4" i="7"/>
  <c r="GF4" i="7"/>
  <c r="GE4" i="7"/>
  <c r="GB4" i="7"/>
  <c r="GA4" i="7"/>
  <c r="FZ4" i="7"/>
  <c r="FY4" i="7"/>
  <c r="FW4" i="7"/>
  <c r="FV4" i="7"/>
  <c r="FU4" i="7"/>
  <c r="FT4" i="7"/>
  <c r="FS4" i="7"/>
  <c r="FR4" i="7"/>
  <c r="FQ4" i="7"/>
  <c r="FO4" i="7"/>
  <c r="FJ4" i="7"/>
  <c r="FI4" i="7"/>
  <c r="FH4" i="7"/>
  <c r="FG4" i="7"/>
  <c r="FF4" i="7"/>
  <c r="FE4" i="7"/>
  <c r="FD4" i="7"/>
  <c r="FB4" i="7"/>
  <c r="FA4" i="7"/>
  <c r="EZ4" i="7"/>
  <c r="EY4" i="7"/>
  <c r="EX4" i="7"/>
  <c r="EW4" i="7"/>
  <c r="EV4" i="7"/>
  <c r="EU4" i="7"/>
  <c r="ET4" i="7"/>
  <c r="ES4" i="7"/>
  <c r="ER4" i="7"/>
  <c r="EQ4" i="7"/>
  <c r="EP4" i="7"/>
  <c r="EO4" i="7"/>
  <c r="EN4" i="7"/>
  <c r="EM4" i="7"/>
  <c r="EL4" i="7"/>
  <c r="EK4" i="7"/>
  <c r="EJ4" i="7"/>
  <c r="EI4" i="7"/>
  <c r="EH4" i="7"/>
  <c r="EG4" i="7"/>
  <c r="EF4" i="7"/>
  <c r="EE4" i="7"/>
  <c r="ED4" i="7"/>
  <c r="EC4" i="7"/>
  <c r="EB4" i="7"/>
  <c r="EA4" i="7"/>
  <c r="DZ4" i="7"/>
  <c r="DU4" i="7"/>
  <c r="DT4" i="7"/>
  <c r="DS4" i="7"/>
  <c r="DR4" i="7"/>
  <c r="DQ4" i="7"/>
  <c r="DP4" i="7"/>
  <c r="DO4" i="7"/>
  <c r="DN4" i="7"/>
  <c r="DK4" i="7"/>
  <c r="DJ4" i="7"/>
  <c r="DI4" i="7"/>
  <c r="DH4" i="7"/>
  <c r="DG4" i="7"/>
  <c r="DF4" i="7"/>
  <c r="DE4" i="7"/>
  <c r="DD4" i="7"/>
  <c r="DB4" i="7"/>
  <c r="DA4" i="7"/>
  <c r="CV4" i="7"/>
  <c r="CU4" i="7"/>
  <c r="CT4" i="7"/>
  <c r="CS4" i="7"/>
  <c r="GN4" i="7" s="1"/>
  <c r="CR4" i="7"/>
  <c r="GM4" i="7" s="1"/>
  <c r="CQ4" i="7"/>
  <c r="CP4" i="7"/>
  <c r="CO4" i="7"/>
  <c r="CN4" i="7"/>
  <c r="DY4" i="7" s="1"/>
  <c r="CM4" i="7"/>
  <c r="DX4" i="7" s="1"/>
  <c r="CL4" i="7"/>
  <c r="DW4" i="7" s="1"/>
  <c r="CI4" i="7"/>
  <c r="CX4" i="7" s="1"/>
  <c r="CH4" i="7"/>
  <c r="CW4" i="7" s="1"/>
  <c r="CG4" i="7"/>
  <c r="CG4" i="7" a="1"/>
  <c r="AW4" i="7"/>
  <c r="AV4" i="7"/>
  <c r="J4" i="7"/>
  <c r="HI4" i="7" s="1"/>
  <c r="G4" i="7"/>
  <c r="IW3" i="7"/>
  <c r="IU3" i="7"/>
  <c r="IR3" i="7"/>
  <c r="IP3" i="7"/>
  <c r="HX3" i="7"/>
  <c r="HX3" i="7" a="1"/>
  <c r="HW3" i="7" a="1"/>
  <c r="HW3" i="7" s="1"/>
  <c r="IV3" i="7" s="1"/>
  <c r="HV3" i="7" a="1"/>
  <c r="HV3" i="7" s="1"/>
  <c r="HU3" i="7" a="1"/>
  <c r="HU3" i="7" s="1"/>
  <c r="IT3" i="7" s="1"/>
  <c r="HT3" i="7" a="1"/>
  <c r="HT3" i="7" s="1"/>
  <c r="IS3" i="7" s="1"/>
  <c r="HS3" i="7"/>
  <c r="HS3" i="7" a="1"/>
  <c r="HR3" i="7" a="1"/>
  <c r="HR3" i="7" s="1"/>
  <c r="IQ3" i="7" s="1"/>
  <c r="HQ3" i="7" a="1"/>
  <c r="HQ3" i="7" s="1"/>
  <c r="HP3" i="7" a="1"/>
  <c r="HP3" i="7" s="1"/>
  <c r="IO3" i="7" s="1"/>
  <c r="HL3" i="7"/>
  <c r="HJ3" i="7"/>
  <c r="HH3" i="7"/>
  <c r="HB3" i="7"/>
  <c r="HA3" i="7"/>
  <c r="GZ3" i="7"/>
  <c r="GY3" i="7"/>
  <c r="GX3" i="7"/>
  <c r="GW3" i="7"/>
  <c r="GV3" i="7"/>
  <c r="GU3" i="7"/>
  <c r="GT3" i="7"/>
  <c r="GP3" i="7"/>
  <c r="GL3" i="7"/>
  <c r="GI3" i="7"/>
  <c r="GH3" i="7"/>
  <c r="GG3" i="7"/>
  <c r="GF3" i="7"/>
  <c r="GE3" i="7"/>
  <c r="GB3" i="7"/>
  <c r="GA3" i="7"/>
  <c r="FZ3" i="7"/>
  <c r="FY3" i="7"/>
  <c r="FW3" i="7"/>
  <c r="FV3" i="7"/>
  <c r="FU3" i="7"/>
  <c r="FT3" i="7"/>
  <c r="FS3" i="7"/>
  <c r="FR3" i="7"/>
  <c r="FQ3" i="7"/>
  <c r="FK3" i="7"/>
  <c r="FJ3" i="7"/>
  <c r="FI3" i="7"/>
  <c r="FH3" i="7"/>
  <c r="FG3" i="7"/>
  <c r="FF3" i="7"/>
  <c r="FP3" i="7" s="1"/>
  <c r="FE3" i="7"/>
  <c r="FD3" i="7"/>
  <c r="FB3" i="7"/>
  <c r="FA3" i="7"/>
  <c r="EZ3" i="7"/>
  <c r="EY3" i="7"/>
  <c r="EX3" i="7"/>
  <c r="EW3" i="7"/>
  <c r="EV3" i="7"/>
  <c r="EU3" i="7"/>
  <c r="ET3" i="7"/>
  <c r="ES3" i="7"/>
  <c r="ER3" i="7"/>
  <c r="EQ3" i="7"/>
  <c r="EP3" i="7"/>
  <c r="EO3" i="7"/>
  <c r="EN3" i="7"/>
  <c r="EM3" i="7"/>
  <c r="EL3" i="7"/>
  <c r="EK3" i="7"/>
  <c r="EJ3" i="7"/>
  <c r="EI3" i="7"/>
  <c r="EH3" i="7"/>
  <c r="EG3" i="7"/>
  <c r="EF3" i="7"/>
  <c r="EE3" i="7"/>
  <c r="ED3" i="7"/>
  <c r="EC3" i="7"/>
  <c r="EB3" i="7"/>
  <c r="EA3" i="7"/>
  <c r="DZ3" i="7"/>
  <c r="DU3" i="7"/>
  <c r="DT3" i="7"/>
  <c r="DS3" i="7"/>
  <c r="DR3" i="7"/>
  <c r="DQ3" i="7"/>
  <c r="DP3" i="7"/>
  <c r="DO3" i="7"/>
  <c r="DN3" i="7"/>
  <c r="DK3" i="7"/>
  <c r="DJ3" i="7"/>
  <c r="DI3" i="7"/>
  <c r="DH3" i="7"/>
  <c r="DG3" i="7"/>
  <c r="DF3" i="7"/>
  <c r="DE3" i="7"/>
  <c r="DD3" i="7"/>
  <c r="DB3" i="7"/>
  <c r="DA3" i="7"/>
  <c r="CV3" i="7"/>
  <c r="CU3" i="7"/>
  <c r="CT3" i="7"/>
  <c r="CS3" i="7"/>
  <c r="GN3" i="7" s="1"/>
  <c r="CR3" i="7"/>
  <c r="GM3" i="7" s="1"/>
  <c r="CQ3" i="7"/>
  <c r="CP3" i="7"/>
  <c r="GJ3" i="7" s="1"/>
  <c r="GK3" i="7" s="1"/>
  <c r="CO3" i="7"/>
  <c r="CN3" i="7"/>
  <c r="DY3" i="7" s="1"/>
  <c r="CM3" i="7"/>
  <c r="DX3" i="7" s="1"/>
  <c r="CL3" i="7"/>
  <c r="DW3" i="7" s="1"/>
  <c r="CJ3" i="7"/>
  <c r="CY3" i="7" s="1"/>
  <c r="CG3" i="7" a="1"/>
  <c r="CG3" i="7" s="1"/>
  <c r="AW3" i="7"/>
  <c r="AV3" i="7"/>
  <c r="J3" i="7"/>
  <c r="HI3" i="7" s="1"/>
  <c r="G3" i="7"/>
  <c r="IW5" i="6"/>
  <c r="IU5" i="6"/>
  <c r="IO5" i="6"/>
  <c r="IL5" i="6"/>
  <c r="HX5" i="6"/>
  <c r="HX5" i="6" a="1"/>
  <c r="HW5" i="6"/>
  <c r="IV5" i="6" s="1"/>
  <c r="HW5" i="6" a="1"/>
  <c r="HV5" i="6" a="1"/>
  <c r="HV5" i="6" s="1"/>
  <c r="HU5" i="6" a="1"/>
  <c r="HU5" i="6" s="1"/>
  <c r="IT5" i="6" s="1"/>
  <c r="HT5" i="6"/>
  <c r="IS5" i="6" s="1"/>
  <c r="HT5" i="6" a="1"/>
  <c r="HS5" i="6" a="1"/>
  <c r="HS5" i="6" s="1"/>
  <c r="IR5" i="6" s="1"/>
  <c r="HR5" i="6"/>
  <c r="IQ5" i="6" s="1"/>
  <c r="HR5" i="6" a="1"/>
  <c r="HQ5" i="6"/>
  <c r="IP5" i="6" s="1"/>
  <c r="HQ5" i="6" a="1"/>
  <c r="HP5" i="6"/>
  <c r="HP5" i="6" a="1"/>
  <c r="HL5" i="6"/>
  <c r="HJ5" i="6"/>
  <c r="HH5" i="6"/>
  <c r="HB5" i="6"/>
  <c r="HA5" i="6"/>
  <c r="GZ5" i="6"/>
  <c r="HC5" i="6" s="1"/>
  <c r="GY5" i="6"/>
  <c r="GX5" i="6"/>
  <c r="GW5" i="6"/>
  <c r="GV5" i="6"/>
  <c r="GU5" i="6"/>
  <c r="GT5" i="6"/>
  <c r="GP5" i="6"/>
  <c r="GN5" i="6"/>
  <c r="GM5" i="6"/>
  <c r="GL5" i="6"/>
  <c r="GJ5" i="6"/>
  <c r="GK5" i="6" s="1"/>
  <c r="GI5" i="6"/>
  <c r="GH5" i="6"/>
  <c r="GG5" i="6"/>
  <c r="GF5" i="6"/>
  <c r="GE5" i="6"/>
  <c r="GD5" i="6"/>
  <c r="GC5" i="6"/>
  <c r="GB5" i="6"/>
  <c r="GA5" i="6"/>
  <c r="FZ5" i="6"/>
  <c r="FY5" i="6"/>
  <c r="FX5" i="6"/>
  <c r="FW5" i="6"/>
  <c r="FV5" i="6"/>
  <c r="FU5" i="6"/>
  <c r="FT5" i="6"/>
  <c r="FS5" i="6"/>
  <c r="FR5" i="6"/>
  <c r="FQ5" i="6"/>
  <c r="FP5" i="6"/>
  <c r="FO5" i="6"/>
  <c r="FN5" i="6"/>
  <c r="FM5" i="6"/>
  <c r="FL5" i="6"/>
  <c r="FJ5" i="6"/>
  <c r="FI5" i="6"/>
  <c r="FH5" i="6"/>
  <c r="FG5" i="6"/>
  <c r="FF5" i="6"/>
  <c r="FK5" i="6" s="1"/>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W5" i="6"/>
  <c r="DV5" i="6"/>
  <c r="DU5" i="6"/>
  <c r="DT5" i="6"/>
  <c r="DS5" i="6"/>
  <c r="DR5" i="6"/>
  <c r="DQ5" i="6"/>
  <c r="DP5" i="6"/>
  <c r="DO5" i="6"/>
  <c r="DN5" i="6"/>
  <c r="DK5" i="6"/>
  <c r="DJ5" i="6"/>
  <c r="DI5" i="6"/>
  <c r="DH5" i="6"/>
  <c r="DG5" i="6"/>
  <c r="DF5" i="6"/>
  <c r="DE5" i="6"/>
  <c r="DD5" i="6"/>
  <c r="DC5" i="6"/>
  <c r="DB5" i="6"/>
  <c r="DA5" i="6"/>
  <c r="CY5" i="6"/>
  <c r="CV5" i="6"/>
  <c r="CU5" i="6"/>
  <c r="CT5" i="6"/>
  <c r="CS5" i="6"/>
  <c r="CR5" i="6"/>
  <c r="CQ5" i="6"/>
  <c r="CP5" i="6"/>
  <c r="CO5" i="6"/>
  <c r="CN5" i="6"/>
  <c r="DY5" i="6" s="1"/>
  <c r="CM5" i="6"/>
  <c r="DX5" i="6" s="1"/>
  <c r="CL5" i="6"/>
  <c r="CK5" i="6"/>
  <c r="CZ5" i="6" s="1"/>
  <c r="CJ5" i="6"/>
  <c r="CH5" i="6"/>
  <c r="CW5" i="6" s="1"/>
  <c r="CG5" i="6"/>
  <c r="CG5" i="6" a="1"/>
  <c r="AX5" i="6"/>
  <c r="AW5" i="6"/>
  <c r="AV5" i="6"/>
  <c r="J5" i="6"/>
  <c r="G5" i="6"/>
  <c r="IW4" i="6"/>
  <c r="IV4" i="6"/>
  <c r="IR4" i="6"/>
  <c r="IQ4" i="6"/>
  <c r="IP4" i="6"/>
  <c r="HX4" i="6" a="1"/>
  <c r="HX4" i="6" s="1"/>
  <c r="HW4" i="6" a="1"/>
  <c r="HW4" i="6" s="1"/>
  <c r="HV4" i="6" a="1"/>
  <c r="HV4" i="6" s="1"/>
  <c r="IU4" i="6" s="1"/>
  <c r="HU4" i="6" a="1"/>
  <c r="HU4" i="6" s="1"/>
  <c r="IT4" i="6" s="1"/>
  <c r="HT4" i="6"/>
  <c r="IS4" i="6" s="1"/>
  <c r="HT4" i="6" a="1"/>
  <c r="HS4" i="6"/>
  <c r="HS4" i="6" a="1"/>
  <c r="HR4" i="6" a="1"/>
  <c r="HR4" i="6" s="1"/>
  <c r="HQ4" i="6"/>
  <c r="HQ4" i="6" a="1"/>
  <c r="HP4" i="6" a="1"/>
  <c r="HP4" i="6" s="1"/>
  <c r="IO4" i="6" s="1"/>
  <c r="HL4" i="6"/>
  <c r="HJ4" i="6"/>
  <c r="HI4" i="6"/>
  <c r="HH4" i="6"/>
  <c r="HB4" i="6"/>
  <c r="HA4" i="6"/>
  <c r="GZ4" i="6"/>
  <c r="GY4" i="6"/>
  <c r="GX4" i="6"/>
  <c r="GW4" i="6"/>
  <c r="GV4" i="6"/>
  <c r="GU4" i="6"/>
  <c r="GT4" i="6"/>
  <c r="HC4" i="6" s="1"/>
  <c r="GP4" i="6"/>
  <c r="GN4" i="6"/>
  <c r="GJ4" i="6"/>
  <c r="GK4" i="6" s="1"/>
  <c r="GI4" i="6"/>
  <c r="GH4" i="6"/>
  <c r="GG4" i="6"/>
  <c r="GF4" i="6"/>
  <c r="GE4" i="6"/>
  <c r="GB4" i="6"/>
  <c r="GA4" i="6"/>
  <c r="FZ4" i="6"/>
  <c r="FY4" i="6"/>
  <c r="FW4" i="6"/>
  <c r="FV4" i="6"/>
  <c r="FU4" i="6"/>
  <c r="FT4" i="6"/>
  <c r="FS4" i="6"/>
  <c r="FR4" i="6"/>
  <c r="FQ4" i="6"/>
  <c r="FP4" i="6"/>
  <c r="FN4" i="6"/>
  <c r="FM4" i="6"/>
  <c r="FL4" i="6"/>
  <c r="FJ4" i="6"/>
  <c r="FI4" i="6"/>
  <c r="FH4" i="6"/>
  <c r="FK4" i="6" s="1"/>
  <c r="FG4" i="6"/>
  <c r="FF4" i="6"/>
  <c r="FE4" i="6"/>
  <c r="FD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W4" i="6"/>
  <c r="DU4" i="6"/>
  <c r="DT4" i="6"/>
  <c r="DS4" i="6"/>
  <c r="DR4" i="6"/>
  <c r="DQ4" i="6"/>
  <c r="DP4" i="6"/>
  <c r="DO4" i="6"/>
  <c r="DN4" i="6"/>
  <c r="DK4" i="6"/>
  <c r="DJ4" i="6"/>
  <c r="DI4" i="6"/>
  <c r="DH4" i="6"/>
  <c r="DG4" i="6"/>
  <c r="DF4" i="6"/>
  <c r="DE4" i="6"/>
  <c r="DD4" i="6"/>
  <c r="DB4" i="6"/>
  <c r="DA4" i="6"/>
  <c r="CV4" i="6"/>
  <c r="CU4" i="6"/>
  <c r="CT4" i="6"/>
  <c r="CS4" i="6"/>
  <c r="CR4" i="6"/>
  <c r="GM4" i="6" s="1"/>
  <c r="CQ4" i="6"/>
  <c r="GL4" i="6" s="1"/>
  <c r="CP4" i="6"/>
  <c r="CO4" i="6"/>
  <c r="DZ4" i="6" s="1"/>
  <c r="CN4" i="6"/>
  <c r="DY4" i="6" s="1"/>
  <c r="CM4" i="6"/>
  <c r="DX4" i="6" s="1"/>
  <c r="CL4" i="6"/>
  <c r="CG4" i="6"/>
  <c r="CG4" i="6" a="1"/>
  <c r="AW4" i="6"/>
  <c r="AV4" i="6"/>
  <c r="J4" i="6"/>
  <c r="G4" i="6"/>
  <c r="IU3" i="6"/>
  <c r="IS3" i="6"/>
  <c r="IR3" i="6"/>
  <c r="IL3" i="6"/>
  <c r="HX3" i="6" a="1"/>
  <c r="HX3" i="6" s="1"/>
  <c r="IW3" i="6" s="1"/>
  <c r="HW3" i="6"/>
  <c r="IV3" i="6" s="1"/>
  <c r="HW3" i="6" a="1"/>
  <c r="HV3" i="6" a="1"/>
  <c r="HV3" i="6" s="1"/>
  <c r="HU3" i="6"/>
  <c r="IT3" i="6" s="1"/>
  <c r="HU3" i="6" a="1"/>
  <c r="HT3" i="6"/>
  <c r="HT3" i="6" a="1"/>
  <c r="HS3" i="6"/>
  <c r="HS3" i="6" a="1"/>
  <c r="HR3" i="6" a="1"/>
  <c r="HR3" i="6" s="1"/>
  <c r="IQ3" i="6" s="1"/>
  <c r="HQ3" i="6"/>
  <c r="IP3" i="6" s="1"/>
  <c r="HQ3" i="6" a="1"/>
  <c r="HP3" i="6" a="1"/>
  <c r="HP3" i="6" s="1"/>
  <c r="IO3" i="6" s="1"/>
  <c r="HL3" i="6"/>
  <c r="HJ3" i="6"/>
  <c r="HH3" i="6"/>
  <c r="HB3" i="6"/>
  <c r="HA3" i="6"/>
  <c r="GZ3" i="6"/>
  <c r="GY3" i="6"/>
  <c r="GX3" i="6"/>
  <c r="HC3" i="6" s="1"/>
  <c r="GW3" i="6"/>
  <c r="GV3" i="6"/>
  <c r="GU3" i="6"/>
  <c r="GT3" i="6"/>
  <c r="GP3" i="6"/>
  <c r="GN3" i="6"/>
  <c r="GL3" i="6"/>
  <c r="GK3" i="6"/>
  <c r="GJ3" i="6"/>
  <c r="GI3" i="6"/>
  <c r="GH3" i="6"/>
  <c r="GG3" i="6"/>
  <c r="GF3" i="6"/>
  <c r="GE3" i="6"/>
  <c r="GD3" i="6"/>
  <c r="GC3" i="6"/>
  <c r="GB3" i="6"/>
  <c r="GA3" i="6"/>
  <c r="FZ3" i="6"/>
  <c r="FY3" i="6"/>
  <c r="FX3" i="6"/>
  <c r="FW3" i="6"/>
  <c r="FV3" i="6"/>
  <c r="FU3" i="6"/>
  <c r="FT3" i="6"/>
  <c r="FS3" i="6"/>
  <c r="FR3" i="6"/>
  <c r="FQ3" i="6"/>
  <c r="FN3" i="6"/>
  <c r="FM3" i="6"/>
  <c r="FL3" i="6"/>
  <c r="FK3" i="6"/>
  <c r="FJ3" i="6"/>
  <c r="FI3" i="6"/>
  <c r="FH3" i="6"/>
  <c r="FG3" i="6"/>
  <c r="FF3" i="6"/>
  <c r="FP3" i="6" s="1"/>
  <c r="FE3" i="6"/>
  <c r="FO3" i="6" s="1"/>
  <c r="FD3" i="6"/>
  <c r="FC3" i="6"/>
  <c r="FB3" i="6"/>
  <c r="FA3" i="6"/>
  <c r="EZ3" i="6"/>
  <c r="EY3" i="6"/>
  <c r="EX3" i="6"/>
  <c r="EW3" i="6"/>
  <c r="EV3" i="6"/>
  <c r="EU3" i="6"/>
  <c r="ET3" i="6"/>
  <c r="ES3" i="6"/>
  <c r="ER3" i="6"/>
  <c r="EQ3" i="6"/>
  <c r="EP3" i="6"/>
  <c r="EO3" i="6"/>
  <c r="EN3" i="6"/>
  <c r="EM3" i="6"/>
  <c r="EL3" i="6"/>
  <c r="EK3" i="6"/>
  <c r="EJ3" i="6"/>
  <c r="EI3" i="6"/>
  <c r="EH3" i="6"/>
  <c r="EG3" i="6"/>
  <c r="EF3" i="6"/>
  <c r="EE3" i="6"/>
  <c r="ED3" i="6"/>
  <c r="EC3" i="6"/>
  <c r="EB3" i="6"/>
  <c r="EA3" i="6"/>
  <c r="DZ3" i="6"/>
  <c r="DV3" i="6"/>
  <c r="DU3" i="6"/>
  <c r="DT3" i="6"/>
  <c r="DS3" i="6"/>
  <c r="DR3" i="6"/>
  <c r="DQ3" i="6"/>
  <c r="DP3" i="6"/>
  <c r="DO3" i="6"/>
  <c r="DN3" i="6"/>
  <c r="DK3" i="6"/>
  <c r="DJ3" i="6"/>
  <c r="DI3" i="6"/>
  <c r="DH3" i="6"/>
  <c r="DG3" i="6"/>
  <c r="DF3" i="6"/>
  <c r="DE3" i="6"/>
  <c r="DD3" i="6"/>
  <c r="DC3" i="6"/>
  <c r="DB3" i="6"/>
  <c r="DA3" i="6"/>
  <c r="CV3" i="6"/>
  <c r="CU3" i="6"/>
  <c r="CT3" i="6"/>
  <c r="CS3" i="6"/>
  <c r="CR3" i="6"/>
  <c r="GM3" i="6" s="1"/>
  <c r="CQ3" i="6"/>
  <c r="CP3" i="6"/>
  <c r="CO3" i="6"/>
  <c r="CN3" i="6"/>
  <c r="DY3" i="6" s="1"/>
  <c r="CM3" i="6"/>
  <c r="DX3" i="6" s="1"/>
  <c r="CL3" i="6"/>
  <c r="DW3" i="6" s="1"/>
  <c r="CK3" i="6"/>
  <c r="CZ3" i="6" s="1"/>
  <c r="CH3" i="6"/>
  <c r="CW3" i="6" s="1"/>
  <c r="CG3" i="6" a="1"/>
  <c r="CG3" i="6" s="1"/>
  <c r="AW3" i="6"/>
  <c r="AV3" i="6"/>
  <c r="J3" i="6"/>
  <c r="HI3" i="6" s="1"/>
  <c r="G3" i="6"/>
  <c r="IW22" i="3"/>
  <c r="IU22" i="3"/>
  <c r="IT22" i="3"/>
  <c r="IQ22" i="3"/>
  <c r="IO22" i="3"/>
  <c r="IM22" i="3"/>
  <c r="IL22" i="3"/>
  <c r="HX22" i="3" a="1"/>
  <c r="HX22" i="3" s="1"/>
  <c r="HW22" i="3" a="1"/>
  <c r="HW22" i="3" s="1"/>
  <c r="IV22" i="3" s="1"/>
  <c r="HV22" i="3" a="1"/>
  <c r="HV22" i="3" s="1"/>
  <c r="HU22" i="3"/>
  <c r="HU22" i="3" a="1"/>
  <c r="HT22" i="3"/>
  <c r="IS22" i="3" s="1"/>
  <c r="HT22" i="3" a="1"/>
  <c r="HS22" i="3" a="1"/>
  <c r="HS22" i="3" s="1"/>
  <c r="IR22" i="3" s="1"/>
  <c r="HR22" i="3" a="1"/>
  <c r="HR22" i="3" s="1"/>
  <c r="HQ22" i="3"/>
  <c r="IP22" i="3" s="1"/>
  <c r="HQ22" i="3" a="1"/>
  <c r="HP22" i="3"/>
  <c r="HP22" i="3" a="1"/>
  <c r="HL22" i="3"/>
  <c r="HJ22" i="3"/>
  <c r="HH22" i="3"/>
  <c r="HI22" i="3" s="1"/>
  <c r="HB22" i="3"/>
  <c r="HA22" i="3"/>
  <c r="GZ22" i="3"/>
  <c r="GY22" i="3"/>
  <c r="GX22" i="3"/>
  <c r="GW22" i="3"/>
  <c r="GV22" i="3"/>
  <c r="GU22" i="3"/>
  <c r="GT22" i="3"/>
  <c r="GP22" i="3"/>
  <c r="GM22" i="3"/>
  <c r="GL22" i="3"/>
  <c r="GJ22" i="3"/>
  <c r="GK22" i="3" s="1"/>
  <c r="GI22" i="3"/>
  <c r="GH22" i="3"/>
  <c r="GG22" i="3"/>
  <c r="GF22" i="3"/>
  <c r="GE22" i="3"/>
  <c r="GD22" i="3"/>
  <c r="GC22" i="3"/>
  <c r="GB22" i="3"/>
  <c r="GA22" i="3"/>
  <c r="FZ22" i="3"/>
  <c r="FY22" i="3"/>
  <c r="FX22" i="3"/>
  <c r="FW22" i="3"/>
  <c r="FV22" i="3"/>
  <c r="FU22" i="3"/>
  <c r="FT22" i="3"/>
  <c r="FS22" i="3"/>
  <c r="FR22" i="3"/>
  <c r="FQ22" i="3"/>
  <c r="FO22" i="3"/>
  <c r="FJ22" i="3"/>
  <c r="FI22" i="3"/>
  <c r="FH22" i="3"/>
  <c r="FK22" i="3" s="1"/>
  <c r="FG22" i="3"/>
  <c r="FF22" i="3"/>
  <c r="FE22" i="3"/>
  <c r="FD22" i="3"/>
  <c r="FC22" i="3"/>
  <c r="FB22" i="3"/>
  <c r="FA22" i="3"/>
  <c r="EZ22" i="3"/>
  <c r="EY22" i="3"/>
  <c r="EX22" i="3"/>
  <c r="EW22" i="3"/>
  <c r="EV22" i="3"/>
  <c r="EU22" i="3"/>
  <c r="ET22" i="3"/>
  <c r="ES22" i="3"/>
  <c r="ER22" i="3"/>
  <c r="EQ22" i="3"/>
  <c r="EP22" i="3"/>
  <c r="EO22" i="3"/>
  <c r="EN22" i="3"/>
  <c r="EM22" i="3"/>
  <c r="EL22" i="3"/>
  <c r="EK22" i="3"/>
  <c r="EJ22" i="3"/>
  <c r="EI22" i="3"/>
  <c r="EH22" i="3"/>
  <c r="EG22" i="3"/>
  <c r="EF22" i="3"/>
  <c r="EE22" i="3"/>
  <c r="ED22" i="3"/>
  <c r="EC22" i="3"/>
  <c r="EB22" i="3"/>
  <c r="EA22" i="3"/>
  <c r="DW22" i="3"/>
  <c r="DV22" i="3"/>
  <c r="DU22" i="3"/>
  <c r="DT22" i="3"/>
  <c r="DS22" i="3"/>
  <c r="DR22" i="3"/>
  <c r="DQ22" i="3"/>
  <c r="DP22" i="3"/>
  <c r="DO22" i="3"/>
  <c r="DN22" i="3"/>
  <c r="DK22" i="3"/>
  <c r="DJ22" i="3"/>
  <c r="DI22" i="3"/>
  <c r="DH22" i="3"/>
  <c r="DG22" i="3"/>
  <c r="DF22" i="3"/>
  <c r="DE22" i="3"/>
  <c r="DD22" i="3"/>
  <c r="DC22" i="3"/>
  <c r="DB22" i="3"/>
  <c r="DA22" i="3"/>
  <c r="CV22" i="3"/>
  <c r="CU22" i="3"/>
  <c r="CT22" i="3"/>
  <c r="CS22" i="3"/>
  <c r="GN22" i="3" s="1"/>
  <c r="CR22" i="3"/>
  <c r="CQ22" i="3"/>
  <c r="CP22" i="3"/>
  <c r="CO22" i="3"/>
  <c r="DZ22" i="3" s="1"/>
  <c r="CN22" i="3"/>
  <c r="DY22" i="3" s="1"/>
  <c r="CM22" i="3"/>
  <c r="DX22" i="3" s="1"/>
  <c r="CL22" i="3"/>
  <c r="CG22" i="3"/>
  <c r="CG22" i="3" a="1"/>
  <c r="AW22" i="3"/>
  <c r="AV22" i="3"/>
  <c r="AX22" i="3" s="1"/>
  <c r="J22" i="3"/>
  <c r="G22" i="3"/>
  <c r="IW21" i="3"/>
  <c r="IV21" i="3"/>
  <c r="IO21" i="3"/>
  <c r="IN21" i="3"/>
  <c r="IX21" i="3" s="1"/>
  <c r="IM21" i="3"/>
  <c r="HX21" i="3" a="1"/>
  <c r="HX21" i="3" s="1"/>
  <c r="HW21" i="3" a="1"/>
  <c r="HW21" i="3" s="1"/>
  <c r="HV21" i="3"/>
  <c r="IU21" i="3" s="1"/>
  <c r="HV21" i="3" a="1"/>
  <c r="HU21" i="3" a="1"/>
  <c r="HU21" i="3" s="1"/>
  <c r="IT21" i="3" s="1"/>
  <c r="HT21" i="3" a="1"/>
  <c r="HT21" i="3" s="1"/>
  <c r="IS21" i="3" s="1"/>
  <c r="HS21" i="3"/>
  <c r="IR21" i="3" s="1"/>
  <c r="HS21" i="3" a="1"/>
  <c r="HR21" i="3"/>
  <c r="IQ21" i="3" s="1"/>
  <c r="HR21" i="3" a="1"/>
  <c r="HQ21" i="3"/>
  <c r="IP21" i="3" s="1"/>
  <c r="HQ21" i="3" a="1"/>
  <c r="HP21" i="3" a="1"/>
  <c r="HP21" i="3" s="1"/>
  <c r="HL21" i="3"/>
  <c r="HJ21" i="3"/>
  <c r="HH21" i="3"/>
  <c r="HI21" i="3" s="1"/>
  <c r="HB21" i="3"/>
  <c r="HA21" i="3"/>
  <c r="GZ21" i="3"/>
  <c r="GY21" i="3"/>
  <c r="GX21" i="3"/>
  <c r="GW21" i="3"/>
  <c r="GV21" i="3"/>
  <c r="GU21" i="3"/>
  <c r="GT21" i="3"/>
  <c r="HC21" i="3" s="1"/>
  <c r="GP21" i="3"/>
  <c r="GN21" i="3"/>
  <c r="GM21" i="3"/>
  <c r="GL21" i="3"/>
  <c r="GI21" i="3"/>
  <c r="GH21" i="3"/>
  <c r="GG21" i="3"/>
  <c r="GF21" i="3"/>
  <c r="GE21" i="3"/>
  <c r="GB21" i="3"/>
  <c r="GA21" i="3"/>
  <c r="FZ21" i="3"/>
  <c r="FY21" i="3"/>
  <c r="FW21" i="3"/>
  <c r="FV21" i="3"/>
  <c r="FU21" i="3"/>
  <c r="FT21" i="3"/>
  <c r="FS21" i="3"/>
  <c r="FR21" i="3"/>
  <c r="FQ21" i="3"/>
  <c r="FP21" i="3"/>
  <c r="FO21" i="3"/>
  <c r="FN21" i="3"/>
  <c r="FM21" i="3"/>
  <c r="FL21" i="3"/>
  <c r="FK21" i="3"/>
  <c r="FJ21" i="3"/>
  <c r="FI21" i="3"/>
  <c r="FH21" i="3"/>
  <c r="FG21" i="3"/>
  <c r="FF21" i="3"/>
  <c r="FE21" i="3"/>
  <c r="FD21" i="3"/>
  <c r="FB21" i="3"/>
  <c r="FA21" i="3"/>
  <c r="EZ21" i="3"/>
  <c r="EY21" i="3"/>
  <c r="EX21" i="3"/>
  <c r="EW21" i="3"/>
  <c r="EV21" i="3"/>
  <c r="EU21" i="3"/>
  <c r="ET21" i="3"/>
  <c r="ES21" i="3"/>
  <c r="ER21" i="3"/>
  <c r="EQ21" i="3"/>
  <c r="EP21" i="3"/>
  <c r="EO21" i="3"/>
  <c r="EN21" i="3"/>
  <c r="EM21" i="3"/>
  <c r="EL21" i="3"/>
  <c r="EK21" i="3"/>
  <c r="EJ21" i="3"/>
  <c r="EI21" i="3"/>
  <c r="EH21" i="3"/>
  <c r="EG21" i="3"/>
  <c r="EF21" i="3"/>
  <c r="EE21" i="3"/>
  <c r="ED21" i="3"/>
  <c r="EC21" i="3"/>
  <c r="EB21" i="3"/>
  <c r="EA21" i="3"/>
  <c r="DZ21" i="3"/>
  <c r="DU21" i="3"/>
  <c r="DT21" i="3"/>
  <c r="DS21" i="3"/>
  <c r="DR21" i="3"/>
  <c r="DQ21" i="3"/>
  <c r="DP21" i="3"/>
  <c r="DO21" i="3"/>
  <c r="DN21" i="3"/>
  <c r="DM21" i="3"/>
  <c r="DM21" i="3" a="1"/>
  <c r="DK21" i="3"/>
  <c r="DJ21" i="3"/>
  <c r="DI21" i="3"/>
  <c r="DH21" i="3"/>
  <c r="DG21" i="3"/>
  <c r="DF21" i="3"/>
  <c r="DE21" i="3"/>
  <c r="DD21" i="3"/>
  <c r="DB21" i="3"/>
  <c r="DA21" i="3"/>
  <c r="CX21" i="3"/>
  <c r="CV21" i="3"/>
  <c r="CU21" i="3"/>
  <c r="CT21" i="3"/>
  <c r="CS21" i="3"/>
  <c r="CR21" i="3"/>
  <c r="CQ21" i="3"/>
  <c r="CP21" i="3"/>
  <c r="GJ21" i="3" s="1"/>
  <c r="GK21" i="3" s="1"/>
  <c r="CO21" i="3"/>
  <c r="CN21" i="3"/>
  <c r="DY21" i="3" s="1"/>
  <c r="CM21" i="3"/>
  <c r="DX21" i="3" s="1"/>
  <c r="CL21" i="3"/>
  <c r="DW21" i="3" s="1"/>
  <c r="CJ21" i="3"/>
  <c r="CY21" i="3" s="1"/>
  <c r="CI21" i="3"/>
  <c r="CG21" i="3"/>
  <c r="CG21" i="3" a="1"/>
  <c r="AW21" i="3"/>
  <c r="AV21" i="3"/>
  <c r="J21" i="3"/>
  <c r="G21" i="3"/>
  <c r="IU20" i="3"/>
  <c r="IT20" i="3"/>
  <c r="IS20" i="3"/>
  <c r="IR20" i="3"/>
  <c r="IQ20" i="3"/>
  <c r="IP20" i="3"/>
  <c r="HX20" i="3" a="1"/>
  <c r="HX20" i="3" s="1"/>
  <c r="IW20" i="3" s="1"/>
  <c r="HW20" i="3" a="1"/>
  <c r="HW20" i="3" s="1"/>
  <c r="IV20" i="3" s="1"/>
  <c r="HV20" i="3" a="1"/>
  <c r="HV20" i="3" s="1"/>
  <c r="HU20" i="3" a="1"/>
  <c r="HU20" i="3" s="1"/>
  <c r="HT20" i="3" a="1"/>
  <c r="HT20" i="3" s="1"/>
  <c r="HS20" i="3"/>
  <c r="HS20" i="3" a="1"/>
  <c r="HR20" i="3" a="1"/>
  <c r="HR20" i="3" s="1"/>
  <c r="HQ20" i="3" a="1"/>
  <c r="HQ20" i="3" s="1"/>
  <c r="HP20" i="3"/>
  <c r="IO20" i="3" s="1"/>
  <c r="HP20" i="3" a="1"/>
  <c r="HL20" i="3"/>
  <c r="HJ20" i="3"/>
  <c r="HI20" i="3"/>
  <c r="HH20" i="3"/>
  <c r="HB20" i="3"/>
  <c r="HA20" i="3"/>
  <c r="GZ20" i="3"/>
  <c r="GY20" i="3"/>
  <c r="GX20" i="3"/>
  <c r="GW20" i="3"/>
  <c r="GV20" i="3"/>
  <c r="GU20" i="3"/>
  <c r="GT20" i="3"/>
  <c r="GP20" i="3"/>
  <c r="GL20" i="3"/>
  <c r="GI20" i="3"/>
  <c r="GH20" i="3"/>
  <c r="GG20" i="3"/>
  <c r="GF20" i="3"/>
  <c r="GE20" i="3"/>
  <c r="GB20" i="3"/>
  <c r="GA20" i="3"/>
  <c r="FZ20" i="3"/>
  <c r="FY20" i="3"/>
  <c r="FW20" i="3"/>
  <c r="FV20" i="3"/>
  <c r="FU20" i="3"/>
  <c r="FT20" i="3"/>
  <c r="FS20" i="3"/>
  <c r="FR20" i="3"/>
  <c r="FQ20" i="3"/>
  <c r="FP20" i="3"/>
  <c r="FN20" i="3"/>
  <c r="FL20" i="3"/>
  <c r="FJ20" i="3"/>
  <c r="FM20" i="3" s="1"/>
  <c r="FI20" i="3"/>
  <c r="FH20" i="3"/>
  <c r="FK20" i="3" s="1"/>
  <c r="FG20" i="3"/>
  <c r="FF20" i="3"/>
  <c r="FE20" i="3"/>
  <c r="FO20" i="3" s="1"/>
  <c r="FD20" i="3"/>
  <c r="FB20" i="3"/>
  <c r="FA20" i="3"/>
  <c r="EZ20" i="3"/>
  <c r="EY20" i="3"/>
  <c r="EX20" i="3"/>
  <c r="EW20" i="3"/>
  <c r="EV20" i="3"/>
  <c r="EU20" i="3"/>
  <c r="ET20" i="3"/>
  <c r="ES20" i="3"/>
  <c r="ER20" i="3"/>
  <c r="EQ20" i="3"/>
  <c r="EP20" i="3"/>
  <c r="EO20" i="3"/>
  <c r="EN20" i="3"/>
  <c r="EM20" i="3"/>
  <c r="EL20" i="3"/>
  <c r="EK20" i="3"/>
  <c r="EJ20" i="3"/>
  <c r="EI20" i="3"/>
  <c r="EH20" i="3"/>
  <c r="EG20" i="3"/>
  <c r="EF20" i="3"/>
  <c r="EE20" i="3"/>
  <c r="ED20" i="3"/>
  <c r="EC20" i="3"/>
  <c r="EB20" i="3"/>
  <c r="EA20" i="3"/>
  <c r="DY20" i="3"/>
  <c r="DX20" i="3"/>
  <c r="DU20" i="3"/>
  <c r="DT20" i="3"/>
  <c r="DS20" i="3"/>
  <c r="DR20" i="3"/>
  <c r="DQ20" i="3"/>
  <c r="DP20" i="3"/>
  <c r="DO20" i="3"/>
  <c r="DN20" i="3"/>
  <c r="DM20" i="3" a="1"/>
  <c r="DM20" i="3" s="1"/>
  <c r="DL20" i="3"/>
  <c r="DK20" i="3"/>
  <c r="DJ20" i="3"/>
  <c r="DI20" i="3"/>
  <c r="DH20" i="3"/>
  <c r="DG20" i="3"/>
  <c r="DF20" i="3"/>
  <c r="DE20" i="3"/>
  <c r="DD20" i="3"/>
  <c r="DB20" i="3"/>
  <c r="DA20" i="3"/>
  <c r="CV20" i="3"/>
  <c r="CU20" i="3"/>
  <c r="CT20" i="3"/>
  <c r="CS20" i="3"/>
  <c r="GN20" i="3" s="1"/>
  <c r="CR20" i="3"/>
  <c r="GM20" i="3" s="1"/>
  <c r="CQ20" i="3"/>
  <c r="CP20" i="3"/>
  <c r="GJ20" i="3" s="1"/>
  <c r="GK20" i="3" s="1"/>
  <c r="CO20" i="3"/>
  <c r="DZ20" i="3" s="1"/>
  <c r="CN20" i="3"/>
  <c r="CM20" i="3"/>
  <c r="CL20" i="3"/>
  <c r="DW20" i="3" s="1"/>
  <c r="CI20" i="3"/>
  <c r="CX20" i="3" s="1"/>
  <c r="CG20" i="3" a="1"/>
  <c r="CG20" i="3" s="1"/>
  <c r="AW20" i="3"/>
  <c r="AV20" i="3"/>
  <c r="J20" i="3"/>
  <c r="G20" i="3"/>
  <c r="IO19" i="3"/>
  <c r="IM19" i="3"/>
  <c r="IL19" i="3"/>
  <c r="HX19" i="3"/>
  <c r="IW19" i="3" s="1"/>
  <c r="HX19" i="3" a="1"/>
  <c r="HW19" i="3"/>
  <c r="IV19" i="3" s="1"/>
  <c r="HW19" i="3" a="1"/>
  <c r="HV19" i="3"/>
  <c r="IU19" i="3" s="1"/>
  <c r="HV19" i="3" a="1"/>
  <c r="HU19" i="3"/>
  <c r="IT19" i="3" s="1"/>
  <c r="HU19" i="3" a="1"/>
  <c r="HT19" i="3"/>
  <c r="IS19" i="3" s="1"/>
  <c r="HT19" i="3" a="1"/>
  <c r="HS19" i="3"/>
  <c r="IR19" i="3" s="1"/>
  <c r="HS19" i="3" a="1"/>
  <c r="HR19" i="3"/>
  <c r="IQ19" i="3" s="1"/>
  <c r="HR19" i="3" a="1"/>
  <c r="HQ19" i="3"/>
  <c r="IP19" i="3" s="1"/>
  <c r="HQ19" i="3" a="1"/>
  <c r="HP19" i="3"/>
  <c r="HP19" i="3" a="1"/>
  <c r="HL19" i="3"/>
  <c r="HJ19" i="3"/>
  <c r="HH19" i="3"/>
  <c r="HC19" i="3"/>
  <c r="HB19" i="3"/>
  <c r="HA19" i="3"/>
  <c r="GZ19" i="3"/>
  <c r="GY19" i="3"/>
  <c r="GX19" i="3"/>
  <c r="GW19" i="3"/>
  <c r="GV19" i="3"/>
  <c r="GU19" i="3"/>
  <c r="GT19" i="3"/>
  <c r="GP19" i="3"/>
  <c r="GN19" i="3"/>
  <c r="GM19" i="3"/>
  <c r="GL19" i="3"/>
  <c r="GI19" i="3"/>
  <c r="GH19" i="3"/>
  <c r="GG19" i="3"/>
  <c r="GF19" i="3"/>
  <c r="GE19" i="3"/>
  <c r="GD19" i="3"/>
  <c r="GC19" i="3"/>
  <c r="GB19" i="3"/>
  <c r="GA19" i="3"/>
  <c r="FZ19" i="3"/>
  <c r="FY19" i="3"/>
  <c r="FX19" i="3"/>
  <c r="FW19" i="3"/>
  <c r="FV19" i="3"/>
  <c r="FU19" i="3"/>
  <c r="FT19" i="3"/>
  <c r="FS19" i="3"/>
  <c r="FR19" i="3"/>
  <c r="FQ19" i="3"/>
  <c r="FJ19" i="3"/>
  <c r="FI19" i="3"/>
  <c r="FH19" i="3"/>
  <c r="FG19" i="3"/>
  <c r="FF19" i="3"/>
  <c r="FE19" i="3"/>
  <c r="FD19" i="3"/>
  <c r="FC19" i="3"/>
  <c r="FB19" i="3"/>
  <c r="FA19" i="3"/>
  <c r="EZ19" i="3"/>
  <c r="EY19" i="3"/>
  <c r="EX19" i="3"/>
  <c r="EW19" i="3"/>
  <c r="EV19" i="3"/>
  <c r="EU19" i="3"/>
  <c r="ET19" i="3"/>
  <c r="ES19" i="3"/>
  <c r="ER19" i="3"/>
  <c r="EQ19" i="3"/>
  <c r="EP19" i="3"/>
  <c r="EO19" i="3"/>
  <c r="EN19" i="3"/>
  <c r="EM19" i="3"/>
  <c r="EL19" i="3"/>
  <c r="EK19" i="3"/>
  <c r="EJ19" i="3"/>
  <c r="EI19" i="3"/>
  <c r="EH19" i="3"/>
  <c r="EG19" i="3"/>
  <c r="EF19" i="3"/>
  <c r="EE19" i="3"/>
  <c r="ED19" i="3"/>
  <c r="EC19" i="3"/>
  <c r="EB19" i="3"/>
  <c r="EA19" i="3"/>
  <c r="DW19" i="3"/>
  <c r="DV19" i="3"/>
  <c r="DU19" i="3"/>
  <c r="DT19" i="3"/>
  <c r="DS19" i="3"/>
  <c r="DR19" i="3"/>
  <c r="DQ19" i="3"/>
  <c r="DP19" i="3"/>
  <c r="DO19" i="3"/>
  <c r="DN19" i="3"/>
  <c r="DM19" i="3" a="1"/>
  <c r="DM19" i="3" s="1"/>
  <c r="DL19" i="3"/>
  <c r="DK19" i="3"/>
  <c r="DJ19" i="3"/>
  <c r="DI19" i="3"/>
  <c r="DH19" i="3"/>
  <c r="DG19" i="3"/>
  <c r="DF19" i="3"/>
  <c r="DE19" i="3"/>
  <c r="DD19" i="3"/>
  <c r="DC19" i="3"/>
  <c r="DB19" i="3"/>
  <c r="DA19" i="3"/>
  <c r="CZ19" i="3"/>
  <c r="CW19" i="3"/>
  <c r="CV19" i="3"/>
  <c r="CU19" i="3"/>
  <c r="CT19" i="3"/>
  <c r="CS19" i="3"/>
  <c r="CR19" i="3"/>
  <c r="CQ19" i="3"/>
  <c r="CP19" i="3"/>
  <c r="GJ19" i="3" s="1"/>
  <c r="GK19" i="3" s="1"/>
  <c r="CO19" i="3"/>
  <c r="DZ19" i="3" s="1"/>
  <c r="CN19" i="3"/>
  <c r="DY19" i="3" s="1"/>
  <c r="CM19" i="3"/>
  <c r="DX19" i="3" s="1"/>
  <c r="CL19" i="3"/>
  <c r="CK19" i="3"/>
  <c r="CJ19" i="3"/>
  <c r="CY19" i="3" s="1"/>
  <c r="CI19" i="3"/>
  <c r="CX19" i="3" s="1"/>
  <c r="CG19" i="3"/>
  <c r="CH19" i="3" s="1"/>
  <c r="CG19" i="3" a="1"/>
  <c r="AX19" i="3"/>
  <c r="AW19" i="3"/>
  <c r="AV19" i="3"/>
  <c r="J19" i="3"/>
  <c r="HI19" i="3" s="1"/>
  <c r="G19" i="3"/>
  <c r="IV18" i="3"/>
  <c r="IU18" i="3"/>
  <c r="IS18" i="3"/>
  <c r="IL18" i="3"/>
  <c r="HX18" i="3"/>
  <c r="IW18" i="3" s="1"/>
  <c r="HX18" i="3" a="1"/>
  <c r="HW18" i="3"/>
  <c r="HW18" i="3" a="1"/>
  <c r="HV18" i="3"/>
  <c r="HV18" i="3" a="1"/>
  <c r="HU18" i="3"/>
  <c r="IT18" i="3" s="1"/>
  <c r="HU18" i="3" a="1"/>
  <c r="HT18" i="3"/>
  <c r="HT18" i="3" a="1"/>
  <c r="HS18" i="3" a="1"/>
  <c r="HS18" i="3" s="1"/>
  <c r="IR18" i="3" s="1"/>
  <c r="HR18" i="3" a="1"/>
  <c r="HR18" i="3" s="1"/>
  <c r="IQ18" i="3" s="1"/>
  <c r="HQ18" i="3"/>
  <c r="IP18" i="3" s="1"/>
  <c r="HQ18" i="3" a="1"/>
  <c r="HP18" i="3"/>
  <c r="IO18" i="3" s="1"/>
  <c r="HP18" i="3" a="1"/>
  <c r="HL18" i="3"/>
  <c r="HJ18" i="3"/>
  <c r="HH18" i="3"/>
  <c r="HB18" i="3"/>
  <c r="HA18" i="3"/>
  <c r="GZ18" i="3"/>
  <c r="GY18" i="3"/>
  <c r="GX18" i="3"/>
  <c r="GW18" i="3"/>
  <c r="HC18" i="3" s="1"/>
  <c r="GV18" i="3"/>
  <c r="GU18" i="3"/>
  <c r="GT18" i="3"/>
  <c r="GP18" i="3"/>
  <c r="GN18" i="3"/>
  <c r="GJ18" i="3"/>
  <c r="GK18" i="3" s="1"/>
  <c r="GI18" i="3"/>
  <c r="GH18" i="3"/>
  <c r="GG18" i="3"/>
  <c r="GF18" i="3"/>
  <c r="GE18" i="3"/>
  <c r="GD18" i="3"/>
  <c r="GC18" i="3"/>
  <c r="GB18" i="3"/>
  <c r="GA18" i="3"/>
  <c r="FZ18" i="3"/>
  <c r="FY18" i="3"/>
  <c r="FX18" i="3"/>
  <c r="FW18" i="3"/>
  <c r="FV18" i="3"/>
  <c r="FU18" i="3"/>
  <c r="FT18" i="3"/>
  <c r="FS18" i="3"/>
  <c r="FR18" i="3"/>
  <c r="FQ18" i="3"/>
  <c r="FN18" i="3"/>
  <c r="FK18" i="3"/>
  <c r="FJ18" i="3"/>
  <c r="FI18" i="3"/>
  <c r="FL18" i="3" s="1"/>
  <c r="FH18" i="3"/>
  <c r="FG18" i="3"/>
  <c r="FF18" i="3"/>
  <c r="FP18" i="3" s="1"/>
  <c r="FE18" i="3"/>
  <c r="FD18" i="3"/>
  <c r="FC18" i="3"/>
  <c r="FB18" i="3"/>
  <c r="FA18" i="3"/>
  <c r="EZ18" i="3"/>
  <c r="EY18" i="3"/>
  <c r="EX18" i="3"/>
  <c r="EW18" i="3"/>
  <c r="EV18" i="3"/>
  <c r="EU18" i="3"/>
  <c r="ET18" i="3"/>
  <c r="ES18" i="3"/>
  <c r="ER18" i="3"/>
  <c r="EQ18" i="3"/>
  <c r="EP18" i="3"/>
  <c r="EO18" i="3"/>
  <c r="EN18" i="3"/>
  <c r="EM18" i="3"/>
  <c r="EL18" i="3"/>
  <c r="EK18" i="3"/>
  <c r="EJ18" i="3"/>
  <c r="EI18" i="3"/>
  <c r="EH18" i="3"/>
  <c r="EG18" i="3"/>
  <c r="EF18" i="3"/>
  <c r="EE18" i="3"/>
  <c r="ED18" i="3"/>
  <c r="EC18" i="3"/>
  <c r="EB18" i="3"/>
  <c r="EA18" i="3"/>
  <c r="DY18" i="3"/>
  <c r="DW18" i="3"/>
  <c r="DV18" i="3"/>
  <c r="DU18" i="3"/>
  <c r="DT18" i="3"/>
  <c r="DS18" i="3"/>
  <c r="DR18" i="3"/>
  <c r="DQ18" i="3"/>
  <c r="DP18" i="3"/>
  <c r="DO18" i="3"/>
  <c r="DN18" i="3"/>
  <c r="DK18" i="3"/>
  <c r="DJ18" i="3"/>
  <c r="DI18" i="3"/>
  <c r="DH18" i="3"/>
  <c r="DG18" i="3"/>
  <c r="DF18" i="3"/>
  <c r="DE18" i="3"/>
  <c r="DD18" i="3"/>
  <c r="DC18" i="3"/>
  <c r="DB18" i="3"/>
  <c r="DA18" i="3"/>
  <c r="CV18" i="3"/>
  <c r="CU18" i="3"/>
  <c r="CT18" i="3"/>
  <c r="CS18" i="3"/>
  <c r="CR18" i="3"/>
  <c r="GM18" i="3" s="1"/>
  <c r="CQ18" i="3"/>
  <c r="GL18" i="3" s="1"/>
  <c r="CP18" i="3"/>
  <c r="CO18" i="3"/>
  <c r="DZ18" i="3" s="1"/>
  <c r="CN18" i="3"/>
  <c r="CM18" i="3"/>
  <c r="DX18" i="3" s="1"/>
  <c r="CL18" i="3"/>
  <c r="CI18" i="3"/>
  <c r="CX18" i="3" s="1"/>
  <c r="CG18" i="3"/>
  <c r="CG18" i="3" a="1"/>
  <c r="AW18" i="3"/>
  <c r="AV18" i="3"/>
  <c r="J18" i="3"/>
  <c r="HI18" i="3" s="1"/>
  <c r="G18" i="3"/>
  <c r="IV17" i="3"/>
  <c r="IO17" i="3"/>
  <c r="IL17" i="3"/>
  <c r="HX17" i="3" a="1"/>
  <c r="HX17" i="3" s="1"/>
  <c r="IW17" i="3" s="1"/>
  <c r="HW17" i="3" a="1"/>
  <c r="HW17" i="3" s="1"/>
  <c r="HV17" i="3" a="1"/>
  <c r="HV17" i="3" s="1"/>
  <c r="IU17" i="3" s="1"/>
  <c r="HU17" i="3" a="1"/>
  <c r="HU17" i="3" s="1"/>
  <c r="IT17" i="3" s="1"/>
  <c r="HT17" i="3"/>
  <c r="IS17" i="3" s="1"/>
  <c r="HT17" i="3" a="1"/>
  <c r="HS17" i="3"/>
  <c r="IR17" i="3" s="1"/>
  <c r="HS17" i="3" a="1"/>
  <c r="HR17" i="3"/>
  <c r="IQ17" i="3" s="1"/>
  <c r="HR17" i="3" a="1"/>
  <c r="HQ17" i="3" a="1"/>
  <c r="HQ17" i="3" s="1"/>
  <c r="IP17" i="3" s="1"/>
  <c r="HP17" i="3" a="1"/>
  <c r="HP17" i="3" s="1"/>
  <c r="HL17" i="3"/>
  <c r="HJ17" i="3"/>
  <c r="HI17" i="3"/>
  <c r="HH17" i="3"/>
  <c r="HB17" i="3"/>
  <c r="HA17" i="3"/>
  <c r="GZ17" i="3"/>
  <c r="GY17" i="3"/>
  <c r="GX17" i="3"/>
  <c r="GW17" i="3"/>
  <c r="GV17" i="3"/>
  <c r="GU17" i="3"/>
  <c r="GT17" i="3"/>
  <c r="HC17" i="3" s="1"/>
  <c r="GP17" i="3"/>
  <c r="GI17" i="3"/>
  <c r="GH17" i="3"/>
  <c r="GG17" i="3"/>
  <c r="GF17" i="3"/>
  <c r="GE17" i="3"/>
  <c r="GD17" i="3"/>
  <c r="GC17" i="3"/>
  <c r="GB17" i="3"/>
  <c r="GA17" i="3"/>
  <c r="FZ17" i="3"/>
  <c r="FY17" i="3"/>
  <c r="FX17" i="3"/>
  <c r="FW17" i="3"/>
  <c r="FV17" i="3"/>
  <c r="FU17" i="3"/>
  <c r="FT17" i="3"/>
  <c r="FS17" i="3"/>
  <c r="FR17" i="3"/>
  <c r="FQ17" i="3"/>
  <c r="FJ17" i="3"/>
  <c r="FI17" i="3"/>
  <c r="FL17" i="3" s="1"/>
  <c r="FH17" i="3"/>
  <c r="FG17" i="3"/>
  <c r="FO17" i="3" s="1"/>
  <c r="FF17" i="3"/>
  <c r="FE17" i="3"/>
  <c r="FD17" i="3"/>
  <c r="FC17" i="3"/>
  <c r="FB17" i="3"/>
  <c r="FA17" i="3"/>
  <c r="EZ17" i="3"/>
  <c r="EY17" i="3"/>
  <c r="EX17" i="3"/>
  <c r="EW17" i="3"/>
  <c r="EV17" i="3"/>
  <c r="EU17" i="3"/>
  <c r="ET17" i="3"/>
  <c r="ES17" i="3"/>
  <c r="ER17" i="3"/>
  <c r="EQ17" i="3"/>
  <c r="EP17" i="3"/>
  <c r="EO17" i="3"/>
  <c r="EN17" i="3"/>
  <c r="EM17" i="3"/>
  <c r="EL17" i="3"/>
  <c r="EK17" i="3"/>
  <c r="EJ17" i="3"/>
  <c r="EI17" i="3"/>
  <c r="EH17" i="3"/>
  <c r="EG17" i="3"/>
  <c r="EF17" i="3"/>
  <c r="EE17" i="3"/>
  <c r="ED17" i="3"/>
  <c r="EC17" i="3"/>
  <c r="EB17" i="3"/>
  <c r="EA17" i="3"/>
  <c r="DW17" i="3"/>
  <c r="DV17" i="3"/>
  <c r="DU17" i="3"/>
  <c r="DT17" i="3"/>
  <c r="DS17" i="3"/>
  <c r="DR17" i="3"/>
  <c r="DQ17" i="3"/>
  <c r="DP17" i="3"/>
  <c r="DO17" i="3"/>
  <c r="DN17" i="3"/>
  <c r="DK17" i="3"/>
  <c r="DJ17" i="3"/>
  <c r="DI17" i="3"/>
  <c r="DH17" i="3"/>
  <c r="DG17" i="3"/>
  <c r="DF17" i="3"/>
  <c r="DE17" i="3"/>
  <c r="DD17" i="3"/>
  <c r="DC17" i="3"/>
  <c r="DB17" i="3"/>
  <c r="DA17" i="3"/>
  <c r="CV17" i="3"/>
  <c r="CU17" i="3"/>
  <c r="CT17" i="3"/>
  <c r="CS17" i="3"/>
  <c r="GN17" i="3" s="1"/>
  <c r="CR17" i="3"/>
  <c r="GM17" i="3" s="1"/>
  <c r="CQ17" i="3"/>
  <c r="GL17" i="3" s="1"/>
  <c r="CP17" i="3"/>
  <c r="GJ17" i="3" s="1"/>
  <c r="GK17" i="3" s="1"/>
  <c r="CO17" i="3"/>
  <c r="DZ17" i="3" s="1"/>
  <c r="CN17" i="3"/>
  <c r="DY17" i="3" s="1"/>
  <c r="CM17" i="3"/>
  <c r="DX17" i="3" s="1"/>
  <c r="CL17" i="3"/>
  <c r="CG17" i="3" a="1"/>
  <c r="CG17" i="3" s="1"/>
  <c r="AW17" i="3"/>
  <c r="AV17" i="3"/>
  <c r="J17" i="3"/>
  <c r="G17" i="3"/>
  <c r="IW16" i="3"/>
  <c r="IL16" i="3"/>
  <c r="HX16" i="3"/>
  <c r="HX16" i="3" a="1"/>
  <c r="HW16" i="3"/>
  <c r="IV16" i="3" s="1"/>
  <c r="HW16" i="3" a="1"/>
  <c r="HV16" i="3"/>
  <c r="IU16" i="3" s="1"/>
  <c r="HV16" i="3" a="1"/>
  <c r="HU16" i="3" a="1"/>
  <c r="HU16" i="3" s="1"/>
  <c r="IT16" i="3" s="1"/>
  <c r="HT16" i="3" a="1"/>
  <c r="HT16" i="3" s="1"/>
  <c r="IS16" i="3" s="1"/>
  <c r="HS16" i="3"/>
  <c r="IR16" i="3" s="1"/>
  <c r="HS16" i="3" a="1"/>
  <c r="HR16" i="3"/>
  <c r="IQ16" i="3" s="1"/>
  <c r="HR16" i="3" a="1"/>
  <c r="HQ16" i="3"/>
  <c r="IP16" i="3" s="1"/>
  <c r="HQ16" i="3" a="1"/>
  <c r="HP16" i="3"/>
  <c r="IO16" i="3" s="1"/>
  <c r="HP16" i="3" a="1"/>
  <c r="HL16" i="3"/>
  <c r="HJ16" i="3"/>
  <c r="HI16" i="3"/>
  <c r="HH16" i="3"/>
  <c r="HB16" i="3"/>
  <c r="HA16" i="3"/>
  <c r="GZ16" i="3"/>
  <c r="GY16" i="3"/>
  <c r="GX16" i="3"/>
  <c r="GW16" i="3"/>
  <c r="GV16" i="3"/>
  <c r="GU16" i="3"/>
  <c r="GT16" i="3"/>
  <c r="GP16" i="3"/>
  <c r="GN16" i="3"/>
  <c r="GL16" i="3"/>
  <c r="GK16" i="3"/>
  <c r="GJ16" i="3"/>
  <c r="GI16" i="3"/>
  <c r="GH16" i="3"/>
  <c r="GG16" i="3"/>
  <c r="GF16" i="3"/>
  <c r="GE16" i="3"/>
  <c r="GD16" i="3"/>
  <c r="GC16" i="3"/>
  <c r="GB16" i="3"/>
  <c r="GA16" i="3"/>
  <c r="FZ16" i="3"/>
  <c r="FY16" i="3"/>
  <c r="FX16" i="3"/>
  <c r="FW16" i="3"/>
  <c r="FV16" i="3"/>
  <c r="FU16" i="3"/>
  <c r="FT16" i="3"/>
  <c r="FS16" i="3"/>
  <c r="FR16" i="3"/>
  <c r="FQ16" i="3"/>
  <c r="FP16" i="3"/>
  <c r="FN16" i="3"/>
  <c r="FM16" i="3"/>
  <c r="FL16" i="3"/>
  <c r="FK16" i="3"/>
  <c r="FJ16" i="3"/>
  <c r="FI16" i="3"/>
  <c r="FH16" i="3"/>
  <c r="FG16" i="3"/>
  <c r="FF16" i="3"/>
  <c r="FE16" i="3"/>
  <c r="FD16" i="3"/>
  <c r="FC16" i="3"/>
  <c r="FB16" i="3"/>
  <c r="FA16" i="3"/>
  <c r="EZ16" i="3"/>
  <c r="EY16" i="3"/>
  <c r="EX16" i="3"/>
  <c r="EW16" i="3"/>
  <c r="EV16" i="3"/>
  <c r="EU16" i="3"/>
  <c r="ET16" i="3"/>
  <c r="ES16" i="3"/>
  <c r="ER16" i="3"/>
  <c r="EQ16" i="3"/>
  <c r="EP16" i="3"/>
  <c r="EO16" i="3"/>
  <c r="EN16" i="3"/>
  <c r="EM16" i="3"/>
  <c r="EL16" i="3"/>
  <c r="EK16" i="3"/>
  <c r="EJ16" i="3"/>
  <c r="EI16" i="3"/>
  <c r="EH16" i="3"/>
  <c r="EG16" i="3"/>
  <c r="EF16" i="3"/>
  <c r="EE16" i="3"/>
  <c r="ED16" i="3"/>
  <c r="EC16" i="3"/>
  <c r="EB16" i="3"/>
  <c r="EA16" i="3"/>
  <c r="DW16" i="3"/>
  <c r="DV16" i="3"/>
  <c r="DU16" i="3"/>
  <c r="DT16" i="3"/>
  <c r="DS16" i="3"/>
  <c r="DR16" i="3"/>
  <c r="DQ16" i="3"/>
  <c r="DP16" i="3"/>
  <c r="DO16" i="3"/>
  <c r="DN16" i="3"/>
  <c r="DK16" i="3"/>
  <c r="DJ16" i="3"/>
  <c r="DI16" i="3"/>
  <c r="DH16" i="3"/>
  <c r="DG16" i="3"/>
  <c r="DF16" i="3"/>
  <c r="DE16" i="3"/>
  <c r="DD16" i="3"/>
  <c r="DC16" i="3"/>
  <c r="DB16" i="3"/>
  <c r="DA16" i="3"/>
  <c r="CV16" i="3"/>
  <c r="CU16" i="3"/>
  <c r="CT16" i="3"/>
  <c r="CS16" i="3"/>
  <c r="CR16" i="3"/>
  <c r="GM16" i="3" s="1"/>
  <c r="CQ16" i="3"/>
  <c r="CP16" i="3"/>
  <c r="CO16" i="3"/>
  <c r="DZ16" i="3" s="1"/>
  <c r="CN16" i="3"/>
  <c r="DY16" i="3" s="1"/>
  <c r="CM16" i="3"/>
  <c r="DX16" i="3" s="1"/>
  <c r="CL16" i="3"/>
  <c r="CG16" i="3" a="1"/>
  <c r="CG16" i="3" s="1"/>
  <c r="AW16" i="3"/>
  <c r="AX16" i="3" s="1"/>
  <c r="AV16" i="3"/>
  <c r="J16" i="3"/>
  <c r="G16" i="3"/>
  <c r="IW15" i="3"/>
  <c r="IP15" i="3"/>
  <c r="IN15" i="3"/>
  <c r="IX15" i="3" s="1"/>
  <c r="HX15" i="3" a="1"/>
  <c r="HX15" i="3" s="1"/>
  <c r="HW15" i="3" a="1"/>
  <c r="HW15" i="3" s="1"/>
  <c r="IV15" i="3" s="1"/>
  <c r="HV15" i="3" a="1"/>
  <c r="HV15" i="3" s="1"/>
  <c r="IU15" i="3" s="1"/>
  <c r="HU15" i="3" a="1"/>
  <c r="HU15" i="3" s="1"/>
  <c r="IT15" i="3" s="1"/>
  <c r="HT15" i="3" a="1"/>
  <c r="HT15" i="3" s="1"/>
  <c r="IS15" i="3" s="1"/>
  <c r="HS15" i="3"/>
  <c r="IR15" i="3" s="1"/>
  <c r="HS15" i="3" a="1"/>
  <c r="HR15" i="3" a="1"/>
  <c r="HR15" i="3" s="1"/>
  <c r="IQ15" i="3" s="1"/>
  <c r="HQ15" i="3" a="1"/>
  <c r="HQ15" i="3" s="1"/>
  <c r="HP15" i="3"/>
  <c r="IO15" i="3" s="1"/>
  <c r="HP15" i="3" a="1"/>
  <c r="HL15" i="3"/>
  <c r="HJ15" i="3"/>
  <c r="HH15" i="3"/>
  <c r="HI15" i="3" s="1"/>
  <c r="HB15" i="3"/>
  <c r="HA15" i="3"/>
  <c r="GZ15" i="3"/>
  <c r="GY15" i="3"/>
  <c r="GX15" i="3"/>
  <c r="GW15" i="3"/>
  <c r="GV15" i="3"/>
  <c r="GU15" i="3"/>
  <c r="GT15" i="3"/>
  <c r="GP15" i="3"/>
  <c r="GM15" i="3"/>
  <c r="GL15" i="3"/>
  <c r="GK15" i="3"/>
  <c r="GJ15" i="3"/>
  <c r="GI15" i="3"/>
  <c r="GH15" i="3"/>
  <c r="GG15" i="3"/>
  <c r="GF15" i="3"/>
  <c r="GE15" i="3"/>
  <c r="GB15" i="3"/>
  <c r="GA15" i="3"/>
  <c r="FZ15" i="3"/>
  <c r="FY15" i="3"/>
  <c r="FW15" i="3"/>
  <c r="FV15" i="3"/>
  <c r="FU15" i="3"/>
  <c r="FT15" i="3"/>
  <c r="FS15" i="3"/>
  <c r="FR15" i="3"/>
  <c r="FQ15" i="3"/>
  <c r="FP15" i="3"/>
  <c r="FL15" i="3"/>
  <c r="FJ15" i="3"/>
  <c r="FM15" i="3" s="1"/>
  <c r="FI15" i="3"/>
  <c r="FH15" i="3"/>
  <c r="FK15" i="3" s="1"/>
  <c r="FG15" i="3"/>
  <c r="FF15" i="3"/>
  <c r="FE15" i="3"/>
  <c r="FD15" i="3"/>
  <c r="FB15" i="3"/>
  <c r="FA15" i="3"/>
  <c r="EZ15" i="3"/>
  <c r="EY15" i="3"/>
  <c r="EX15" i="3"/>
  <c r="EW15" i="3"/>
  <c r="EV15" i="3"/>
  <c r="EU15" i="3"/>
  <c r="ET15" i="3"/>
  <c r="ES15" i="3"/>
  <c r="ER15" i="3"/>
  <c r="EQ15" i="3"/>
  <c r="EP15" i="3"/>
  <c r="EO15" i="3"/>
  <c r="EN15" i="3"/>
  <c r="EM15" i="3"/>
  <c r="EL15" i="3"/>
  <c r="EK15" i="3"/>
  <c r="EJ15" i="3"/>
  <c r="EI15" i="3"/>
  <c r="EH15" i="3"/>
  <c r="EG15" i="3"/>
  <c r="EF15" i="3"/>
  <c r="EE15" i="3"/>
  <c r="ED15" i="3"/>
  <c r="EC15" i="3"/>
  <c r="EB15" i="3"/>
  <c r="EA15" i="3"/>
  <c r="DY15" i="3"/>
  <c r="DW15" i="3"/>
  <c r="DU15" i="3"/>
  <c r="DT15" i="3"/>
  <c r="DS15" i="3"/>
  <c r="DR15" i="3"/>
  <c r="DQ15" i="3"/>
  <c r="DP15" i="3"/>
  <c r="DO15" i="3"/>
  <c r="DN15" i="3"/>
  <c r="DL15" i="3"/>
  <c r="DK15" i="3"/>
  <c r="DJ15" i="3"/>
  <c r="DI15" i="3"/>
  <c r="DH15" i="3"/>
  <c r="DG15" i="3"/>
  <c r="DF15" i="3"/>
  <c r="DE15" i="3"/>
  <c r="DD15" i="3"/>
  <c r="DB15" i="3"/>
  <c r="DA15" i="3"/>
  <c r="CV15" i="3"/>
  <c r="CU15" i="3"/>
  <c r="CT15" i="3"/>
  <c r="CS15" i="3"/>
  <c r="GN15" i="3" s="1"/>
  <c r="CR15" i="3"/>
  <c r="CQ15" i="3"/>
  <c r="CP15" i="3"/>
  <c r="CO15" i="3"/>
  <c r="DZ15" i="3" s="1"/>
  <c r="CN15" i="3"/>
  <c r="CM15" i="3"/>
  <c r="DX15" i="3" s="1"/>
  <c r="CL15" i="3"/>
  <c r="CI15" i="3"/>
  <c r="CX15" i="3" s="1"/>
  <c r="CH15" i="3"/>
  <c r="CW15" i="3" s="1"/>
  <c r="CG15" i="3" a="1"/>
  <c r="CG15" i="3" s="1"/>
  <c r="AW15" i="3"/>
  <c r="AV15" i="3"/>
  <c r="J15" i="3"/>
  <c r="G15" i="3"/>
  <c r="IW14" i="3"/>
  <c r="IU14" i="3"/>
  <c r="IO14" i="3"/>
  <c r="IN14" i="3"/>
  <c r="IX14" i="3" s="1"/>
  <c r="IM14" i="3"/>
  <c r="IL14" i="3"/>
  <c r="HX14" i="3" a="1"/>
  <c r="HX14" i="3" s="1"/>
  <c r="HW14" i="3" a="1"/>
  <c r="HW14" i="3" s="1"/>
  <c r="IV14" i="3" s="1"/>
  <c r="HV14" i="3"/>
  <c r="HV14" i="3" a="1"/>
  <c r="HU14" i="3"/>
  <c r="IT14" i="3" s="1"/>
  <c r="HU14" i="3" a="1"/>
  <c r="HT14" i="3" a="1"/>
  <c r="HT14" i="3" s="1"/>
  <c r="IS14" i="3" s="1"/>
  <c r="HS14" i="3" a="1"/>
  <c r="HS14" i="3" s="1"/>
  <c r="IR14" i="3" s="1"/>
  <c r="HR14" i="3" a="1"/>
  <c r="HR14" i="3" s="1"/>
  <c r="IQ14" i="3" s="1"/>
  <c r="HQ14" i="3" a="1"/>
  <c r="HQ14" i="3" s="1"/>
  <c r="IP14" i="3" s="1"/>
  <c r="HP14" i="3"/>
  <c r="HP14" i="3" a="1"/>
  <c r="HL14" i="3"/>
  <c r="HJ14" i="3"/>
  <c r="HI14" i="3"/>
  <c r="HH14" i="3"/>
  <c r="HB14" i="3"/>
  <c r="HA14" i="3"/>
  <c r="GZ14" i="3"/>
  <c r="GY14" i="3"/>
  <c r="GX14" i="3"/>
  <c r="GW14" i="3"/>
  <c r="GV14" i="3"/>
  <c r="GU14" i="3"/>
  <c r="GT14" i="3"/>
  <c r="HC14" i="3" s="1"/>
  <c r="GP14" i="3"/>
  <c r="GN14" i="3"/>
  <c r="GM14" i="3"/>
  <c r="GL14" i="3"/>
  <c r="GK14" i="3"/>
  <c r="GI14" i="3"/>
  <c r="GH14" i="3"/>
  <c r="GG14" i="3"/>
  <c r="GF14" i="3"/>
  <c r="GE14" i="3"/>
  <c r="GD14" i="3"/>
  <c r="GC14" i="3"/>
  <c r="GB14" i="3"/>
  <c r="GA14" i="3"/>
  <c r="FZ14" i="3"/>
  <c r="FY14" i="3"/>
  <c r="FX14" i="3"/>
  <c r="FW14" i="3"/>
  <c r="FV14" i="3"/>
  <c r="FU14" i="3"/>
  <c r="FT14" i="3"/>
  <c r="FS14" i="3"/>
  <c r="FR14" i="3"/>
  <c r="FQ14" i="3"/>
  <c r="FJ14" i="3"/>
  <c r="FM14" i="3" s="1"/>
  <c r="FI14" i="3"/>
  <c r="FH14" i="3"/>
  <c r="FG14" i="3"/>
  <c r="FF14" i="3"/>
  <c r="FP14" i="3" s="1"/>
  <c r="FE14" i="3"/>
  <c r="FD14" i="3"/>
  <c r="FC14" i="3"/>
  <c r="FB14" i="3"/>
  <c r="FA14" i="3"/>
  <c r="EZ14" i="3"/>
  <c r="EY14" i="3"/>
  <c r="EX14" i="3"/>
  <c r="EW14" i="3"/>
  <c r="EV14" i="3"/>
  <c r="EU14" i="3"/>
  <c r="ET14" i="3"/>
  <c r="ES14" i="3"/>
  <c r="ER14" i="3"/>
  <c r="EQ14" i="3"/>
  <c r="EP14" i="3"/>
  <c r="EO14" i="3"/>
  <c r="EN14" i="3"/>
  <c r="EM14" i="3"/>
  <c r="EL14" i="3"/>
  <c r="EK14" i="3"/>
  <c r="EJ14" i="3"/>
  <c r="EI14" i="3"/>
  <c r="EH14" i="3"/>
  <c r="EG14" i="3"/>
  <c r="EF14" i="3"/>
  <c r="EE14" i="3"/>
  <c r="ED14" i="3"/>
  <c r="EC14" i="3"/>
  <c r="EB14" i="3"/>
  <c r="EA14" i="3"/>
  <c r="DZ14" i="3"/>
  <c r="DV14" i="3"/>
  <c r="DU14" i="3"/>
  <c r="DT14" i="3"/>
  <c r="DS14" i="3"/>
  <c r="DR14" i="3"/>
  <c r="DQ14" i="3"/>
  <c r="DP14" i="3"/>
  <c r="DO14" i="3"/>
  <c r="DN14" i="3"/>
  <c r="DM14" i="3"/>
  <c r="DM14" i="3" a="1"/>
  <c r="DL14" i="3"/>
  <c r="DK14" i="3"/>
  <c r="DJ14" i="3"/>
  <c r="DI14" i="3"/>
  <c r="DH14" i="3"/>
  <c r="DG14" i="3"/>
  <c r="DF14" i="3"/>
  <c r="DE14" i="3"/>
  <c r="DD14" i="3"/>
  <c r="DC14" i="3"/>
  <c r="DB14" i="3"/>
  <c r="DA14" i="3"/>
  <c r="CY14" i="3"/>
  <c r="CX14" i="3"/>
  <c r="CW14" i="3"/>
  <c r="CV14" i="3"/>
  <c r="CU14" i="3"/>
  <c r="CT14" i="3"/>
  <c r="CS14" i="3"/>
  <c r="CR14" i="3"/>
  <c r="CQ14" i="3"/>
  <c r="CP14" i="3"/>
  <c r="GJ14" i="3" s="1"/>
  <c r="CO14" i="3"/>
  <c r="CN14" i="3"/>
  <c r="DY14" i="3" s="1"/>
  <c r="CM14" i="3"/>
  <c r="DX14" i="3" s="1"/>
  <c r="CL14" i="3"/>
  <c r="DW14" i="3" s="1"/>
  <c r="CK14" i="3"/>
  <c r="CZ14" i="3" s="1"/>
  <c r="CJ14" i="3"/>
  <c r="CH14" i="3"/>
  <c r="CG14" i="3"/>
  <c r="CI14" i="3" s="1"/>
  <c r="CG14" i="3" a="1"/>
  <c r="AX14" i="3"/>
  <c r="AW14" i="3"/>
  <c r="AV14" i="3"/>
  <c r="J14" i="3"/>
  <c r="G14" i="3"/>
  <c r="IX13" i="3"/>
  <c r="IN13" i="3"/>
  <c r="IM13" i="3"/>
  <c r="HX13" i="3" a="1"/>
  <c r="HX13" i="3" s="1"/>
  <c r="IW13" i="3" s="1"/>
  <c r="HW13" i="3"/>
  <c r="IV13" i="3" s="1"/>
  <c r="HW13" i="3" a="1"/>
  <c r="HV13" i="3"/>
  <c r="IU13" i="3" s="1"/>
  <c r="HV13" i="3" a="1"/>
  <c r="HU13" i="3" a="1"/>
  <c r="HU13" i="3" s="1"/>
  <c r="IT13" i="3" s="1"/>
  <c r="HT13" i="3" a="1"/>
  <c r="HT13" i="3" s="1"/>
  <c r="IS13" i="3" s="1"/>
  <c r="HS13" i="3"/>
  <c r="IR13" i="3" s="1"/>
  <c r="HS13" i="3" a="1"/>
  <c r="HR13" i="3" a="1"/>
  <c r="HR13" i="3" s="1"/>
  <c r="IQ13" i="3" s="1"/>
  <c r="HQ13" i="3" a="1"/>
  <c r="HQ13" i="3" s="1"/>
  <c r="IP13" i="3" s="1"/>
  <c r="HP13" i="3" a="1"/>
  <c r="HP13" i="3" s="1"/>
  <c r="IO13" i="3" s="1"/>
  <c r="HL13" i="3"/>
  <c r="HJ13" i="3"/>
  <c r="HH13" i="3"/>
  <c r="HB13" i="3"/>
  <c r="HA13" i="3"/>
  <c r="GZ13" i="3"/>
  <c r="GY13" i="3"/>
  <c r="GX13" i="3"/>
  <c r="GW13" i="3"/>
  <c r="GV13" i="3"/>
  <c r="GU13" i="3"/>
  <c r="GT13" i="3"/>
  <c r="GP13" i="3"/>
  <c r="GN13" i="3"/>
  <c r="GM13" i="3"/>
  <c r="GL13" i="3"/>
  <c r="GK13" i="3"/>
  <c r="GI13" i="3"/>
  <c r="GH13" i="3"/>
  <c r="GG13" i="3"/>
  <c r="GF13" i="3"/>
  <c r="GE13" i="3"/>
  <c r="GB13" i="3"/>
  <c r="GA13" i="3"/>
  <c r="FZ13" i="3"/>
  <c r="FY13" i="3"/>
  <c r="FW13" i="3"/>
  <c r="FV13" i="3"/>
  <c r="FU13" i="3"/>
  <c r="FT13" i="3"/>
  <c r="FS13" i="3"/>
  <c r="FR13" i="3"/>
  <c r="FQ13" i="3"/>
  <c r="FP13" i="3"/>
  <c r="FN13" i="3"/>
  <c r="FL13" i="3"/>
  <c r="FK13" i="3"/>
  <c r="FJ13" i="3"/>
  <c r="FM13" i="3" s="1"/>
  <c r="FI13" i="3"/>
  <c r="FH13" i="3"/>
  <c r="FG13" i="3"/>
  <c r="FO13" i="3" s="1"/>
  <c r="FF13" i="3"/>
  <c r="FE13" i="3"/>
  <c r="FD13" i="3"/>
  <c r="FB13" i="3"/>
  <c r="FA13" i="3"/>
  <c r="EZ13" i="3"/>
  <c r="EY13" i="3"/>
  <c r="EX13" i="3"/>
  <c r="EW13" i="3"/>
  <c r="EV13" i="3"/>
  <c r="EU13" i="3"/>
  <c r="ET13" i="3"/>
  <c r="ES13" i="3"/>
  <c r="ER13" i="3"/>
  <c r="EQ13" i="3"/>
  <c r="EP13" i="3"/>
  <c r="EO13" i="3"/>
  <c r="EN13" i="3"/>
  <c r="EM13" i="3"/>
  <c r="EL13" i="3"/>
  <c r="EK13" i="3"/>
  <c r="EJ13" i="3"/>
  <c r="EI13" i="3"/>
  <c r="EH13" i="3"/>
  <c r="EG13" i="3"/>
  <c r="EF13" i="3"/>
  <c r="EE13" i="3"/>
  <c r="ED13" i="3"/>
  <c r="EC13" i="3"/>
  <c r="EB13" i="3"/>
  <c r="EA13" i="3"/>
  <c r="DY13" i="3"/>
  <c r="DU13" i="3"/>
  <c r="DT13" i="3"/>
  <c r="DS13" i="3"/>
  <c r="DR13" i="3"/>
  <c r="DQ13" i="3"/>
  <c r="DP13" i="3"/>
  <c r="DO13" i="3"/>
  <c r="DN13" i="3"/>
  <c r="DM13" i="3" a="1"/>
  <c r="DM13" i="3" s="1"/>
  <c r="DK13" i="3"/>
  <c r="DJ13" i="3"/>
  <c r="DI13" i="3"/>
  <c r="DH13" i="3"/>
  <c r="DG13" i="3"/>
  <c r="DF13" i="3"/>
  <c r="DE13" i="3"/>
  <c r="DD13" i="3"/>
  <c r="DB13" i="3"/>
  <c r="DA13" i="3"/>
  <c r="CX13" i="3"/>
  <c r="CV13" i="3"/>
  <c r="CU13" i="3"/>
  <c r="CT13" i="3"/>
  <c r="CS13" i="3"/>
  <c r="CR13" i="3"/>
  <c r="CQ13" i="3"/>
  <c r="CP13" i="3"/>
  <c r="GJ13" i="3" s="1"/>
  <c r="CO13" i="3"/>
  <c r="DZ13" i="3" s="1"/>
  <c r="CN13" i="3"/>
  <c r="CM13" i="3"/>
  <c r="DX13" i="3" s="1"/>
  <c r="CL13" i="3"/>
  <c r="DW13" i="3" s="1"/>
  <c r="CK13" i="3"/>
  <c r="CZ13" i="3" s="1"/>
  <c r="CJ13" i="3"/>
  <c r="CY13" i="3" s="1"/>
  <c r="CI13" i="3"/>
  <c r="CH13" i="3"/>
  <c r="CW13" i="3" s="1"/>
  <c r="CG13" i="3"/>
  <c r="DL13" i="3" s="1"/>
  <c r="CG13" i="3" a="1"/>
  <c r="AW13" i="3"/>
  <c r="AV13" i="3"/>
  <c r="J13" i="3"/>
  <c r="HI13" i="3" s="1"/>
  <c r="G13" i="3"/>
  <c r="IV12" i="3"/>
  <c r="IL12" i="3"/>
  <c r="HX12" i="3" a="1"/>
  <c r="HX12" i="3" s="1"/>
  <c r="IW12" i="3" s="1"/>
  <c r="HW12" i="3" a="1"/>
  <c r="HW12" i="3" s="1"/>
  <c r="HV12" i="3"/>
  <c r="IU12" i="3" s="1"/>
  <c r="HV12" i="3" a="1"/>
  <c r="HU12" i="3"/>
  <c r="IT12" i="3" s="1"/>
  <c r="HU12" i="3" a="1"/>
  <c r="HT12" i="3"/>
  <c r="IS12" i="3" s="1"/>
  <c r="HT12" i="3" a="1"/>
  <c r="HS12" i="3"/>
  <c r="IR12" i="3" s="1"/>
  <c r="HS12" i="3" a="1"/>
  <c r="HR12" i="3" a="1"/>
  <c r="HR12" i="3" s="1"/>
  <c r="IQ12" i="3" s="1"/>
  <c r="HQ12" i="3" a="1"/>
  <c r="HQ12" i="3" s="1"/>
  <c r="IP12" i="3" s="1"/>
  <c r="HP12" i="3" a="1"/>
  <c r="HP12" i="3" s="1"/>
  <c r="IO12" i="3" s="1"/>
  <c r="HL12" i="3"/>
  <c r="HJ12" i="3"/>
  <c r="HI12" i="3"/>
  <c r="HH12" i="3"/>
  <c r="HB12" i="3"/>
  <c r="HA12" i="3"/>
  <c r="GZ12" i="3"/>
  <c r="GY12" i="3"/>
  <c r="GX12" i="3"/>
  <c r="GW12" i="3"/>
  <c r="GV12" i="3"/>
  <c r="HC12" i="3" s="1"/>
  <c r="GU12" i="3"/>
  <c r="GT12" i="3"/>
  <c r="GP12" i="3"/>
  <c r="GL12" i="3"/>
  <c r="GI12" i="3"/>
  <c r="GH12" i="3"/>
  <c r="GG12" i="3"/>
  <c r="GF12" i="3"/>
  <c r="GE12" i="3"/>
  <c r="GD12" i="3"/>
  <c r="GC12" i="3"/>
  <c r="GB12" i="3"/>
  <c r="GA12" i="3"/>
  <c r="FZ12" i="3"/>
  <c r="FY12" i="3"/>
  <c r="FX12" i="3"/>
  <c r="FW12" i="3"/>
  <c r="FV12" i="3"/>
  <c r="FU12" i="3"/>
  <c r="FT12" i="3"/>
  <c r="FS12" i="3"/>
  <c r="FR12" i="3"/>
  <c r="FQ12" i="3"/>
  <c r="FP12" i="3"/>
  <c r="FM12" i="3"/>
  <c r="FL12" i="3"/>
  <c r="FJ12" i="3"/>
  <c r="FI12" i="3"/>
  <c r="FH12" i="3"/>
  <c r="FG12" i="3"/>
  <c r="FF12" i="3"/>
  <c r="FE12" i="3"/>
  <c r="FD12" i="3"/>
  <c r="FC12" i="3"/>
  <c r="FB12" i="3"/>
  <c r="FA12" i="3"/>
  <c r="EZ12" i="3"/>
  <c r="EY12" i="3"/>
  <c r="EX12" i="3"/>
  <c r="EW12" i="3"/>
  <c r="EV12" i="3"/>
  <c r="EU12" i="3"/>
  <c r="ET12" i="3"/>
  <c r="ES12" i="3"/>
  <c r="ER12" i="3"/>
  <c r="EQ12" i="3"/>
  <c r="EP12" i="3"/>
  <c r="EO12" i="3"/>
  <c r="EN12" i="3"/>
  <c r="EM12" i="3"/>
  <c r="EL12" i="3"/>
  <c r="EK12" i="3"/>
  <c r="EJ12" i="3"/>
  <c r="EI12" i="3"/>
  <c r="EH12" i="3"/>
  <c r="EG12" i="3"/>
  <c r="EF12" i="3"/>
  <c r="EE12" i="3"/>
  <c r="ED12" i="3"/>
  <c r="EC12" i="3"/>
  <c r="EB12" i="3"/>
  <c r="EA12" i="3"/>
  <c r="DZ12" i="3"/>
  <c r="DY12" i="3"/>
  <c r="DX12" i="3"/>
  <c r="DV12" i="3"/>
  <c r="DU12" i="3"/>
  <c r="DT12" i="3"/>
  <c r="DS12" i="3"/>
  <c r="DR12" i="3"/>
  <c r="DQ12" i="3"/>
  <c r="DP12" i="3"/>
  <c r="DO12" i="3"/>
  <c r="DN12" i="3"/>
  <c r="DK12" i="3"/>
  <c r="DJ12" i="3"/>
  <c r="DI12" i="3"/>
  <c r="DH12" i="3"/>
  <c r="DG12" i="3"/>
  <c r="DF12" i="3"/>
  <c r="DE12" i="3"/>
  <c r="DD12" i="3"/>
  <c r="DC12" i="3"/>
  <c r="DB12" i="3"/>
  <c r="DA12" i="3"/>
  <c r="CV12" i="3"/>
  <c r="CU12" i="3"/>
  <c r="CT12" i="3"/>
  <c r="CS12" i="3"/>
  <c r="GN12" i="3" s="1"/>
  <c r="CR12" i="3"/>
  <c r="GM12" i="3" s="1"/>
  <c r="CQ12" i="3"/>
  <c r="CP12" i="3"/>
  <c r="GJ12" i="3" s="1"/>
  <c r="GK12" i="3" s="1"/>
  <c r="CO12" i="3"/>
  <c r="CN12" i="3"/>
  <c r="CM12" i="3"/>
  <c r="CL12" i="3"/>
  <c r="DW12" i="3" s="1"/>
  <c r="CG12" i="3" a="1"/>
  <c r="CG12" i="3" s="1"/>
  <c r="AX12" i="3"/>
  <c r="AW12" i="3"/>
  <c r="AV12" i="3"/>
  <c r="J12" i="3"/>
  <c r="G12" i="3"/>
  <c r="IV11" i="3"/>
  <c r="IP11" i="3"/>
  <c r="HX11" i="3"/>
  <c r="IW11" i="3" s="1"/>
  <c r="HX11" i="3" a="1"/>
  <c r="HW11" i="3"/>
  <c r="HW11" i="3" a="1"/>
  <c r="HV11" i="3"/>
  <c r="IU11" i="3" s="1"/>
  <c r="HV11" i="3" a="1"/>
  <c r="HU11" i="3"/>
  <c r="IT11" i="3" s="1"/>
  <c r="HU11" i="3" a="1"/>
  <c r="HT11" i="3" a="1"/>
  <c r="HT11" i="3" s="1"/>
  <c r="IS11" i="3" s="1"/>
  <c r="HS11" i="3" a="1"/>
  <c r="HS11" i="3" s="1"/>
  <c r="IR11" i="3" s="1"/>
  <c r="HR11" i="3" a="1"/>
  <c r="HR11" i="3" s="1"/>
  <c r="IQ11" i="3" s="1"/>
  <c r="HQ11" i="3" a="1"/>
  <c r="HQ11" i="3" s="1"/>
  <c r="HP11" i="3" a="1"/>
  <c r="HP11" i="3" s="1"/>
  <c r="IO11" i="3" s="1"/>
  <c r="HL11" i="3"/>
  <c r="HJ11" i="3"/>
  <c r="HH11" i="3"/>
  <c r="HB11" i="3"/>
  <c r="HA11" i="3"/>
  <c r="GZ11" i="3"/>
  <c r="GY11" i="3"/>
  <c r="GX11" i="3"/>
  <c r="GW11" i="3"/>
  <c r="GV11" i="3"/>
  <c r="GU11" i="3"/>
  <c r="GT11" i="3"/>
  <c r="GP11" i="3"/>
  <c r="GN11" i="3"/>
  <c r="GJ11" i="3"/>
  <c r="GK11" i="3" s="1"/>
  <c r="GI11" i="3"/>
  <c r="GH11" i="3"/>
  <c r="GG11" i="3"/>
  <c r="GF11" i="3"/>
  <c r="GE11" i="3"/>
  <c r="GB11" i="3"/>
  <c r="GA11" i="3"/>
  <c r="FZ11" i="3"/>
  <c r="FY11" i="3"/>
  <c r="FW11" i="3"/>
  <c r="FV11" i="3"/>
  <c r="FU11" i="3"/>
  <c r="FT11" i="3"/>
  <c r="FS11" i="3"/>
  <c r="FR11" i="3"/>
  <c r="FQ11" i="3"/>
  <c r="FP11" i="3"/>
  <c r="FM11" i="3"/>
  <c r="FJ11" i="3"/>
  <c r="FI11" i="3"/>
  <c r="FH11" i="3"/>
  <c r="FK11" i="3" s="1"/>
  <c r="FG11" i="3"/>
  <c r="FF11" i="3"/>
  <c r="FE11" i="3"/>
  <c r="FD11" i="3"/>
  <c r="FB11" i="3"/>
  <c r="FA11" i="3"/>
  <c r="EZ11" i="3"/>
  <c r="EY11" i="3"/>
  <c r="EX11" i="3"/>
  <c r="EW11" i="3"/>
  <c r="EV11" i="3"/>
  <c r="EU11" i="3"/>
  <c r="ET11" i="3"/>
  <c r="ES11" i="3"/>
  <c r="ER11" i="3"/>
  <c r="EQ11" i="3"/>
  <c r="EP11" i="3"/>
  <c r="EO11" i="3"/>
  <c r="EN11" i="3"/>
  <c r="EM11" i="3"/>
  <c r="EL11" i="3"/>
  <c r="EK11" i="3"/>
  <c r="EJ11" i="3"/>
  <c r="EI11" i="3"/>
  <c r="EH11" i="3"/>
  <c r="EG11" i="3"/>
  <c r="EF11" i="3"/>
  <c r="EE11" i="3"/>
  <c r="ED11" i="3"/>
  <c r="EC11" i="3"/>
  <c r="EB11" i="3"/>
  <c r="EA11" i="3"/>
  <c r="DU11" i="3"/>
  <c r="DT11" i="3"/>
  <c r="DS11" i="3"/>
  <c r="DR11" i="3"/>
  <c r="DQ11" i="3"/>
  <c r="DP11" i="3"/>
  <c r="DO11" i="3"/>
  <c r="DN11" i="3"/>
  <c r="DL11" i="3"/>
  <c r="DK11" i="3"/>
  <c r="DJ11" i="3"/>
  <c r="DI11" i="3"/>
  <c r="DH11" i="3"/>
  <c r="DG11" i="3"/>
  <c r="DF11" i="3"/>
  <c r="DE11" i="3"/>
  <c r="DD11" i="3"/>
  <c r="DB11" i="3"/>
  <c r="DA11" i="3"/>
  <c r="CV11" i="3"/>
  <c r="CU11" i="3"/>
  <c r="CT11" i="3"/>
  <c r="CS11" i="3"/>
  <c r="CR11" i="3"/>
  <c r="GM11" i="3" s="1"/>
  <c r="CQ11" i="3"/>
  <c r="GL11" i="3" s="1"/>
  <c r="CP11" i="3"/>
  <c r="CO11" i="3"/>
  <c r="DZ11" i="3" s="1"/>
  <c r="CN11" i="3"/>
  <c r="DY11" i="3" s="1"/>
  <c r="CM11" i="3"/>
  <c r="DX11" i="3" s="1"/>
  <c r="CL11" i="3"/>
  <c r="DW11" i="3" s="1"/>
  <c r="CG11" i="3" a="1"/>
  <c r="CG11" i="3" s="1"/>
  <c r="AW11" i="3"/>
  <c r="AV11" i="3"/>
  <c r="J11" i="3"/>
  <c r="G11" i="3"/>
  <c r="IV9" i="15"/>
  <c r="IP9" i="15"/>
  <c r="IN9" i="15"/>
  <c r="IX9" i="15" s="1"/>
  <c r="IL9" i="15"/>
  <c r="HX9" i="15"/>
  <c r="IW9" i="15" s="1"/>
  <c r="HX9" i="15" a="1"/>
  <c r="HW9" i="15" a="1"/>
  <c r="HW9" i="15" s="1"/>
  <c r="HV9" i="15" a="1"/>
  <c r="HV9" i="15" s="1"/>
  <c r="IU9" i="15" s="1"/>
  <c r="HU9" i="15" a="1"/>
  <c r="HU9" i="15" s="1"/>
  <c r="IT9" i="15" s="1"/>
  <c r="HT9" i="15" a="1"/>
  <c r="HT9" i="15" s="1"/>
  <c r="IS9" i="15" s="1"/>
  <c r="HS9" i="15"/>
  <c r="HS9" i="15" a="1"/>
  <c r="HR9" i="15"/>
  <c r="IQ9" i="15" s="1"/>
  <c r="HR9" i="15" a="1"/>
  <c r="HQ9" i="15"/>
  <c r="HQ9" i="15" a="1"/>
  <c r="HP9" i="15" a="1"/>
  <c r="HP9" i="15" s="1"/>
  <c r="IO9" i="15" s="1"/>
  <c r="HL9" i="15"/>
  <c r="HJ9" i="15"/>
  <c r="HH9" i="15"/>
  <c r="HI9" i="15" s="1"/>
  <c r="HB9" i="15"/>
  <c r="HA9" i="15"/>
  <c r="GZ9" i="15"/>
  <c r="GY9" i="15"/>
  <c r="GX9" i="15"/>
  <c r="GW9" i="15"/>
  <c r="GV9" i="15"/>
  <c r="GU9" i="15"/>
  <c r="GT9" i="15"/>
  <c r="GP9" i="15"/>
  <c r="GN9" i="15"/>
  <c r="GM9" i="15"/>
  <c r="GL9" i="15"/>
  <c r="GI9" i="15"/>
  <c r="GH9" i="15"/>
  <c r="GG9" i="15"/>
  <c r="GF9" i="15"/>
  <c r="GE9" i="15"/>
  <c r="GD9" i="15"/>
  <c r="GC9" i="15"/>
  <c r="GB9" i="15"/>
  <c r="GA9" i="15"/>
  <c r="FZ9" i="15"/>
  <c r="FY9" i="15"/>
  <c r="FX9" i="15"/>
  <c r="FW9" i="15"/>
  <c r="FV9" i="15"/>
  <c r="FU9" i="15"/>
  <c r="FT9" i="15"/>
  <c r="FS9" i="15"/>
  <c r="FR9" i="15"/>
  <c r="FQ9" i="15"/>
  <c r="FP9" i="15"/>
  <c r="FN9" i="15"/>
  <c r="FM9" i="15"/>
  <c r="FJ9" i="15"/>
  <c r="FI9" i="15"/>
  <c r="FL9" i="15" s="1"/>
  <c r="FH9" i="15"/>
  <c r="FK9" i="15" s="1"/>
  <c r="FG9" i="15"/>
  <c r="FF9" i="15"/>
  <c r="FE9" i="15"/>
  <c r="FD9" i="15"/>
  <c r="FC9" i="15"/>
  <c r="FB9" i="15"/>
  <c r="FA9" i="15"/>
  <c r="EZ9" i="15"/>
  <c r="EY9" i="15"/>
  <c r="EX9" i="15"/>
  <c r="EW9" i="15"/>
  <c r="EV9" i="15"/>
  <c r="EU9" i="15"/>
  <c r="ET9" i="15"/>
  <c r="ES9" i="15"/>
  <c r="ER9" i="15"/>
  <c r="EQ9" i="15"/>
  <c r="EP9" i="15"/>
  <c r="EO9" i="15"/>
  <c r="EN9" i="15"/>
  <c r="EM9" i="15"/>
  <c r="EL9" i="15"/>
  <c r="EK9" i="15"/>
  <c r="EJ9" i="15"/>
  <c r="EI9" i="15"/>
  <c r="EH9" i="15"/>
  <c r="EG9" i="15"/>
  <c r="EF9" i="15"/>
  <c r="EE9" i="15"/>
  <c r="ED9" i="15"/>
  <c r="EC9" i="15"/>
  <c r="EB9" i="15"/>
  <c r="EA9" i="15"/>
  <c r="DX9" i="15"/>
  <c r="DW9" i="15"/>
  <c r="DV9" i="15"/>
  <c r="DU9" i="15"/>
  <c r="DT9" i="15"/>
  <c r="DS9" i="15"/>
  <c r="DR9" i="15"/>
  <c r="DQ9" i="15"/>
  <c r="DP9" i="15"/>
  <c r="DO9" i="15"/>
  <c r="DN9" i="15"/>
  <c r="DL9" i="15"/>
  <c r="DK9" i="15"/>
  <c r="DJ9" i="15"/>
  <c r="DI9" i="15"/>
  <c r="DH9" i="15"/>
  <c r="DG9" i="15"/>
  <c r="DF9" i="15"/>
  <c r="DE9" i="15"/>
  <c r="DD9" i="15"/>
  <c r="DC9" i="15"/>
  <c r="DB9" i="15"/>
  <c r="DA9" i="15"/>
  <c r="CV9" i="15"/>
  <c r="CU9" i="15"/>
  <c r="CT9" i="15"/>
  <c r="CS9" i="15"/>
  <c r="CR9" i="15"/>
  <c r="CQ9" i="15"/>
  <c r="CP9" i="15"/>
  <c r="GJ9" i="15" s="1"/>
  <c r="GK9" i="15" s="1"/>
  <c r="CO9" i="15"/>
  <c r="DZ9" i="15" s="1"/>
  <c r="CN9" i="15"/>
  <c r="DY9" i="15" s="1"/>
  <c r="CM9" i="15"/>
  <c r="CL9" i="15"/>
  <c r="CJ9" i="15"/>
  <c r="CY9" i="15" s="1"/>
  <c r="CI9" i="15"/>
  <c r="CX9" i="15" s="1"/>
  <c r="CG9" i="15" a="1"/>
  <c r="CG9" i="15" s="1"/>
  <c r="AW9" i="15"/>
  <c r="AV9" i="15"/>
  <c r="J9" i="15"/>
  <c r="G9" i="15"/>
  <c r="IW8" i="15"/>
  <c r="IS8" i="15"/>
  <c r="IO8" i="15"/>
  <c r="HX8" i="15" a="1"/>
  <c r="HX8" i="15" s="1"/>
  <c r="HW8" i="15"/>
  <c r="IV8" i="15" s="1"/>
  <c r="HW8" i="15" a="1"/>
  <c r="HV8" i="15"/>
  <c r="IU8" i="15" s="1"/>
  <c r="HV8" i="15" a="1"/>
  <c r="HU8" i="15" a="1"/>
  <c r="HU8" i="15" s="1"/>
  <c r="IT8" i="15" s="1"/>
  <c r="HT8" i="15" a="1"/>
  <c r="HT8" i="15" s="1"/>
  <c r="HS8" i="15" a="1"/>
  <c r="HS8" i="15" s="1"/>
  <c r="IR8" i="15" s="1"/>
  <c r="HR8" i="15"/>
  <c r="IQ8" i="15" s="1"/>
  <c r="HR8" i="15" a="1"/>
  <c r="HQ8" i="15"/>
  <c r="IP8" i="15" s="1"/>
  <c r="HQ8" i="15" a="1"/>
  <c r="HP8" i="15"/>
  <c r="HP8" i="15" a="1"/>
  <c r="HL8" i="15"/>
  <c r="HJ8" i="15"/>
  <c r="HH8" i="15"/>
  <c r="HB8" i="15"/>
  <c r="HA8" i="15"/>
  <c r="GZ8" i="15"/>
  <c r="GY8" i="15"/>
  <c r="GX8" i="15"/>
  <c r="GW8" i="15"/>
  <c r="GV8" i="15"/>
  <c r="GU8" i="15"/>
  <c r="GT8" i="15"/>
  <c r="GP8" i="15"/>
  <c r="GL8" i="15"/>
  <c r="GK8" i="15"/>
  <c r="GI8" i="15"/>
  <c r="GH8" i="15"/>
  <c r="GG8" i="15"/>
  <c r="GF8" i="15"/>
  <c r="GE8" i="15"/>
  <c r="GB8" i="15"/>
  <c r="GA8" i="15"/>
  <c r="FZ8" i="15"/>
  <c r="FY8" i="15"/>
  <c r="FW8" i="15"/>
  <c r="FV8" i="15"/>
  <c r="FU8" i="15"/>
  <c r="FT8" i="15"/>
  <c r="FS8" i="15"/>
  <c r="FR8" i="15"/>
  <c r="FQ8" i="15"/>
  <c r="FJ8" i="15"/>
  <c r="FI8" i="15"/>
  <c r="FH8" i="15"/>
  <c r="FG8" i="15"/>
  <c r="FF8" i="15"/>
  <c r="FE8" i="15"/>
  <c r="FD8" i="15"/>
  <c r="FB8" i="15"/>
  <c r="FA8" i="15"/>
  <c r="EZ8" i="15"/>
  <c r="EY8" i="15"/>
  <c r="EX8" i="15"/>
  <c r="EW8" i="15"/>
  <c r="EV8" i="15"/>
  <c r="EU8" i="15"/>
  <c r="ET8" i="15"/>
  <c r="ES8" i="15"/>
  <c r="ER8" i="15"/>
  <c r="EQ8" i="15"/>
  <c r="EP8" i="15"/>
  <c r="EO8" i="15"/>
  <c r="EN8" i="15"/>
  <c r="EM8" i="15"/>
  <c r="EL8" i="15"/>
  <c r="EK8" i="15"/>
  <c r="EJ8" i="15"/>
  <c r="EI8" i="15"/>
  <c r="EH8" i="15"/>
  <c r="EG8" i="15"/>
  <c r="EF8" i="15"/>
  <c r="EE8" i="15"/>
  <c r="ED8" i="15"/>
  <c r="EC8" i="15"/>
  <c r="EB8" i="15"/>
  <c r="EA8" i="15"/>
  <c r="DZ8" i="15"/>
  <c r="DW8" i="15"/>
  <c r="DU8" i="15"/>
  <c r="DT8" i="15"/>
  <c r="DS8" i="15"/>
  <c r="DR8" i="15"/>
  <c r="DQ8" i="15"/>
  <c r="DP8" i="15"/>
  <c r="DO8" i="15"/>
  <c r="DN8" i="15"/>
  <c r="DK8" i="15"/>
  <c r="DJ8" i="15"/>
  <c r="DI8" i="15"/>
  <c r="DH8" i="15"/>
  <c r="DG8" i="15"/>
  <c r="DF8" i="15"/>
  <c r="DE8" i="15"/>
  <c r="DD8" i="15"/>
  <c r="DB8" i="15"/>
  <c r="DA8" i="15"/>
  <c r="CV8" i="15"/>
  <c r="CU8" i="15"/>
  <c r="CT8" i="15"/>
  <c r="CS8" i="15"/>
  <c r="GN8" i="15" s="1"/>
  <c r="CR8" i="15"/>
  <c r="GM8" i="15" s="1"/>
  <c r="CQ8" i="15"/>
  <c r="CP8" i="15"/>
  <c r="GJ8" i="15" s="1"/>
  <c r="CO8" i="15"/>
  <c r="CN8" i="15"/>
  <c r="DY8" i="15" s="1"/>
  <c r="CM8" i="15"/>
  <c r="DX8" i="15" s="1"/>
  <c r="CL8" i="15"/>
  <c r="CJ8" i="15"/>
  <c r="CY8" i="15" s="1"/>
  <c r="CG8" i="15" a="1"/>
  <c r="CG8" i="15" s="1"/>
  <c r="AW8" i="15"/>
  <c r="AV8" i="15"/>
  <c r="J8" i="15"/>
  <c r="HI8" i="15" s="1"/>
  <c r="G8" i="15"/>
  <c r="IR7" i="15"/>
  <c r="IQ7" i="15"/>
  <c r="HX7" i="15" a="1"/>
  <c r="HX7" i="15" s="1"/>
  <c r="IW7" i="15" s="1"/>
  <c r="HW7" i="15" a="1"/>
  <c r="HW7" i="15" s="1"/>
  <c r="IV7" i="15" s="1"/>
  <c r="HV7" i="15" a="1"/>
  <c r="HV7" i="15" s="1"/>
  <c r="IU7" i="15" s="1"/>
  <c r="HU7" i="15" a="1"/>
  <c r="HU7" i="15" s="1"/>
  <c r="IT7" i="15" s="1"/>
  <c r="HT7" i="15"/>
  <c r="IS7" i="15" s="1"/>
  <c r="HT7" i="15" a="1"/>
  <c r="HS7" i="15"/>
  <c r="HS7" i="15" a="1"/>
  <c r="HR7" i="15" a="1"/>
  <c r="HR7" i="15" s="1"/>
  <c r="HQ7" i="15" a="1"/>
  <c r="HQ7" i="15" s="1"/>
  <c r="IP7" i="15" s="1"/>
  <c r="HP7" i="15"/>
  <c r="IO7" i="15" s="1"/>
  <c r="HP7" i="15" a="1"/>
  <c r="HL7" i="15"/>
  <c r="HJ7" i="15"/>
  <c r="HI7" i="15"/>
  <c r="HH7" i="15"/>
  <c r="HB7" i="15"/>
  <c r="HA7" i="15"/>
  <c r="GZ7" i="15"/>
  <c r="GY7" i="15"/>
  <c r="GX7" i="15"/>
  <c r="GW7" i="15"/>
  <c r="GV7" i="15"/>
  <c r="GU7" i="15"/>
  <c r="GT7" i="15"/>
  <c r="HC7" i="15" s="1"/>
  <c r="GP7" i="15"/>
  <c r="GN7" i="15"/>
  <c r="GM7" i="15"/>
  <c r="GL7" i="15"/>
  <c r="GI7" i="15"/>
  <c r="GH7" i="15"/>
  <c r="GG7" i="15"/>
  <c r="GF7" i="15"/>
  <c r="GE7" i="15"/>
  <c r="GB7" i="15"/>
  <c r="GA7" i="15"/>
  <c r="FZ7" i="15"/>
  <c r="FY7" i="15"/>
  <c r="FW7" i="15"/>
  <c r="FV7" i="15"/>
  <c r="FU7" i="15"/>
  <c r="FT7" i="15"/>
  <c r="FS7" i="15"/>
  <c r="FR7" i="15"/>
  <c r="FQ7" i="15"/>
  <c r="FN7" i="15"/>
  <c r="FL7" i="15"/>
  <c r="FK7" i="15"/>
  <c r="FJ7" i="15"/>
  <c r="FI7" i="15"/>
  <c r="FH7" i="15"/>
  <c r="FG7" i="15"/>
  <c r="FF7" i="15"/>
  <c r="FP7" i="15" s="1"/>
  <c r="FE7" i="15"/>
  <c r="FD7" i="15"/>
  <c r="FB7" i="15"/>
  <c r="FA7" i="15"/>
  <c r="EZ7" i="15"/>
  <c r="EY7" i="15"/>
  <c r="EX7" i="15"/>
  <c r="EW7" i="15"/>
  <c r="EV7" i="15"/>
  <c r="EU7" i="15"/>
  <c r="ET7" i="15"/>
  <c r="ES7" i="15"/>
  <c r="ER7" i="15"/>
  <c r="EQ7" i="15"/>
  <c r="EP7" i="15"/>
  <c r="EO7" i="15"/>
  <c r="EN7" i="15"/>
  <c r="EM7" i="15"/>
  <c r="EL7" i="15"/>
  <c r="EK7" i="15"/>
  <c r="EJ7" i="15"/>
  <c r="EI7" i="15"/>
  <c r="EH7" i="15"/>
  <c r="EG7" i="15"/>
  <c r="EF7" i="15"/>
  <c r="EE7" i="15"/>
  <c r="ED7" i="15"/>
  <c r="EC7" i="15"/>
  <c r="EB7" i="15"/>
  <c r="EA7" i="15"/>
  <c r="DZ7" i="15"/>
  <c r="DU7" i="15"/>
  <c r="DT7" i="15"/>
  <c r="DS7" i="15"/>
  <c r="DR7" i="15"/>
  <c r="DQ7" i="15"/>
  <c r="DP7" i="15"/>
  <c r="DO7" i="15"/>
  <c r="DN7" i="15"/>
  <c r="DK7" i="15"/>
  <c r="DJ7" i="15"/>
  <c r="DI7" i="15"/>
  <c r="DH7" i="15"/>
  <c r="DG7" i="15"/>
  <c r="DF7" i="15"/>
  <c r="DE7" i="15"/>
  <c r="DD7" i="15"/>
  <c r="DB7" i="15"/>
  <c r="DA7" i="15"/>
  <c r="CV7" i="15"/>
  <c r="CU7" i="15"/>
  <c r="CT7" i="15"/>
  <c r="CS7" i="15"/>
  <c r="CR7" i="15"/>
  <c r="CQ7" i="15"/>
  <c r="CP7" i="15"/>
  <c r="GJ7" i="15" s="1"/>
  <c r="GK7" i="15" s="1"/>
  <c r="CO7" i="15"/>
  <c r="CN7" i="15"/>
  <c r="DY7" i="15" s="1"/>
  <c r="CM7" i="15"/>
  <c r="DX7" i="15" s="1"/>
  <c r="CL7" i="15"/>
  <c r="DW7" i="15" s="1"/>
  <c r="CG7" i="15" a="1"/>
  <c r="CG7" i="15" s="1"/>
  <c r="AW7" i="15"/>
  <c r="AV7" i="15"/>
  <c r="J7" i="15"/>
  <c r="G7" i="15"/>
  <c r="HX10" i="3" a="1"/>
  <c r="HX10" i="3" s="1"/>
  <c r="IW10" i="3" s="1"/>
  <c r="HW10" i="3"/>
  <c r="IV10" i="3" s="1"/>
  <c r="HW10" i="3" a="1"/>
  <c r="HV10" i="3"/>
  <c r="IU10" i="3" s="1"/>
  <c r="HV10" i="3" a="1"/>
  <c r="HU10" i="3" a="1"/>
  <c r="HU10" i="3" s="1"/>
  <c r="IT10" i="3" s="1"/>
  <c r="HT10" i="3" a="1"/>
  <c r="HT10" i="3" s="1"/>
  <c r="IS10" i="3" s="1"/>
  <c r="HS10" i="3" a="1"/>
  <c r="HS10" i="3" s="1"/>
  <c r="IR10" i="3" s="1"/>
  <c r="HR10" i="3" a="1"/>
  <c r="HR10" i="3" s="1"/>
  <c r="IQ10" i="3" s="1"/>
  <c r="HQ10" i="3" a="1"/>
  <c r="HQ10" i="3" s="1"/>
  <c r="IP10" i="3" s="1"/>
  <c r="HP10" i="3" a="1"/>
  <c r="HP10" i="3" s="1"/>
  <c r="IO10" i="3" s="1"/>
  <c r="HL10" i="3"/>
  <c r="HJ10" i="3"/>
  <c r="HH10" i="3"/>
  <c r="HB10" i="3"/>
  <c r="HA10" i="3"/>
  <c r="GZ10" i="3"/>
  <c r="GY10" i="3"/>
  <c r="GX10" i="3"/>
  <c r="GW10" i="3"/>
  <c r="GV10" i="3"/>
  <c r="GU10" i="3"/>
  <c r="GT10" i="3"/>
  <c r="GP10" i="3"/>
  <c r="GK10" i="3"/>
  <c r="GI10" i="3"/>
  <c r="GH10" i="3"/>
  <c r="GG10" i="3"/>
  <c r="GF10" i="3"/>
  <c r="GE10" i="3"/>
  <c r="GB10" i="3"/>
  <c r="GA10" i="3"/>
  <c r="FZ10" i="3"/>
  <c r="FY10" i="3"/>
  <c r="FW10" i="3"/>
  <c r="FV10" i="3"/>
  <c r="FU10" i="3"/>
  <c r="FT10" i="3"/>
  <c r="FS10" i="3"/>
  <c r="FR10" i="3"/>
  <c r="FQ10" i="3"/>
  <c r="FO10" i="3"/>
  <c r="FN10" i="3"/>
  <c r="FL10" i="3"/>
  <c r="FJ10" i="3"/>
  <c r="FI10" i="3"/>
  <c r="FH10" i="3"/>
  <c r="FK10" i="3" s="1"/>
  <c r="FG10" i="3"/>
  <c r="FF10" i="3"/>
  <c r="FP10" i="3" s="1"/>
  <c r="FE10" i="3"/>
  <c r="FD10" i="3"/>
  <c r="FB10" i="3"/>
  <c r="FA10" i="3"/>
  <c r="EZ10" i="3"/>
  <c r="EY10" i="3"/>
  <c r="EX10" i="3"/>
  <c r="EW10" i="3"/>
  <c r="EV10" i="3"/>
  <c r="EU10" i="3"/>
  <c r="ET10" i="3"/>
  <c r="ES10" i="3"/>
  <c r="ER10" i="3"/>
  <c r="EQ10" i="3"/>
  <c r="EP10" i="3"/>
  <c r="EO10" i="3"/>
  <c r="EN10" i="3"/>
  <c r="EM10" i="3"/>
  <c r="EL10" i="3"/>
  <c r="EK10" i="3"/>
  <c r="EJ10" i="3"/>
  <c r="EI10" i="3"/>
  <c r="EH10" i="3"/>
  <c r="EG10" i="3"/>
  <c r="EF10" i="3"/>
  <c r="EE10" i="3"/>
  <c r="ED10" i="3"/>
  <c r="EC10" i="3"/>
  <c r="EB10" i="3"/>
  <c r="EA10" i="3"/>
  <c r="DW10" i="3"/>
  <c r="DU10" i="3"/>
  <c r="DT10" i="3"/>
  <c r="DS10" i="3"/>
  <c r="DR10" i="3"/>
  <c r="DQ10" i="3"/>
  <c r="DP10" i="3"/>
  <c r="DO10" i="3"/>
  <c r="DN10" i="3"/>
  <c r="DK10" i="3"/>
  <c r="DJ10" i="3"/>
  <c r="DI10" i="3"/>
  <c r="DH10" i="3"/>
  <c r="DG10" i="3"/>
  <c r="DF10" i="3"/>
  <c r="DE10" i="3"/>
  <c r="DD10" i="3"/>
  <c r="DB10" i="3"/>
  <c r="DA10" i="3"/>
  <c r="CV10" i="3"/>
  <c r="CU10" i="3"/>
  <c r="CT10" i="3"/>
  <c r="CS10" i="3"/>
  <c r="GN10" i="3" s="1"/>
  <c r="CR10" i="3"/>
  <c r="GM10" i="3" s="1"/>
  <c r="CQ10" i="3"/>
  <c r="GL10" i="3" s="1"/>
  <c r="CP10" i="3"/>
  <c r="GJ10" i="3" s="1"/>
  <c r="CO10" i="3"/>
  <c r="DZ10" i="3" s="1"/>
  <c r="CN10" i="3"/>
  <c r="DY10" i="3" s="1"/>
  <c r="CM10" i="3"/>
  <c r="DX10" i="3" s="1"/>
  <c r="CL10" i="3"/>
  <c r="CG10" i="3" a="1"/>
  <c r="CG10" i="3" s="1"/>
  <c r="AW10" i="3"/>
  <c r="AV10" i="3"/>
  <c r="J10" i="3"/>
  <c r="HI10" i="3" s="1"/>
  <c r="G10" i="3"/>
  <c r="IP9" i="3"/>
  <c r="IO9" i="3"/>
  <c r="IN9" i="3"/>
  <c r="IX9" i="3" s="1"/>
  <c r="IM9" i="3"/>
  <c r="IL9" i="3"/>
  <c r="HX9" i="3"/>
  <c r="IW9" i="3" s="1"/>
  <c r="HX9" i="3" a="1"/>
  <c r="HW9" i="3" a="1"/>
  <c r="HW9" i="3" s="1"/>
  <c r="IV9" i="3" s="1"/>
  <c r="HV9" i="3"/>
  <c r="IU9" i="3" s="1"/>
  <c r="HV9" i="3" a="1"/>
  <c r="HU9" i="3" a="1"/>
  <c r="HU9" i="3" s="1"/>
  <c r="IT9" i="3" s="1"/>
  <c r="HT9" i="3" a="1"/>
  <c r="HT9" i="3" s="1"/>
  <c r="IS9" i="3" s="1"/>
  <c r="HS9" i="3"/>
  <c r="IR9" i="3" s="1"/>
  <c r="HS9" i="3" a="1"/>
  <c r="HR9" i="3"/>
  <c r="IQ9" i="3" s="1"/>
  <c r="HR9" i="3" a="1"/>
  <c r="HQ9" i="3" a="1"/>
  <c r="HQ9" i="3" s="1"/>
  <c r="HP9" i="3"/>
  <c r="HP9" i="3" a="1"/>
  <c r="HL9" i="3"/>
  <c r="HJ9" i="3"/>
  <c r="HI9" i="3"/>
  <c r="HH9" i="3"/>
  <c r="HC9" i="3"/>
  <c r="HB9" i="3"/>
  <c r="HA9" i="3"/>
  <c r="GZ9" i="3"/>
  <c r="GY9" i="3"/>
  <c r="GX9" i="3"/>
  <c r="GW9" i="3"/>
  <c r="GV9" i="3"/>
  <c r="GU9" i="3"/>
  <c r="GT9" i="3"/>
  <c r="GP9" i="3"/>
  <c r="GN9" i="3"/>
  <c r="GL9" i="3"/>
  <c r="GK9" i="3"/>
  <c r="GI9" i="3"/>
  <c r="GH9" i="3"/>
  <c r="GG9" i="3"/>
  <c r="GF9" i="3"/>
  <c r="GE9" i="3"/>
  <c r="GD9" i="3"/>
  <c r="GC9" i="3"/>
  <c r="GB9" i="3"/>
  <c r="GA9" i="3"/>
  <c r="FZ9" i="3"/>
  <c r="FY9" i="3"/>
  <c r="FX9" i="3"/>
  <c r="FW9" i="3"/>
  <c r="FV9" i="3"/>
  <c r="FU9" i="3"/>
  <c r="FT9" i="3"/>
  <c r="FS9" i="3"/>
  <c r="FR9" i="3"/>
  <c r="FQ9" i="3"/>
  <c r="FP9" i="3"/>
  <c r="FO9" i="3"/>
  <c r="FN9" i="3"/>
  <c r="FM9" i="3"/>
  <c r="FL9" i="3"/>
  <c r="FK9" i="3"/>
  <c r="FJ9" i="3"/>
  <c r="FI9" i="3"/>
  <c r="FH9" i="3"/>
  <c r="FG9" i="3"/>
  <c r="FF9" i="3"/>
  <c r="FE9" i="3"/>
  <c r="FD9" i="3"/>
  <c r="FC9" i="3"/>
  <c r="FB9" i="3"/>
  <c r="FA9" i="3"/>
  <c r="EZ9" i="3"/>
  <c r="EY9" i="3"/>
  <c r="EX9" i="3"/>
  <c r="EW9" i="3"/>
  <c r="EV9" i="3"/>
  <c r="EU9" i="3"/>
  <c r="ET9" i="3"/>
  <c r="ES9" i="3"/>
  <c r="ER9" i="3"/>
  <c r="EQ9" i="3"/>
  <c r="EP9" i="3"/>
  <c r="EO9" i="3"/>
  <c r="EN9" i="3"/>
  <c r="EM9" i="3"/>
  <c r="EL9" i="3"/>
  <c r="EK9" i="3"/>
  <c r="EJ9" i="3"/>
  <c r="EI9" i="3"/>
  <c r="EH9" i="3"/>
  <c r="EG9" i="3"/>
  <c r="EF9" i="3"/>
  <c r="EE9" i="3"/>
  <c r="ED9" i="3"/>
  <c r="EC9" i="3"/>
  <c r="EB9" i="3"/>
  <c r="EA9" i="3"/>
  <c r="DY9" i="3"/>
  <c r="DV9" i="3"/>
  <c r="DU9" i="3"/>
  <c r="DT9" i="3"/>
  <c r="DS9" i="3"/>
  <c r="DR9" i="3"/>
  <c r="DQ9" i="3"/>
  <c r="DP9" i="3"/>
  <c r="DO9" i="3"/>
  <c r="DN9" i="3"/>
  <c r="DK9" i="3"/>
  <c r="DJ9" i="3"/>
  <c r="DI9" i="3"/>
  <c r="DH9" i="3"/>
  <c r="DG9" i="3"/>
  <c r="DF9" i="3"/>
  <c r="DE9" i="3"/>
  <c r="DD9" i="3"/>
  <c r="DC9" i="3"/>
  <c r="DB9" i="3"/>
  <c r="DA9" i="3"/>
  <c r="CV9" i="3"/>
  <c r="CU9" i="3"/>
  <c r="CT9" i="3"/>
  <c r="CS9" i="3"/>
  <c r="CR9" i="3"/>
  <c r="GM9" i="3" s="1"/>
  <c r="CQ9" i="3"/>
  <c r="CP9" i="3"/>
  <c r="GJ9" i="3" s="1"/>
  <c r="CO9" i="3"/>
  <c r="DZ9" i="3" s="1"/>
  <c r="CN9" i="3"/>
  <c r="CM9" i="3"/>
  <c r="DX9" i="3" s="1"/>
  <c r="CL9" i="3"/>
  <c r="DW9" i="3" s="1"/>
  <c r="CG9" i="3"/>
  <c r="CG9" i="3" a="1"/>
  <c r="AX9" i="3"/>
  <c r="AW9" i="3"/>
  <c r="AV9" i="3"/>
  <c r="J9" i="3"/>
  <c r="G9" i="3"/>
  <c r="IQ5" i="27"/>
  <c r="IP5" i="27"/>
  <c r="IL5" i="27"/>
  <c r="HX5" i="27" a="1"/>
  <c r="HX5" i="27" s="1"/>
  <c r="IW5" i="27" s="1"/>
  <c r="HW5" i="27" a="1"/>
  <c r="HW5" i="27" s="1"/>
  <c r="IV5" i="27" s="1"/>
  <c r="HV5" i="27" a="1"/>
  <c r="HV5" i="27" s="1"/>
  <c r="IU5" i="27" s="1"/>
  <c r="HU5" i="27" a="1"/>
  <c r="HU5" i="27" s="1"/>
  <c r="IT5" i="27" s="1"/>
  <c r="HT5" i="27"/>
  <c r="IS5" i="27" s="1"/>
  <c r="HT5" i="27" a="1"/>
  <c r="HS5" i="27"/>
  <c r="IR5" i="27" s="1"/>
  <c r="HS5" i="27" a="1"/>
  <c r="HR5" i="27"/>
  <c r="HR5" i="27" a="1"/>
  <c r="HQ5" i="27" a="1"/>
  <c r="HQ5" i="27" s="1"/>
  <c r="HP5" i="27" a="1"/>
  <c r="HP5" i="27" s="1"/>
  <c r="IO5" i="27" s="1"/>
  <c r="HL5" i="27"/>
  <c r="HJ5" i="27"/>
  <c r="HH5" i="27"/>
  <c r="HC5" i="27"/>
  <c r="HB5" i="27"/>
  <c r="HA5" i="27"/>
  <c r="GZ5" i="27"/>
  <c r="GY5" i="27"/>
  <c r="GX5" i="27"/>
  <c r="GW5" i="27"/>
  <c r="GV5" i="27"/>
  <c r="GU5" i="27"/>
  <c r="GT5" i="27"/>
  <c r="GP5" i="27"/>
  <c r="GN5" i="27"/>
  <c r="GK5" i="27"/>
  <c r="GJ5" i="27"/>
  <c r="GI5" i="27"/>
  <c r="GH5" i="27"/>
  <c r="GG5" i="27"/>
  <c r="GF5" i="27"/>
  <c r="GE5" i="27"/>
  <c r="GD5" i="27"/>
  <c r="GC5" i="27"/>
  <c r="GB5" i="27"/>
  <c r="GA5" i="27"/>
  <c r="FZ5" i="27"/>
  <c r="FY5" i="27"/>
  <c r="FX5" i="27"/>
  <c r="FW5" i="27"/>
  <c r="FV5" i="27"/>
  <c r="FU5" i="27"/>
  <c r="FT5" i="27"/>
  <c r="FS5" i="27"/>
  <c r="FR5" i="27"/>
  <c r="FQ5" i="27"/>
  <c r="FP5" i="27"/>
  <c r="FO5" i="27"/>
  <c r="FJ5" i="27"/>
  <c r="FI5" i="27"/>
  <c r="FH5" i="27"/>
  <c r="FK5" i="27" s="1"/>
  <c r="FG5" i="27"/>
  <c r="FF5" i="27"/>
  <c r="FE5" i="27"/>
  <c r="FN5" i="27" s="1"/>
  <c r="FD5" i="27"/>
  <c r="FC5" i="27"/>
  <c r="FB5" i="27"/>
  <c r="FA5" i="27"/>
  <c r="EZ5" i="27"/>
  <c r="EY5" i="27"/>
  <c r="EX5" i="27"/>
  <c r="EW5" i="27"/>
  <c r="EV5" i="27"/>
  <c r="EU5" i="27"/>
  <c r="ET5" i="27"/>
  <c r="ES5" i="27"/>
  <c r="ER5" i="27"/>
  <c r="EQ5" i="27"/>
  <c r="EP5" i="27"/>
  <c r="EO5" i="27"/>
  <c r="EN5" i="27"/>
  <c r="EM5" i="27"/>
  <c r="EL5" i="27"/>
  <c r="EK5" i="27"/>
  <c r="EJ5" i="27"/>
  <c r="EI5" i="27"/>
  <c r="EH5" i="27"/>
  <c r="EG5" i="27"/>
  <c r="EF5" i="27"/>
  <c r="EE5" i="27"/>
  <c r="ED5" i="27"/>
  <c r="EC5" i="27"/>
  <c r="EB5" i="27"/>
  <c r="EA5" i="27"/>
  <c r="DV5" i="27"/>
  <c r="DU5" i="27"/>
  <c r="DT5" i="27"/>
  <c r="DS5" i="27"/>
  <c r="DR5" i="27"/>
  <c r="DQ5" i="27"/>
  <c r="DP5" i="27"/>
  <c r="DO5" i="27"/>
  <c r="DN5" i="27"/>
  <c r="DK5" i="27"/>
  <c r="DJ5" i="27"/>
  <c r="DI5" i="27"/>
  <c r="DH5" i="27"/>
  <c r="DG5" i="27"/>
  <c r="DF5" i="27"/>
  <c r="DE5" i="27"/>
  <c r="DD5" i="27"/>
  <c r="DC5" i="27"/>
  <c r="DB5" i="27"/>
  <c r="DA5" i="27"/>
  <c r="CV5" i="27"/>
  <c r="CU5" i="27"/>
  <c r="CT5" i="27"/>
  <c r="CS5" i="27"/>
  <c r="CR5" i="27"/>
  <c r="GM5" i="27" s="1"/>
  <c r="CQ5" i="27"/>
  <c r="GL5" i="27" s="1"/>
  <c r="CP5" i="27"/>
  <c r="CO5" i="27"/>
  <c r="DZ5" i="27" s="1"/>
  <c r="CN5" i="27"/>
  <c r="DY5" i="27" s="1"/>
  <c r="CM5" i="27"/>
  <c r="DX5" i="27" s="1"/>
  <c r="CL5" i="27"/>
  <c r="DW5" i="27" s="1"/>
  <c r="CG5" i="27" a="1"/>
  <c r="CG5" i="27" s="1"/>
  <c r="AW5" i="27"/>
  <c r="AV5" i="27"/>
  <c r="J5" i="27"/>
  <c r="HI5" i="27" s="1"/>
  <c r="G5" i="27"/>
  <c r="IL4" i="27"/>
  <c r="HX4" i="27" a="1"/>
  <c r="HX4" i="27" s="1"/>
  <c r="IW4" i="27" s="1"/>
  <c r="HW4" i="27"/>
  <c r="IV4" i="27" s="1"/>
  <c r="HW4" i="27" a="1"/>
  <c r="HV4" i="27" a="1"/>
  <c r="HV4" i="27" s="1"/>
  <c r="IU4" i="27" s="1"/>
  <c r="HU4" i="27" a="1"/>
  <c r="HU4" i="27" s="1"/>
  <c r="IT4" i="27" s="1"/>
  <c r="HT4" i="27" a="1"/>
  <c r="HT4" i="27" s="1"/>
  <c r="IS4" i="27" s="1"/>
  <c r="HS4" i="27" a="1"/>
  <c r="HS4" i="27" s="1"/>
  <c r="IR4" i="27" s="1"/>
  <c r="HR4" i="27" a="1"/>
  <c r="HR4" i="27" s="1"/>
  <c r="IQ4" i="27" s="1"/>
  <c r="HQ4" i="27" a="1"/>
  <c r="HQ4" i="27" s="1"/>
  <c r="IP4" i="27" s="1"/>
  <c r="HP4" i="27"/>
  <c r="IO4" i="27" s="1"/>
  <c r="HP4" i="27" a="1"/>
  <c r="HL4" i="27"/>
  <c r="HJ4" i="27"/>
  <c r="HH4" i="27"/>
  <c r="HB4" i="27"/>
  <c r="HA4" i="27"/>
  <c r="GZ4" i="27"/>
  <c r="GY4" i="27"/>
  <c r="GX4" i="27"/>
  <c r="GW4" i="27"/>
  <c r="GV4" i="27"/>
  <c r="GU4" i="27"/>
  <c r="GT4" i="27"/>
  <c r="HC4" i="27" s="1"/>
  <c r="GP4" i="27"/>
  <c r="GL4" i="27"/>
  <c r="GI4" i="27"/>
  <c r="GH4" i="27"/>
  <c r="GG4" i="27"/>
  <c r="GF4" i="27"/>
  <c r="GE4" i="27"/>
  <c r="GD4" i="27"/>
  <c r="GC4" i="27"/>
  <c r="GB4" i="27"/>
  <c r="GA4" i="27"/>
  <c r="FZ4" i="27"/>
  <c r="FY4" i="27"/>
  <c r="FX4" i="27"/>
  <c r="FW4" i="27"/>
  <c r="FV4" i="27"/>
  <c r="FU4" i="27"/>
  <c r="FT4" i="27"/>
  <c r="FS4" i="27"/>
  <c r="FR4" i="27"/>
  <c r="FQ4" i="27"/>
  <c r="FP4" i="27"/>
  <c r="FK4" i="27"/>
  <c r="FJ4" i="27"/>
  <c r="FI4" i="27"/>
  <c r="FH4" i="27"/>
  <c r="FG4" i="27"/>
  <c r="FO4" i="27" s="1"/>
  <c r="FF4" i="27"/>
  <c r="FE4" i="27"/>
  <c r="FD4" i="27"/>
  <c r="FC4" i="27"/>
  <c r="FB4" i="27"/>
  <c r="FA4" i="27"/>
  <c r="EZ4" i="27"/>
  <c r="EY4" i="27"/>
  <c r="EX4" i="27"/>
  <c r="EW4" i="27"/>
  <c r="EV4" i="27"/>
  <c r="EU4" i="27"/>
  <c r="ET4" i="27"/>
  <c r="ES4" i="27"/>
  <c r="ER4" i="27"/>
  <c r="EQ4" i="27"/>
  <c r="EP4" i="27"/>
  <c r="EO4" i="27"/>
  <c r="EN4" i="27"/>
  <c r="EM4" i="27"/>
  <c r="EL4" i="27"/>
  <c r="EK4" i="27"/>
  <c r="EJ4" i="27"/>
  <c r="EI4" i="27"/>
  <c r="EH4" i="27"/>
  <c r="EG4" i="27"/>
  <c r="EF4" i="27"/>
  <c r="EE4" i="27"/>
  <c r="ED4" i="27"/>
  <c r="EC4" i="27"/>
  <c r="EB4" i="27"/>
  <c r="EA4" i="27"/>
  <c r="DV4" i="27"/>
  <c r="DU4" i="27"/>
  <c r="DT4" i="27"/>
  <c r="DS4" i="27"/>
  <c r="DR4" i="27"/>
  <c r="DQ4" i="27"/>
  <c r="DP4" i="27"/>
  <c r="DO4" i="27"/>
  <c r="DN4" i="27"/>
  <c r="DK4" i="27"/>
  <c r="DJ4" i="27"/>
  <c r="DI4" i="27"/>
  <c r="DH4" i="27"/>
  <c r="DG4" i="27"/>
  <c r="DF4" i="27"/>
  <c r="DE4" i="27"/>
  <c r="DD4" i="27"/>
  <c r="DC4" i="27"/>
  <c r="DB4" i="27"/>
  <c r="DA4" i="27"/>
  <c r="CV4" i="27"/>
  <c r="CU4" i="27"/>
  <c r="CT4" i="27"/>
  <c r="CS4" i="27"/>
  <c r="GN4" i="27" s="1"/>
  <c r="CR4" i="27"/>
  <c r="GM4" i="27" s="1"/>
  <c r="CQ4" i="27"/>
  <c r="CP4" i="27"/>
  <c r="GJ4" i="27" s="1"/>
  <c r="GK4" i="27" s="1"/>
  <c r="CO4" i="27"/>
  <c r="DZ4" i="27" s="1"/>
  <c r="CN4" i="27"/>
  <c r="DY4" i="27" s="1"/>
  <c r="CM4" i="27"/>
  <c r="DX4" i="27" s="1"/>
  <c r="CL4" i="27"/>
  <c r="DW4" i="27" s="1"/>
  <c r="CG4" i="27" a="1"/>
  <c r="CG4" i="27" s="1"/>
  <c r="AW4" i="27"/>
  <c r="AV4" i="27"/>
  <c r="J4" i="27"/>
  <c r="HI4" i="27" s="1"/>
  <c r="G4" i="27"/>
  <c r="IP3" i="27"/>
  <c r="IN3" i="27"/>
  <c r="IX3" i="27" s="1"/>
  <c r="HX3" i="27" a="1"/>
  <c r="HX3" i="27" s="1"/>
  <c r="IW3" i="27" s="1"/>
  <c r="HW3" i="27"/>
  <c r="IV3" i="27" s="1"/>
  <c r="HW3" i="27" a="1"/>
  <c r="HV3" i="27" a="1"/>
  <c r="HV3" i="27" s="1"/>
  <c r="IU3" i="27" s="1"/>
  <c r="HU3" i="27"/>
  <c r="IT3" i="27" s="1"/>
  <c r="HU3" i="27" a="1"/>
  <c r="HT3" i="27"/>
  <c r="IS3" i="27" s="1"/>
  <c r="HT3" i="27" a="1"/>
  <c r="HS3" i="27" a="1"/>
  <c r="HS3" i="27" s="1"/>
  <c r="IR3" i="27" s="1"/>
  <c r="HR3" i="27"/>
  <c r="IQ3" i="27" s="1"/>
  <c r="HR3" i="27" a="1"/>
  <c r="HQ3" i="27"/>
  <c r="HQ3" i="27" a="1"/>
  <c r="HP3" i="27" a="1"/>
  <c r="HP3" i="27" s="1"/>
  <c r="IO3" i="27" s="1"/>
  <c r="HL3" i="27"/>
  <c r="HJ3" i="27"/>
  <c r="HH3" i="27"/>
  <c r="HC3" i="27"/>
  <c r="HB3" i="27"/>
  <c r="HA3" i="27"/>
  <c r="GZ3" i="27"/>
  <c r="GY3" i="27"/>
  <c r="GX3" i="27"/>
  <c r="GW3" i="27"/>
  <c r="GV3" i="27"/>
  <c r="GU3" i="27"/>
  <c r="GT3" i="27"/>
  <c r="GP3" i="27"/>
  <c r="GL3" i="27"/>
  <c r="GI3" i="27"/>
  <c r="GH3" i="27"/>
  <c r="GG3" i="27"/>
  <c r="GF3" i="27"/>
  <c r="GE3" i="27"/>
  <c r="GB3" i="27"/>
  <c r="GA3" i="27"/>
  <c r="FZ3" i="27"/>
  <c r="FY3" i="27"/>
  <c r="FW3" i="27"/>
  <c r="FV3" i="27"/>
  <c r="FU3" i="27"/>
  <c r="FT3" i="27"/>
  <c r="FS3" i="27"/>
  <c r="FR3" i="27"/>
  <c r="FQ3" i="27"/>
  <c r="FP3" i="27"/>
  <c r="FM3" i="27"/>
  <c r="FL3" i="27"/>
  <c r="FK3" i="27"/>
  <c r="FJ3" i="27"/>
  <c r="FI3" i="27"/>
  <c r="FH3" i="27"/>
  <c r="FG3" i="27"/>
  <c r="FF3" i="27"/>
  <c r="FE3" i="27"/>
  <c r="FD3" i="27"/>
  <c r="FB3" i="27"/>
  <c r="FA3" i="27"/>
  <c r="EZ3" i="27"/>
  <c r="EY3" i="27"/>
  <c r="EX3" i="27"/>
  <c r="EW3" i="27"/>
  <c r="EV3" i="27"/>
  <c r="EU3" i="27"/>
  <c r="ET3" i="27"/>
  <c r="ES3" i="27"/>
  <c r="ER3" i="27"/>
  <c r="EQ3" i="27"/>
  <c r="EP3" i="27"/>
  <c r="EO3" i="27"/>
  <c r="EN3" i="27"/>
  <c r="EM3" i="27"/>
  <c r="EL3" i="27"/>
  <c r="EK3" i="27"/>
  <c r="EJ3" i="27"/>
  <c r="EI3" i="27"/>
  <c r="EH3" i="27"/>
  <c r="EG3" i="27"/>
  <c r="EF3" i="27"/>
  <c r="EE3" i="27"/>
  <c r="ED3" i="27"/>
  <c r="EC3" i="27"/>
  <c r="EB3" i="27"/>
  <c r="EA3" i="27"/>
  <c r="DU3" i="27"/>
  <c r="DT3" i="27"/>
  <c r="DS3" i="27"/>
  <c r="DR3" i="27"/>
  <c r="DQ3" i="27"/>
  <c r="DP3" i="27"/>
  <c r="DO3" i="27"/>
  <c r="DN3" i="27"/>
  <c r="DK3" i="27"/>
  <c r="DJ3" i="27"/>
  <c r="DI3" i="27"/>
  <c r="DH3" i="27"/>
  <c r="DG3" i="27"/>
  <c r="DF3" i="27"/>
  <c r="DE3" i="27"/>
  <c r="DD3" i="27"/>
  <c r="DB3" i="27"/>
  <c r="DA3" i="27"/>
  <c r="CV3" i="27"/>
  <c r="CU3" i="27"/>
  <c r="CT3" i="27"/>
  <c r="CS3" i="27"/>
  <c r="GN3" i="27" s="1"/>
  <c r="CR3" i="27"/>
  <c r="GM3" i="27" s="1"/>
  <c r="CQ3" i="27"/>
  <c r="CP3" i="27"/>
  <c r="GJ3" i="27" s="1"/>
  <c r="GK3" i="27" s="1"/>
  <c r="CO3" i="27"/>
  <c r="DZ3" i="27" s="1"/>
  <c r="CN3" i="27"/>
  <c r="DY3" i="27" s="1"/>
  <c r="CM3" i="27"/>
  <c r="DX3" i="27" s="1"/>
  <c r="CL3" i="27"/>
  <c r="DW3" i="27" s="1"/>
  <c r="CG3" i="27" a="1"/>
  <c r="CG3" i="27" s="1"/>
  <c r="AW3" i="27"/>
  <c r="AV3" i="27"/>
  <c r="J3" i="27"/>
  <c r="HI3" i="27" s="1"/>
  <c r="G3" i="27"/>
  <c r="IT3" i="26"/>
  <c r="IP3" i="26"/>
  <c r="IL3" i="26"/>
  <c r="HX3" i="26" a="1"/>
  <c r="HX3" i="26" s="1"/>
  <c r="IW3" i="26" s="1"/>
  <c r="HW3" i="26" a="1"/>
  <c r="HW3" i="26" s="1"/>
  <c r="IV3" i="26" s="1"/>
  <c r="HV3" i="26"/>
  <c r="IU3" i="26" s="1"/>
  <c r="HV3" i="26" a="1"/>
  <c r="HU3" i="26"/>
  <c r="HU3" i="26" a="1"/>
  <c r="HT3" i="26" a="1"/>
  <c r="HT3" i="26" s="1"/>
  <c r="IS3" i="26" s="1"/>
  <c r="HS3" i="26"/>
  <c r="IR3" i="26" s="1"/>
  <c r="HS3" i="26" a="1"/>
  <c r="HR3" i="26" a="1"/>
  <c r="HR3" i="26" s="1"/>
  <c r="IQ3" i="26" s="1"/>
  <c r="HQ3" i="26" a="1"/>
  <c r="HQ3" i="26" s="1"/>
  <c r="HP3" i="26"/>
  <c r="IO3" i="26" s="1"/>
  <c r="HP3" i="26" a="1"/>
  <c r="HL3" i="26"/>
  <c r="HJ3" i="26"/>
  <c r="HH3" i="26"/>
  <c r="HB3" i="26"/>
  <c r="HA3" i="26"/>
  <c r="GZ3" i="26"/>
  <c r="GY3" i="26"/>
  <c r="GX3" i="26"/>
  <c r="GW3" i="26"/>
  <c r="GV3" i="26"/>
  <c r="GU3" i="26"/>
  <c r="GT3" i="26"/>
  <c r="GP3" i="26"/>
  <c r="GM3" i="26"/>
  <c r="GL3" i="26"/>
  <c r="GK3" i="26"/>
  <c r="GJ3" i="26"/>
  <c r="GI3" i="26"/>
  <c r="GH3" i="26"/>
  <c r="GG3" i="26"/>
  <c r="GF3" i="26"/>
  <c r="GE3" i="26"/>
  <c r="GD3" i="26"/>
  <c r="GC3" i="26"/>
  <c r="GB3" i="26"/>
  <c r="GA3" i="26"/>
  <c r="FZ3" i="26"/>
  <c r="FY3" i="26"/>
  <c r="FX3" i="26"/>
  <c r="FW3" i="26"/>
  <c r="FV3" i="26"/>
  <c r="FU3" i="26"/>
  <c r="FT3" i="26"/>
  <c r="FS3" i="26"/>
  <c r="FR3" i="26"/>
  <c r="FQ3" i="26"/>
  <c r="FP3" i="26"/>
  <c r="FN3" i="26"/>
  <c r="FM3" i="26"/>
  <c r="FJ3" i="26"/>
  <c r="FI3" i="26"/>
  <c r="FL3" i="26" s="1"/>
  <c r="FH3" i="26"/>
  <c r="FK3" i="26" s="1"/>
  <c r="FG3" i="26"/>
  <c r="FO3" i="26" s="1"/>
  <c r="FF3" i="26"/>
  <c r="FE3" i="26"/>
  <c r="FD3" i="26"/>
  <c r="FC3" i="26"/>
  <c r="FB3" i="26"/>
  <c r="FA3" i="26"/>
  <c r="EZ3" i="26"/>
  <c r="EY3" i="26"/>
  <c r="EX3" i="26"/>
  <c r="EW3" i="26"/>
  <c r="EV3" i="26"/>
  <c r="EU3" i="26"/>
  <c r="ET3" i="26"/>
  <c r="ES3" i="26"/>
  <c r="ER3" i="26"/>
  <c r="EQ3" i="26"/>
  <c r="EP3" i="26"/>
  <c r="EO3" i="26"/>
  <c r="EN3" i="26"/>
  <c r="EM3" i="26"/>
  <c r="EL3" i="26"/>
  <c r="EK3" i="26"/>
  <c r="EJ3" i="26"/>
  <c r="EI3" i="26"/>
  <c r="EH3" i="26"/>
  <c r="EG3" i="26"/>
  <c r="EF3" i="26"/>
  <c r="EE3" i="26"/>
  <c r="ED3" i="26"/>
  <c r="EC3" i="26"/>
  <c r="EB3" i="26"/>
  <c r="EA3" i="26"/>
  <c r="DX3" i="26"/>
  <c r="DV3" i="26"/>
  <c r="DU3" i="26"/>
  <c r="DT3" i="26"/>
  <c r="DS3" i="26"/>
  <c r="DR3" i="26"/>
  <c r="DQ3" i="26"/>
  <c r="DP3" i="26"/>
  <c r="DO3" i="26"/>
  <c r="DN3" i="26"/>
  <c r="DK3" i="26"/>
  <c r="DJ3" i="26"/>
  <c r="DI3" i="26"/>
  <c r="DH3" i="26"/>
  <c r="DG3" i="26"/>
  <c r="DF3" i="26"/>
  <c r="DE3" i="26"/>
  <c r="DD3" i="26"/>
  <c r="DC3" i="26"/>
  <c r="DB3" i="26"/>
  <c r="DA3" i="26"/>
  <c r="CV3" i="26"/>
  <c r="CU3" i="26"/>
  <c r="CT3" i="26"/>
  <c r="CS3" i="26"/>
  <c r="GN3" i="26" s="1"/>
  <c r="CR3" i="26"/>
  <c r="CQ3" i="26"/>
  <c r="CP3" i="26"/>
  <c r="CO3" i="26"/>
  <c r="DZ3" i="26" s="1"/>
  <c r="CN3" i="26"/>
  <c r="DY3" i="26" s="1"/>
  <c r="CM3" i="26"/>
  <c r="CL3" i="26"/>
  <c r="DW3" i="26" s="1"/>
  <c r="CG3" i="26" a="1"/>
  <c r="CG3" i="26" s="1"/>
  <c r="AX3" i="26"/>
  <c r="AW3" i="26"/>
  <c r="AV3" i="26"/>
  <c r="J3" i="26"/>
  <c r="G3" i="26"/>
  <c r="IV3" i="25"/>
  <c r="IP3" i="25"/>
  <c r="IM3" i="25"/>
  <c r="IL3" i="25"/>
  <c r="HX3" i="25" a="1"/>
  <c r="HX3" i="25" s="1"/>
  <c r="IW3" i="25" s="1"/>
  <c r="HW3" i="25"/>
  <c r="HW3" i="25" a="1"/>
  <c r="HV3" i="25" a="1"/>
  <c r="HV3" i="25" s="1"/>
  <c r="IU3" i="25" s="1"/>
  <c r="HU3" i="25"/>
  <c r="IT3" i="25" s="1"/>
  <c r="HU3" i="25" a="1"/>
  <c r="HT3" i="25"/>
  <c r="IS3" i="25" s="1"/>
  <c r="HT3" i="25" a="1"/>
  <c r="HS3" i="25"/>
  <c r="IR3" i="25" s="1"/>
  <c r="HS3" i="25" a="1"/>
  <c r="HR3" i="25"/>
  <c r="IQ3" i="25" s="1"/>
  <c r="HR3" i="25" a="1"/>
  <c r="HQ3" i="25"/>
  <c r="HQ3" i="25" a="1"/>
  <c r="HP3" i="25" a="1"/>
  <c r="HP3" i="25" s="1"/>
  <c r="IO3" i="25" s="1"/>
  <c r="HL3" i="25"/>
  <c r="HJ3" i="25"/>
  <c r="HH3" i="25"/>
  <c r="HB3" i="25"/>
  <c r="HA3" i="25"/>
  <c r="GZ3" i="25"/>
  <c r="GY3" i="25"/>
  <c r="GX3" i="25"/>
  <c r="GW3" i="25"/>
  <c r="GV3" i="25"/>
  <c r="GU3" i="25"/>
  <c r="GT3" i="25"/>
  <c r="GP3" i="25"/>
  <c r="GJ3" i="25"/>
  <c r="GK3" i="25" s="1"/>
  <c r="GI3" i="25"/>
  <c r="GH3" i="25"/>
  <c r="GG3" i="25"/>
  <c r="GF3" i="25"/>
  <c r="GE3" i="25"/>
  <c r="GD3" i="25"/>
  <c r="GC3" i="25"/>
  <c r="GB3" i="25"/>
  <c r="GA3" i="25"/>
  <c r="FZ3" i="25"/>
  <c r="FY3" i="25"/>
  <c r="FX3" i="25"/>
  <c r="FW3" i="25"/>
  <c r="FV3" i="25"/>
  <c r="FU3" i="25"/>
  <c r="FT3" i="25"/>
  <c r="FS3" i="25"/>
  <c r="FR3" i="25"/>
  <c r="FQ3" i="25"/>
  <c r="FP3" i="25"/>
  <c r="FM3" i="25"/>
  <c r="FL3" i="25"/>
  <c r="FK3" i="25"/>
  <c r="FJ3" i="25"/>
  <c r="FI3" i="25"/>
  <c r="FH3" i="25"/>
  <c r="FG3" i="25"/>
  <c r="FF3" i="25"/>
  <c r="FE3" i="25"/>
  <c r="FD3" i="25"/>
  <c r="FC3" i="25"/>
  <c r="FB3" i="25"/>
  <c r="FA3" i="25"/>
  <c r="EZ3" i="25"/>
  <c r="EY3" i="25"/>
  <c r="EX3" i="25"/>
  <c r="EW3" i="25"/>
  <c r="EV3" i="25"/>
  <c r="EU3" i="25"/>
  <c r="ET3" i="25"/>
  <c r="ES3" i="25"/>
  <c r="ER3" i="25"/>
  <c r="EQ3" i="25"/>
  <c r="EP3" i="25"/>
  <c r="EO3" i="25"/>
  <c r="EN3" i="25"/>
  <c r="EM3" i="25"/>
  <c r="EL3" i="25"/>
  <c r="EK3" i="25"/>
  <c r="EJ3" i="25"/>
  <c r="EI3" i="25"/>
  <c r="EH3" i="25"/>
  <c r="EG3" i="25"/>
  <c r="EF3" i="25"/>
  <c r="EE3" i="25"/>
  <c r="ED3" i="25"/>
  <c r="EC3" i="25"/>
  <c r="EB3" i="25"/>
  <c r="EA3" i="25"/>
  <c r="DX3" i="25"/>
  <c r="DW3" i="25"/>
  <c r="DV3" i="25"/>
  <c r="DU3" i="25"/>
  <c r="DT3" i="25"/>
  <c r="DS3" i="25"/>
  <c r="DR3" i="25"/>
  <c r="DQ3" i="25"/>
  <c r="DP3" i="25"/>
  <c r="DO3" i="25"/>
  <c r="DN3" i="25"/>
  <c r="DK3" i="25"/>
  <c r="DJ3" i="25"/>
  <c r="DI3" i="25"/>
  <c r="DH3" i="25"/>
  <c r="DG3" i="25"/>
  <c r="DF3" i="25"/>
  <c r="DE3" i="25"/>
  <c r="DD3" i="25"/>
  <c r="DC3" i="25"/>
  <c r="DB3" i="25"/>
  <c r="DA3" i="25"/>
  <c r="CV3" i="25"/>
  <c r="CU3" i="25"/>
  <c r="CT3" i="25"/>
  <c r="CS3" i="25"/>
  <c r="GN3" i="25" s="1"/>
  <c r="CR3" i="25"/>
  <c r="GM3" i="25" s="1"/>
  <c r="CQ3" i="25"/>
  <c r="GL3" i="25" s="1"/>
  <c r="CP3" i="25"/>
  <c r="CO3" i="25"/>
  <c r="DZ3" i="25" s="1"/>
  <c r="CN3" i="25"/>
  <c r="DY3" i="25" s="1"/>
  <c r="CM3" i="25"/>
  <c r="CL3" i="25"/>
  <c r="CH3" i="25"/>
  <c r="CW3" i="25" s="1"/>
  <c r="CG3" i="25"/>
  <c r="CG3" i="25" a="1"/>
  <c r="AW3" i="25"/>
  <c r="AV3" i="25"/>
  <c r="J3" i="25"/>
  <c r="G3" i="25"/>
  <c r="IP3" i="23"/>
  <c r="IL3" i="23"/>
  <c r="HX3" i="23" a="1"/>
  <c r="HX3" i="23" s="1"/>
  <c r="IW3" i="23" s="1"/>
  <c r="HW3" i="23" a="1"/>
  <c r="HW3" i="23" s="1"/>
  <c r="IV3" i="23" s="1"/>
  <c r="HV3" i="23" a="1"/>
  <c r="HV3" i="23" s="1"/>
  <c r="IU3" i="23" s="1"/>
  <c r="HU3" i="23" a="1"/>
  <c r="HU3" i="23" s="1"/>
  <c r="IT3" i="23" s="1"/>
  <c r="HT3" i="23"/>
  <c r="IS3" i="23" s="1"/>
  <c r="HT3" i="23" a="1"/>
  <c r="HS3" i="23"/>
  <c r="IR3" i="23" s="1"/>
  <c r="HS3" i="23" a="1"/>
  <c r="HR3" i="23" a="1"/>
  <c r="HR3" i="23" s="1"/>
  <c r="IQ3" i="23" s="1"/>
  <c r="HQ3" i="23" a="1"/>
  <c r="HQ3" i="23" s="1"/>
  <c r="HP3" i="23"/>
  <c r="IO3" i="23" s="1"/>
  <c r="HP3" i="23" a="1"/>
  <c r="HL3" i="23"/>
  <c r="HJ3" i="23"/>
  <c r="HI3" i="23"/>
  <c r="HH3" i="23"/>
  <c r="HB3" i="23"/>
  <c r="HA3" i="23"/>
  <c r="GZ3" i="23"/>
  <c r="GY3" i="23"/>
  <c r="GX3" i="23"/>
  <c r="GW3" i="23"/>
  <c r="GV3" i="23"/>
  <c r="GU3" i="23"/>
  <c r="GT3" i="23"/>
  <c r="GP3" i="23"/>
  <c r="GL3" i="23"/>
  <c r="GJ3" i="23"/>
  <c r="GK3" i="23" s="1"/>
  <c r="GI3" i="23"/>
  <c r="GH3" i="23"/>
  <c r="GG3" i="23"/>
  <c r="GF3" i="23"/>
  <c r="GE3" i="23"/>
  <c r="GD3" i="23"/>
  <c r="GC3" i="23"/>
  <c r="GB3" i="23"/>
  <c r="GA3" i="23"/>
  <c r="FZ3" i="23"/>
  <c r="FY3" i="23"/>
  <c r="FX3" i="23"/>
  <c r="FW3" i="23"/>
  <c r="FV3" i="23"/>
  <c r="FU3" i="23"/>
  <c r="FT3" i="23"/>
  <c r="FS3" i="23"/>
  <c r="FR3" i="23"/>
  <c r="FQ3" i="23"/>
  <c r="FK3" i="23"/>
  <c r="FJ3" i="23"/>
  <c r="FM3" i="23" s="1"/>
  <c r="FI3" i="23"/>
  <c r="FL3" i="23" s="1"/>
  <c r="FH3" i="23"/>
  <c r="FG3" i="23"/>
  <c r="FF3" i="23"/>
  <c r="FP3" i="23" s="1"/>
  <c r="FE3" i="23"/>
  <c r="FN3" i="23" s="1"/>
  <c r="FD3" i="23"/>
  <c r="FC3" i="23"/>
  <c r="FB3" i="23"/>
  <c r="FA3" i="23"/>
  <c r="EZ3" i="23"/>
  <c r="EY3" i="23"/>
  <c r="EX3" i="23"/>
  <c r="EW3" i="23"/>
  <c r="EV3" i="23"/>
  <c r="EU3" i="23"/>
  <c r="ET3" i="23"/>
  <c r="ES3" i="23"/>
  <c r="ER3" i="23"/>
  <c r="EQ3" i="23"/>
  <c r="EP3" i="23"/>
  <c r="EO3" i="23"/>
  <c r="EN3" i="23"/>
  <c r="EM3" i="23"/>
  <c r="EL3" i="23"/>
  <c r="EK3" i="23"/>
  <c r="EJ3" i="23"/>
  <c r="EI3" i="23"/>
  <c r="EH3" i="23"/>
  <c r="EG3" i="23"/>
  <c r="EF3" i="23"/>
  <c r="EE3" i="23"/>
  <c r="ED3" i="23"/>
  <c r="EC3" i="23"/>
  <c r="EB3" i="23"/>
  <c r="EA3" i="23"/>
  <c r="DY3" i="23"/>
  <c r="DW3" i="23"/>
  <c r="DV3" i="23"/>
  <c r="DU3" i="23"/>
  <c r="DT3" i="23"/>
  <c r="DS3" i="23"/>
  <c r="DR3" i="23"/>
  <c r="DQ3" i="23"/>
  <c r="DP3" i="23"/>
  <c r="DO3" i="23"/>
  <c r="DN3" i="23"/>
  <c r="DL3" i="23"/>
  <c r="DK3" i="23"/>
  <c r="DJ3" i="23"/>
  <c r="DI3" i="23"/>
  <c r="DH3" i="23"/>
  <c r="DG3" i="23"/>
  <c r="DF3" i="23"/>
  <c r="DE3" i="23"/>
  <c r="DD3" i="23"/>
  <c r="DC3" i="23"/>
  <c r="DB3" i="23"/>
  <c r="DA3" i="23"/>
  <c r="CV3" i="23"/>
  <c r="CU3" i="23"/>
  <c r="CT3" i="23"/>
  <c r="CS3" i="23"/>
  <c r="GN3" i="23" s="1"/>
  <c r="CR3" i="23"/>
  <c r="GM3" i="23" s="1"/>
  <c r="CQ3" i="23"/>
  <c r="CP3" i="23"/>
  <c r="CO3" i="23"/>
  <c r="DZ3" i="23" s="1"/>
  <c r="CN3" i="23"/>
  <c r="CM3" i="23"/>
  <c r="DX3" i="23" s="1"/>
  <c r="CL3" i="23"/>
  <c r="CH3" i="23"/>
  <c r="CW3" i="23" s="1"/>
  <c r="CG3" i="23"/>
  <c r="CG3" i="23" a="1"/>
  <c r="AW3" i="23"/>
  <c r="AV3" i="23"/>
  <c r="J3" i="23"/>
  <c r="G3" i="23"/>
  <c r="IW5" i="20"/>
  <c r="IT5" i="20"/>
  <c r="IQ5" i="20"/>
  <c r="IL5" i="20"/>
  <c r="HX5" i="20" a="1"/>
  <c r="HX5" i="20" s="1"/>
  <c r="HW5" i="20"/>
  <c r="IV5" i="20" s="1"/>
  <c r="HW5" i="20" a="1"/>
  <c r="HV5" i="20" a="1"/>
  <c r="HV5" i="20" s="1"/>
  <c r="IU5" i="20" s="1"/>
  <c r="HU5" i="20"/>
  <c r="HU5" i="20" a="1"/>
  <c r="HT5" i="20"/>
  <c r="IS5" i="20" s="1"/>
  <c r="HT5" i="20" a="1"/>
  <c r="HS5" i="20"/>
  <c r="IR5" i="20" s="1"/>
  <c r="HS5" i="20" a="1"/>
  <c r="HR5" i="20"/>
  <c r="HR5" i="20" a="1"/>
  <c r="HQ5" i="20"/>
  <c r="IP5" i="20" s="1"/>
  <c r="HQ5" i="20" a="1"/>
  <c r="HP5" i="20" a="1"/>
  <c r="HP5" i="20" s="1"/>
  <c r="IO5" i="20" s="1"/>
  <c r="HL5" i="20"/>
  <c r="HJ5" i="20"/>
  <c r="HI5" i="20"/>
  <c r="HH5" i="20"/>
  <c r="HC5" i="20"/>
  <c r="HB5" i="20"/>
  <c r="HA5" i="20"/>
  <c r="GZ5" i="20"/>
  <c r="GY5" i="20"/>
  <c r="GX5" i="20"/>
  <c r="GW5" i="20"/>
  <c r="GV5" i="20"/>
  <c r="GU5" i="20"/>
  <c r="GT5" i="20"/>
  <c r="GP5" i="20"/>
  <c r="GN5" i="20"/>
  <c r="GM5" i="20"/>
  <c r="GI5" i="20"/>
  <c r="GH5" i="20"/>
  <c r="GG5" i="20"/>
  <c r="GF5" i="20"/>
  <c r="GE5" i="20"/>
  <c r="GD5" i="20"/>
  <c r="GC5" i="20"/>
  <c r="GB5" i="20"/>
  <c r="GA5" i="20"/>
  <c r="FZ5" i="20"/>
  <c r="FY5" i="20"/>
  <c r="FX5" i="20"/>
  <c r="FW5" i="20"/>
  <c r="FV5" i="20"/>
  <c r="FU5" i="20"/>
  <c r="FT5" i="20"/>
  <c r="FS5" i="20"/>
  <c r="FR5" i="20"/>
  <c r="FQ5" i="20"/>
  <c r="FP5" i="20"/>
  <c r="FN5" i="20"/>
  <c r="FL5" i="20"/>
  <c r="FJ5" i="20"/>
  <c r="FI5" i="20"/>
  <c r="FH5" i="20"/>
  <c r="FK5" i="20" s="1"/>
  <c r="FG5" i="20"/>
  <c r="FF5" i="20"/>
  <c r="FE5" i="20"/>
  <c r="FO5" i="20" s="1"/>
  <c r="FD5" i="20"/>
  <c r="FC5" i="20"/>
  <c r="FB5" i="20"/>
  <c r="FA5" i="20"/>
  <c r="EZ5" i="20"/>
  <c r="EY5" i="20"/>
  <c r="EX5" i="20"/>
  <c r="EW5" i="20"/>
  <c r="EV5" i="20"/>
  <c r="EU5" i="20"/>
  <c r="ET5" i="20"/>
  <c r="ES5" i="20"/>
  <c r="ER5" i="20"/>
  <c r="EQ5" i="20"/>
  <c r="EP5" i="20"/>
  <c r="EO5" i="20"/>
  <c r="EN5" i="20"/>
  <c r="EM5" i="20"/>
  <c r="EL5" i="20"/>
  <c r="EK5" i="20"/>
  <c r="EJ5" i="20"/>
  <c r="EI5" i="20"/>
  <c r="EH5" i="20"/>
  <c r="EG5" i="20"/>
  <c r="EF5" i="20"/>
  <c r="EE5" i="20"/>
  <c r="ED5" i="20"/>
  <c r="EC5" i="20"/>
  <c r="EB5" i="20"/>
  <c r="EA5" i="20"/>
  <c r="DZ5" i="20"/>
  <c r="DY5" i="20"/>
  <c r="DX5" i="20"/>
  <c r="DV5" i="20"/>
  <c r="DU5" i="20"/>
  <c r="DT5" i="20"/>
  <c r="DS5" i="20"/>
  <c r="DR5" i="20"/>
  <c r="DQ5" i="20"/>
  <c r="DP5" i="20"/>
  <c r="DO5" i="20"/>
  <c r="DN5" i="20"/>
  <c r="DK5" i="20"/>
  <c r="DJ5" i="20"/>
  <c r="DI5" i="20"/>
  <c r="DH5" i="20"/>
  <c r="DG5" i="20"/>
  <c r="DF5" i="20"/>
  <c r="DE5" i="20"/>
  <c r="DD5" i="20"/>
  <c r="DC5" i="20"/>
  <c r="DB5" i="20"/>
  <c r="DA5" i="20"/>
  <c r="CV5" i="20"/>
  <c r="CU5" i="20"/>
  <c r="CT5" i="20"/>
  <c r="CS5" i="20"/>
  <c r="CR5" i="20"/>
  <c r="CQ5" i="20"/>
  <c r="GL5" i="20" s="1"/>
  <c r="CP5" i="20"/>
  <c r="GJ5" i="20" s="1"/>
  <c r="GK5" i="20" s="1"/>
  <c r="CO5" i="20"/>
  <c r="CN5" i="20"/>
  <c r="CM5" i="20"/>
  <c r="CL5" i="20"/>
  <c r="DW5" i="20" s="1"/>
  <c r="CG5" i="20"/>
  <c r="CG5" i="20" a="1"/>
  <c r="AW5" i="20"/>
  <c r="AV5" i="20"/>
  <c r="J5" i="20"/>
  <c r="G5" i="20"/>
  <c r="IT4" i="20"/>
  <c r="IR4" i="20"/>
  <c r="IQ4" i="20"/>
  <c r="IO4" i="20"/>
  <c r="IL4" i="20"/>
  <c r="HX4" i="20" a="1"/>
  <c r="HX4" i="20" s="1"/>
  <c r="IW4" i="20" s="1"/>
  <c r="HW4" i="20" a="1"/>
  <c r="HW4" i="20" s="1"/>
  <c r="IV4" i="20" s="1"/>
  <c r="HV4" i="20"/>
  <c r="IU4" i="20" s="1"/>
  <c r="HV4" i="20" a="1"/>
  <c r="HU4" i="20" a="1"/>
  <c r="HU4" i="20" s="1"/>
  <c r="HT4" i="20" a="1"/>
  <c r="HT4" i="20" s="1"/>
  <c r="IS4" i="20" s="1"/>
  <c r="HS4" i="20" a="1"/>
  <c r="HS4" i="20" s="1"/>
  <c r="HR4" i="20"/>
  <c r="HR4" i="20" a="1"/>
  <c r="HQ4" i="20"/>
  <c r="IP4" i="20" s="1"/>
  <c r="HQ4" i="20" a="1"/>
  <c r="HP4" i="20"/>
  <c r="HP4" i="20" a="1"/>
  <c r="HL4" i="20"/>
  <c r="HJ4" i="20"/>
  <c r="HH4" i="20"/>
  <c r="HB4" i="20"/>
  <c r="HA4" i="20"/>
  <c r="GZ4" i="20"/>
  <c r="GY4" i="20"/>
  <c r="GX4" i="20"/>
  <c r="GW4" i="20"/>
  <c r="GV4" i="20"/>
  <c r="GU4" i="20"/>
  <c r="GT4" i="20"/>
  <c r="GP4" i="20"/>
  <c r="GM4" i="20"/>
  <c r="GL4" i="20"/>
  <c r="GI4" i="20"/>
  <c r="GH4" i="20"/>
  <c r="GG4" i="20"/>
  <c r="GF4" i="20"/>
  <c r="GE4" i="20"/>
  <c r="GD4" i="20"/>
  <c r="GC4" i="20"/>
  <c r="GB4" i="20"/>
  <c r="GA4" i="20"/>
  <c r="FZ4" i="20"/>
  <c r="FY4" i="20"/>
  <c r="FX4" i="20"/>
  <c r="FW4" i="20"/>
  <c r="FV4" i="20"/>
  <c r="FU4" i="20"/>
  <c r="FT4" i="20"/>
  <c r="FS4" i="20"/>
  <c r="FR4" i="20"/>
  <c r="FQ4" i="20"/>
  <c r="FP4" i="20"/>
  <c r="FO4" i="20"/>
  <c r="FN4" i="20"/>
  <c r="FM4" i="20"/>
  <c r="FK4" i="20"/>
  <c r="FJ4" i="20"/>
  <c r="FI4" i="20"/>
  <c r="FL4" i="20" s="1"/>
  <c r="FH4" i="20"/>
  <c r="FG4" i="20"/>
  <c r="FF4" i="20"/>
  <c r="FE4" i="20"/>
  <c r="FD4" i="20"/>
  <c r="FC4" i="20"/>
  <c r="FB4" i="20"/>
  <c r="FA4" i="20"/>
  <c r="EZ4" i="20"/>
  <c r="EY4" i="20"/>
  <c r="EX4" i="20"/>
  <c r="EW4" i="20"/>
  <c r="EV4" i="20"/>
  <c r="EU4" i="20"/>
  <c r="ET4" i="20"/>
  <c r="ES4" i="20"/>
  <c r="ER4" i="20"/>
  <c r="EQ4" i="20"/>
  <c r="EP4" i="20"/>
  <c r="EO4" i="20"/>
  <c r="EN4" i="20"/>
  <c r="EM4" i="20"/>
  <c r="EL4" i="20"/>
  <c r="EK4" i="20"/>
  <c r="EJ4" i="20"/>
  <c r="EI4" i="20"/>
  <c r="EH4" i="20"/>
  <c r="EG4" i="20"/>
  <c r="EF4" i="20"/>
  <c r="EE4" i="20"/>
  <c r="ED4" i="20"/>
  <c r="EC4" i="20"/>
  <c r="EB4" i="20"/>
  <c r="EA4" i="20"/>
  <c r="DZ4" i="20"/>
  <c r="DY4" i="20"/>
  <c r="DV4" i="20"/>
  <c r="DU4" i="20"/>
  <c r="DT4" i="20"/>
  <c r="DS4" i="20"/>
  <c r="DR4" i="20"/>
  <c r="DQ4" i="20"/>
  <c r="DP4" i="20"/>
  <c r="DO4" i="20"/>
  <c r="DN4" i="20"/>
  <c r="DL4" i="20"/>
  <c r="DK4" i="20"/>
  <c r="DJ4" i="20"/>
  <c r="DI4" i="20"/>
  <c r="DH4" i="20"/>
  <c r="DG4" i="20"/>
  <c r="DF4" i="20"/>
  <c r="DE4" i="20"/>
  <c r="DD4" i="20"/>
  <c r="DC4" i="20"/>
  <c r="DB4" i="20"/>
  <c r="DA4" i="20"/>
  <c r="CV4" i="20"/>
  <c r="CU4" i="20"/>
  <c r="CT4" i="20"/>
  <c r="CS4" i="20"/>
  <c r="GN4" i="20" s="1"/>
  <c r="CR4" i="20"/>
  <c r="CQ4" i="20"/>
  <c r="CP4" i="20"/>
  <c r="GJ4" i="20" s="1"/>
  <c r="GK4" i="20" s="1"/>
  <c r="CO4" i="20"/>
  <c r="CN4" i="20"/>
  <c r="CM4" i="20"/>
  <c r="DX4" i="20" s="1"/>
  <c r="CL4" i="20"/>
  <c r="DW4" i="20" s="1"/>
  <c r="CH4" i="20"/>
  <c r="CW4" i="20" s="1"/>
  <c r="CG4" i="20"/>
  <c r="CG4" i="20" a="1"/>
  <c r="AW4" i="20"/>
  <c r="AV4" i="20"/>
  <c r="J4" i="20"/>
  <c r="G4" i="20"/>
  <c r="IU3" i="20"/>
  <c r="IS3" i="20"/>
  <c r="IM3" i="20"/>
  <c r="IL3" i="20"/>
  <c r="HX3" i="20" a="1"/>
  <c r="HX3" i="20" s="1"/>
  <c r="IW3" i="20" s="1"/>
  <c r="HW3" i="20" a="1"/>
  <c r="HW3" i="20" s="1"/>
  <c r="IV3" i="20" s="1"/>
  <c r="HV3" i="20" a="1"/>
  <c r="HV3" i="20" s="1"/>
  <c r="HU3" i="20"/>
  <c r="IT3" i="20" s="1"/>
  <c r="HU3" i="20" a="1"/>
  <c r="HT3" i="20"/>
  <c r="HT3" i="20" a="1"/>
  <c r="HS3" i="20" a="1"/>
  <c r="HS3" i="20" s="1"/>
  <c r="IR3" i="20" s="1"/>
  <c r="HR3" i="20" a="1"/>
  <c r="HR3" i="20" s="1"/>
  <c r="IQ3" i="20" s="1"/>
  <c r="HQ3" i="20" a="1"/>
  <c r="HQ3" i="20" s="1"/>
  <c r="IP3" i="20" s="1"/>
  <c r="HP3" i="20" a="1"/>
  <c r="HP3" i="20" s="1"/>
  <c r="IO3" i="20" s="1"/>
  <c r="HL3" i="20"/>
  <c r="HJ3" i="20"/>
  <c r="HH3" i="20"/>
  <c r="HB3" i="20"/>
  <c r="HA3" i="20"/>
  <c r="GZ3" i="20"/>
  <c r="GY3" i="20"/>
  <c r="GX3" i="20"/>
  <c r="GW3" i="20"/>
  <c r="GV3" i="20"/>
  <c r="GU3" i="20"/>
  <c r="GT3" i="20"/>
  <c r="GP3" i="20"/>
  <c r="GM3" i="20"/>
  <c r="GJ3" i="20"/>
  <c r="GK3" i="20" s="1"/>
  <c r="GI3" i="20"/>
  <c r="GH3" i="20"/>
  <c r="GG3" i="20"/>
  <c r="GF3" i="20"/>
  <c r="GE3" i="20"/>
  <c r="GD3" i="20"/>
  <c r="GC3" i="20"/>
  <c r="GB3" i="20"/>
  <c r="GA3" i="20"/>
  <c r="FZ3" i="20"/>
  <c r="FY3" i="20"/>
  <c r="FX3" i="20"/>
  <c r="FW3" i="20"/>
  <c r="FV3" i="20"/>
  <c r="FU3" i="20"/>
  <c r="FT3" i="20"/>
  <c r="FS3" i="20"/>
  <c r="FR3" i="20"/>
  <c r="FQ3" i="20"/>
  <c r="FL3" i="20"/>
  <c r="FJ3" i="20"/>
  <c r="FM3" i="20" s="1"/>
  <c r="FI3" i="20"/>
  <c r="FH3" i="20"/>
  <c r="FK3" i="20" s="1"/>
  <c r="FG3" i="20"/>
  <c r="FO3" i="20" s="1"/>
  <c r="FF3" i="20"/>
  <c r="FP3" i="20" s="1"/>
  <c r="FE3" i="20"/>
  <c r="FN3" i="20" s="1"/>
  <c r="FD3" i="20"/>
  <c r="FC3" i="20"/>
  <c r="FB3" i="20"/>
  <c r="FA3" i="20"/>
  <c r="EZ3" i="20"/>
  <c r="EY3" i="20"/>
  <c r="EX3" i="20"/>
  <c r="EW3" i="20"/>
  <c r="EV3" i="20"/>
  <c r="EU3" i="20"/>
  <c r="ET3" i="20"/>
  <c r="ES3" i="20"/>
  <c r="ER3" i="20"/>
  <c r="EQ3" i="20"/>
  <c r="EP3" i="20"/>
  <c r="EO3" i="20"/>
  <c r="EN3" i="20"/>
  <c r="EM3" i="20"/>
  <c r="EL3" i="20"/>
  <c r="EK3" i="20"/>
  <c r="EJ3" i="20"/>
  <c r="EI3" i="20"/>
  <c r="EH3" i="20"/>
  <c r="EG3" i="20"/>
  <c r="EF3" i="20"/>
  <c r="EE3" i="20"/>
  <c r="ED3" i="20"/>
  <c r="EC3" i="20"/>
  <c r="EB3" i="20"/>
  <c r="EA3" i="20"/>
  <c r="DZ3" i="20"/>
  <c r="DV3" i="20"/>
  <c r="DU3" i="20"/>
  <c r="DT3" i="20"/>
  <c r="DS3" i="20"/>
  <c r="DR3" i="20"/>
  <c r="DQ3" i="20"/>
  <c r="DP3" i="20"/>
  <c r="DO3" i="20"/>
  <c r="DN3" i="20"/>
  <c r="DM3" i="20" a="1"/>
  <c r="DM3" i="20" s="1"/>
  <c r="DL3" i="20"/>
  <c r="DK3" i="20"/>
  <c r="DJ3" i="20"/>
  <c r="DI3" i="20"/>
  <c r="DH3" i="20"/>
  <c r="DG3" i="20"/>
  <c r="DF3" i="20"/>
  <c r="DE3" i="20"/>
  <c r="DD3" i="20"/>
  <c r="DC3" i="20"/>
  <c r="DB3" i="20"/>
  <c r="DA3" i="20"/>
  <c r="CZ3" i="20"/>
  <c r="CV3" i="20"/>
  <c r="CU3" i="20"/>
  <c r="CT3" i="20"/>
  <c r="CS3" i="20"/>
  <c r="GN3" i="20" s="1"/>
  <c r="CR3" i="20"/>
  <c r="CQ3" i="20"/>
  <c r="GL3" i="20" s="1"/>
  <c r="CP3" i="20"/>
  <c r="CO3" i="20"/>
  <c r="CN3" i="20"/>
  <c r="DY3" i="20" s="1"/>
  <c r="CM3" i="20"/>
  <c r="DX3" i="20" s="1"/>
  <c r="CL3" i="20"/>
  <c r="DW3" i="20" s="1"/>
  <c r="CK3" i="20"/>
  <c r="CJ3" i="20"/>
  <c r="CY3" i="20" s="1"/>
  <c r="CH3" i="20"/>
  <c r="CW3" i="20" s="1"/>
  <c r="CG3" i="20" a="1"/>
  <c r="CG3" i="20" s="1"/>
  <c r="AW3" i="20"/>
  <c r="AV3" i="20"/>
  <c r="J3" i="20"/>
  <c r="HI3" i="20" s="1"/>
  <c r="G3" i="20"/>
  <c r="IW7" i="8"/>
  <c r="IV7" i="8"/>
  <c r="IU7" i="8"/>
  <c r="IM7" i="8"/>
  <c r="IL7" i="8"/>
  <c r="HX7" i="8" a="1"/>
  <c r="HX7" i="8" s="1"/>
  <c r="HW7" i="8" a="1"/>
  <c r="HW7" i="8" s="1"/>
  <c r="HV7" i="8" a="1"/>
  <c r="HV7" i="8" s="1"/>
  <c r="HU7" i="8" a="1"/>
  <c r="HU7" i="8" s="1"/>
  <c r="IT7" i="8" s="1"/>
  <c r="HT7" i="8" a="1"/>
  <c r="HT7" i="8" s="1"/>
  <c r="IS7" i="8" s="1"/>
  <c r="HS7" i="8"/>
  <c r="IR7" i="8" s="1"/>
  <c r="HS7" i="8" a="1"/>
  <c r="HR7" i="8" a="1"/>
  <c r="HR7" i="8" s="1"/>
  <c r="IQ7" i="8" s="1"/>
  <c r="HQ7" i="8"/>
  <c r="IP7" i="8" s="1"/>
  <c r="HQ7" i="8" a="1"/>
  <c r="HP7" i="8"/>
  <c r="IO7" i="8" s="1"/>
  <c r="HP7" i="8" a="1"/>
  <c r="HL7" i="8"/>
  <c r="HJ7" i="8"/>
  <c r="HH7" i="8"/>
  <c r="HB7" i="8"/>
  <c r="HA7" i="8"/>
  <c r="GZ7" i="8"/>
  <c r="GY7" i="8"/>
  <c r="GX7" i="8"/>
  <c r="GW7" i="8"/>
  <c r="GV7" i="8"/>
  <c r="GU7" i="8"/>
  <c r="GT7" i="8"/>
  <c r="HC7" i="8" s="1"/>
  <c r="GP7" i="8"/>
  <c r="GN7" i="8"/>
  <c r="GL7" i="8"/>
  <c r="GJ7" i="8"/>
  <c r="GK7" i="8" s="1"/>
  <c r="GI7" i="8"/>
  <c r="GH7" i="8"/>
  <c r="GG7" i="8"/>
  <c r="GF7" i="8"/>
  <c r="GE7" i="8"/>
  <c r="GD7" i="8"/>
  <c r="GC7" i="8"/>
  <c r="GB7" i="8"/>
  <c r="GA7" i="8"/>
  <c r="FZ7" i="8"/>
  <c r="FY7" i="8"/>
  <c r="FX7" i="8"/>
  <c r="FW7" i="8"/>
  <c r="FV7" i="8"/>
  <c r="FU7" i="8"/>
  <c r="FT7" i="8"/>
  <c r="FS7" i="8"/>
  <c r="FR7" i="8"/>
  <c r="FQ7" i="8"/>
  <c r="FN7" i="8"/>
  <c r="FJ7" i="8"/>
  <c r="FI7" i="8"/>
  <c r="FL7" i="8" s="1"/>
  <c r="FH7" i="8"/>
  <c r="FK7" i="8" s="1"/>
  <c r="FG7" i="8"/>
  <c r="FO7" i="8" s="1"/>
  <c r="FF7" i="8"/>
  <c r="FE7" i="8"/>
  <c r="FD7" i="8"/>
  <c r="FC7" i="8"/>
  <c r="FB7" i="8"/>
  <c r="FA7" i="8"/>
  <c r="EZ7" i="8"/>
  <c r="EY7" i="8"/>
  <c r="EX7" i="8"/>
  <c r="EW7" i="8"/>
  <c r="EV7" i="8"/>
  <c r="EU7" i="8"/>
  <c r="ET7" i="8"/>
  <c r="ES7" i="8"/>
  <c r="ER7" i="8"/>
  <c r="EQ7" i="8"/>
  <c r="EP7" i="8"/>
  <c r="EO7" i="8"/>
  <c r="EN7" i="8"/>
  <c r="EM7" i="8"/>
  <c r="EL7" i="8"/>
  <c r="EK7" i="8"/>
  <c r="EJ7" i="8"/>
  <c r="EI7" i="8"/>
  <c r="EH7" i="8"/>
  <c r="EG7" i="8"/>
  <c r="EF7" i="8"/>
  <c r="EE7" i="8"/>
  <c r="ED7" i="8"/>
  <c r="EC7" i="8"/>
  <c r="EB7" i="8"/>
  <c r="EA7" i="8"/>
  <c r="DV7" i="8"/>
  <c r="DU7" i="8"/>
  <c r="DT7" i="8"/>
  <c r="DS7" i="8"/>
  <c r="DR7" i="8"/>
  <c r="DQ7" i="8"/>
  <c r="DP7" i="8"/>
  <c r="DO7" i="8"/>
  <c r="DN7" i="8"/>
  <c r="DM7" i="8" a="1"/>
  <c r="DM7" i="8" s="1"/>
  <c r="DL7" i="8"/>
  <c r="DK7" i="8"/>
  <c r="DJ7" i="8"/>
  <c r="DI7" i="8"/>
  <c r="DH7" i="8"/>
  <c r="DG7" i="8"/>
  <c r="DF7" i="8"/>
  <c r="DE7" i="8"/>
  <c r="DD7" i="8"/>
  <c r="DC7" i="8"/>
  <c r="DB7" i="8"/>
  <c r="DA7" i="8"/>
  <c r="CY7" i="8"/>
  <c r="CV7" i="8"/>
  <c r="CU7" i="8"/>
  <c r="CT7" i="8"/>
  <c r="CS7" i="8"/>
  <c r="CR7" i="8"/>
  <c r="GM7" i="8" s="1"/>
  <c r="CQ7" i="8"/>
  <c r="CP7" i="8"/>
  <c r="CO7" i="8"/>
  <c r="DZ7" i="8" s="1"/>
  <c r="CN7" i="8"/>
  <c r="DY7" i="8" s="1"/>
  <c r="CM7" i="8"/>
  <c r="DX7" i="8" s="1"/>
  <c r="CL7" i="8"/>
  <c r="DW7" i="8" s="1"/>
  <c r="CJ7" i="8"/>
  <c r="CG7" i="8" a="1"/>
  <c r="CG7" i="8" s="1"/>
  <c r="AW7" i="8"/>
  <c r="AV7" i="8"/>
  <c r="J7" i="8"/>
  <c r="HI7" i="8" s="1"/>
  <c r="G7" i="8"/>
  <c r="IT6" i="8"/>
  <c r="IS6" i="8"/>
  <c r="IL6" i="8"/>
  <c r="HX6" i="8"/>
  <c r="IW6" i="8" s="1"/>
  <c r="HX6" i="8" a="1"/>
  <c r="HW6" i="8"/>
  <c r="IV6" i="8" s="1"/>
  <c r="HW6" i="8" a="1"/>
  <c r="HV6" i="8"/>
  <c r="IU6" i="8" s="1"/>
  <c r="HV6" i="8" a="1"/>
  <c r="HU6" i="8"/>
  <c r="HU6" i="8" a="1"/>
  <c r="HT6" i="8" a="1"/>
  <c r="HT6" i="8" s="1"/>
  <c r="HS6" i="8"/>
  <c r="IR6" i="8" s="1"/>
  <c r="HS6" i="8" a="1"/>
  <c r="HR6" i="8" a="1"/>
  <c r="HR6" i="8" s="1"/>
  <c r="IQ6" i="8" s="1"/>
  <c r="HQ6" i="8" a="1"/>
  <c r="HQ6" i="8" s="1"/>
  <c r="IP6" i="8" s="1"/>
  <c r="HP6" i="8"/>
  <c r="IO6" i="8" s="1"/>
  <c r="HP6" i="8" a="1"/>
  <c r="HL6" i="8"/>
  <c r="HJ6" i="8"/>
  <c r="HI6" i="8"/>
  <c r="HH6" i="8"/>
  <c r="HB6" i="8"/>
  <c r="HA6" i="8"/>
  <c r="GZ6" i="8"/>
  <c r="GY6" i="8"/>
  <c r="GX6" i="8"/>
  <c r="GW6" i="8"/>
  <c r="GV6" i="8"/>
  <c r="GU6" i="8"/>
  <c r="GT6" i="8"/>
  <c r="GP6" i="8"/>
  <c r="GM6" i="8"/>
  <c r="GL6" i="8"/>
  <c r="GJ6" i="8"/>
  <c r="GK6" i="8" s="1"/>
  <c r="GI6" i="8"/>
  <c r="GH6" i="8"/>
  <c r="GG6" i="8"/>
  <c r="GF6" i="8"/>
  <c r="GE6" i="8"/>
  <c r="GD6" i="8"/>
  <c r="GC6" i="8"/>
  <c r="GB6" i="8"/>
  <c r="GA6" i="8"/>
  <c r="FZ6" i="8"/>
  <c r="FY6" i="8"/>
  <c r="FX6" i="8"/>
  <c r="FW6" i="8"/>
  <c r="FV6" i="8"/>
  <c r="FU6" i="8"/>
  <c r="FT6" i="8"/>
  <c r="FS6" i="8"/>
  <c r="FR6" i="8"/>
  <c r="FQ6" i="8"/>
  <c r="FP6" i="8"/>
  <c r="FM6" i="8"/>
  <c r="FL6" i="8"/>
  <c r="FJ6" i="8"/>
  <c r="FI6" i="8"/>
  <c r="FH6" i="8"/>
  <c r="FG6" i="8"/>
  <c r="FF6" i="8"/>
  <c r="FE6" i="8"/>
  <c r="FD6" i="8"/>
  <c r="FC6" i="8"/>
  <c r="FB6" i="8"/>
  <c r="FA6" i="8"/>
  <c r="EZ6" i="8"/>
  <c r="EY6" i="8"/>
  <c r="EX6" i="8"/>
  <c r="EW6" i="8"/>
  <c r="EV6" i="8"/>
  <c r="EU6" i="8"/>
  <c r="ET6" i="8"/>
  <c r="ES6" i="8"/>
  <c r="ER6" i="8"/>
  <c r="EQ6" i="8"/>
  <c r="EP6" i="8"/>
  <c r="EO6" i="8"/>
  <c r="EN6" i="8"/>
  <c r="EM6" i="8"/>
  <c r="EL6" i="8"/>
  <c r="EK6" i="8"/>
  <c r="EJ6" i="8"/>
  <c r="EI6" i="8"/>
  <c r="EH6" i="8"/>
  <c r="EG6" i="8"/>
  <c r="EF6" i="8"/>
  <c r="EE6" i="8"/>
  <c r="ED6" i="8"/>
  <c r="EC6" i="8"/>
  <c r="EB6" i="8"/>
  <c r="EA6" i="8"/>
  <c r="DY6" i="8"/>
  <c r="DV6" i="8"/>
  <c r="DU6" i="8"/>
  <c r="DT6" i="8"/>
  <c r="DS6" i="8"/>
  <c r="DR6" i="8"/>
  <c r="DQ6" i="8"/>
  <c r="DP6" i="8"/>
  <c r="DO6" i="8"/>
  <c r="DN6" i="8"/>
  <c r="DK6" i="8"/>
  <c r="DJ6" i="8"/>
  <c r="DI6" i="8"/>
  <c r="DH6" i="8"/>
  <c r="DG6" i="8"/>
  <c r="DF6" i="8"/>
  <c r="DE6" i="8"/>
  <c r="DD6" i="8"/>
  <c r="DC6" i="8"/>
  <c r="DB6" i="8"/>
  <c r="DA6" i="8"/>
  <c r="CV6" i="8"/>
  <c r="CU6" i="8"/>
  <c r="CT6" i="8"/>
  <c r="CS6" i="8"/>
  <c r="GN6" i="8" s="1"/>
  <c r="CR6" i="8"/>
  <c r="CQ6" i="8"/>
  <c r="CP6" i="8"/>
  <c r="CO6" i="8"/>
  <c r="DZ6" i="8" s="1"/>
  <c r="CN6" i="8"/>
  <c r="CM6" i="8"/>
  <c r="DX6" i="8" s="1"/>
  <c r="CL6" i="8"/>
  <c r="DW6" i="8" s="1"/>
  <c r="CG6" i="8"/>
  <c r="CG6" i="8" a="1"/>
  <c r="AW6" i="8"/>
  <c r="AV6" i="8"/>
  <c r="J6" i="8"/>
  <c r="G6" i="8"/>
  <c r="IS5" i="8"/>
  <c r="IN5" i="8"/>
  <c r="IX5" i="8" s="1"/>
  <c r="IL5" i="8"/>
  <c r="HX5" i="8" a="1"/>
  <c r="HX5" i="8" s="1"/>
  <c r="IW5" i="8" s="1"/>
  <c r="HW5" i="8" a="1"/>
  <c r="HW5" i="8" s="1"/>
  <c r="IV5" i="8" s="1"/>
  <c r="HV5" i="8"/>
  <c r="IU5" i="8" s="1"/>
  <c r="HV5" i="8" a="1"/>
  <c r="HU5" i="8" a="1"/>
  <c r="HU5" i="8" s="1"/>
  <c r="IT5" i="8" s="1"/>
  <c r="HT5" i="8"/>
  <c r="HT5" i="8" a="1"/>
  <c r="HS5" i="8"/>
  <c r="IR5" i="8" s="1"/>
  <c r="HS5" i="8" a="1"/>
  <c r="HR5" i="8"/>
  <c r="IQ5" i="8" s="1"/>
  <c r="HR5" i="8" a="1"/>
  <c r="HQ5" i="8"/>
  <c r="IP5" i="8" s="1"/>
  <c r="HQ5" i="8" a="1"/>
  <c r="HP5" i="8"/>
  <c r="IO5" i="8" s="1"/>
  <c r="HP5" i="8" a="1"/>
  <c r="HL5" i="8"/>
  <c r="HJ5" i="8"/>
  <c r="HH5" i="8"/>
  <c r="HB5" i="8"/>
  <c r="HA5" i="8"/>
  <c r="GZ5" i="8"/>
  <c r="GY5" i="8"/>
  <c r="GX5" i="8"/>
  <c r="GW5" i="8"/>
  <c r="GV5" i="8"/>
  <c r="GU5" i="8"/>
  <c r="GT5" i="8"/>
  <c r="GP5" i="8"/>
  <c r="GN5" i="8"/>
  <c r="GM5" i="8"/>
  <c r="GL5" i="8"/>
  <c r="GK5" i="8"/>
  <c r="GI5" i="8"/>
  <c r="GH5" i="8"/>
  <c r="GG5" i="8"/>
  <c r="GF5" i="8"/>
  <c r="GE5" i="8"/>
  <c r="GD5" i="8"/>
  <c r="GC5" i="8"/>
  <c r="GB5" i="8"/>
  <c r="GA5" i="8"/>
  <c r="FZ5" i="8"/>
  <c r="FY5" i="8"/>
  <c r="FX5" i="8"/>
  <c r="FW5" i="8"/>
  <c r="FV5" i="8"/>
  <c r="FU5" i="8"/>
  <c r="FT5" i="8"/>
  <c r="FS5" i="8"/>
  <c r="FR5" i="8"/>
  <c r="FQ5" i="8"/>
  <c r="FP5" i="8"/>
  <c r="FO5" i="8"/>
  <c r="FN5" i="8"/>
  <c r="FJ5" i="8"/>
  <c r="FM5" i="8" s="1"/>
  <c r="FI5" i="8"/>
  <c r="FL5" i="8" s="1"/>
  <c r="FH5" i="8"/>
  <c r="FK5" i="8" s="1"/>
  <c r="FG5" i="8"/>
  <c r="FF5" i="8"/>
  <c r="FE5" i="8"/>
  <c r="FD5" i="8"/>
  <c r="FC5" i="8"/>
  <c r="FB5" i="8"/>
  <c r="FA5" i="8"/>
  <c r="EZ5" i="8"/>
  <c r="EY5" i="8"/>
  <c r="EX5" i="8"/>
  <c r="EW5" i="8"/>
  <c r="EV5" i="8"/>
  <c r="EU5" i="8"/>
  <c r="ET5" i="8"/>
  <c r="ES5" i="8"/>
  <c r="ER5" i="8"/>
  <c r="EQ5" i="8"/>
  <c r="EP5" i="8"/>
  <c r="EO5" i="8"/>
  <c r="EN5" i="8"/>
  <c r="EM5" i="8"/>
  <c r="EL5" i="8"/>
  <c r="EK5" i="8"/>
  <c r="EJ5" i="8"/>
  <c r="EI5" i="8"/>
  <c r="EH5" i="8"/>
  <c r="EG5" i="8"/>
  <c r="EF5" i="8"/>
  <c r="EE5" i="8"/>
  <c r="ED5" i="8"/>
  <c r="EC5" i="8"/>
  <c r="EB5" i="8"/>
  <c r="EA5" i="8"/>
  <c r="DX5" i="8"/>
  <c r="DV5" i="8"/>
  <c r="DU5" i="8"/>
  <c r="DT5" i="8"/>
  <c r="DS5" i="8"/>
  <c r="DR5" i="8"/>
  <c r="DQ5" i="8"/>
  <c r="DP5" i="8"/>
  <c r="DO5" i="8"/>
  <c r="DN5" i="8"/>
  <c r="DK5" i="8"/>
  <c r="DJ5" i="8"/>
  <c r="DI5" i="8"/>
  <c r="DH5" i="8"/>
  <c r="DG5" i="8"/>
  <c r="DF5" i="8"/>
  <c r="DE5" i="8"/>
  <c r="DD5" i="8"/>
  <c r="DC5" i="8"/>
  <c r="DB5" i="8"/>
  <c r="DA5" i="8"/>
  <c r="CV5" i="8"/>
  <c r="CU5" i="8"/>
  <c r="CT5" i="8"/>
  <c r="CS5" i="8"/>
  <c r="CR5" i="8"/>
  <c r="CQ5" i="8"/>
  <c r="CP5" i="8"/>
  <c r="GJ5" i="8" s="1"/>
  <c r="CO5" i="8"/>
  <c r="DZ5" i="8" s="1"/>
  <c r="CN5" i="8"/>
  <c r="DY5" i="8" s="1"/>
  <c r="CM5" i="8"/>
  <c r="CL5" i="8"/>
  <c r="DW5" i="8" s="1"/>
  <c r="CH5" i="8"/>
  <c r="CW5" i="8" s="1"/>
  <c r="CG5" i="8" a="1"/>
  <c r="CG5" i="8" s="1"/>
  <c r="AW5" i="8"/>
  <c r="AV5" i="8"/>
  <c r="J5" i="8"/>
  <c r="HI5" i="8" s="1"/>
  <c r="G5" i="8"/>
  <c r="IT4" i="8"/>
  <c r="IO4" i="8"/>
  <c r="IL4" i="8"/>
  <c r="HX4" i="8"/>
  <c r="IW4" i="8" s="1"/>
  <c r="HX4" i="8" a="1"/>
  <c r="HW4" i="8"/>
  <c r="IV4" i="8" s="1"/>
  <c r="HW4" i="8" a="1"/>
  <c r="HV4" i="8"/>
  <c r="IU4" i="8" s="1"/>
  <c r="HV4" i="8" a="1"/>
  <c r="HU4" i="8" a="1"/>
  <c r="HU4" i="8" s="1"/>
  <c r="HT4" i="8" a="1"/>
  <c r="HT4" i="8" s="1"/>
  <c r="IS4" i="8" s="1"/>
  <c r="HS4" i="8"/>
  <c r="IR4" i="8" s="1"/>
  <c r="HS4" i="8" a="1"/>
  <c r="HR4" i="8"/>
  <c r="IQ4" i="8" s="1"/>
  <c r="HR4" i="8" a="1"/>
  <c r="HQ4" i="8"/>
  <c r="IP4" i="8" s="1"/>
  <c r="HQ4" i="8" a="1"/>
  <c r="HP4" i="8"/>
  <c r="DM4" i="8" s="1" a="1"/>
  <c r="DM4" i="8" s="1"/>
  <c r="HP4" i="8" a="1"/>
  <c r="HL4" i="8"/>
  <c r="HJ4" i="8"/>
  <c r="HH4" i="8"/>
  <c r="HI4" i="8" s="1"/>
  <c r="HC4" i="8"/>
  <c r="HB4" i="8"/>
  <c r="HA4" i="8"/>
  <c r="GZ4" i="8"/>
  <c r="GY4" i="8"/>
  <c r="GX4" i="8"/>
  <c r="GW4" i="8"/>
  <c r="GV4" i="8"/>
  <c r="GU4" i="8"/>
  <c r="GT4" i="8"/>
  <c r="GP4" i="8"/>
  <c r="GL4" i="8"/>
  <c r="GI4" i="8"/>
  <c r="GH4" i="8"/>
  <c r="GG4" i="8"/>
  <c r="GF4" i="8"/>
  <c r="GE4" i="8"/>
  <c r="GD4" i="8"/>
  <c r="GC4" i="8"/>
  <c r="GB4" i="8"/>
  <c r="GA4" i="8"/>
  <c r="FZ4" i="8"/>
  <c r="FY4" i="8"/>
  <c r="FX4" i="8"/>
  <c r="FW4" i="8"/>
  <c r="FV4" i="8"/>
  <c r="FU4" i="8"/>
  <c r="FT4" i="8"/>
  <c r="FS4" i="8"/>
  <c r="FR4" i="8"/>
  <c r="FQ4" i="8"/>
  <c r="FO4" i="8"/>
  <c r="FL4" i="8"/>
  <c r="FJ4" i="8"/>
  <c r="FM4" i="8" s="1"/>
  <c r="FI4" i="8"/>
  <c r="FH4" i="8"/>
  <c r="FK4" i="8" s="1"/>
  <c r="FG4" i="8"/>
  <c r="FF4" i="8"/>
  <c r="FP4" i="8" s="1"/>
  <c r="FE4" i="8"/>
  <c r="FN4" i="8" s="1"/>
  <c r="FD4" i="8"/>
  <c r="FC4" i="8"/>
  <c r="FB4" i="8"/>
  <c r="FA4" i="8"/>
  <c r="EZ4" i="8"/>
  <c r="EY4" i="8"/>
  <c r="EX4" i="8"/>
  <c r="EW4" i="8"/>
  <c r="EV4" i="8"/>
  <c r="EU4" i="8"/>
  <c r="ET4" i="8"/>
  <c r="ES4" i="8"/>
  <c r="ER4" i="8"/>
  <c r="EQ4" i="8"/>
  <c r="EP4" i="8"/>
  <c r="EO4" i="8"/>
  <c r="EN4" i="8"/>
  <c r="EM4" i="8"/>
  <c r="EL4" i="8"/>
  <c r="EK4" i="8"/>
  <c r="EJ4" i="8"/>
  <c r="EI4" i="8"/>
  <c r="EH4" i="8"/>
  <c r="EG4" i="8"/>
  <c r="EF4" i="8"/>
  <c r="EE4" i="8"/>
  <c r="ED4" i="8"/>
  <c r="EC4" i="8"/>
  <c r="EB4" i="8"/>
  <c r="EA4" i="8"/>
  <c r="DZ4" i="8"/>
  <c r="DX4" i="8"/>
  <c r="DV4" i="8"/>
  <c r="DU4" i="8"/>
  <c r="DT4" i="8"/>
  <c r="DS4" i="8"/>
  <c r="DR4" i="8"/>
  <c r="DQ4" i="8"/>
  <c r="DP4" i="8"/>
  <c r="DO4" i="8"/>
  <c r="DN4" i="8"/>
  <c r="DK4" i="8"/>
  <c r="DJ4" i="8"/>
  <c r="DI4" i="8"/>
  <c r="DH4" i="8"/>
  <c r="DG4" i="8"/>
  <c r="DF4" i="8"/>
  <c r="DE4" i="8"/>
  <c r="DD4" i="8"/>
  <c r="DC4" i="8"/>
  <c r="DB4" i="8"/>
  <c r="DA4" i="8"/>
  <c r="CV4" i="8"/>
  <c r="CU4" i="8"/>
  <c r="CT4" i="8"/>
  <c r="CS4" i="8"/>
  <c r="GN4" i="8" s="1"/>
  <c r="CR4" i="8"/>
  <c r="GM4" i="8" s="1"/>
  <c r="CQ4" i="8"/>
  <c r="CP4" i="8"/>
  <c r="GJ4" i="8" s="1"/>
  <c r="GK4" i="8" s="1"/>
  <c r="CO4" i="8"/>
  <c r="CN4" i="8"/>
  <c r="DY4" i="8" s="1"/>
  <c r="CM4" i="8"/>
  <c r="CL4" i="8"/>
  <c r="DW4" i="8" s="1"/>
  <c r="CK4" i="8"/>
  <c r="CZ4" i="8" s="1"/>
  <c r="CG4" i="8" a="1"/>
  <c r="CG4" i="8" s="1"/>
  <c r="AW4" i="8"/>
  <c r="AV4" i="8"/>
  <c r="J4" i="8"/>
  <c r="G4" i="8"/>
  <c r="IU3" i="8"/>
  <c r="IP3" i="8"/>
  <c r="IO3" i="8"/>
  <c r="IN3" i="8"/>
  <c r="IX3" i="8" s="1"/>
  <c r="IM3" i="8"/>
  <c r="IL3" i="8"/>
  <c r="HX3" i="8"/>
  <c r="IW3" i="8" s="1"/>
  <c r="HX3" i="8" a="1"/>
  <c r="HW3" i="8" a="1"/>
  <c r="HW3" i="8" s="1"/>
  <c r="IV3" i="8" s="1"/>
  <c r="HV3" i="8" a="1"/>
  <c r="HV3" i="8" s="1"/>
  <c r="HU3" i="8"/>
  <c r="IT3" i="8" s="1"/>
  <c r="HU3" i="8" a="1"/>
  <c r="HT3" i="8" a="1"/>
  <c r="HT3" i="8" s="1"/>
  <c r="IS3" i="8" s="1"/>
  <c r="HS3" i="8" a="1"/>
  <c r="HS3" i="8" s="1"/>
  <c r="IR3" i="8" s="1"/>
  <c r="HR3" i="8" a="1"/>
  <c r="HR3" i="8" s="1"/>
  <c r="IQ3" i="8" s="1"/>
  <c r="HQ3" i="8"/>
  <c r="HQ3" i="8" a="1"/>
  <c r="HP3" i="8" a="1"/>
  <c r="HP3" i="8" s="1"/>
  <c r="HL3" i="8"/>
  <c r="HJ3" i="8"/>
  <c r="HH3" i="8"/>
  <c r="HB3" i="8"/>
  <c r="HC3" i="8" s="1"/>
  <c r="HA3" i="8"/>
  <c r="GZ3" i="8"/>
  <c r="GY3" i="8"/>
  <c r="GX3" i="8"/>
  <c r="GW3" i="8"/>
  <c r="GV3" i="8"/>
  <c r="GU3" i="8"/>
  <c r="GT3" i="8"/>
  <c r="GP3" i="8"/>
  <c r="GN3" i="8"/>
  <c r="GM3" i="8"/>
  <c r="GK3" i="8"/>
  <c r="GI3" i="8"/>
  <c r="GH3" i="8"/>
  <c r="GG3" i="8"/>
  <c r="GF3" i="8"/>
  <c r="GE3" i="8"/>
  <c r="GD3" i="8"/>
  <c r="GC3" i="8"/>
  <c r="GB3" i="8"/>
  <c r="GA3" i="8"/>
  <c r="FZ3" i="8"/>
  <c r="FY3" i="8"/>
  <c r="FX3" i="8"/>
  <c r="FW3" i="8"/>
  <c r="FV3" i="8"/>
  <c r="FU3" i="8"/>
  <c r="FT3" i="8"/>
  <c r="FS3" i="8"/>
  <c r="FR3" i="8"/>
  <c r="FQ3" i="8"/>
  <c r="FP3" i="8"/>
  <c r="FO3" i="8"/>
  <c r="FM3" i="8"/>
  <c r="FL3" i="8"/>
  <c r="FJ3" i="8"/>
  <c r="FI3" i="8"/>
  <c r="FH3" i="8"/>
  <c r="FG3" i="8"/>
  <c r="FF3" i="8"/>
  <c r="FK3" i="8" s="1"/>
  <c r="FE3" i="8"/>
  <c r="FN3" i="8" s="1"/>
  <c r="FD3" i="8"/>
  <c r="FC3" i="8"/>
  <c r="FB3" i="8"/>
  <c r="FA3" i="8"/>
  <c r="EZ3" i="8"/>
  <c r="EY3" i="8"/>
  <c r="EX3" i="8"/>
  <c r="EW3" i="8"/>
  <c r="EV3" i="8"/>
  <c r="EU3" i="8"/>
  <c r="ET3" i="8"/>
  <c r="ES3" i="8"/>
  <c r="ER3" i="8"/>
  <c r="EQ3" i="8"/>
  <c r="EP3" i="8"/>
  <c r="EO3" i="8"/>
  <c r="EN3" i="8"/>
  <c r="EM3" i="8"/>
  <c r="EL3" i="8"/>
  <c r="EK3" i="8"/>
  <c r="EJ3" i="8"/>
  <c r="EI3" i="8"/>
  <c r="EH3" i="8"/>
  <c r="EG3" i="8"/>
  <c r="EF3" i="8"/>
  <c r="EE3" i="8"/>
  <c r="ED3" i="8"/>
  <c r="EC3" i="8"/>
  <c r="EB3" i="8"/>
  <c r="EA3" i="8"/>
  <c r="DW3" i="8"/>
  <c r="DV3" i="8"/>
  <c r="DU3" i="8"/>
  <c r="DT3" i="8"/>
  <c r="DS3" i="8"/>
  <c r="DR3" i="8"/>
  <c r="DQ3" i="8"/>
  <c r="DP3" i="8"/>
  <c r="DO3" i="8"/>
  <c r="DN3" i="8"/>
  <c r="DL3" i="8"/>
  <c r="DK3" i="8"/>
  <c r="DJ3" i="8"/>
  <c r="DI3" i="8"/>
  <c r="DH3" i="8"/>
  <c r="DG3" i="8"/>
  <c r="DF3" i="8"/>
  <c r="DE3" i="8"/>
  <c r="DD3" i="8"/>
  <c r="DC3" i="8"/>
  <c r="DB3" i="8"/>
  <c r="DA3" i="8"/>
  <c r="CZ3" i="8"/>
  <c r="CV3" i="8"/>
  <c r="CU3" i="8"/>
  <c r="CT3" i="8"/>
  <c r="CS3" i="8"/>
  <c r="CR3" i="8"/>
  <c r="CQ3" i="8"/>
  <c r="GL3" i="8" s="1"/>
  <c r="CP3" i="8"/>
  <c r="GJ3" i="8" s="1"/>
  <c r="CO3" i="8"/>
  <c r="DZ3" i="8" s="1"/>
  <c r="CN3" i="8"/>
  <c r="DY3" i="8" s="1"/>
  <c r="CM3" i="8"/>
  <c r="DX3" i="8" s="1"/>
  <c r="CL3" i="8"/>
  <c r="CK3" i="8"/>
  <c r="CJ3" i="8"/>
  <c r="CY3" i="8" s="1"/>
  <c r="CH3" i="8"/>
  <c r="CW3" i="8" s="1"/>
  <c r="CG3" i="8"/>
  <c r="CG3" i="8" a="1"/>
  <c r="AW3" i="8"/>
  <c r="AV3" i="8"/>
  <c r="J3" i="8"/>
  <c r="HI3" i="8" s="1"/>
  <c r="G3" i="8"/>
  <c r="IT3" i="21"/>
  <c r="IR3" i="21"/>
  <c r="IQ3" i="21"/>
  <c r="IO3" i="21"/>
  <c r="IL3" i="21"/>
  <c r="HX3" i="21"/>
  <c r="IW3" i="21" s="1"/>
  <c r="HX3" i="21" a="1"/>
  <c r="HW3" i="21"/>
  <c r="IV3" i="21" s="1"/>
  <c r="HW3" i="21" a="1"/>
  <c r="HV3" i="21" a="1"/>
  <c r="HV3" i="21" s="1"/>
  <c r="IU3" i="21" s="1"/>
  <c r="HU3" i="21"/>
  <c r="HU3" i="21" a="1"/>
  <c r="HT3" i="21" a="1"/>
  <c r="HT3" i="21" s="1"/>
  <c r="IS3" i="21" s="1"/>
  <c r="HS3" i="21"/>
  <c r="HS3" i="21" a="1"/>
  <c r="HR3" i="21"/>
  <c r="HR3" i="21" a="1"/>
  <c r="HQ3" i="21"/>
  <c r="IP3" i="21" s="1"/>
  <c r="HQ3" i="21" a="1"/>
  <c r="HP3" i="21" a="1"/>
  <c r="HP3" i="21" s="1"/>
  <c r="HL3" i="21"/>
  <c r="HJ3" i="21"/>
  <c r="HH3" i="21"/>
  <c r="HC3" i="21"/>
  <c r="HB3" i="21"/>
  <c r="HA3" i="21"/>
  <c r="GZ3" i="21"/>
  <c r="GY3" i="21"/>
  <c r="GX3" i="21"/>
  <c r="GW3" i="21"/>
  <c r="GV3" i="21"/>
  <c r="GU3" i="21"/>
  <c r="GT3" i="21"/>
  <c r="GP3" i="21"/>
  <c r="GN3" i="21"/>
  <c r="GM3" i="21"/>
  <c r="GK3" i="21"/>
  <c r="GI3" i="21"/>
  <c r="GH3" i="21"/>
  <c r="GG3" i="21"/>
  <c r="GF3" i="21"/>
  <c r="GE3" i="21"/>
  <c r="GD3" i="21"/>
  <c r="GC3" i="21"/>
  <c r="GB3" i="21"/>
  <c r="GA3" i="21"/>
  <c r="FZ3" i="21"/>
  <c r="FY3" i="21"/>
  <c r="FX3" i="21"/>
  <c r="FW3" i="21"/>
  <c r="FV3" i="21"/>
  <c r="FU3" i="21"/>
  <c r="FT3" i="21"/>
  <c r="FS3" i="21"/>
  <c r="FR3" i="21"/>
  <c r="FQ3" i="21"/>
  <c r="FP3" i="21"/>
  <c r="FM3" i="21"/>
  <c r="FL3" i="21"/>
  <c r="FJ3" i="21"/>
  <c r="FI3" i="21"/>
  <c r="FH3" i="21"/>
  <c r="FG3" i="21"/>
  <c r="FF3" i="21"/>
  <c r="FE3" i="21"/>
  <c r="FD3" i="21"/>
  <c r="FC3" i="21"/>
  <c r="FB3" i="21"/>
  <c r="FA3" i="21"/>
  <c r="EZ3" i="21"/>
  <c r="EY3" i="21"/>
  <c r="EX3" i="21"/>
  <c r="EW3" i="21"/>
  <c r="EV3" i="21"/>
  <c r="EU3" i="21"/>
  <c r="ET3" i="21"/>
  <c r="ES3" i="21"/>
  <c r="ER3" i="21"/>
  <c r="EQ3" i="21"/>
  <c r="EP3" i="21"/>
  <c r="EO3" i="21"/>
  <c r="EN3" i="21"/>
  <c r="EM3" i="21"/>
  <c r="EL3" i="21"/>
  <c r="EK3" i="21"/>
  <c r="EJ3" i="21"/>
  <c r="EI3" i="21"/>
  <c r="EH3" i="21"/>
  <c r="EG3" i="21"/>
  <c r="EF3" i="21"/>
  <c r="EE3" i="21"/>
  <c r="ED3" i="21"/>
  <c r="EC3" i="21"/>
  <c r="EB3" i="21"/>
  <c r="EA3" i="21"/>
  <c r="DZ3" i="21"/>
  <c r="DY3" i="21"/>
  <c r="DW3" i="21"/>
  <c r="DV3" i="21"/>
  <c r="DU3" i="21"/>
  <c r="DT3" i="21"/>
  <c r="DS3" i="21"/>
  <c r="DR3" i="21"/>
  <c r="DQ3" i="21"/>
  <c r="DP3" i="21"/>
  <c r="DO3" i="21"/>
  <c r="DN3" i="21"/>
  <c r="DK3" i="21"/>
  <c r="DJ3" i="21"/>
  <c r="DI3" i="21"/>
  <c r="DH3" i="21"/>
  <c r="DG3" i="21"/>
  <c r="DF3" i="21"/>
  <c r="DE3" i="21"/>
  <c r="DD3" i="21"/>
  <c r="DC3" i="21"/>
  <c r="DB3" i="21"/>
  <c r="DA3" i="21"/>
  <c r="CV3" i="21"/>
  <c r="CU3" i="21"/>
  <c r="CT3" i="21"/>
  <c r="CS3" i="21"/>
  <c r="CR3" i="21"/>
  <c r="CQ3" i="21"/>
  <c r="GL3" i="21" s="1"/>
  <c r="CP3" i="21"/>
  <c r="GJ3" i="21" s="1"/>
  <c r="CO3" i="21"/>
  <c r="CN3" i="21"/>
  <c r="CM3" i="21"/>
  <c r="DX3" i="21" s="1"/>
  <c r="CL3" i="21"/>
  <c r="CJ3" i="21"/>
  <c r="CY3" i="21" s="1"/>
  <c r="CG3" i="21"/>
  <c r="CG3" i="21" a="1"/>
  <c r="AW3" i="21"/>
  <c r="AV3" i="21"/>
  <c r="J3" i="21"/>
  <c r="G3" i="21"/>
  <c r="IU11" i="19"/>
  <c r="IO11" i="19"/>
  <c r="IN11" i="19"/>
  <c r="IX11" i="19" s="1"/>
  <c r="IM11" i="19"/>
  <c r="IL11" i="19"/>
  <c r="HX11" i="19" a="1"/>
  <c r="HX11" i="19" s="1"/>
  <c r="IW11" i="19" s="1"/>
  <c r="HW11" i="19" a="1"/>
  <c r="HW11" i="19" s="1"/>
  <c r="IV11" i="19" s="1"/>
  <c r="HV11" i="19"/>
  <c r="HV11" i="19" a="1"/>
  <c r="HU11" i="19" a="1"/>
  <c r="HU11" i="19" s="1"/>
  <c r="IT11" i="19" s="1"/>
  <c r="HT11" i="19"/>
  <c r="IS11" i="19" s="1"/>
  <c r="HT11" i="19" a="1"/>
  <c r="HS11" i="19"/>
  <c r="IR11" i="19" s="1"/>
  <c r="HS11" i="19" a="1"/>
  <c r="HR11" i="19"/>
  <c r="IQ11" i="19" s="1"/>
  <c r="HR11" i="19" a="1"/>
  <c r="HQ11" i="19"/>
  <c r="IP11" i="19" s="1"/>
  <c r="HQ11" i="19" a="1"/>
  <c r="HP11" i="19"/>
  <c r="HP11" i="19" a="1"/>
  <c r="HL11" i="19"/>
  <c r="HJ11" i="19"/>
  <c r="HH11" i="19"/>
  <c r="HC11" i="19"/>
  <c r="HB11" i="19"/>
  <c r="HA11" i="19"/>
  <c r="GZ11" i="19"/>
  <c r="GY11" i="19"/>
  <c r="GX11" i="19"/>
  <c r="GW11" i="19"/>
  <c r="GV11" i="19"/>
  <c r="GU11" i="19"/>
  <c r="GT11" i="19"/>
  <c r="GP11" i="19"/>
  <c r="GN11" i="19"/>
  <c r="GM11" i="19"/>
  <c r="GK11" i="19"/>
  <c r="GI11" i="19"/>
  <c r="GH11" i="19"/>
  <c r="GG11" i="19"/>
  <c r="GF11" i="19"/>
  <c r="GE11" i="19"/>
  <c r="GD11" i="19"/>
  <c r="GC11" i="19"/>
  <c r="GB11" i="19"/>
  <c r="GA11" i="19"/>
  <c r="FZ11" i="19"/>
  <c r="FY11" i="19"/>
  <c r="FX11" i="19"/>
  <c r="FW11" i="19"/>
  <c r="FV11" i="19"/>
  <c r="FU11" i="19"/>
  <c r="FT11" i="19"/>
  <c r="FS11" i="19"/>
  <c r="FR11" i="19"/>
  <c r="FQ11" i="19"/>
  <c r="FP11" i="19"/>
  <c r="FO11" i="19"/>
  <c r="FN11" i="19"/>
  <c r="FK11" i="19"/>
  <c r="FJ11" i="19"/>
  <c r="FM11" i="19" s="1"/>
  <c r="FI11" i="19"/>
  <c r="FH11" i="19"/>
  <c r="FG11" i="19"/>
  <c r="FF11" i="19"/>
  <c r="FE11" i="19"/>
  <c r="FD11" i="19"/>
  <c r="FC11" i="19"/>
  <c r="FB11" i="19"/>
  <c r="FA11" i="19"/>
  <c r="EZ11" i="19"/>
  <c r="EY11" i="19"/>
  <c r="EX11" i="19"/>
  <c r="EW11" i="19"/>
  <c r="EV11" i="19"/>
  <c r="EU11" i="19"/>
  <c r="ET11" i="19"/>
  <c r="ES11" i="19"/>
  <c r="ER11" i="19"/>
  <c r="EQ11" i="19"/>
  <c r="EP11" i="19"/>
  <c r="EO11" i="19"/>
  <c r="EN11" i="19"/>
  <c r="EM11" i="19"/>
  <c r="EL11" i="19"/>
  <c r="EK11" i="19"/>
  <c r="EJ11" i="19"/>
  <c r="EI11" i="19"/>
  <c r="EH11" i="19"/>
  <c r="EG11" i="19"/>
  <c r="EF11" i="19"/>
  <c r="EE11" i="19"/>
  <c r="ED11" i="19"/>
  <c r="EC11" i="19"/>
  <c r="EB11" i="19"/>
  <c r="EA11" i="19"/>
  <c r="DW11" i="19"/>
  <c r="DV11" i="19"/>
  <c r="DU11" i="19"/>
  <c r="DT11" i="19"/>
  <c r="DS11" i="19"/>
  <c r="DR11" i="19"/>
  <c r="DQ11" i="19"/>
  <c r="DP11" i="19"/>
  <c r="DO11" i="19"/>
  <c r="DN11" i="19"/>
  <c r="DM11" i="19" a="1"/>
  <c r="DM11" i="19" s="1"/>
  <c r="DL11" i="19"/>
  <c r="DK11" i="19"/>
  <c r="DJ11" i="19"/>
  <c r="DI11" i="19"/>
  <c r="DH11" i="19"/>
  <c r="DG11" i="19"/>
  <c r="DF11" i="19"/>
  <c r="DE11" i="19"/>
  <c r="DD11" i="19"/>
  <c r="DC11" i="19"/>
  <c r="DB11" i="19"/>
  <c r="DA11" i="19"/>
  <c r="CZ11" i="19"/>
  <c r="CY11" i="19"/>
  <c r="CX11" i="19"/>
  <c r="CV11" i="19"/>
  <c r="CU11" i="19"/>
  <c r="CT11" i="19"/>
  <c r="CS11" i="19"/>
  <c r="CR11" i="19"/>
  <c r="CQ11" i="19"/>
  <c r="GL11" i="19" s="1"/>
  <c r="CP11" i="19"/>
  <c r="GJ11" i="19" s="1"/>
  <c r="CO11" i="19"/>
  <c r="DZ11" i="19" s="1"/>
  <c r="CN11" i="19"/>
  <c r="DY11" i="19" s="1"/>
  <c r="CM11" i="19"/>
  <c r="DX11" i="19" s="1"/>
  <c r="CL11" i="19"/>
  <c r="CK11" i="19"/>
  <c r="CJ11" i="19"/>
  <c r="CI11" i="19"/>
  <c r="CH11" i="19"/>
  <c r="CW11" i="19" s="1"/>
  <c r="CG11" i="19" a="1"/>
  <c r="CG11" i="19" s="1"/>
  <c r="AX11" i="19"/>
  <c r="AW11" i="19"/>
  <c r="AV11" i="19"/>
  <c r="J11" i="19"/>
  <c r="HI11" i="19" s="1"/>
  <c r="G11" i="19"/>
  <c r="IR10" i="19"/>
  <c r="IM10" i="19"/>
  <c r="HX10" i="19"/>
  <c r="IW10" i="19" s="1"/>
  <c r="HX10" i="19" a="1"/>
  <c r="HW10" i="19"/>
  <c r="IV10" i="19" s="1"/>
  <c r="HW10" i="19" a="1"/>
  <c r="HV10" i="19"/>
  <c r="IU10" i="19" s="1"/>
  <c r="HV10" i="19" a="1"/>
  <c r="HU10" i="19"/>
  <c r="IT10" i="19" s="1"/>
  <c r="HU10" i="19" a="1"/>
  <c r="HT10" i="19"/>
  <c r="IS10" i="19" s="1"/>
  <c r="HT10" i="19" a="1"/>
  <c r="HS10" i="19" a="1"/>
  <c r="HS10" i="19" s="1"/>
  <c r="HR10" i="19" a="1"/>
  <c r="HR10" i="19" s="1"/>
  <c r="IQ10" i="19" s="1"/>
  <c r="HQ10" i="19"/>
  <c r="IP10" i="19" s="1"/>
  <c r="HQ10" i="19" a="1"/>
  <c r="HP10" i="19"/>
  <c r="IO10" i="19" s="1"/>
  <c r="HP10" i="19" a="1"/>
  <c r="HL10" i="19"/>
  <c r="HJ10" i="19"/>
  <c r="HH10" i="19"/>
  <c r="HB10" i="19"/>
  <c r="HA10" i="19"/>
  <c r="GZ10" i="19"/>
  <c r="GY10" i="19"/>
  <c r="GX10" i="19"/>
  <c r="GW10" i="19"/>
  <c r="GV10" i="19"/>
  <c r="GU10" i="19"/>
  <c r="GT10" i="19"/>
  <c r="GP10" i="19"/>
  <c r="GN10" i="19"/>
  <c r="GM10" i="19"/>
  <c r="GL10" i="19"/>
  <c r="GJ10" i="19"/>
  <c r="GK10" i="19" s="1"/>
  <c r="GI10" i="19"/>
  <c r="GH10" i="19"/>
  <c r="GG10" i="19"/>
  <c r="GF10" i="19"/>
  <c r="GE10" i="19"/>
  <c r="GB10" i="19"/>
  <c r="GA10" i="19"/>
  <c r="FZ10" i="19"/>
  <c r="FY10" i="19"/>
  <c r="FW10" i="19"/>
  <c r="FV10" i="19"/>
  <c r="FU10" i="19"/>
  <c r="FT10" i="19"/>
  <c r="FS10" i="19"/>
  <c r="FR10" i="19"/>
  <c r="FQ10" i="19"/>
  <c r="FO10" i="19"/>
  <c r="FJ10" i="19"/>
  <c r="FI10" i="19"/>
  <c r="FH10" i="19"/>
  <c r="FG10" i="19"/>
  <c r="FF10" i="19"/>
  <c r="FE10" i="19"/>
  <c r="FD10" i="19"/>
  <c r="FB10" i="19"/>
  <c r="FA10" i="19"/>
  <c r="EZ10" i="19"/>
  <c r="EY10" i="19"/>
  <c r="EX10" i="19"/>
  <c r="EW10" i="19"/>
  <c r="EV10" i="19"/>
  <c r="EU10" i="19"/>
  <c r="ET10" i="19"/>
  <c r="ES10" i="19"/>
  <c r="ER10" i="19"/>
  <c r="EQ10" i="19"/>
  <c r="EP10" i="19"/>
  <c r="EO10" i="19"/>
  <c r="EN10" i="19"/>
  <c r="EM10" i="19"/>
  <c r="EL10" i="19"/>
  <c r="EK10" i="19"/>
  <c r="EJ10" i="19"/>
  <c r="EI10" i="19"/>
  <c r="EH10" i="19"/>
  <c r="EG10" i="19"/>
  <c r="EF10" i="19"/>
  <c r="EE10" i="19"/>
  <c r="ED10" i="19"/>
  <c r="EC10" i="19"/>
  <c r="EB10" i="19"/>
  <c r="EA10" i="19"/>
  <c r="DW10" i="19"/>
  <c r="DU10" i="19"/>
  <c r="DT10" i="19"/>
  <c r="DS10" i="19"/>
  <c r="DR10" i="19"/>
  <c r="DQ10" i="19"/>
  <c r="DP10" i="19"/>
  <c r="DO10" i="19"/>
  <c r="DN10" i="19"/>
  <c r="DM10" i="19"/>
  <c r="DL10" i="19"/>
  <c r="DK10" i="19"/>
  <c r="DJ10" i="19"/>
  <c r="DI10" i="19"/>
  <c r="DH10" i="19"/>
  <c r="DG10" i="19"/>
  <c r="DF10" i="19"/>
  <c r="DE10" i="19"/>
  <c r="DD10" i="19"/>
  <c r="DB10" i="19"/>
  <c r="DA10" i="19"/>
  <c r="CY10" i="19"/>
  <c r="CW10" i="19"/>
  <c r="CV10" i="19"/>
  <c r="CU10" i="19"/>
  <c r="CT10" i="19"/>
  <c r="CS10" i="19"/>
  <c r="CR10" i="19"/>
  <c r="CQ10" i="19"/>
  <c r="CP10" i="19"/>
  <c r="CO10" i="19"/>
  <c r="DZ10" i="19" s="1"/>
  <c r="CN10" i="19"/>
  <c r="DY10" i="19" s="1"/>
  <c r="CM10" i="19"/>
  <c r="DX10" i="19" s="1"/>
  <c r="CL10" i="19"/>
  <c r="CK10" i="19"/>
  <c r="CZ10" i="19" s="1"/>
  <c r="CJ10" i="19"/>
  <c r="CH10" i="19"/>
  <c r="CG10" i="19"/>
  <c r="DM10" i="19" s="1" a="1"/>
  <c r="CG10" i="19" a="1"/>
  <c r="AW10" i="19"/>
  <c r="AV10" i="19"/>
  <c r="J10" i="19"/>
  <c r="HI10" i="19" s="1"/>
  <c r="G10" i="19"/>
  <c r="IW9" i="19"/>
  <c r="IO9" i="19"/>
  <c r="IM9" i="19"/>
  <c r="HX9" i="19"/>
  <c r="HX9" i="19" a="1"/>
  <c r="HW9" i="19"/>
  <c r="IV9" i="19" s="1"/>
  <c r="HW9" i="19" a="1"/>
  <c r="HV9" i="19" a="1"/>
  <c r="HV9" i="19" s="1"/>
  <c r="IU9" i="19" s="1"/>
  <c r="HU9" i="19"/>
  <c r="IT9" i="19" s="1"/>
  <c r="HU9" i="19" a="1"/>
  <c r="HT9" i="19"/>
  <c r="IS9" i="19" s="1"/>
  <c r="HT9" i="19" a="1"/>
  <c r="HS9" i="19" a="1"/>
  <c r="HS9" i="19" s="1"/>
  <c r="IR9" i="19" s="1"/>
  <c r="HR9" i="19"/>
  <c r="IQ9" i="19" s="1"/>
  <c r="HR9" i="19" a="1"/>
  <c r="HQ9" i="19" a="1"/>
  <c r="HQ9" i="19" s="1"/>
  <c r="IP9" i="19" s="1"/>
  <c r="HP9" i="19" a="1"/>
  <c r="HP9" i="19" s="1"/>
  <c r="HL9" i="19"/>
  <c r="HJ9" i="19"/>
  <c r="HI9" i="19"/>
  <c r="HH9" i="19"/>
  <c r="HB9" i="19"/>
  <c r="HA9" i="19"/>
  <c r="GZ9" i="19"/>
  <c r="GY9" i="19"/>
  <c r="GX9" i="19"/>
  <c r="GW9" i="19"/>
  <c r="GV9" i="19"/>
  <c r="GU9" i="19"/>
  <c r="GT9" i="19"/>
  <c r="GP9" i="19"/>
  <c r="GM9" i="19"/>
  <c r="GK9" i="19"/>
  <c r="GI9" i="19"/>
  <c r="GH9" i="19"/>
  <c r="GG9" i="19"/>
  <c r="GF9" i="19"/>
  <c r="GE9" i="19"/>
  <c r="GB9" i="19"/>
  <c r="GA9" i="19"/>
  <c r="FZ9" i="19"/>
  <c r="FY9" i="19"/>
  <c r="FW9" i="19"/>
  <c r="FV9" i="19"/>
  <c r="FU9" i="19"/>
  <c r="FT9" i="19"/>
  <c r="FS9" i="19"/>
  <c r="FR9" i="19"/>
  <c r="FQ9" i="19"/>
  <c r="FO9" i="19"/>
  <c r="FJ9" i="19"/>
  <c r="FI9" i="19"/>
  <c r="FH9" i="19"/>
  <c r="FG9" i="19"/>
  <c r="FF9" i="19"/>
  <c r="FE9" i="19"/>
  <c r="FD9" i="19"/>
  <c r="FB9" i="19"/>
  <c r="FA9" i="19"/>
  <c r="EZ9" i="19"/>
  <c r="EY9" i="19"/>
  <c r="EX9" i="19"/>
  <c r="EW9" i="19"/>
  <c r="EV9" i="19"/>
  <c r="EU9" i="19"/>
  <c r="ET9" i="19"/>
  <c r="ES9" i="19"/>
  <c r="ER9" i="19"/>
  <c r="EQ9" i="19"/>
  <c r="EP9" i="19"/>
  <c r="EO9" i="19"/>
  <c r="EN9" i="19"/>
  <c r="EM9" i="19"/>
  <c r="EL9" i="19"/>
  <c r="EK9" i="19"/>
  <c r="EJ9" i="19"/>
  <c r="EI9" i="19"/>
  <c r="EH9" i="19"/>
  <c r="EG9" i="19"/>
  <c r="EF9" i="19"/>
  <c r="EE9" i="19"/>
  <c r="ED9" i="19"/>
  <c r="EC9" i="19"/>
  <c r="EB9" i="19"/>
  <c r="EA9" i="19"/>
  <c r="DY9" i="19"/>
  <c r="DU9" i="19"/>
  <c r="DT9" i="19"/>
  <c r="DS9" i="19"/>
  <c r="DR9" i="19"/>
  <c r="DQ9" i="19"/>
  <c r="DP9" i="19"/>
  <c r="DO9" i="19"/>
  <c r="DN9" i="19"/>
  <c r="DM9" i="19" a="1"/>
  <c r="DM9" i="19" s="1"/>
  <c r="DK9" i="19"/>
  <c r="DJ9" i="19"/>
  <c r="DI9" i="19"/>
  <c r="DH9" i="19"/>
  <c r="DG9" i="19"/>
  <c r="DF9" i="19"/>
  <c r="DE9" i="19"/>
  <c r="DD9" i="19"/>
  <c r="DB9" i="19"/>
  <c r="DA9" i="19"/>
  <c r="CZ9" i="19"/>
  <c r="CV9" i="19"/>
  <c r="CU9" i="19"/>
  <c r="CT9" i="19"/>
  <c r="CS9" i="19"/>
  <c r="GN9" i="19" s="1"/>
  <c r="CR9" i="19"/>
  <c r="CQ9" i="19"/>
  <c r="GL9" i="19" s="1"/>
  <c r="CP9" i="19"/>
  <c r="GJ9" i="19" s="1"/>
  <c r="CO9" i="19"/>
  <c r="DZ9" i="19" s="1"/>
  <c r="CN9" i="19"/>
  <c r="CM9" i="19"/>
  <c r="DX9" i="19" s="1"/>
  <c r="CL9" i="19"/>
  <c r="DW9" i="19" s="1"/>
  <c r="CK9" i="19"/>
  <c r="CG9" i="19" a="1"/>
  <c r="CG9" i="19" s="1"/>
  <c r="IN9" i="19" s="1"/>
  <c r="IX9" i="19" s="1"/>
  <c r="AW9" i="19"/>
  <c r="AV9" i="19"/>
  <c r="J9" i="19"/>
  <c r="G9" i="19"/>
  <c r="IR8" i="19"/>
  <c r="IQ8" i="19"/>
  <c r="IL8" i="19"/>
  <c r="HX8" i="19" a="1"/>
  <c r="HX8" i="19" s="1"/>
  <c r="IW8" i="19" s="1"/>
  <c r="HW8" i="19" a="1"/>
  <c r="HW8" i="19" s="1"/>
  <c r="IV8" i="19" s="1"/>
  <c r="HV8" i="19"/>
  <c r="IU8" i="19" s="1"/>
  <c r="HV8" i="19" a="1"/>
  <c r="HU8" i="19"/>
  <c r="IT8" i="19" s="1"/>
  <c r="HU8" i="19" a="1"/>
  <c r="HT8" i="19"/>
  <c r="IS8" i="19" s="1"/>
  <c r="HT8" i="19" a="1"/>
  <c r="HS8" i="19"/>
  <c r="HS8" i="19" a="1"/>
  <c r="HR8" i="19" a="1"/>
  <c r="HR8" i="19" s="1"/>
  <c r="HQ8" i="19"/>
  <c r="IP8" i="19" s="1"/>
  <c r="HQ8" i="19" a="1"/>
  <c r="HP8" i="19" a="1"/>
  <c r="HP8" i="19" s="1"/>
  <c r="IO8" i="19" s="1"/>
  <c r="HL8" i="19"/>
  <c r="HJ8" i="19"/>
  <c r="HI8" i="19"/>
  <c r="HH8" i="19"/>
  <c r="HB8" i="19"/>
  <c r="HA8" i="19"/>
  <c r="GZ8" i="19"/>
  <c r="GY8" i="19"/>
  <c r="GX8" i="19"/>
  <c r="GW8" i="19"/>
  <c r="GV8" i="19"/>
  <c r="GU8" i="19"/>
  <c r="GT8" i="19"/>
  <c r="GP8" i="19"/>
  <c r="GJ8" i="19"/>
  <c r="GK8" i="19" s="1"/>
  <c r="GI8" i="19"/>
  <c r="GH8" i="19"/>
  <c r="GG8" i="19"/>
  <c r="GF8" i="19"/>
  <c r="GE8" i="19"/>
  <c r="GD8" i="19"/>
  <c r="GC8" i="19"/>
  <c r="GB8" i="19"/>
  <c r="GA8" i="19"/>
  <c r="FZ8" i="19"/>
  <c r="FY8" i="19"/>
  <c r="FX8" i="19"/>
  <c r="FW8" i="19"/>
  <c r="FV8" i="19"/>
  <c r="FU8" i="19"/>
  <c r="FT8" i="19"/>
  <c r="FS8" i="19"/>
  <c r="FR8" i="19"/>
  <c r="FQ8" i="19"/>
  <c r="FP8" i="19"/>
  <c r="FL8" i="19"/>
  <c r="FK8" i="19"/>
  <c r="FJ8" i="19"/>
  <c r="FM8" i="19" s="1"/>
  <c r="FI8" i="19"/>
  <c r="FH8" i="19"/>
  <c r="FG8" i="19"/>
  <c r="FF8" i="19"/>
  <c r="FE8" i="19"/>
  <c r="FD8" i="19"/>
  <c r="FC8" i="19"/>
  <c r="FB8" i="19"/>
  <c r="FA8" i="19"/>
  <c r="EZ8" i="19"/>
  <c r="EY8" i="19"/>
  <c r="EX8" i="19"/>
  <c r="EW8" i="19"/>
  <c r="EV8" i="19"/>
  <c r="EU8" i="19"/>
  <c r="ET8" i="19"/>
  <c r="ES8" i="19"/>
  <c r="ER8" i="19"/>
  <c r="EQ8" i="19"/>
  <c r="EP8" i="19"/>
  <c r="EO8" i="19"/>
  <c r="EN8" i="19"/>
  <c r="EM8" i="19"/>
  <c r="EL8" i="19"/>
  <c r="EK8" i="19"/>
  <c r="EJ8" i="19"/>
  <c r="EI8" i="19"/>
  <c r="EH8" i="19"/>
  <c r="EG8" i="19"/>
  <c r="EF8" i="19"/>
  <c r="EE8" i="19"/>
  <c r="ED8" i="19"/>
  <c r="EC8" i="19"/>
  <c r="EB8" i="19"/>
  <c r="EA8" i="19"/>
  <c r="DZ8" i="19"/>
  <c r="DX8" i="19"/>
  <c r="DV8" i="19"/>
  <c r="DU8" i="19"/>
  <c r="DT8" i="19"/>
  <c r="DS8" i="19"/>
  <c r="DR8" i="19"/>
  <c r="DQ8" i="19"/>
  <c r="DP8" i="19"/>
  <c r="DO8" i="19"/>
  <c r="DN8" i="19"/>
  <c r="DK8" i="19"/>
  <c r="DJ8" i="19"/>
  <c r="DI8" i="19"/>
  <c r="DH8" i="19"/>
  <c r="DG8" i="19"/>
  <c r="DF8" i="19"/>
  <c r="DE8" i="19"/>
  <c r="DD8" i="19"/>
  <c r="DC8" i="19"/>
  <c r="DB8" i="19"/>
  <c r="DA8" i="19"/>
  <c r="CV8" i="19"/>
  <c r="CU8" i="19"/>
  <c r="CT8" i="19"/>
  <c r="CS8" i="19"/>
  <c r="GN8" i="19" s="1"/>
  <c r="CR8" i="19"/>
  <c r="GM8" i="19" s="1"/>
  <c r="CQ8" i="19"/>
  <c r="GL8" i="19" s="1"/>
  <c r="CP8" i="19"/>
  <c r="CO8" i="19"/>
  <c r="CN8" i="19"/>
  <c r="DY8" i="19" s="1"/>
  <c r="CM8" i="19"/>
  <c r="CL8" i="19"/>
  <c r="DW8" i="19" s="1"/>
  <c r="CG8" i="19" a="1"/>
  <c r="CG8" i="19" s="1"/>
  <c r="AX8" i="19"/>
  <c r="AW8" i="19"/>
  <c r="AV8" i="19"/>
  <c r="J8" i="19"/>
  <c r="G8" i="19"/>
  <c r="IW7" i="19"/>
  <c r="IV7" i="19"/>
  <c r="IR7" i="19"/>
  <c r="IL7" i="19"/>
  <c r="HX7" i="19" a="1"/>
  <c r="HX7" i="19" s="1"/>
  <c r="HW7" i="19"/>
  <c r="HW7" i="19" a="1"/>
  <c r="HV7" i="19"/>
  <c r="IU7" i="19" s="1"/>
  <c r="HV7" i="19" a="1"/>
  <c r="HU7" i="19"/>
  <c r="IT7" i="19" s="1"/>
  <c r="HU7" i="19" a="1"/>
  <c r="HT7" i="19"/>
  <c r="IS7" i="19" s="1"/>
  <c r="HT7" i="19" a="1"/>
  <c r="HS7" i="19" a="1"/>
  <c r="HS7" i="19" s="1"/>
  <c r="HR7" i="19"/>
  <c r="IQ7" i="19" s="1"/>
  <c r="HR7" i="19" a="1"/>
  <c r="HQ7" i="19"/>
  <c r="IP7" i="19" s="1"/>
  <c r="HQ7" i="19" a="1"/>
  <c r="HP7" i="19" a="1"/>
  <c r="HP7" i="19" s="1"/>
  <c r="IO7" i="19" s="1"/>
  <c r="HL7" i="19"/>
  <c r="HJ7" i="19"/>
  <c r="HH7" i="19"/>
  <c r="HB7" i="19"/>
  <c r="HA7" i="19"/>
  <c r="GZ7" i="19"/>
  <c r="GY7" i="19"/>
  <c r="GX7" i="19"/>
  <c r="GW7" i="19"/>
  <c r="GV7" i="19"/>
  <c r="GU7" i="19"/>
  <c r="GT7" i="19"/>
  <c r="GP7" i="19"/>
  <c r="GN7" i="19"/>
  <c r="GM7" i="19"/>
  <c r="GL7" i="19"/>
  <c r="GK7" i="19"/>
  <c r="GJ7" i="19"/>
  <c r="GI7" i="19"/>
  <c r="GH7" i="19"/>
  <c r="GG7" i="19"/>
  <c r="GF7" i="19"/>
  <c r="GE7" i="19"/>
  <c r="GD7" i="19"/>
  <c r="GC7" i="19"/>
  <c r="GB7" i="19"/>
  <c r="GA7" i="19"/>
  <c r="FZ7" i="19"/>
  <c r="FY7" i="19"/>
  <c r="FX7" i="19"/>
  <c r="FW7" i="19"/>
  <c r="FV7" i="19"/>
  <c r="FU7" i="19"/>
  <c r="FT7" i="19"/>
  <c r="FS7" i="19"/>
  <c r="FR7" i="19"/>
  <c r="FQ7" i="19"/>
  <c r="FJ7" i="19"/>
  <c r="FM7" i="19" s="1"/>
  <c r="FI7" i="19"/>
  <c r="FH7" i="19"/>
  <c r="FK7" i="19" s="1"/>
  <c r="FG7" i="19"/>
  <c r="FF7" i="19"/>
  <c r="FE7" i="19"/>
  <c r="FD7" i="19"/>
  <c r="FC7" i="19"/>
  <c r="FB7" i="19"/>
  <c r="FA7" i="19"/>
  <c r="EZ7" i="19"/>
  <c r="EY7" i="19"/>
  <c r="EX7" i="19"/>
  <c r="EW7" i="19"/>
  <c r="EV7" i="19"/>
  <c r="EU7" i="19"/>
  <c r="ET7" i="19"/>
  <c r="ES7" i="19"/>
  <c r="ER7" i="19"/>
  <c r="EQ7" i="19"/>
  <c r="EP7" i="19"/>
  <c r="EO7" i="19"/>
  <c r="EN7" i="19"/>
  <c r="EM7" i="19"/>
  <c r="EL7" i="19"/>
  <c r="EK7" i="19"/>
  <c r="EJ7" i="19"/>
  <c r="EI7" i="19"/>
  <c r="EH7" i="19"/>
  <c r="EG7" i="19"/>
  <c r="EF7" i="19"/>
  <c r="EE7" i="19"/>
  <c r="ED7" i="19"/>
  <c r="EC7" i="19"/>
  <c r="EB7" i="19"/>
  <c r="EA7" i="19"/>
  <c r="DZ7" i="19"/>
  <c r="DV7" i="19"/>
  <c r="DU7" i="19"/>
  <c r="DT7" i="19"/>
  <c r="DS7" i="19"/>
  <c r="DR7" i="19"/>
  <c r="DQ7" i="19"/>
  <c r="DP7" i="19"/>
  <c r="DO7" i="19"/>
  <c r="DN7" i="19"/>
  <c r="DL7" i="19"/>
  <c r="DK7" i="19"/>
  <c r="DJ7" i="19"/>
  <c r="DI7" i="19"/>
  <c r="DH7" i="19"/>
  <c r="DG7" i="19"/>
  <c r="DF7" i="19"/>
  <c r="DE7" i="19"/>
  <c r="DD7" i="19"/>
  <c r="DC7" i="19"/>
  <c r="DB7" i="19"/>
  <c r="DA7" i="19"/>
  <c r="CV7" i="19"/>
  <c r="CU7" i="19"/>
  <c r="CT7" i="19"/>
  <c r="CS7" i="19"/>
  <c r="CR7" i="19"/>
  <c r="CQ7" i="19"/>
  <c r="CP7" i="19"/>
  <c r="CO7" i="19"/>
  <c r="CN7" i="19"/>
  <c r="DY7" i="19" s="1"/>
  <c r="CM7" i="19"/>
  <c r="DX7" i="19" s="1"/>
  <c r="CL7" i="19"/>
  <c r="DW7" i="19" s="1"/>
  <c r="CK7" i="19"/>
  <c r="CZ7" i="19" s="1"/>
  <c r="CJ7" i="19"/>
  <c r="CY7" i="19" s="1"/>
  <c r="CI7" i="19"/>
  <c r="CX7" i="19" s="1"/>
  <c r="CH7" i="19"/>
  <c r="CW7" i="19" s="1"/>
  <c r="CG7" i="19"/>
  <c r="CG7" i="19" a="1"/>
  <c r="AW7" i="19"/>
  <c r="AV7" i="19"/>
  <c r="J7" i="19"/>
  <c r="G7" i="19"/>
  <c r="IU6" i="19"/>
  <c r="IT6" i="19"/>
  <c r="IS6" i="19"/>
  <c r="HX6" i="19" a="1"/>
  <c r="HX6" i="19" s="1"/>
  <c r="IW6" i="19" s="1"/>
  <c r="HW6" i="19"/>
  <c r="IV6" i="19" s="1"/>
  <c r="HW6" i="19" a="1"/>
  <c r="HV6" i="19"/>
  <c r="HV6" i="19" a="1"/>
  <c r="HU6" i="19"/>
  <c r="HU6" i="19" a="1"/>
  <c r="HT6" i="19"/>
  <c r="HT6" i="19" a="1"/>
  <c r="HS6" i="19" a="1"/>
  <c r="HS6" i="19" s="1"/>
  <c r="IR6" i="19" s="1"/>
  <c r="HR6" i="19" a="1"/>
  <c r="HR6" i="19" s="1"/>
  <c r="IQ6" i="19" s="1"/>
  <c r="HQ6" i="19" a="1"/>
  <c r="HQ6" i="19" s="1"/>
  <c r="IP6" i="19" s="1"/>
  <c r="HP6" i="19"/>
  <c r="IO6" i="19" s="1"/>
  <c r="HP6" i="19" a="1"/>
  <c r="HL6" i="19"/>
  <c r="HJ6" i="19"/>
  <c r="HH6" i="19"/>
  <c r="HB6" i="19"/>
  <c r="HA6" i="19"/>
  <c r="GZ6" i="19"/>
  <c r="GY6" i="19"/>
  <c r="GX6" i="19"/>
  <c r="GW6" i="19"/>
  <c r="GV6" i="19"/>
  <c r="GU6" i="19"/>
  <c r="GT6" i="19"/>
  <c r="GP6" i="19"/>
  <c r="GN6" i="19"/>
  <c r="GM6" i="19"/>
  <c r="GL6" i="19"/>
  <c r="GK6" i="19"/>
  <c r="GJ6" i="19"/>
  <c r="GI6" i="19"/>
  <c r="GH6" i="19"/>
  <c r="GG6" i="19"/>
  <c r="GF6" i="19"/>
  <c r="GE6" i="19"/>
  <c r="GB6" i="19"/>
  <c r="GA6" i="19"/>
  <c r="FZ6" i="19"/>
  <c r="FY6" i="19"/>
  <c r="FW6" i="19"/>
  <c r="FV6" i="19"/>
  <c r="FU6" i="19"/>
  <c r="FT6" i="19"/>
  <c r="FS6" i="19"/>
  <c r="FR6" i="19"/>
  <c r="FQ6" i="19"/>
  <c r="FP6" i="19"/>
  <c r="FN6" i="19"/>
  <c r="FM6" i="19"/>
  <c r="FK6" i="19"/>
  <c r="FJ6" i="19"/>
  <c r="FI6" i="19"/>
  <c r="FL6" i="19" s="1"/>
  <c r="FH6" i="19"/>
  <c r="FG6" i="19"/>
  <c r="FO6" i="19" s="1"/>
  <c r="FF6" i="19"/>
  <c r="FE6" i="19"/>
  <c r="FD6" i="19"/>
  <c r="FB6" i="19"/>
  <c r="FA6" i="19"/>
  <c r="EZ6" i="19"/>
  <c r="EY6" i="19"/>
  <c r="EX6" i="19"/>
  <c r="EW6" i="19"/>
  <c r="EV6" i="19"/>
  <c r="EU6" i="19"/>
  <c r="ET6" i="19"/>
  <c r="ES6" i="19"/>
  <c r="ER6" i="19"/>
  <c r="EQ6" i="19"/>
  <c r="EP6" i="19"/>
  <c r="EO6" i="19"/>
  <c r="EN6" i="19"/>
  <c r="EM6" i="19"/>
  <c r="EL6" i="19"/>
  <c r="EK6" i="19"/>
  <c r="EJ6" i="19"/>
  <c r="EI6" i="19"/>
  <c r="EH6" i="19"/>
  <c r="EG6" i="19"/>
  <c r="EF6" i="19"/>
  <c r="EE6" i="19"/>
  <c r="ED6" i="19"/>
  <c r="EC6" i="19"/>
  <c r="EB6" i="19"/>
  <c r="EA6" i="19"/>
  <c r="DX6" i="19"/>
  <c r="DU6" i="19"/>
  <c r="DT6" i="19"/>
  <c r="DS6" i="19"/>
  <c r="DR6" i="19"/>
  <c r="DQ6" i="19"/>
  <c r="DP6" i="19"/>
  <c r="DO6" i="19"/>
  <c r="DN6" i="19"/>
  <c r="DK6" i="19"/>
  <c r="DJ6" i="19"/>
  <c r="DI6" i="19"/>
  <c r="DH6" i="19"/>
  <c r="DG6" i="19"/>
  <c r="DF6" i="19"/>
  <c r="DE6" i="19"/>
  <c r="DD6" i="19"/>
  <c r="DB6" i="19"/>
  <c r="DA6" i="19"/>
  <c r="CV6" i="19"/>
  <c r="CU6" i="19"/>
  <c r="CT6" i="19"/>
  <c r="CS6" i="19"/>
  <c r="CR6" i="19"/>
  <c r="CQ6" i="19"/>
  <c r="CP6" i="19"/>
  <c r="CO6" i="19"/>
  <c r="DZ6" i="19" s="1"/>
  <c r="CN6" i="19"/>
  <c r="DY6" i="19" s="1"/>
  <c r="CM6" i="19"/>
  <c r="CL6" i="19"/>
  <c r="DW6" i="19" s="1"/>
  <c r="CG6" i="19" a="1"/>
  <c r="CG6" i="19" s="1"/>
  <c r="AW6" i="19"/>
  <c r="AV6" i="19"/>
  <c r="J6" i="19"/>
  <c r="G6" i="19"/>
  <c r="IV5" i="19"/>
  <c r="IQ5" i="19"/>
  <c r="IP5" i="19"/>
  <c r="IL5" i="19"/>
  <c r="HX5" i="19" a="1"/>
  <c r="HX5" i="19" s="1"/>
  <c r="IW5" i="19" s="1"/>
  <c r="HW5" i="19"/>
  <c r="HW5" i="19" a="1"/>
  <c r="HV5" i="19"/>
  <c r="IU5" i="19" s="1"/>
  <c r="HV5" i="19" a="1"/>
  <c r="HU5" i="19"/>
  <c r="IT5" i="19" s="1"/>
  <c r="HU5" i="19" a="1"/>
  <c r="HT5" i="19"/>
  <c r="IS5" i="19" s="1"/>
  <c r="HT5" i="19" a="1"/>
  <c r="HS5" i="19"/>
  <c r="IR5" i="19" s="1"/>
  <c r="HS5" i="19" a="1"/>
  <c r="HR5" i="19" a="1"/>
  <c r="HR5" i="19" s="1"/>
  <c r="HQ5" i="19"/>
  <c r="HQ5" i="19" a="1"/>
  <c r="HP5" i="19" a="1"/>
  <c r="HP5" i="19" s="1"/>
  <c r="IO5" i="19" s="1"/>
  <c r="HL5" i="19"/>
  <c r="HJ5" i="19"/>
  <c r="HI5" i="19"/>
  <c r="HH5" i="19"/>
  <c r="HB5" i="19"/>
  <c r="HA5" i="19"/>
  <c r="GZ5" i="19"/>
  <c r="GY5" i="19"/>
  <c r="GX5" i="19"/>
  <c r="GW5" i="19"/>
  <c r="GV5" i="19"/>
  <c r="GU5" i="19"/>
  <c r="GT5" i="19"/>
  <c r="GP5" i="19"/>
  <c r="GL5" i="19"/>
  <c r="GJ5" i="19"/>
  <c r="GK5" i="19" s="1"/>
  <c r="GI5" i="19"/>
  <c r="GH5" i="19"/>
  <c r="GG5" i="19"/>
  <c r="GF5" i="19"/>
  <c r="GE5" i="19"/>
  <c r="GD5" i="19"/>
  <c r="GC5" i="19"/>
  <c r="GB5" i="19"/>
  <c r="GA5" i="19"/>
  <c r="FZ5" i="19"/>
  <c r="FY5" i="19"/>
  <c r="FX5" i="19"/>
  <c r="FW5" i="19"/>
  <c r="FV5" i="19"/>
  <c r="FU5" i="19"/>
  <c r="FT5" i="19"/>
  <c r="FS5" i="19"/>
  <c r="FR5" i="19"/>
  <c r="FQ5" i="19"/>
  <c r="FP5" i="19"/>
  <c r="FM5" i="19"/>
  <c r="FJ5" i="19"/>
  <c r="FI5" i="19"/>
  <c r="FL5" i="19" s="1"/>
  <c r="FH5" i="19"/>
  <c r="FK5" i="19" s="1"/>
  <c r="FG5" i="19"/>
  <c r="FF5" i="19"/>
  <c r="FE5" i="19"/>
  <c r="FD5" i="19"/>
  <c r="FC5" i="19"/>
  <c r="FB5" i="19"/>
  <c r="FA5" i="19"/>
  <c r="EZ5" i="19"/>
  <c r="EY5" i="19"/>
  <c r="EX5" i="19"/>
  <c r="EW5" i="19"/>
  <c r="EV5" i="19"/>
  <c r="EU5" i="19"/>
  <c r="ET5" i="19"/>
  <c r="ES5" i="19"/>
  <c r="ER5" i="19"/>
  <c r="EQ5" i="19"/>
  <c r="EP5" i="19"/>
  <c r="EO5" i="19"/>
  <c r="EN5" i="19"/>
  <c r="EM5" i="19"/>
  <c r="EL5" i="19"/>
  <c r="EK5" i="19"/>
  <c r="EJ5" i="19"/>
  <c r="EI5" i="19"/>
  <c r="EH5" i="19"/>
  <c r="EG5" i="19"/>
  <c r="EF5" i="19"/>
  <c r="EE5" i="19"/>
  <c r="ED5" i="19"/>
  <c r="EC5" i="19"/>
  <c r="EB5" i="19"/>
  <c r="EA5" i="19"/>
  <c r="DX5" i="19"/>
  <c r="DV5" i="19"/>
  <c r="DU5" i="19"/>
  <c r="DT5" i="19"/>
  <c r="DS5" i="19"/>
  <c r="DR5" i="19"/>
  <c r="DQ5" i="19"/>
  <c r="DP5" i="19"/>
  <c r="DO5" i="19"/>
  <c r="DN5" i="19"/>
  <c r="DK5" i="19"/>
  <c r="DJ5" i="19"/>
  <c r="DI5" i="19"/>
  <c r="DH5" i="19"/>
  <c r="DG5" i="19"/>
  <c r="DF5" i="19"/>
  <c r="DE5" i="19"/>
  <c r="DD5" i="19"/>
  <c r="DC5" i="19"/>
  <c r="DB5" i="19"/>
  <c r="DA5" i="19"/>
  <c r="CV5" i="19"/>
  <c r="CU5" i="19"/>
  <c r="CT5" i="19"/>
  <c r="CS5" i="19"/>
  <c r="GN5" i="19" s="1"/>
  <c r="CR5" i="19"/>
  <c r="GM5" i="19" s="1"/>
  <c r="CQ5" i="19"/>
  <c r="CP5" i="19"/>
  <c r="CO5" i="19"/>
  <c r="DZ5" i="19" s="1"/>
  <c r="CN5" i="19"/>
  <c r="DY5" i="19" s="1"/>
  <c r="CM5" i="19"/>
  <c r="CL5" i="19"/>
  <c r="DW5" i="19" s="1"/>
  <c r="CG5" i="19" a="1"/>
  <c r="CG5" i="19" s="1"/>
  <c r="AW5" i="19"/>
  <c r="AV5" i="19"/>
  <c r="J5" i="19"/>
  <c r="G5" i="19"/>
  <c r="IQ4" i="19"/>
  <c r="IP4" i="19"/>
  <c r="IN4" i="19"/>
  <c r="IX4" i="19" s="1"/>
  <c r="IM4" i="19"/>
  <c r="HX4" i="19" a="1"/>
  <c r="HX4" i="19" s="1"/>
  <c r="IW4" i="19" s="1"/>
  <c r="HW4" i="19"/>
  <c r="IV4" i="19" s="1"/>
  <c r="HW4" i="19" a="1"/>
  <c r="HV4" i="19" a="1"/>
  <c r="HV4" i="19" s="1"/>
  <c r="IU4" i="19" s="1"/>
  <c r="HU4" i="19"/>
  <c r="IT4" i="19" s="1"/>
  <c r="HU4" i="19" a="1"/>
  <c r="HT4" i="19" a="1"/>
  <c r="HT4" i="19" s="1"/>
  <c r="IS4" i="19" s="1"/>
  <c r="HS4" i="19"/>
  <c r="IR4" i="19" s="1"/>
  <c r="HS4" i="19" a="1"/>
  <c r="HR4" i="19" a="1"/>
  <c r="HR4" i="19" s="1"/>
  <c r="HQ4" i="19"/>
  <c r="HQ4" i="19" a="1"/>
  <c r="HP4" i="19"/>
  <c r="IO4" i="19" s="1"/>
  <c r="HP4" i="19" a="1"/>
  <c r="HL4" i="19"/>
  <c r="HJ4" i="19"/>
  <c r="HI4" i="19"/>
  <c r="HH4" i="19"/>
  <c r="HB4" i="19"/>
  <c r="HA4" i="19"/>
  <c r="GZ4" i="19"/>
  <c r="GY4" i="19"/>
  <c r="GX4" i="19"/>
  <c r="GW4" i="19"/>
  <c r="GV4" i="19"/>
  <c r="GU4" i="19"/>
  <c r="GT4" i="19"/>
  <c r="GP4" i="19"/>
  <c r="GN4" i="19"/>
  <c r="GL4" i="19"/>
  <c r="GK4" i="19"/>
  <c r="GJ4" i="19"/>
  <c r="GI4" i="19"/>
  <c r="GH4" i="19"/>
  <c r="GG4" i="19"/>
  <c r="GF4" i="19"/>
  <c r="GE4" i="19"/>
  <c r="GB4" i="19"/>
  <c r="GA4" i="19"/>
  <c r="FZ4" i="19"/>
  <c r="FY4" i="19"/>
  <c r="FW4" i="19"/>
  <c r="FV4" i="19"/>
  <c r="FU4" i="19"/>
  <c r="FT4" i="19"/>
  <c r="FS4" i="19"/>
  <c r="FR4" i="19"/>
  <c r="FQ4" i="19"/>
  <c r="FJ4" i="19"/>
  <c r="FM4" i="19" s="1"/>
  <c r="FI4" i="19"/>
  <c r="FL4" i="19" s="1"/>
  <c r="FH4" i="19"/>
  <c r="FK4" i="19" s="1"/>
  <c r="FG4" i="19"/>
  <c r="FF4" i="19"/>
  <c r="FP4" i="19" s="1"/>
  <c r="FE4" i="19"/>
  <c r="FD4" i="19"/>
  <c r="FB4" i="19"/>
  <c r="FA4" i="19"/>
  <c r="EZ4" i="19"/>
  <c r="EY4" i="19"/>
  <c r="EX4" i="19"/>
  <c r="EW4" i="19"/>
  <c r="EV4" i="19"/>
  <c r="EU4" i="19"/>
  <c r="ET4" i="19"/>
  <c r="ES4" i="19"/>
  <c r="ER4" i="19"/>
  <c r="EQ4" i="19"/>
  <c r="EP4" i="19"/>
  <c r="EO4" i="19"/>
  <c r="EN4" i="19"/>
  <c r="EM4" i="19"/>
  <c r="EL4" i="19"/>
  <c r="EK4" i="19"/>
  <c r="EJ4" i="19"/>
  <c r="EI4" i="19"/>
  <c r="EH4" i="19"/>
  <c r="EG4" i="19"/>
  <c r="EF4" i="19"/>
  <c r="EE4" i="19"/>
  <c r="ED4" i="19"/>
  <c r="EC4" i="19"/>
  <c r="EB4" i="19"/>
  <c r="EA4" i="19"/>
  <c r="DX4" i="19"/>
  <c r="DU4" i="19"/>
  <c r="DT4" i="19"/>
  <c r="DS4" i="19"/>
  <c r="DR4" i="19"/>
  <c r="DQ4" i="19"/>
  <c r="DP4" i="19"/>
  <c r="DO4" i="19"/>
  <c r="DN4" i="19"/>
  <c r="DM4" i="19" a="1"/>
  <c r="DM4" i="19" s="1"/>
  <c r="DL4" i="19"/>
  <c r="DK4" i="19"/>
  <c r="DJ4" i="19"/>
  <c r="DI4" i="19"/>
  <c r="DH4" i="19"/>
  <c r="DG4" i="19"/>
  <c r="DF4" i="19"/>
  <c r="DE4" i="19"/>
  <c r="DD4" i="19"/>
  <c r="DB4" i="19"/>
  <c r="DA4" i="19"/>
  <c r="CZ4" i="19"/>
  <c r="CY4" i="19"/>
  <c r="CX4" i="19"/>
  <c r="CW4" i="19"/>
  <c r="CV4" i="19"/>
  <c r="CU4" i="19"/>
  <c r="CT4" i="19"/>
  <c r="CS4" i="19"/>
  <c r="CR4" i="19"/>
  <c r="GM4" i="19" s="1"/>
  <c r="CQ4" i="19"/>
  <c r="CP4" i="19"/>
  <c r="CO4" i="19"/>
  <c r="DZ4" i="19" s="1"/>
  <c r="CN4" i="19"/>
  <c r="DY4" i="19" s="1"/>
  <c r="CM4" i="19"/>
  <c r="CL4" i="19"/>
  <c r="DW4" i="19" s="1"/>
  <c r="CK4" i="19"/>
  <c r="CJ4" i="19"/>
  <c r="CI4" i="19"/>
  <c r="CH4" i="19"/>
  <c r="CG4" i="19" a="1"/>
  <c r="CG4" i="19" s="1"/>
  <c r="AW4" i="19"/>
  <c r="AV4" i="19"/>
  <c r="J4" i="19"/>
  <c r="G4" i="19"/>
  <c r="IW3" i="19"/>
  <c r="IV3" i="19"/>
  <c r="IS3" i="19"/>
  <c r="HX3" i="19" a="1"/>
  <c r="HX3" i="19" s="1"/>
  <c r="HW3" i="19"/>
  <c r="HW3" i="19" a="1"/>
  <c r="HV3" i="19" a="1"/>
  <c r="HV3" i="19" s="1"/>
  <c r="IU3" i="19" s="1"/>
  <c r="HU3" i="19" a="1"/>
  <c r="HU3" i="19" s="1"/>
  <c r="IT3" i="19" s="1"/>
  <c r="HT3" i="19"/>
  <c r="HT3" i="19" a="1"/>
  <c r="HS3" i="19"/>
  <c r="IR3" i="19" s="1"/>
  <c r="HS3" i="19" a="1"/>
  <c r="HR3" i="19"/>
  <c r="IQ3" i="19" s="1"/>
  <c r="HR3" i="19" a="1"/>
  <c r="HQ3" i="19"/>
  <c r="IP3" i="19" s="1"/>
  <c r="HQ3" i="19" a="1"/>
  <c r="HP3" i="19" a="1"/>
  <c r="HP3" i="19" s="1"/>
  <c r="IO3" i="19" s="1"/>
  <c r="HL3" i="19"/>
  <c r="HJ3" i="19"/>
  <c r="HH3" i="19"/>
  <c r="HI3" i="19" s="1"/>
  <c r="HB3" i="19"/>
  <c r="HA3" i="19"/>
  <c r="GZ3" i="19"/>
  <c r="GY3" i="19"/>
  <c r="GX3" i="19"/>
  <c r="GW3" i="19"/>
  <c r="GV3" i="19"/>
  <c r="GU3" i="19"/>
  <c r="GT3" i="19"/>
  <c r="HC3" i="19" s="1"/>
  <c r="GP3" i="19"/>
  <c r="GN3" i="19"/>
  <c r="GM3" i="19"/>
  <c r="GI3" i="19"/>
  <c r="GH3" i="19"/>
  <c r="GG3" i="19"/>
  <c r="GF3" i="19"/>
  <c r="GE3" i="19"/>
  <c r="GB3" i="19"/>
  <c r="GA3" i="19"/>
  <c r="FZ3" i="19"/>
  <c r="FY3" i="19"/>
  <c r="FW3" i="19"/>
  <c r="FV3" i="19"/>
  <c r="FU3" i="19"/>
  <c r="FT3" i="19"/>
  <c r="FS3" i="19"/>
  <c r="FR3" i="19"/>
  <c r="FQ3" i="19"/>
  <c r="FP3" i="19"/>
  <c r="FO3" i="19"/>
  <c r="FL3" i="19"/>
  <c r="FK3" i="19"/>
  <c r="FJ3" i="19"/>
  <c r="FM3" i="19" s="1"/>
  <c r="FI3" i="19"/>
  <c r="FH3" i="19"/>
  <c r="FG3" i="19"/>
  <c r="FF3" i="19"/>
  <c r="FE3" i="19"/>
  <c r="FN3" i="19" s="1"/>
  <c r="FD3" i="19"/>
  <c r="FB3" i="19"/>
  <c r="FA3" i="19"/>
  <c r="EZ3" i="19"/>
  <c r="EY3" i="19"/>
  <c r="EX3" i="19"/>
  <c r="EW3" i="19"/>
  <c r="EV3" i="19"/>
  <c r="EU3" i="19"/>
  <c r="ET3" i="19"/>
  <c r="ES3" i="19"/>
  <c r="ER3" i="19"/>
  <c r="EQ3" i="19"/>
  <c r="EP3" i="19"/>
  <c r="EO3" i="19"/>
  <c r="EN3" i="19"/>
  <c r="EM3" i="19"/>
  <c r="EL3" i="19"/>
  <c r="EK3" i="19"/>
  <c r="EJ3" i="19"/>
  <c r="EI3" i="19"/>
  <c r="EH3" i="19"/>
  <c r="EG3" i="19"/>
  <c r="EF3" i="19"/>
  <c r="EE3" i="19"/>
  <c r="ED3" i="19"/>
  <c r="EC3" i="19"/>
  <c r="EB3" i="19"/>
  <c r="EA3" i="19"/>
  <c r="DZ3" i="19"/>
  <c r="DY3" i="19"/>
  <c r="DU3" i="19"/>
  <c r="DT3" i="19"/>
  <c r="DS3" i="19"/>
  <c r="DR3" i="19"/>
  <c r="DQ3" i="19"/>
  <c r="DP3" i="19"/>
  <c r="DO3" i="19"/>
  <c r="DN3" i="19"/>
  <c r="DK3" i="19"/>
  <c r="DJ3" i="19"/>
  <c r="DI3" i="19"/>
  <c r="DH3" i="19"/>
  <c r="DG3" i="19"/>
  <c r="DF3" i="19"/>
  <c r="DE3" i="19"/>
  <c r="DD3" i="19"/>
  <c r="DB3" i="19"/>
  <c r="DA3" i="19"/>
  <c r="CV3" i="19"/>
  <c r="CU3" i="19"/>
  <c r="CT3" i="19"/>
  <c r="CS3" i="19"/>
  <c r="CR3" i="19"/>
  <c r="CQ3" i="19"/>
  <c r="GL3" i="19" s="1"/>
  <c r="CP3" i="19"/>
  <c r="GJ3" i="19" s="1"/>
  <c r="GK3" i="19" s="1"/>
  <c r="CO3" i="19"/>
  <c r="CN3" i="19"/>
  <c r="CM3" i="19"/>
  <c r="DX3" i="19" s="1"/>
  <c r="CL3" i="19"/>
  <c r="DW3" i="19" s="1"/>
  <c r="CG3" i="19" a="1"/>
  <c r="CG3" i="19" s="1"/>
  <c r="AW3" i="19"/>
  <c r="AV3" i="19"/>
  <c r="J3" i="19"/>
  <c r="G3" i="19"/>
  <c r="IW6" i="15"/>
  <c r="IQ6" i="15"/>
  <c r="IP6" i="15"/>
  <c r="HX6" i="15" a="1"/>
  <c r="HX6" i="15" s="1"/>
  <c r="HW6" i="15"/>
  <c r="IV6" i="15" s="1"/>
  <c r="HW6" i="15" a="1"/>
  <c r="HV6" i="15"/>
  <c r="IU6" i="15" s="1"/>
  <c r="HV6" i="15" a="1"/>
  <c r="HU6" i="15"/>
  <c r="IT6" i="15" s="1"/>
  <c r="HU6" i="15" a="1"/>
  <c r="HT6" i="15"/>
  <c r="IS6" i="15" s="1"/>
  <c r="HT6" i="15" a="1"/>
  <c r="HS6" i="15"/>
  <c r="IR6" i="15" s="1"/>
  <c r="HS6" i="15" a="1"/>
  <c r="HR6" i="15" a="1"/>
  <c r="HR6" i="15" s="1"/>
  <c r="HQ6" i="15"/>
  <c r="HQ6" i="15" a="1"/>
  <c r="HP6" i="15" a="1"/>
  <c r="HP6" i="15" s="1"/>
  <c r="IO6" i="15" s="1"/>
  <c r="HL6" i="15"/>
  <c r="HJ6" i="15"/>
  <c r="HH6" i="15"/>
  <c r="HB6" i="15"/>
  <c r="HA6" i="15"/>
  <c r="GZ6" i="15"/>
  <c r="GY6" i="15"/>
  <c r="GX6" i="15"/>
  <c r="GW6" i="15"/>
  <c r="GV6" i="15"/>
  <c r="GU6" i="15"/>
  <c r="GT6" i="15"/>
  <c r="GP6" i="15"/>
  <c r="GN6" i="15"/>
  <c r="GL6" i="15"/>
  <c r="GJ6" i="15"/>
  <c r="GK6" i="15" s="1"/>
  <c r="GI6" i="15"/>
  <c r="GH6" i="15"/>
  <c r="GG6" i="15"/>
  <c r="GF6" i="15"/>
  <c r="GE6" i="15"/>
  <c r="GB6" i="15"/>
  <c r="GA6" i="15"/>
  <c r="FZ6" i="15"/>
  <c r="FY6" i="15"/>
  <c r="FW6" i="15"/>
  <c r="FV6" i="15"/>
  <c r="FU6" i="15"/>
  <c r="FT6" i="15"/>
  <c r="FS6" i="15"/>
  <c r="FR6" i="15"/>
  <c r="FQ6" i="15"/>
  <c r="FP6" i="15"/>
  <c r="FN6" i="15"/>
  <c r="FK6" i="15"/>
  <c r="FJ6" i="15"/>
  <c r="FM6" i="15" s="1"/>
  <c r="FI6" i="15"/>
  <c r="FL6" i="15" s="1"/>
  <c r="FH6" i="15"/>
  <c r="FG6" i="15"/>
  <c r="FF6" i="15"/>
  <c r="FE6" i="15"/>
  <c r="FO6" i="15" s="1"/>
  <c r="FD6" i="15"/>
  <c r="FB6" i="15"/>
  <c r="FA6" i="15"/>
  <c r="EZ6" i="15"/>
  <c r="EY6" i="15"/>
  <c r="EX6" i="15"/>
  <c r="EW6" i="15"/>
  <c r="EV6" i="15"/>
  <c r="EU6" i="15"/>
  <c r="ET6" i="15"/>
  <c r="ES6" i="15"/>
  <c r="ER6" i="15"/>
  <c r="EQ6" i="15"/>
  <c r="EP6" i="15"/>
  <c r="EO6" i="15"/>
  <c r="EN6" i="15"/>
  <c r="EM6" i="15"/>
  <c r="EL6" i="15"/>
  <c r="EK6" i="15"/>
  <c r="EJ6" i="15"/>
  <c r="EI6" i="15"/>
  <c r="EH6" i="15"/>
  <c r="EG6" i="15"/>
  <c r="EF6" i="15"/>
  <c r="EE6" i="15"/>
  <c r="ED6" i="15"/>
  <c r="EC6" i="15"/>
  <c r="EB6" i="15"/>
  <c r="EA6" i="15"/>
  <c r="DZ6" i="15"/>
  <c r="DU6" i="15"/>
  <c r="DT6" i="15"/>
  <c r="DS6" i="15"/>
  <c r="DR6" i="15"/>
  <c r="DQ6" i="15"/>
  <c r="DP6" i="15"/>
  <c r="DO6" i="15"/>
  <c r="DN6" i="15"/>
  <c r="DM6" i="15"/>
  <c r="DM6" i="15" a="1"/>
  <c r="DL6" i="15"/>
  <c r="DK6" i="15"/>
  <c r="DJ6" i="15"/>
  <c r="DI6" i="15"/>
  <c r="DH6" i="15"/>
  <c r="DG6" i="15"/>
  <c r="DF6" i="15"/>
  <c r="DE6" i="15"/>
  <c r="DD6" i="15"/>
  <c r="DB6" i="15"/>
  <c r="DA6" i="15"/>
  <c r="CV6" i="15"/>
  <c r="CU6" i="15"/>
  <c r="CT6" i="15"/>
  <c r="CS6" i="15"/>
  <c r="CR6" i="15"/>
  <c r="GM6" i="15" s="1"/>
  <c r="CQ6" i="15"/>
  <c r="CP6" i="15"/>
  <c r="CO6" i="15"/>
  <c r="CN6" i="15"/>
  <c r="DY6" i="15" s="1"/>
  <c r="CM6" i="15"/>
  <c r="DX6" i="15" s="1"/>
  <c r="CL6" i="15"/>
  <c r="DW6" i="15" s="1"/>
  <c r="CG6" i="15" a="1"/>
  <c r="CG6" i="15" s="1"/>
  <c r="AW6" i="15"/>
  <c r="AV6" i="15"/>
  <c r="J6" i="15"/>
  <c r="HI6" i="15" s="1"/>
  <c r="G6" i="15"/>
  <c r="IW5" i="15"/>
  <c r="IS5" i="15"/>
  <c r="HX5" i="15"/>
  <c r="HX5" i="15" a="1"/>
  <c r="HW5" i="15" a="1"/>
  <c r="HW5" i="15" s="1"/>
  <c r="IV5" i="15" s="1"/>
  <c r="HV5" i="15" a="1"/>
  <c r="HV5" i="15" s="1"/>
  <c r="IU5" i="15" s="1"/>
  <c r="HU5" i="15" a="1"/>
  <c r="HU5" i="15" s="1"/>
  <c r="IT5" i="15" s="1"/>
  <c r="HT5" i="15"/>
  <c r="HT5" i="15" a="1"/>
  <c r="HS5" i="15"/>
  <c r="IR5" i="15" s="1"/>
  <c r="HS5" i="15" a="1"/>
  <c r="HR5" i="15" a="1"/>
  <c r="HR5" i="15" s="1"/>
  <c r="IQ5" i="15" s="1"/>
  <c r="HQ5" i="15"/>
  <c r="IP5" i="15" s="1"/>
  <c r="HQ5" i="15" a="1"/>
  <c r="HP5" i="15" a="1"/>
  <c r="HP5" i="15" s="1"/>
  <c r="IO5" i="15" s="1"/>
  <c r="HL5" i="15"/>
  <c r="HJ5" i="15"/>
  <c r="HH5" i="15"/>
  <c r="HB5" i="15"/>
  <c r="HA5" i="15"/>
  <c r="GZ5" i="15"/>
  <c r="GY5" i="15"/>
  <c r="GX5" i="15"/>
  <c r="GW5" i="15"/>
  <c r="GV5" i="15"/>
  <c r="GU5" i="15"/>
  <c r="GT5" i="15"/>
  <c r="GP5" i="15"/>
  <c r="GM5" i="15"/>
  <c r="GL5" i="15"/>
  <c r="GK5" i="15"/>
  <c r="GI5" i="15"/>
  <c r="GH5" i="15"/>
  <c r="GG5" i="15"/>
  <c r="GF5" i="15"/>
  <c r="GE5" i="15"/>
  <c r="GB5" i="15"/>
  <c r="GA5" i="15"/>
  <c r="FZ5" i="15"/>
  <c r="FY5" i="15"/>
  <c r="FW5" i="15"/>
  <c r="FV5" i="15"/>
  <c r="FU5" i="15"/>
  <c r="FT5" i="15"/>
  <c r="FS5" i="15"/>
  <c r="FR5" i="15"/>
  <c r="FQ5" i="15"/>
  <c r="FP5" i="15"/>
  <c r="FL5" i="15"/>
  <c r="FJ5" i="15"/>
  <c r="FM5" i="15" s="1"/>
  <c r="FI5" i="15"/>
  <c r="FH5" i="15"/>
  <c r="FK5" i="15" s="1"/>
  <c r="FG5" i="15"/>
  <c r="FF5" i="15"/>
  <c r="FE5" i="15"/>
  <c r="FD5" i="15"/>
  <c r="FB5" i="15"/>
  <c r="FA5" i="15"/>
  <c r="EZ5" i="15"/>
  <c r="EY5" i="15"/>
  <c r="EX5" i="15"/>
  <c r="EW5" i="15"/>
  <c r="EV5" i="15"/>
  <c r="EU5" i="15"/>
  <c r="ET5" i="15"/>
  <c r="ES5" i="15"/>
  <c r="ER5" i="15"/>
  <c r="EQ5" i="15"/>
  <c r="EP5" i="15"/>
  <c r="EO5" i="15"/>
  <c r="EN5" i="15"/>
  <c r="EM5" i="15"/>
  <c r="EL5" i="15"/>
  <c r="EK5" i="15"/>
  <c r="EJ5" i="15"/>
  <c r="EI5" i="15"/>
  <c r="EH5" i="15"/>
  <c r="EG5" i="15"/>
  <c r="EF5" i="15"/>
  <c r="EE5" i="15"/>
  <c r="ED5" i="15"/>
  <c r="EC5" i="15"/>
  <c r="EB5" i="15"/>
  <c r="EA5" i="15"/>
  <c r="DY5" i="15"/>
  <c r="DW5" i="15"/>
  <c r="DU5" i="15"/>
  <c r="DT5" i="15"/>
  <c r="DS5" i="15"/>
  <c r="DR5" i="15"/>
  <c r="DQ5" i="15"/>
  <c r="DP5" i="15"/>
  <c r="DO5" i="15"/>
  <c r="DN5" i="15"/>
  <c r="DK5" i="15"/>
  <c r="DJ5" i="15"/>
  <c r="DI5" i="15"/>
  <c r="DH5" i="15"/>
  <c r="DG5" i="15"/>
  <c r="DF5" i="15"/>
  <c r="DE5" i="15"/>
  <c r="DD5" i="15"/>
  <c r="DB5" i="15"/>
  <c r="DA5" i="15"/>
  <c r="CV5" i="15"/>
  <c r="CU5" i="15"/>
  <c r="CT5" i="15"/>
  <c r="CS5" i="15"/>
  <c r="GN5" i="15" s="1"/>
  <c r="CR5" i="15"/>
  <c r="CQ5" i="15"/>
  <c r="CP5" i="15"/>
  <c r="GJ5" i="15" s="1"/>
  <c r="CO5" i="15"/>
  <c r="DZ5" i="15" s="1"/>
  <c r="CN5" i="15"/>
  <c r="CM5" i="15"/>
  <c r="DX5" i="15" s="1"/>
  <c r="CL5" i="15"/>
  <c r="CH5" i="15"/>
  <c r="CW5" i="15" s="1"/>
  <c r="CG5" i="15" a="1"/>
  <c r="CG5" i="15" s="1"/>
  <c r="AW5" i="15"/>
  <c r="AV5" i="15"/>
  <c r="J5" i="15"/>
  <c r="HI5" i="15" s="1"/>
  <c r="G5" i="15"/>
  <c r="IP4" i="15"/>
  <c r="HX4" i="15" a="1"/>
  <c r="HX4" i="15" s="1"/>
  <c r="IW4" i="15" s="1"/>
  <c r="HW4" i="15"/>
  <c r="IV4" i="15" s="1"/>
  <c r="HW4" i="15" a="1"/>
  <c r="HV4" i="15"/>
  <c r="IU4" i="15" s="1"/>
  <c r="HV4" i="15" a="1"/>
  <c r="HU4" i="15" a="1"/>
  <c r="HU4" i="15" s="1"/>
  <c r="IT4" i="15" s="1"/>
  <c r="HT4" i="15"/>
  <c r="IS4" i="15" s="1"/>
  <c r="HT4" i="15" a="1"/>
  <c r="HS4" i="15" a="1"/>
  <c r="HS4" i="15" s="1"/>
  <c r="IR4" i="15" s="1"/>
  <c r="HR4" i="15" a="1"/>
  <c r="HR4" i="15" s="1"/>
  <c r="IQ4" i="15" s="1"/>
  <c r="HQ4" i="15"/>
  <c r="HQ4" i="15" a="1"/>
  <c r="HP4" i="15"/>
  <c r="IO4" i="15" s="1"/>
  <c r="HP4" i="15" a="1"/>
  <c r="HL4" i="15"/>
  <c r="HJ4" i="15"/>
  <c r="HH4" i="15"/>
  <c r="HB4" i="15"/>
  <c r="HA4" i="15"/>
  <c r="GZ4" i="15"/>
  <c r="GY4" i="15"/>
  <c r="GX4" i="15"/>
  <c r="GW4" i="15"/>
  <c r="GV4" i="15"/>
  <c r="GU4" i="15"/>
  <c r="GT4" i="15"/>
  <c r="GP4" i="15"/>
  <c r="GN4" i="15"/>
  <c r="GL4" i="15"/>
  <c r="GJ4" i="15"/>
  <c r="GK4" i="15" s="1"/>
  <c r="GI4" i="15"/>
  <c r="GH4" i="15"/>
  <c r="GG4" i="15"/>
  <c r="GF4" i="15"/>
  <c r="GE4" i="15"/>
  <c r="GB4" i="15"/>
  <c r="GA4" i="15"/>
  <c r="FZ4" i="15"/>
  <c r="FY4" i="15"/>
  <c r="FW4" i="15"/>
  <c r="FV4" i="15"/>
  <c r="FU4" i="15"/>
  <c r="FT4" i="15"/>
  <c r="FS4" i="15"/>
  <c r="FR4" i="15"/>
  <c r="FQ4" i="15"/>
  <c r="FN4" i="15"/>
  <c r="FJ4" i="15"/>
  <c r="FI4" i="15"/>
  <c r="FH4" i="15"/>
  <c r="FG4" i="15"/>
  <c r="FF4" i="15"/>
  <c r="FE4" i="15"/>
  <c r="FO4" i="15" s="1"/>
  <c r="FD4" i="15"/>
  <c r="FB4" i="15"/>
  <c r="FA4" i="15"/>
  <c r="EZ4" i="15"/>
  <c r="EY4" i="15"/>
  <c r="EX4" i="15"/>
  <c r="EW4" i="15"/>
  <c r="EV4" i="15"/>
  <c r="EU4" i="15"/>
  <c r="ET4" i="15"/>
  <c r="ES4" i="15"/>
  <c r="ER4" i="15"/>
  <c r="EQ4" i="15"/>
  <c r="EP4" i="15"/>
  <c r="EO4" i="15"/>
  <c r="EN4" i="15"/>
  <c r="EM4" i="15"/>
  <c r="EL4" i="15"/>
  <c r="EK4" i="15"/>
  <c r="EJ4" i="15"/>
  <c r="EI4" i="15"/>
  <c r="EH4" i="15"/>
  <c r="EG4" i="15"/>
  <c r="EF4" i="15"/>
  <c r="EE4" i="15"/>
  <c r="ED4" i="15"/>
  <c r="EC4" i="15"/>
  <c r="EB4" i="15"/>
  <c r="EA4" i="15"/>
  <c r="DU4" i="15"/>
  <c r="DT4" i="15"/>
  <c r="DS4" i="15"/>
  <c r="DR4" i="15"/>
  <c r="DQ4" i="15"/>
  <c r="DP4" i="15"/>
  <c r="DO4" i="15"/>
  <c r="DN4" i="15"/>
  <c r="DK4" i="15"/>
  <c r="DJ4" i="15"/>
  <c r="DI4" i="15"/>
  <c r="DH4" i="15"/>
  <c r="DG4" i="15"/>
  <c r="DF4" i="15"/>
  <c r="DE4" i="15"/>
  <c r="DD4" i="15"/>
  <c r="DB4" i="15"/>
  <c r="DA4" i="15"/>
  <c r="CV4" i="15"/>
  <c r="CU4" i="15"/>
  <c r="CT4" i="15"/>
  <c r="CS4" i="15"/>
  <c r="CR4" i="15"/>
  <c r="GM4" i="15" s="1"/>
  <c r="CQ4" i="15"/>
  <c r="CP4" i="15"/>
  <c r="CO4" i="15"/>
  <c r="DZ4" i="15" s="1"/>
  <c r="CN4" i="15"/>
  <c r="DY4" i="15" s="1"/>
  <c r="CM4" i="15"/>
  <c r="DX4" i="15" s="1"/>
  <c r="CL4" i="15"/>
  <c r="DW4" i="15" s="1"/>
  <c r="CG4" i="15" a="1"/>
  <c r="CG4" i="15" s="1"/>
  <c r="AW4" i="15"/>
  <c r="AV4" i="15"/>
  <c r="J4" i="15"/>
  <c r="HI4" i="15" s="1"/>
  <c r="G4" i="15"/>
  <c r="IQ3" i="15"/>
  <c r="IN3" i="15"/>
  <c r="IX3" i="15" s="1"/>
  <c r="IM3" i="15"/>
  <c r="IL3" i="15"/>
  <c r="HX3" i="15" a="1"/>
  <c r="HX3" i="15" s="1"/>
  <c r="IW3" i="15" s="1"/>
  <c r="HW3" i="15" a="1"/>
  <c r="HW3" i="15" s="1"/>
  <c r="IV3" i="15" s="1"/>
  <c r="HV3" i="15"/>
  <c r="IU3" i="15" s="1"/>
  <c r="HV3" i="15" a="1"/>
  <c r="HU3" i="15"/>
  <c r="IT3" i="15" s="1"/>
  <c r="HU3" i="15" a="1"/>
  <c r="HT3" i="15" a="1"/>
  <c r="HT3" i="15" s="1"/>
  <c r="IS3" i="15" s="1"/>
  <c r="HS3" i="15"/>
  <c r="IR3" i="15" s="1"/>
  <c r="HS3" i="15" a="1"/>
  <c r="HR3" i="15" a="1"/>
  <c r="HR3" i="15" s="1"/>
  <c r="HQ3" i="15"/>
  <c r="IP3" i="15" s="1"/>
  <c r="HQ3" i="15" a="1"/>
  <c r="HP3" i="15"/>
  <c r="IO3" i="15" s="1"/>
  <c r="HP3" i="15" a="1"/>
  <c r="HL3" i="15"/>
  <c r="HJ3" i="15"/>
  <c r="HI3" i="15"/>
  <c r="HH3" i="15"/>
  <c r="HC3" i="15"/>
  <c r="HB3" i="15"/>
  <c r="HA3" i="15"/>
  <c r="GZ3" i="15"/>
  <c r="GY3" i="15"/>
  <c r="GX3" i="15"/>
  <c r="GW3" i="15"/>
  <c r="GV3" i="15"/>
  <c r="GU3" i="15"/>
  <c r="GT3" i="15"/>
  <c r="GP3" i="15"/>
  <c r="GN3" i="15"/>
  <c r="GM3" i="15"/>
  <c r="GL3" i="15"/>
  <c r="GJ3" i="15"/>
  <c r="GK3" i="15" s="1"/>
  <c r="GI3" i="15"/>
  <c r="GH3" i="15"/>
  <c r="GG3" i="15"/>
  <c r="GF3" i="15"/>
  <c r="GE3" i="15"/>
  <c r="GD3" i="15"/>
  <c r="GC3" i="15"/>
  <c r="GB3" i="15"/>
  <c r="GA3" i="15"/>
  <c r="FZ3" i="15"/>
  <c r="FY3" i="15"/>
  <c r="FX3" i="15"/>
  <c r="FW3" i="15"/>
  <c r="FV3" i="15"/>
  <c r="FU3" i="15"/>
  <c r="FT3" i="15"/>
  <c r="FS3" i="15"/>
  <c r="FR3" i="15"/>
  <c r="FQ3" i="15"/>
  <c r="FO3" i="15"/>
  <c r="FN3" i="15"/>
  <c r="FL3" i="15"/>
  <c r="FJ3" i="15"/>
  <c r="FM3" i="15" s="1"/>
  <c r="FI3" i="15"/>
  <c r="FH3" i="15"/>
  <c r="FG3" i="15"/>
  <c r="FF3" i="15"/>
  <c r="FP3" i="15" s="1"/>
  <c r="FE3" i="15"/>
  <c r="FD3" i="15"/>
  <c r="FC3" i="15"/>
  <c r="FB3" i="15"/>
  <c r="FA3" i="15"/>
  <c r="EZ3" i="15"/>
  <c r="EY3" i="15"/>
  <c r="EX3" i="15"/>
  <c r="EW3" i="15"/>
  <c r="EV3" i="15"/>
  <c r="EU3" i="15"/>
  <c r="ET3" i="15"/>
  <c r="ES3" i="15"/>
  <c r="ER3" i="15"/>
  <c r="EQ3" i="15"/>
  <c r="EP3" i="15"/>
  <c r="EO3" i="15"/>
  <c r="EN3" i="15"/>
  <c r="EM3" i="15"/>
  <c r="EL3" i="15"/>
  <c r="EK3" i="15"/>
  <c r="EJ3" i="15"/>
  <c r="EI3" i="15"/>
  <c r="EH3" i="15"/>
  <c r="EG3" i="15"/>
  <c r="EF3" i="15"/>
  <c r="EE3" i="15"/>
  <c r="ED3" i="15"/>
  <c r="EC3" i="15"/>
  <c r="EB3" i="15"/>
  <c r="EA3" i="15"/>
  <c r="DY3" i="15"/>
  <c r="DX3" i="15"/>
  <c r="DV3" i="15"/>
  <c r="DU3" i="15"/>
  <c r="DT3" i="15"/>
  <c r="DS3" i="15"/>
  <c r="DR3" i="15"/>
  <c r="DQ3" i="15"/>
  <c r="DP3" i="15"/>
  <c r="DO3" i="15"/>
  <c r="DN3" i="15"/>
  <c r="DM3" i="15"/>
  <c r="DM3" i="15" a="1"/>
  <c r="DL3" i="15"/>
  <c r="DK3" i="15"/>
  <c r="DJ3" i="15"/>
  <c r="DI3" i="15"/>
  <c r="DH3" i="15"/>
  <c r="DG3" i="15"/>
  <c r="DF3" i="15"/>
  <c r="DE3" i="15"/>
  <c r="DD3" i="15"/>
  <c r="DC3" i="15"/>
  <c r="DB3" i="15"/>
  <c r="DA3" i="15"/>
  <c r="CW3" i="15"/>
  <c r="CV3" i="15"/>
  <c r="CU3" i="15"/>
  <c r="CT3" i="15"/>
  <c r="CS3" i="15"/>
  <c r="CR3" i="15"/>
  <c r="CQ3" i="15"/>
  <c r="CP3" i="15"/>
  <c r="CO3" i="15"/>
  <c r="DZ3" i="15" s="1"/>
  <c r="CN3" i="15"/>
  <c r="CM3" i="15"/>
  <c r="CL3" i="15"/>
  <c r="DW3" i="15" s="1"/>
  <c r="CK3" i="15"/>
  <c r="CZ3" i="15" s="1"/>
  <c r="CJ3" i="15"/>
  <c r="CY3" i="15" s="1"/>
  <c r="CI3" i="15"/>
  <c r="CX3" i="15" s="1"/>
  <c r="CG3" i="15"/>
  <c r="CH3" i="15" s="1"/>
  <c r="CG3" i="15" a="1"/>
  <c r="AW3" i="15"/>
  <c r="AV3" i="15"/>
  <c r="J3" i="15"/>
  <c r="G3" i="15"/>
  <c r="IU4" i="16"/>
  <c r="IT4" i="16"/>
  <c r="HX4" i="16"/>
  <c r="IW4" i="16" s="1"/>
  <c r="HX4" i="16" a="1"/>
  <c r="HW4" i="16" a="1"/>
  <c r="HW4" i="16" s="1"/>
  <c r="IV4" i="16" s="1"/>
  <c r="HV4" i="16"/>
  <c r="HV4" i="16" a="1"/>
  <c r="HU4" i="16"/>
  <c r="HU4" i="16" a="1"/>
  <c r="HT4" i="16" a="1"/>
  <c r="HT4" i="16" s="1"/>
  <c r="IS4" i="16" s="1"/>
  <c r="HS4" i="16" a="1"/>
  <c r="HS4" i="16" s="1"/>
  <c r="IR4" i="16" s="1"/>
  <c r="HR4" i="16"/>
  <c r="IQ4" i="16" s="1"/>
  <c r="HR4" i="16" a="1"/>
  <c r="HQ4" i="16" a="1"/>
  <c r="HQ4" i="16" s="1"/>
  <c r="IP4" i="16" s="1"/>
  <c r="HP4" i="16"/>
  <c r="IO4" i="16" s="1"/>
  <c r="HP4" i="16" a="1"/>
  <c r="HL4" i="16"/>
  <c r="HJ4" i="16"/>
  <c r="HI4" i="16"/>
  <c r="HH4" i="16"/>
  <c r="HC4" i="16"/>
  <c r="HB4" i="16"/>
  <c r="HA4" i="16"/>
  <c r="GZ4" i="16"/>
  <c r="GY4" i="16"/>
  <c r="GX4" i="16"/>
  <c r="GW4" i="16"/>
  <c r="GV4" i="16"/>
  <c r="GU4" i="16"/>
  <c r="GT4" i="16"/>
  <c r="GP4" i="16"/>
  <c r="GN4" i="16"/>
  <c r="GM4" i="16"/>
  <c r="GL4" i="16"/>
  <c r="GJ4" i="16"/>
  <c r="GK4" i="16" s="1"/>
  <c r="GI4" i="16"/>
  <c r="GH4" i="16"/>
  <c r="GG4" i="16"/>
  <c r="GF4" i="16"/>
  <c r="GE4" i="16"/>
  <c r="GB4" i="16"/>
  <c r="GA4" i="16"/>
  <c r="FZ4" i="16"/>
  <c r="FY4" i="16"/>
  <c r="FW4" i="16"/>
  <c r="FV4" i="16"/>
  <c r="FU4" i="16"/>
  <c r="FT4" i="16"/>
  <c r="FS4" i="16"/>
  <c r="FR4" i="16"/>
  <c r="FQ4" i="16"/>
  <c r="FP4" i="16"/>
  <c r="FN4" i="16"/>
  <c r="FM4" i="16"/>
  <c r="FL4" i="16"/>
  <c r="FK4" i="16"/>
  <c r="FJ4" i="16"/>
  <c r="FI4" i="16"/>
  <c r="FH4" i="16"/>
  <c r="FG4" i="16"/>
  <c r="FF4" i="16"/>
  <c r="FE4" i="16"/>
  <c r="FO4" i="16" s="1"/>
  <c r="FD4" i="16"/>
  <c r="FB4" i="16"/>
  <c r="FA4" i="16"/>
  <c r="EZ4" i="16"/>
  <c r="EY4" i="16"/>
  <c r="EX4" i="16"/>
  <c r="EW4" i="16"/>
  <c r="EV4" i="16"/>
  <c r="EU4" i="16"/>
  <c r="ET4" i="16"/>
  <c r="ES4" i="16"/>
  <c r="ER4" i="16"/>
  <c r="EQ4" i="16"/>
  <c r="EP4" i="16"/>
  <c r="EO4" i="16"/>
  <c r="EN4" i="16"/>
  <c r="EM4" i="16"/>
  <c r="EL4" i="16"/>
  <c r="EK4" i="16"/>
  <c r="EJ4" i="16"/>
  <c r="EI4" i="16"/>
  <c r="EH4" i="16"/>
  <c r="EG4" i="16"/>
  <c r="EF4" i="16"/>
  <c r="EE4" i="16"/>
  <c r="ED4" i="16"/>
  <c r="EC4" i="16"/>
  <c r="EB4" i="16"/>
  <c r="EA4" i="16"/>
  <c r="DZ4" i="16"/>
  <c r="DX4" i="16"/>
  <c r="DU4" i="16"/>
  <c r="DT4" i="16"/>
  <c r="DS4" i="16"/>
  <c r="DR4" i="16"/>
  <c r="DQ4" i="16"/>
  <c r="DP4" i="16"/>
  <c r="DO4" i="16"/>
  <c r="DN4" i="16"/>
  <c r="DL4" i="16"/>
  <c r="DK4" i="16"/>
  <c r="DJ4" i="16"/>
  <c r="DI4" i="16"/>
  <c r="DH4" i="16"/>
  <c r="DG4" i="16"/>
  <c r="DF4" i="16"/>
  <c r="DE4" i="16"/>
  <c r="DD4" i="16"/>
  <c r="DB4" i="16"/>
  <c r="DA4" i="16"/>
  <c r="CV4" i="16"/>
  <c r="CU4" i="16"/>
  <c r="CT4" i="16"/>
  <c r="CS4" i="16"/>
  <c r="CR4" i="16"/>
  <c r="CQ4" i="16"/>
  <c r="CP4" i="16"/>
  <c r="CO4" i="16"/>
  <c r="CN4" i="16"/>
  <c r="DY4" i="16" s="1"/>
  <c r="CM4" i="16"/>
  <c r="CL4" i="16"/>
  <c r="DW4" i="16" s="1"/>
  <c r="CJ4" i="16"/>
  <c r="CY4" i="16" s="1"/>
  <c r="CI4" i="16"/>
  <c r="CX4" i="16" s="1"/>
  <c r="CH4" i="16"/>
  <c r="CW4" i="16" s="1"/>
  <c r="CG4" i="16"/>
  <c r="IM4" i="16" s="1"/>
  <c r="CG4" i="16" a="1"/>
  <c r="AW4" i="16"/>
  <c r="AV4" i="16"/>
  <c r="J4" i="16"/>
  <c r="G4" i="16"/>
  <c r="IQ3" i="16"/>
  <c r="IP3" i="16"/>
  <c r="IO3" i="16"/>
  <c r="IN3" i="16"/>
  <c r="IX3" i="16" s="1"/>
  <c r="IL3" i="16"/>
  <c r="HX3" i="16"/>
  <c r="IW3" i="16" s="1"/>
  <c r="HX3" i="16" a="1"/>
  <c r="HW3" i="16"/>
  <c r="IV3" i="16" s="1"/>
  <c r="HW3" i="16" a="1"/>
  <c r="HV3" i="16" a="1"/>
  <c r="HV3" i="16" s="1"/>
  <c r="IU3" i="16" s="1"/>
  <c r="HU3" i="16"/>
  <c r="IT3" i="16" s="1"/>
  <c r="HU3" i="16" a="1"/>
  <c r="HT3" i="16" a="1"/>
  <c r="HT3" i="16" s="1"/>
  <c r="IS3" i="16" s="1"/>
  <c r="HS3" i="16" a="1"/>
  <c r="HS3" i="16" s="1"/>
  <c r="IR3" i="16" s="1"/>
  <c r="HR3" i="16"/>
  <c r="HR3" i="16" a="1"/>
  <c r="HQ3" i="16" a="1"/>
  <c r="HQ3" i="16" s="1"/>
  <c r="HP3" i="16" a="1"/>
  <c r="HP3" i="16" s="1"/>
  <c r="HL3" i="16"/>
  <c r="HJ3" i="16"/>
  <c r="HH3" i="16"/>
  <c r="HB3" i="16"/>
  <c r="HA3" i="16"/>
  <c r="GZ3" i="16"/>
  <c r="GY3" i="16"/>
  <c r="GX3" i="16"/>
  <c r="GW3" i="16"/>
  <c r="GV3" i="16"/>
  <c r="GU3" i="16"/>
  <c r="GT3" i="16"/>
  <c r="GP3" i="16"/>
  <c r="GM3" i="16"/>
  <c r="GL3" i="16"/>
  <c r="GJ3" i="16"/>
  <c r="GK3" i="16" s="1"/>
  <c r="GI3" i="16"/>
  <c r="GH3" i="16"/>
  <c r="GG3" i="16"/>
  <c r="GF3" i="16"/>
  <c r="GE3" i="16"/>
  <c r="GD3" i="16"/>
  <c r="GC3" i="16"/>
  <c r="GB3" i="16"/>
  <c r="GA3" i="16"/>
  <c r="FZ3" i="16"/>
  <c r="FY3" i="16"/>
  <c r="FX3" i="16"/>
  <c r="FW3" i="16"/>
  <c r="FV3" i="16"/>
  <c r="FU3" i="16"/>
  <c r="FT3" i="16"/>
  <c r="FS3" i="16"/>
  <c r="FR3" i="16"/>
  <c r="FQ3" i="16"/>
  <c r="FP3" i="16"/>
  <c r="FO3" i="16"/>
  <c r="FN3" i="16"/>
  <c r="FM3" i="16"/>
  <c r="FL3" i="16"/>
  <c r="FK3" i="16"/>
  <c r="FJ3" i="16"/>
  <c r="FI3" i="16"/>
  <c r="FH3" i="16"/>
  <c r="FG3" i="16"/>
  <c r="FF3" i="16"/>
  <c r="FE3" i="16"/>
  <c r="FD3" i="16"/>
  <c r="FC3" i="16"/>
  <c r="FB3" i="16"/>
  <c r="FA3" i="16"/>
  <c r="EZ3" i="16"/>
  <c r="EY3" i="16"/>
  <c r="EX3" i="16"/>
  <c r="EW3" i="16"/>
  <c r="EV3" i="16"/>
  <c r="EU3" i="16"/>
  <c r="ET3" i="16"/>
  <c r="ES3" i="16"/>
  <c r="ER3" i="16"/>
  <c r="EQ3" i="16"/>
  <c r="EP3" i="16"/>
  <c r="EO3" i="16"/>
  <c r="EN3" i="16"/>
  <c r="EM3" i="16"/>
  <c r="EL3" i="16"/>
  <c r="EK3" i="16"/>
  <c r="EJ3" i="16"/>
  <c r="EI3" i="16"/>
  <c r="EH3" i="16"/>
  <c r="EG3" i="16"/>
  <c r="EF3" i="16"/>
  <c r="EE3" i="16"/>
  <c r="ED3" i="16"/>
  <c r="EC3" i="16"/>
  <c r="EB3" i="16"/>
  <c r="EA3" i="16"/>
  <c r="DZ3" i="16"/>
  <c r="DY3" i="16"/>
  <c r="DW3" i="16"/>
  <c r="DV3" i="16"/>
  <c r="DU3" i="16"/>
  <c r="DT3" i="16"/>
  <c r="DS3" i="16"/>
  <c r="DR3" i="16"/>
  <c r="DQ3" i="16"/>
  <c r="DP3" i="16"/>
  <c r="DO3" i="16"/>
  <c r="DN3" i="16"/>
  <c r="DK3" i="16"/>
  <c r="DJ3" i="16"/>
  <c r="DI3" i="16"/>
  <c r="DH3" i="16"/>
  <c r="DG3" i="16"/>
  <c r="DF3" i="16"/>
  <c r="DE3" i="16"/>
  <c r="DD3" i="16"/>
  <c r="DC3" i="16"/>
  <c r="DB3" i="16"/>
  <c r="DA3" i="16"/>
  <c r="CV3" i="16"/>
  <c r="CU3" i="16"/>
  <c r="CT3" i="16"/>
  <c r="CS3" i="16"/>
  <c r="GN3" i="16" s="1"/>
  <c r="CR3" i="16"/>
  <c r="CQ3" i="16"/>
  <c r="CP3" i="16"/>
  <c r="CO3" i="16"/>
  <c r="CN3" i="16"/>
  <c r="CM3" i="16"/>
  <c r="DX3" i="16" s="1"/>
  <c r="CL3" i="16"/>
  <c r="CG3" i="16" a="1"/>
  <c r="CG3" i="16" s="1"/>
  <c r="AW3" i="16"/>
  <c r="AV3" i="16"/>
  <c r="J3" i="16"/>
  <c r="HI3" i="16" s="1"/>
  <c r="G3" i="16"/>
  <c r="IP5" i="14"/>
  <c r="IO5" i="14"/>
  <c r="IM5" i="14"/>
  <c r="HX5" i="14"/>
  <c r="IW5" i="14" s="1"/>
  <c r="HX5" i="14" a="1"/>
  <c r="HW5" i="14"/>
  <c r="IV5" i="14" s="1"/>
  <c r="HW5" i="14" a="1"/>
  <c r="HV5" i="14" a="1"/>
  <c r="HV5" i="14" s="1"/>
  <c r="IU5" i="14" s="1"/>
  <c r="HU5" i="14" a="1"/>
  <c r="HU5" i="14" s="1"/>
  <c r="IT5" i="14" s="1"/>
  <c r="HT5" i="14"/>
  <c r="IS5" i="14" s="1"/>
  <c r="HT5" i="14" a="1"/>
  <c r="HS5" i="14" a="1"/>
  <c r="HS5" i="14" s="1"/>
  <c r="IR5" i="14" s="1"/>
  <c r="HR5" i="14"/>
  <c r="IQ5" i="14" s="1"/>
  <c r="HR5" i="14" a="1"/>
  <c r="HQ5" i="14" a="1"/>
  <c r="HQ5" i="14" s="1"/>
  <c r="HP5" i="14"/>
  <c r="HP5" i="14" a="1"/>
  <c r="HL5" i="14"/>
  <c r="HJ5" i="14"/>
  <c r="HH5" i="14"/>
  <c r="HC5" i="14"/>
  <c r="HB5" i="14"/>
  <c r="HA5" i="14"/>
  <c r="GZ5" i="14"/>
  <c r="GY5" i="14"/>
  <c r="GX5" i="14"/>
  <c r="GW5" i="14"/>
  <c r="GV5" i="14"/>
  <c r="GU5" i="14"/>
  <c r="GT5" i="14"/>
  <c r="GP5" i="14"/>
  <c r="GN5" i="14"/>
  <c r="GM5" i="14"/>
  <c r="GK5" i="14"/>
  <c r="GI5" i="14"/>
  <c r="GH5" i="14"/>
  <c r="GG5" i="14"/>
  <c r="GF5" i="14"/>
  <c r="GE5" i="14"/>
  <c r="GB5" i="14"/>
  <c r="GA5" i="14"/>
  <c r="FZ5" i="14"/>
  <c r="FY5" i="14"/>
  <c r="FW5" i="14"/>
  <c r="FV5" i="14"/>
  <c r="FU5" i="14"/>
  <c r="FT5" i="14"/>
  <c r="FS5" i="14"/>
  <c r="FR5" i="14"/>
  <c r="FQ5" i="14"/>
  <c r="FP5" i="14"/>
  <c r="FO5" i="14"/>
  <c r="FM5" i="14"/>
  <c r="FL5" i="14"/>
  <c r="FK5" i="14"/>
  <c r="FJ5" i="14"/>
  <c r="FI5" i="14"/>
  <c r="FH5" i="14"/>
  <c r="FG5" i="14"/>
  <c r="FF5" i="14"/>
  <c r="FN5" i="14" s="1"/>
  <c r="FE5" i="14"/>
  <c r="FD5" i="14"/>
  <c r="FB5" i="14"/>
  <c r="FA5" i="14"/>
  <c r="EZ5" i="14"/>
  <c r="EY5" i="14"/>
  <c r="EX5" i="14"/>
  <c r="EW5" i="14"/>
  <c r="EV5" i="14"/>
  <c r="EU5" i="14"/>
  <c r="ET5" i="14"/>
  <c r="ES5" i="14"/>
  <c r="ER5" i="14"/>
  <c r="EQ5" i="14"/>
  <c r="EP5" i="14"/>
  <c r="EO5" i="14"/>
  <c r="EN5" i="14"/>
  <c r="EM5" i="14"/>
  <c r="EL5" i="14"/>
  <c r="EK5" i="14"/>
  <c r="EJ5" i="14"/>
  <c r="EI5" i="14"/>
  <c r="EH5" i="14"/>
  <c r="EG5" i="14"/>
  <c r="EF5" i="14"/>
  <c r="EE5" i="14"/>
  <c r="ED5" i="14"/>
  <c r="EC5" i="14"/>
  <c r="EB5" i="14"/>
  <c r="EA5" i="14"/>
  <c r="DZ5" i="14"/>
  <c r="DU5" i="14"/>
  <c r="DT5" i="14"/>
  <c r="DS5" i="14"/>
  <c r="DR5" i="14"/>
  <c r="DQ5" i="14"/>
  <c r="DP5" i="14"/>
  <c r="DO5" i="14"/>
  <c r="DN5" i="14"/>
  <c r="DL5" i="14"/>
  <c r="DK5" i="14"/>
  <c r="DJ5" i="14"/>
  <c r="DI5" i="14"/>
  <c r="DH5" i="14"/>
  <c r="DG5" i="14"/>
  <c r="DF5" i="14"/>
  <c r="DE5" i="14"/>
  <c r="DD5" i="14"/>
  <c r="DB5" i="14"/>
  <c r="DA5" i="14"/>
  <c r="CY5" i="14"/>
  <c r="CV5" i="14"/>
  <c r="CU5" i="14"/>
  <c r="CT5" i="14"/>
  <c r="CS5" i="14"/>
  <c r="CR5" i="14"/>
  <c r="CQ5" i="14"/>
  <c r="GL5" i="14" s="1"/>
  <c r="CP5" i="14"/>
  <c r="GJ5" i="14" s="1"/>
  <c r="CO5" i="14"/>
  <c r="CN5" i="14"/>
  <c r="DY5" i="14" s="1"/>
  <c r="CM5" i="14"/>
  <c r="DX5" i="14" s="1"/>
  <c r="CL5" i="14"/>
  <c r="DW5" i="14" s="1"/>
  <c r="CK5" i="14"/>
  <c r="CZ5" i="14" s="1"/>
  <c r="CJ5" i="14"/>
  <c r="CG5" i="14"/>
  <c r="CG5" i="14" a="1"/>
  <c r="AW5" i="14"/>
  <c r="AV5" i="14"/>
  <c r="J5" i="14"/>
  <c r="G5" i="14"/>
  <c r="IU4" i="14"/>
  <c r="IS4" i="14"/>
  <c r="IR4" i="14"/>
  <c r="HX4" i="14" a="1"/>
  <c r="HX4" i="14" s="1"/>
  <c r="IW4" i="14" s="1"/>
  <c r="HW4" i="14" a="1"/>
  <c r="HW4" i="14" s="1"/>
  <c r="IV4" i="14" s="1"/>
  <c r="HV4" i="14" a="1"/>
  <c r="HV4" i="14" s="1"/>
  <c r="HU4" i="14"/>
  <c r="IT4" i="14" s="1"/>
  <c r="HU4" i="14" a="1"/>
  <c r="HT4" i="14"/>
  <c r="HT4" i="14" a="1"/>
  <c r="HS4" i="14" a="1"/>
  <c r="HS4" i="14" s="1"/>
  <c r="HR4" i="14"/>
  <c r="IQ4" i="14" s="1"/>
  <c r="HR4" i="14" a="1"/>
  <c r="HQ4" i="14"/>
  <c r="IP4" i="14" s="1"/>
  <c r="HQ4" i="14" a="1"/>
  <c r="HP4" i="14" a="1"/>
  <c r="HP4" i="14" s="1"/>
  <c r="IO4" i="14" s="1"/>
  <c r="HL4" i="14"/>
  <c r="HJ4" i="14"/>
  <c r="HI4" i="14"/>
  <c r="HH4" i="14"/>
  <c r="HB4" i="14"/>
  <c r="HA4" i="14"/>
  <c r="GZ4" i="14"/>
  <c r="GY4" i="14"/>
  <c r="GX4" i="14"/>
  <c r="GW4" i="14"/>
  <c r="GV4" i="14"/>
  <c r="GU4" i="14"/>
  <c r="GT4" i="14"/>
  <c r="GP4" i="14"/>
  <c r="GI4" i="14"/>
  <c r="GH4" i="14"/>
  <c r="GG4" i="14"/>
  <c r="GF4" i="14"/>
  <c r="GE4" i="14"/>
  <c r="GB4" i="14"/>
  <c r="GA4" i="14"/>
  <c r="FZ4" i="14"/>
  <c r="FY4" i="14"/>
  <c r="FW4" i="14"/>
  <c r="FV4" i="14"/>
  <c r="FU4" i="14"/>
  <c r="FT4" i="14"/>
  <c r="FS4" i="14"/>
  <c r="FR4" i="14"/>
  <c r="FQ4" i="14"/>
  <c r="FP4" i="14"/>
  <c r="FO4" i="14"/>
  <c r="FN4" i="14"/>
  <c r="FJ4" i="14"/>
  <c r="FM4" i="14" s="1"/>
  <c r="FI4" i="14"/>
  <c r="FH4" i="14"/>
  <c r="FG4" i="14"/>
  <c r="FF4" i="14"/>
  <c r="FL4" i="14" s="1"/>
  <c r="FE4" i="14"/>
  <c r="FD4" i="14"/>
  <c r="FB4" i="14"/>
  <c r="FA4" i="14"/>
  <c r="EZ4" i="14"/>
  <c r="EY4" i="14"/>
  <c r="EX4" i="14"/>
  <c r="EW4" i="14"/>
  <c r="EV4" i="14"/>
  <c r="EU4" i="14"/>
  <c r="ET4" i="14"/>
  <c r="ES4" i="14"/>
  <c r="ER4" i="14"/>
  <c r="EQ4" i="14"/>
  <c r="EP4" i="14"/>
  <c r="EO4" i="14"/>
  <c r="EN4" i="14"/>
  <c r="EM4" i="14"/>
  <c r="EL4" i="14"/>
  <c r="EK4" i="14"/>
  <c r="EJ4" i="14"/>
  <c r="EI4" i="14"/>
  <c r="EH4" i="14"/>
  <c r="EG4" i="14"/>
  <c r="EF4" i="14"/>
  <c r="EE4" i="14"/>
  <c r="ED4" i="14"/>
  <c r="EC4" i="14"/>
  <c r="EB4" i="14"/>
  <c r="EA4" i="14"/>
  <c r="DU4" i="14"/>
  <c r="DT4" i="14"/>
  <c r="DS4" i="14"/>
  <c r="DR4" i="14"/>
  <c r="DQ4" i="14"/>
  <c r="DP4" i="14"/>
  <c r="DO4" i="14"/>
  <c r="DN4" i="14"/>
  <c r="DK4" i="14"/>
  <c r="DJ4" i="14"/>
  <c r="DI4" i="14"/>
  <c r="DH4" i="14"/>
  <c r="DG4" i="14"/>
  <c r="DF4" i="14"/>
  <c r="DE4" i="14"/>
  <c r="DD4" i="14"/>
  <c r="DB4" i="14"/>
  <c r="DA4" i="14"/>
  <c r="CV4" i="14"/>
  <c r="CU4" i="14"/>
  <c r="CT4" i="14"/>
  <c r="CS4" i="14"/>
  <c r="GN4" i="14" s="1"/>
  <c r="CR4" i="14"/>
  <c r="GM4" i="14" s="1"/>
  <c r="CQ4" i="14"/>
  <c r="GL4" i="14" s="1"/>
  <c r="CP4" i="14"/>
  <c r="GJ4" i="14" s="1"/>
  <c r="GK4" i="14" s="1"/>
  <c r="CO4" i="14"/>
  <c r="DZ4" i="14" s="1"/>
  <c r="CN4" i="14"/>
  <c r="DY4" i="14" s="1"/>
  <c r="CM4" i="14"/>
  <c r="DX4" i="14" s="1"/>
  <c r="CL4" i="14"/>
  <c r="DW4" i="14" s="1"/>
  <c r="CG4" i="14"/>
  <c r="DM4" i="14" s="1" a="1"/>
  <c r="DM4" i="14" s="1"/>
  <c r="CG4" i="14" a="1"/>
  <c r="AW4" i="14"/>
  <c r="AV4" i="14"/>
  <c r="J4" i="14"/>
  <c r="G4" i="14"/>
  <c r="IM3" i="14"/>
  <c r="HX3" i="14"/>
  <c r="IW3" i="14" s="1"/>
  <c r="HX3" i="14" a="1"/>
  <c r="HW3" i="14" a="1"/>
  <c r="HW3" i="14" s="1"/>
  <c r="IV3" i="14" s="1"/>
  <c r="HV3" i="14"/>
  <c r="IU3" i="14" s="1"/>
  <c r="HV3" i="14" a="1"/>
  <c r="HU3" i="14"/>
  <c r="IT3" i="14" s="1"/>
  <c r="HU3" i="14" a="1"/>
  <c r="HT3" i="14" a="1"/>
  <c r="HT3" i="14" s="1"/>
  <c r="IS3" i="14" s="1"/>
  <c r="HS3" i="14" a="1"/>
  <c r="HS3" i="14" s="1"/>
  <c r="IR3" i="14" s="1"/>
  <c r="HR3" i="14"/>
  <c r="IQ3" i="14" s="1"/>
  <c r="HR3" i="14" a="1"/>
  <c r="HQ3" i="14" a="1"/>
  <c r="HQ3" i="14" s="1"/>
  <c r="IP3" i="14" s="1"/>
  <c r="HP3" i="14" a="1"/>
  <c r="HP3" i="14" s="1"/>
  <c r="IO3" i="14" s="1"/>
  <c r="HL3" i="14"/>
  <c r="HJ3" i="14"/>
  <c r="HH3" i="14"/>
  <c r="HC3" i="14"/>
  <c r="HB3" i="14"/>
  <c r="HA3" i="14"/>
  <c r="GZ3" i="14"/>
  <c r="GY3" i="14"/>
  <c r="GX3" i="14"/>
  <c r="GW3" i="14"/>
  <c r="GV3" i="14"/>
  <c r="GU3" i="14"/>
  <c r="GT3" i="14"/>
  <c r="GP3" i="14"/>
  <c r="GN3" i="14"/>
  <c r="GM3" i="14"/>
  <c r="GI3" i="14"/>
  <c r="GH3" i="14"/>
  <c r="GG3" i="14"/>
  <c r="GF3" i="14"/>
  <c r="GE3" i="14"/>
  <c r="GB3" i="14"/>
  <c r="GA3" i="14"/>
  <c r="FZ3" i="14"/>
  <c r="FY3" i="14"/>
  <c r="FW3" i="14"/>
  <c r="FV3" i="14"/>
  <c r="FU3" i="14"/>
  <c r="FT3" i="14"/>
  <c r="FS3" i="14"/>
  <c r="FR3" i="14"/>
  <c r="FQ3" i="14"/>
  <c r="FP3" i="14"/>
  <c r="FO3" i="14"/>
  <c r="FM3" i="14"/>
  <c r="FL3" i="14"/>
  <c r="FK3" i="14"/>
  <c r="FJ3" i="14"/>
  <c r="FI3" i="14"/>
  <c r="FH3" i="14"/>
  <c r="FG3" i="14"/>
  <c r="FF3" i="14"/>
  <c r="FN3" i="14" s="1"/>
  <c r="FE3" i="14"/>
  <c r="FD3" i="14"/>
  <c r="FB3" i="14"/>
  <c r="FA3" i="14"/>
  <c r="EZ3" i="14"/>
  <c r="EY3" i="14"/>
  <c r="EX3" i="14"/>
  <c r="EW3" i="14"/>
  <c r="EV3" i="14"/>
  <c r="EU3" i="14"/>
  <c r="ET3" i="14"/>
  <c r="ES3" i="14"/>
  <c r="ER3" i="14"/>
  <c r="EQ3" i="14"/>
  <c r="EP3" i="14"/>
  <c r="EO3" i="14"/>
  <c r="EN3" i="14"/>
  <c r="EM3" i="14"/>
  <c r="EL3" i="14"/>
  <c r="EK3" i="14"/>
  <c r="EJ3" i="14"/>
  <c r="EI3" i="14"/>
  <c r="EH3" i="14"/>
  <c r="EG3" i="14"/>
  <c r="EF3" i="14"/>
  <c r="EE3" i="14"/>
  <c r="ED3" i="14"/>
  <c r="EC3" i="14"/>
  <c r="EB3" i="14"/>
  <c r="EA3" i="14"/>
  <c r="DZ3" i="14"/>
  <c r="DU3" i="14"/>
  <c r="DT3" i="14"/>
  <c r="DS3" i="14"/>
  <c r="DR3" i="14"/>
  <c r="DQ3" i="14"/>
  <c r="DP3" i="14"/>
  <c r="DO3" i="14"/>
  <c r="DN3" i="14"/>
  <c r="DM3" i="14"/>
  <c r="DM3" i="14" a="1"/>
  <c r="DL3" i="14"/>
  <c r="DK3" i="14"/>
  <c r="DJ3" i="14"/>
  <c r="DI3" i="14"/>
  <c r="DH3" i="14"/>
  <c r="DG3" i="14"/>
  <c r="DF3" i="14"/>
  <c r="DE3" i="14"/>
  <c r="DD3" i="14"/>
  <c r="DB3" i="14"/>
  <c r="DA3" i="14"/>
  <c r="CY3" i="14"/>
  <c r="CW3" i="14"/>
  <c r="CV3" i="14"/>
  <c r="CU3" i="14"/>
  <c r="CT3" i="14"/>
  <c r="CS3" i="14"/>
  <c r="CR3" i="14"/>
  <c r="CQ3" i="14"/>
  <c r="GL3" i="14" s="1"/>
  <c r="CP3" i="14"/>
  <c r="GJ3" i="14" s="1"/>
  <c r="GK3" i="14" s="1"/>
  <c r="CO3" i="14"/>
  <c r="CN3" i="14"/>
  <c r="DY3" i="14" s="1"/>
  <c r="CM3" i="14"/>
  <c r="DX3" i="14" s="1"/>
  <c r="CL3" i="14"/>
  <c r="DW3" i="14" s="1"/>
  <c r="CK3" i="14"/>
  <c r="CZ3" i="14" s="1"/>
  <c r="CJ3" i="14"/>
  <c r="CH3" i="14"/>
  <c r="CG3" i="14"/>
  <c r="CG3" i="14" a="1"/>
  <c r="AW3" i="14"/>
  <c r="AV3" i="14"/>
  <c r="J3" i="14"/>
  <c r="G3" i="14"/>
  <c r="IR6" i="12"/>
  <c r="HX6" i="12" a="1"/>
  <c r="HX6" i="12" s="1"/>
  <c r="IW6" i="12" s="1"/>
  <c r="HW6" i="12"/>
  <c r="IV6" i="12" s="1"/>
  <c r="HW6" i="12" a="1"/>
  <c r="HV6" i="12" a="1"/>
  <c r="HV6" i="12" s="1"/>
  <c r="IU6" i="12" s="1"/>
  <c r="HU6" i="12"/>
  <c r="IT6" i="12" s="1"/>
  <c r="HU6" i="12" a="1"/>
  <c r="HT6" i="12"/>
  <c r="IS6" i="12" s="1"/>
  <c r="HT6" i="12" a="1"/>
  <c r="HS6" i="12"/>
  <c r="HS6" i="12" a="1"/>
  <c r="HR6" i="12" a="1"/>
  <c r="HR6" i="12" s="1"/>
  <c r="IQ6" i="12" s="1"/>
  <c r="HQ6" i="12" a="1"/>
  <c r="HQ6" i="12" s="1"/>
  <c r="IP6" i="12" s="1"/>
  <c r="HP6" i="12" a="1"/>
  <c r="HP6" i="12" s="1"/>
  <c r="IO6" i="12" s="1"/>
  <c r="HL6" i="12"/>
  <c r="HJ6" i="12"/>
  <c r="HI6" i="12"/>
  <c r="HH6" i="12"/>
  <c r="HB6" i="12"/>
  <c r="HA6" i="12"/>
  <c r="GZ6" i="12"/>
  <c r="GY6" i="12"/>
  <c r="GX6" i="12"/>
  <c r="GW6" i="12"/>
  <c r="GV6" i="12"/>
  <c r="GU6" i="12"/>
  <c r="GT6" i="12"/>
  <c r="GP6" i="12"/>
  <c r="GJ6" i="12"/>
  <c r="GK6" i="12" s="1"/>
  <c r="GI6" i="12"/>
  <c r="GH6" i="12"/>
  <c r="GG6" i="12"/>
  <c r="GF6" i="12"/>
  <c r="GE6" i="12"/>
  <c r="GB6" i="12"/>
  <c r="GA6" i="12"/>
  <c r="FZ6" i="12"/>
  <c r="FY6" i="12"/>
  <c r="FW6" i="12"/>
  <c r="FV6" i="12"/>
  <c r="FU6" i="12"/>
  <c r="FT6" i="12"/>
  <c r="FS6" i="12"/>
  <c r="FR6" i="12"/>
  <c r="FQ6" i="12"/>
  <c r="FJ6" i="12"/>
  <c r="FM6" i="12" s="1"/>
  <c r="FI6" i="12"/>
  <c r="FL6" i="12" s="1"/>
  <c r="FH6" i="12"/>
  <c r="FG6" i="12"/>
  <c r="FF6" i="12"/>
  <c r="FP6" i="12" s="1"/>
  <c r="FE6" i="12"/>
  <c r="FD6" i="12"/>
  <c r="FB6" i="12"/>
  <c r="FA6" i="12"/>
  <c r="EZ6" i="12"/>
  <c r="EY6" i="12"/>
  <c r="EX6" i="12"/>
  <c r="EW6" i="12"/>
  <c r="EV6" i="12"/>
  <c r="EU6" i="12"/>
  <c r="ET6" i="12"/>
  <c r="ES6" i="12"/>
  <c r="ER6" i="12"/>
  <c r="EQ6" i="12"/>
  <c r="EP6" i="12"/>
  <c r="EO6" i="12"/>
  <c r="EN6" i="12"/>
  <c r="EM6" i="12"/>
  <c r="EL6" i="12"/>
  <c r="EK6" i="12"/>
  <c r="EJ6" i="12"/>
  <c r="EI6" i="12"/>
  <c r="EH6" i="12"/>
  <c r="EG6" i="12"/>
  <c r="EF6" i="12"/>
  <c r="EE6" i="12"/>
  <c r="ED6" i="12"/>
  <c r="EC6" i="12"/>
  <c r="EB6" i="12"/>
  <c r="EA6" i="12"/>
  <c r="DY6" i="12"/>
  <c r="DX6" i="12"/>
  <c r="DU6" i="12"/>
  <c r="DT6" i="12"/>
  <c r="DS6" i="12"/>
  <c r="DR6" i="12"/>
  <c r="DQ6" i="12"/>
  <c r="DP6" i="12"/>
  <c r="DO6" i="12"/>
  <c r="DN6" i="12"/>
  <c r="DK6" i="12"/>
  <c r="DJ6" i="12"/>
  <c r="DI6" i="12"/>
  <c r="DH6" i="12"/>
  <c r="DG6" i="12"/>
  <c r="DF6" i="12"/>
  <c r="DE6" i="12"/>
  <c r="DD6" i="12"/>
  <c r="DB6" i="12"/>
  <c r="DA6" i="12"/>
  <c r="CV6" i="12"/>
  <c r="CU6" i="12"/>
  <c r="CT6" i="12"/>
  <c r="CS6" i="12"/>
  <c r="GN6" i="12" s="1"/>
  <c r="CR6" i="12"/>
  <c r="GM6" i="12" s="1"/>
  <c r="CQ6" i="12"/>
  <c r="GL6" i="12" s="1"/>
  <c r="CP6" i="12"/>
  <c r="CO6" i="12"/>
  <c r="DZ6" i="12" s="1"/>
  <c r="CN6" i="12"/>
  <c r="CM6" i="12"/>
  <c r="CL6" i="12"/>
  <c r="DW6" i="12" s="1"/>
  <c r="CI6" i="12"/>
  <c r="CX6" i="12" s="1"/>
  <c r="CH6" i="12"/>
  <c r="CW6" i="12" s="1"/>
  <c r="CG6" i="12"/>
  <c r="IM6" i="12" s="1"/>
  <c r="CG6" i="12" a="1"/>
  <c r="AW6" i="12"/>
  <c r="AV6" i="12"/>
  <c r="J6" i="12"/>
  <c r="G6" i="12"/>
  <c r="IS5" i="12"/>
  <c r="IP5" i="12"/>
  <c r="IO5" i="12"/>
  <c r="IL5" i="12"/>
  <c r="HX5" i="12" a="1"/>
  <c r="HX5" i="12" s="1"/>
  <c r="IW5" i="12" s="1"/>
  <c r="HW5" i="12"/>
  <c r="IV5" i="12" s="1"/>
  <c r="HW5" i="12" a="1"/>
  <c r="HV5" i="12" a="1"/>
  <c r="HV5" i="12" s="1"/>
  <c r="IU5" i="12" s="1"/>
  <c r="HU5" i="12"/>
  <c r="IT5" i="12" s="1"/>
  <c r="HU5" i="12" a="1"/>
  <c r="HT5" i="12"/>
  <c r="HT5" i="12" a="1"/>
  <c r="HS5" i="12"/>
  <c r="IR5" i="12" s="1"/>
  <c r="HS5" i="12" a="1"/>
  <c r="HR5" i="12" a="1"/>
  <c r="HR5" i="12" s="1"/>
  <c r="IQ5" i="12" s="1"/>
  <c r="HQ5" i="12" a="1"/>
  <c r="HQ5" i="12" s="1"/>
  <c r="HP5" i="12"/>
  <c r="HP5" i="12" a="1"/>
  <c r="HL5" i="12"/>
  <c r="HJ5" i="12"/>
  <c r="HI5" i="12"/>
  <c r="HH5" i="12"/>
  <c r="HC5" i="12"/>
  <c r="HB5" i="12"/>
  <c r="HA5" i="12"/>
  <c r="GZ5" i="12"/>
  <c r="GY5" i="12"/>
  <c r="GX5" i="12"/>
  <c r="GW5" i="12"/>
  <c r="GV5" i="12"/>
  <c r="GU5" i="12"/>
  <c r="GT5" i="12"/>
  <c r="GP5" i="12"/>
  <c r="GM5" i="12"/>
  <c r="GK5" i="12"/>
  <c r="GJ5" i="12"/>
  <c r="GI5" i="12"/>
  <c r="GH5" i="12"/>
  <c r="GG5" i="12"/>
  <c r="GF5" i="12"/>
  <c r="GE5" i="12"/>
  <c r="GD5" i="12"/>
  <c r="GC5" i="12"/>
  <c r="GB5" i="12"/>
  <c r="GA5" i="12"/>
  <c r="FZ5" i="12"/>
  <c r="FY5" i="12"/>
  <c r="FX5" i="12"/>
  <c r="FW5" i="12"/>
  <c r="FV5" i="12"/>
  <c r="FU5" i="12"/>
  <c r="FT5" i="12"/>
  <c r="FS5" i="12"/>
  <c r="FR5" i="12"/>
  <c r="FQ5" i="12"/>
  <c r="FP5" i="12"/>
  <c r="FM5" i="12"/>
  <c r="FL5" i="12"/>
  <c r="FJ5" i="12"/>
  <c r="FI5" i="12"/>
  <c r="FH5" i="12"/>
  <c r="FK5" i="12" s="1"/>
  <c r="FG5" i="12"/>
  <c r="FO5" i="12" s="1"/>
  <c r="FF5" i="12"/>
  <c r="FE5" i="12"/>
  <c r="FN5" i="12" s="1"/>
  <c r="FD5" i="12"/>
  <c r="FC5" i="12"/>
  <c r="FB5" i="12"/>
  <c r="FA5" i="12"/>
  <c r="EZ5" i="12"/>
  <c r="EY5" i="12"/>
  <c r="EX5" i="12"/>
  <c r="EW5" i="12"/>
  <c r="EV5" i="12"/>
  <c r="EU5" i="12"/>
  <c r="ET5" i="12"/>
  <c r="ES5" i="12"/>
  <c r="ER5" i="12"/>
  <c r="EQ5" i="12"/>
  <c r="EP5" i="12"/>
  <c r="EO5" i="12"/>
  <c r="EN5" i="12"/>
  <c r="EM5" i="12"/>
  <c r="EL5" i="12"/>
  <c r="EK5" i="12"/>
  <c r="EJ5" i="12"/>
  <c r="EI5" i="12"/>
  <c r="EH5" i="12"/>
  <c r="EG5" i="12"/>
  <c r="EF5" i="12"/>
  <c r="EE5" i="12"/>
  <c r="ED5" i="12"/>
  <c r="EC5" i="12"/>
  <c r="EB5" i="12"/>
  <c r="EA5" i="12"/>
  <c r="DZ5" i="12"/>
  <c r="DX5" i="12"/>
  <c r="DV5" i="12"/>
  <c r="DU5" i="12"/>
  <c r="DT5" i="12"/>
  <c r="DS5" i="12"/>
  <c r="DR5" i="12"/>
  <c r="DQ5" i="12"/>
  <c r="DP5" i="12"/>
  <c r="DO5" i="12"/>
  <c r="DN5" i="12"/>
  <c r="DK5" i="12"/>
  <c r="DJ5" i="12"/>
  <c r="DI5" i="12"/>
  <c r="DH5" i="12"/>
  <c r="DG5" i="12"/>
  <c r="DF5" i="12"/>
  <c r="DE5" i="12"/>
  <c r="DD5" i="12"/>
  <c r="DC5" i="12"/>
  <c r="DB5" i="12"/>
  <c r="DA5" i="12"/>
  <c r="CV5" i="12"/>
  <c r="CU5" i="12"/>
  <c r="CT5" i="12"/>
  <c r="CS5" i="12"/>
  <c r="GN5" i="12" s="1"/>
  <c r="CR5" i="12"/>
  <c r="CQ5" i="12"/>
  <c r="GL5" i="12" s="1"/>
  <c r="CP5" i="12"/>
  <c r="CO5" i="12"/>
  <c r="CN5" i="12"/>
  <c r="DY5" i="12" s="1"/>
  <c r="CM5" i="12"/>
  <c r="CL5" i="12"/>
  <c r="DW5" i="12" s="1"/>
  <c r="CH5" i="12"/>
  <c r="CW5" i="12" s="1"/>
  <c r="CG5" i="12"/>
  <c r="CG5" i="12" a="1"/>
  <c r="AW5" i="12"/>
  <c r="AV5" i="12"/>
  <c r="J5" i="12"/>
  <c r="G5" i="12"/>
  <c r="IU4" i="12"/>
  <c r="IS4" i="12"/>
  <c r="IN4" i="12"/>
  <c r="IX4" i="12" s="1"/>
  <c r="IM4" i="12"/>
  <c r="HX4" i="12" a="1"/>
  <c r="HX4" i="12" s="1"/>
  <c r="IW4" i="12" s="1"/>
  <c r="HW4" i="12" a="1"/>
  <c r="HW4" i="12" s="1"/>
  <c r="IV4" i="12" s="1"/>
  <c r="HV4" i="12"/>
  <c r="HV4" i="12" a="1"/>
  <c r="HU4" i="12"/>
  <c r="IT4" i="12" s="1"/>
  <c r="HU4" i="12" a="1"/>
  <c r="HT4" i="12"/>
  <c r="HT4" i="12" a="1"/>
  <c r="HS4" i="12" a="1"/>
  <c r="HS4" i="12" s="1"/>
  <c r="IR4" i="12" s="1"/>
  <c r="HR4" i="12" a="1"/>
  <c r="HR4" i="12" s="1"/>
  <c r="IQ4" i="12" s="1"/>
  <c r="HQ4" i="12"/>
  <c r="IP4" i="12" s="1"/>
  <c r="HQ4" i="12" a="1"/>
  <c r="HP4" i="12" a="1"/>
  <c r="HP4" i="12" s="1"/>
  <c r="HL4" i="12"/>
  <c r="HJ4" i="12"/>
  <c r="HI4" i="12"/>
  <c r="HH4" i="12"/>
  <c r="HB4" i="12"/>
  <c r="HA4" i="12"/>
  <c r="GZ4" i="12"/>
  <c r="GY4" i="12"/>
  <c r="GX4" i="12"/>
  <c r="GW4" i="12"/>
  <c r="GV4" i="12"/>
  <c r="GU4" i="12"/>
  <c r="GT4" i="12"/>
  <c r="HC4" i="12" s="1"/>
  <c r="GP4" i="12"/>
  <c r="GN4" i="12"/>
  <c r="GL4" i="12"/>
  <c r="GK4" i="12"/>
  <c r="GI4" i="12"/>
  <c r="GH4" i="12"/>
  <c r="GG4" i="12"/>
  <c r="GF4" i="12"/>
  <c r="GE4" i="12"/>
  <c r="GB4" i="12"/>
  <c r="GA4" i="12"/>
  <c r="FZ4" i="12"/>
  <c r="FY4" i="12"/>
  <c r="FW4" i="12"/>
  <c r="FV4" i="12"/>
  <c r="FU4" i="12"/>
  <c r="FT4" i="12"/>
  <c r="FS4" i="12"/>
  <c r="FR4" i="12"/>
  <c r="FQ4" i="12"/>
  <c r="FP4" i="12"/>
  <c r="FN4" i="12"/>
  <c r="FL4" i="12"/>
  <c r="FJ4" i="12"/>
  <c r="FM4" i="12" s="1"/>
  <c r="FI4" i="12"/>
  <c r="FH4" i="12"/>
  <c r="FK4" i="12" s="1"/>
  <c r="FG4" i="12"/>
  <c r="FF4" i="12"/>
  <c r="FE4" i="12"/>
  <c r="FO4" i="12" s="1"/>
  <c r="FD4" i="12"/>
  <c r="FB4" i="12"/>
  <c r="FA4" i="12"/>
  <c r="EZ4" i="12"/>
  <c r="EY4" i="12"/>
  <c r="EX4" i="12"/>
  <c r="EW4" i="12"/>
  <c r="EV4" i="12"/>
  <c r="EU4" i="12"/>
  <c r="ET4" i="12"/>
  <c r="ES4" i="12"/>
  <c r="ER4" i="12"/>
  <c r="EQ4" i="12"/>
  <c r="EP4" i="12"/>
  <c r="EO4" i="12"/>
  <c r="EN4" i="12"/>
  <c r="EM4" i="12"/>
  <c r="EL4" i="12"/>
  <c r="EK4" i="12"/>
  <c r="EJ4" i="12"/>
  <c r="EI4" i="12"/>
  <c r="EH4" i="12"/>
  <c r="EG4" i="12"/>
  <c r="EF4" i="12"/>
  <c r="EE4" i="12"/>
  <c r="ED4" i="12"/>
  <c r="EC4" i="12"/>
  <c r="EB4" i="12"/>
  <c r="EA4" i="12"/>
  <c r="DW4" i="12"/>
  <c r="DU4" i="12"/>
  <c r="DT4" i="12"/>
  <c r="DS4" i="12"/>
  <c r="DR4" i="12"/>
  <c r="DQ4" i="12"/>
  <c r="DP4" i="12"/>
  <c r="DO4" i="12"/>
  <c r="DN4" i="12"/>
  <c r="DL4" i="12"/>
  <c r="DK4" i="12"/>
  <c r="DJ4" i="12"/>
  <c r="DI4" i="12"/>
  <c r="DH4" i="12"/>
  <c r="DG4" i="12"/>
  <c r="DF4" i="12"/>
  <c r="DE4" i="12"/>
  <c r="DD4" i="12"/>
  <c r="DB4" i="12"/>
  <c r="DA4" i="12"/>
  <c r="CY4" i="12"/>
  <c r="CX4" i="12"/>
  <c r="CV4" i="12"/>
  <c r="CU4" i="12"/>
  <c r="CT4" i="12"/>
  <c r="CS4" i="12"/>
  <c r="CR4" i="12"/>
  <c r="GM4" i="12" s="1"/>
  <c r="CQ4" i="12"/>
  <c r="CP4" i="12"/>
  <c r="GJ4" i="12" s="1"/>
  <c r="CO4" i="12"/>
  <c r="DZ4" i="12" s="1"/>
  <c r="CN4" i="12"/>
  <c r="DY4" i="12" s="1"/>
  <c r="CM4" i="12"/>
  <c r="DX4" i="12" s="1"/>
  <c r="CL4" i="12"/>
  <c r="CI4" i="12"/>
  <c r="CH4" i="12"/>
  <c r="CW4" i="12" s="1"/>
  <c r="CG4" i="12" a="1"/>
  <c r="CG4" i="12" s="1"/>
  <c r="CJ4" i="12" s="1"/>
  <c r="AW4" i="12"/>
  <c r="AV4" i="12"/>
  <c r="J4" i="12"/>
  <c r="G4" i="12"/>
  <c r="IT3" i="12"/>
  <c r="IM3" i="12"/>
  <c r="IL3" i="12"/>
  <c r="HX3" i="12" a="1"/>
  <c r="HX3" i="12" s="1"/>
  <c r="IW3" i="12" s="1"/>
  <c r="HW3" i="12" a="1"/>
  <c r="HW3" i="12" s="1"/>
  <c r="IV3" i="12" s="1"/>
  <c r="HV3" i="12"/>
  <c r="IU3" i="12" s="1"/>
  <c r="HV3" i="12" a="1"/>
  <c r="HU3" i="12" a="1"/>
  <c r="HU3" i="12" s="1"/>
  <c r="HT3" i="12"/>
  <c r="IS3" i="12" s="1"/>
  <c r="HT3" i="12" a="1"/>
  <c r="HS3" i="12"/>
  <c r="IR3" i="12" s="1"/>
  <c r="HS3" i="12" a="1"/>
  <c r="HR3" i="12" a="1"/>
  <c r="HR3" i="12" s="1"/>
  <c r="IQ3" i="12" s="1"/>
  <c r="HQ3" i="12" a="1"/>
  <c r="HQ3" i="12" s="1"/>
  <c r="IP3" i="12" s="1"/>
  <c r="HP3" i="12"/>
  <c r="IO3" i="12" s="1"/>
  <c r="HP3" i="12" a="1"/>
  <c r="HL3" i="12"/>
  <c r="HJ3" i="12"/>
  <c r="HI3" i="12"/>
  <c r="HH3" i="12"/>
  <c r="HB3" i="12"/>
  <c r="HA3" i="12"/>
  <c r="GZ3" i="12"/>
  <c r="GY3" i="12"/>
  <c r="GX3" i="12"/>
  <c r="GW3" i="12"/>
  <c r="GV3" i="12"/>
  <c r="GU3" i="12"/>
  <c r="GT3" i="12"/>
  <c r="GP3" i="12"/>
  <c r="GL3" i="12"/>
  <c r="GI3" i="12"/>
  <c r="GH3" i="12"/>
  <c r="GG3" i="12"/>
  <c r="GF3" i="12"/>
  <c r="GE3" i="12"/>
  <c r="GD3" i="12"/>
  <c r="GC3" i="12"/>
  <c r="GB3" i="12"/>
  <c r="GA3" i="12"/>
  <c r="FZ3" i="12"/>
  <c r="FY3" i="12"/>
  <c r="FX3" i="12"/>
  <c r="FW3" i="12"/>
  <c r="FV3" i="12"/>
  <c r="FU3" i="12"/>
  <c r="FT3" i="12"/>
  <c r="FS3" i="12"/>
  <c r="FR3" i="12"/>
  <c r="FQ3" i="12"/>
  <c r="FJ3" i="12"/>
  <c r="FM3" i="12" s="1"/>
  <c r="FI3" i="12"/>
  <c r="FH3" i="12"/>
  <c r="FK3" i="12" s="1"/>
  <c r="FG3" i="12"/>
  <c r="FF3" i="12"/>
  <c r="FP3" i="12" s="1"/>
  <c r="FE3" i="12"/>
  <c r="FD3" i="12"/>
  <c r="FC3" i="12"/>
  <c r="FB3" i="12"/>
  <c r="FA3" i="12"/>
  <c r="EZ3" i="12"/>
  <c r="EY3" i="12"/>
  <c r="EX3" i="12"/>
  <c r="EW3" i="12"/>
  <c r="EV3" i="12"/>
  <c r="EU3" i="12"/>
  <c r="ET3" i="12"/>
  <c r="ES3" i="12"/>
  <c r="ER3" i="12"/>
  <c r="EQ3" i="12"/>
  <c r="EP3" i="12"/>
  <c r="EO3" i="12"/>
  <c r="EN3" i="12"/>
  <c r="EM3" i="12"/>
  <c r="EL3" i="12"/>
  <c r="EK3" i="12"/>
  <c r="EJ3" i="12"/>
  <c r="EI3" i="12"/>
  <c r="EH3" i="12"/>
  <c r="EG3" i="12"/>
  <c r="EF3" i="12"/>
  <c r="EE3" i="12"/>
  <c r="ED3" i="12"/>
  <c r="EC3" i="12"/>
  <c r="EB3" i="12"/>
  <c r="EA3" i="12"/>
  <c r="DZ3" i="12"/>
  <c r="DX3" i="12"/>
  <c r="DV3" i="12"/>
  <c r="DU3" i="12"/>
  <c r="DT3" i="12"/>
  <c r="DS3" i="12"/>
  <c r="DR3" i="12"/>
  <c r="DQ3" i="12"/>
  <c r="DP3" i="12"/>
  <c r="DO3" i="12"/>
  <c r="DN3" i="12"/>
  <c r="DK3" i="12"/>
  <c r="DJ3" i="12"/>
  <c r="DI3" i="12"/>
  <c r="DH3" i="12"/>
  <c r="DG3" i="12"/>
  <c r="DF3" i="12"/>
  <c r="DE3" i="12"/>
  <c r="DD3" i="12"/>
  <c r="DC3" i="12"/>
  <c r="DB3" i="12"/>
  <c r="DA3" i="12"/>
  <c r="CV3" i="12"/>
  <c r="CU3" i="12"/>
  <c r="CT3" i="12"/>
  <c r="CS3" i="12"/>
  <c r="GN3" i="12" s="1"/>
  <c r="CR3" i="12"/>
  <c r="GM3" i="12" s="1"/>
  <c r="CQ3" i="12"/>
  <c r="CP3" i="12"/>
  <c r="GJ3" i="12" s="1"/>
  <c r="GK3" i="12" s="1"/>
  <c r="CO3" i="12"/>
  <c r="CN3" i="12"/>
  <c r="DY3" i="12" s="1"/>
  <c r="CM3" i="12"/>
  <c r="CL3" i="12"/>
  <c r="DW3" i="12" s="1"/>
  <c r="CI3" i="12"/>
  <c r="CX3" i="12" s="1"/>
  <c r="CG3" i="12"/>
  <c r="CG3" i="12" a="1"/>
  <c r="AW3" i="12"/>
  <c r="AV3" i="12"/>
  <c r="J3" i="12"/>
  <c r="G3" i="12"/>
  <c r="IW9" i="11"/>
  <c r="IQ9" i="11"/>
  <c r="IP9" i="11"/>
  <c r="HX9" i="11"/>
  <c r="HX9" i="11" a="1"/>
  <c r="HW9" i="11" a="1"/>
  <c r="HW9" i="11" s="1"/>
  <c r="IV9" i="11" s="1"/>
  <c r="HV9" i="11"/>
  <c r="IU9" i="11" s="1"/>
  <c r="HV9" i="11" a="1"/>
  <c r="HU9" i="11" a="1"/>
  <c r="HU9" i="11" s="1"/>
  <c r="IT9" i="11" s="1"/>
  <c r="HT9" i="11" a="1"/>
  <c r="HT9" i="11" s="1"/>
  <c r="IS9" i="11" s="1"/>
  <c r="HS9" i="11"/>
  <c r="IR9" i="11" s="1"/>
  <c r="HS9" i="11" a="1"/>
  <c r="HR9" i="11" a="1"/>
  <c r="HR9" i="11" s="1"/>
  <c r="HQ9" i="11" a="1"/>
  <c r="HQ9" i="11" s="1"/>
  <c r="HP9" i="11"/>
  <c r="IO9" i="11" s="1"/>
  <c r="HP9" i="11" a="1"/>
  <c r="HL9" i="11"/>
  <c r="HJ9" i="11"/>
  <c r="HH9" i="11"/>
  <c r="HI9" i="11" s="1"/>
  <c r="HB9" i="11"/>
  <c r="HA9" i="11"/>
  <c r="GZ9" i="11"/>
  <c r="GY9" i="11"/>
  <c r="GX9" i="11"/>
  <c r="GW9" i="11"/>
  <c r="GV9" i="11"/>
  <c r="GU9" i="11"/>
  <c r="GT9" i="11"/>
  <c r="GP9" i="11"/>
  <c r="GL9" i="11"/>
  <c r="GI9" i="11"/>
  <c r="GH9" i="11"/>
  <c r="GG9" i="11"/>
  <c r="GF9" i="11"/>
  <c r="GE9" i="11"/>
  <c r="GB9" i="11"/>
  <c r="GA9" i="11"/>
  <c r="FZ9" i="11"/>
  <c r="FY9" i="11"/>
  <c r="FW9" i="11"/>
  <c r="FV9" i="11"/>
  <c r="FU9" i="11"/>
  <c r="FT9" i="11"/>
  <c r="FS9" i="11"/>
  <c r="FR9" i="11"/>
  <c r="FQ9" i="11"/>
  <c r="FP9" i="11"/>
  <c r="FO9" i="11"/>
  <c r="FN9" i="11"/>
  <c r="FK9" i="11"/>
  <c r="FJ9" i="11"/>
  <c r="FI9" i="11"/>
  <c r="FL9" i="11" s="1"/>
  <c r="FH9" i="11"/>
  <c r="FG9" i="11"/>
  <c r="FF9" i="11"/>
  <c r="FE9" i="11"/>
  <c r="FD9" i="11"/>
  <c r="FB9" i="11"/>
  <c r="FA9" i="11"/>
  <c r="EZ9" i="11"/>
  <c r="EY9" i="11"/>
  <c r="EX9" i="11"/>
  <c r="EW9" i="11"/>
  <c r="EV9" i="11"/>
  <c r="EU9" i="11"/>
  <c r="ET9" i="11"/>
  <c r="ES9" i="11"/>
  <c r="ER9" i="11"/>
  <c r="EQ9" i="11"/>
  <c r="EP9" i="11"/>
  <c r="EO9" i="11"/>
  <c r="EN9" i="11"/>
  <c r="EM9" i="11"/>
  <c r="EL9" i="11"/>
  <c r="EK9" i="11"/>
  <c r="EJ9" i="11"/>
  <c r="EI9" i="11"/>
  <c r="EH9" i="11"/>
  <c r="EG9" i="11"/>
  <c r="EF9" i="11"/>
  <c r="EE9" i="11"/>
  <c r="ED9" i="11"/>
  <c r="EC9" i="11"/>
  <c r="EB9" i="11"/>
  <c r="EA9" i="11"/>
  <c r="DU9" i="11"/>
  <c r="DT9" i="11"/>
  <c r="DS9" i="11"/>
  <c r="DR9" i="11"/>
  <c r="DQ9" i="11"/>
  <c r="DP9" i="11"/>
  <c r="DO9" i="11"/>
  <c r="DN9" i="11"/>
  <c r="DK9" i="11"/>
  <c r="DJ9" i="11"/>
  <c r="DI9" i="11"/>
  <c r="DH9" i="11"/>
  <c r="DG9" i="11"/>
  <c r="DF9" i="11"/>
  <c r="DE9" i="11"/>
  <c r="DD9" i="11"/>
  <c r="DB9" i="11"/>
  <c r="DA9" i="11"/>
  <c r="CV9" i="11"/>
  <c r="CU9" i="11"/>
  <c r="CT9" i="11"/>
  <c r="CS9" i="11"/>
  <c r="GN9" i="11" s="1"/>
  <c r="CR9" i="11"/>
  <c r="GM9" i="11" s="1"/>
  <c r="CQ9" i="11"/>
  <c r="CP9" i="11"/>
  <c r="GJ9" i="11" s="1"/>
  <c r="GK9" i="11" s="1"/>
  <c r="CO9" i="11"/>
  <c r="DZ9" i="11" s="1"/>
  <c r="CN9" i="11"/>
  <c r="DY9" i="11" s="1"/>
  <c r="CM9" i="11"/>
  <c r="DX9" i="11" s="1"/>
  <c r="CL9" i="11"/>
  <c r="DW9" i="11" s="1"/>
  <c r="CI9" i="11"/>
  <c r="CX9" i="11" s="1"/>
  <c r="CG9" i="11"/>
  <c r="CG9" i="11" a="1"/>
  <c r="AW9" i="11"/>
  <c r="AV9" i="11"/>
  <c r="J9" i="11"/>
  <c r="G9" i="11"/>
  <c r="IW8" i="11"/>
  <c r="IR8" i="11"/>
  <c r="IQ8" i="11"/>
  <c r="HX8" i="11"/>
  <c r="HX8" i="11" a="1"/>
  <c r="HW8" i="11"/>
  <c r="IV8" i="11" s="1"/>
  <c r="HW8" i="11" a="1"/>
  <c r="HV8" i="11" a="1"/>
  <c r="HV8" i="11" s="1"/>
  <c r="IU8" i="11" s="1"/>
  <c r="HU8" i="11"/>
  <c r="IT8" i="11" s="1"/>
  <c r="HU8" i="11" a="1"/>
  <c r="HT8" i="11" a="1"/>
  <c r="HT8" i="11" s="1"/>
  <c r="IS8" i="11" s="1"/>
  <c r="HS8" i="11"/>
  <c r="HS8" i="11" a="1"/>
  <c r="HR8" i="11" a="1"/>
  <c r="HR8" i="11" s="1"/>
  <c r="HQ8" i="11"/>
  <c r="IP8" i="11" s="1"/>
  <c r="HQ8" i="11" a="1"/>
  <c r="HP8" i="11"/>
  <c r="IO8" i="11" s="1"/>
  <c r="HP8" i="11" a="1"/>
  <c r="HL8" i="11"/>
  <c r="HJ8" i="11"/>
  <c r="HI8" i="11"/>
  <c r="HH8" i="11"/>
  <c r="HB8" i="11"/>
  <c r="HA8" i="11"/>
  <c r="GZ8" i="11"/>
  <c r="GY8" i="11"/>
  <c r="GX8" i="11"/>
  <c r="GW8" i="11"/>
  <c r="GV8" i="11"/>
  <c r="GU8" i="11"/>
  <c r="GT8" i="11"/>
  <c r="GP8" i="11"/>
  <c r="GI8" i="11"/>
  <c r="GH8" i="11"/>
  <c r="GG8" i="11"/>
  <c r="GF8" i="11"/>
  <c r="GE8" i="11"/>
  <c r="GB8" i="11"/>
  <c r="GA8" i="11"/>
  <c r="FZ8" i="11"/>
  <c r="FY8" i="11"/>
  <c r="FW8" i="11"/>
  <c r="FV8" i="11"/>
  <c r="FU8" i="11"/>
  <c r="FT8" i="11"/>
  <c r="FS8" i="11"/>
  <c r="FR8" i="11"/>
  <c r="FQ8" i="11"/>
  <c r="FO8" i="11"/>
  <c r="FN8" i="11"/>
  <c r="FJ8" i="11"/>
  <c r="FM8" i="11" s="1"/>
  <c r="FI8" i="11"/>
  <c r="FH8" i="11"/>
  <c r="FK8" i="11" s="1"/>
  <c r="FG8" i="11"/>
  <c r="FF8" i="11"/>
  <c r="FE8" i="11"/>
  <c r="FD8" i="11"/>
  <c r="FB8" i="11"/>
  <c r="FA8" i="11"/>
  <c r="EZ8" i="11"/>
  <c r="EY8" i="11"/>
  <c r="EX8" i="11"/>
  <c r="EW8" i="11"/>
  <c r="EV8" i="11"/>
  <c r="EU8" i="11"/>
  <c r="ET8" i="11"/>
  <c r="ES8" i="11"/>
  <c r="ER8" i="11"/>
  <c r="EQ8" i="11"/>
  <c r="EP8" i="11"/>
  <c r="EO8" i="11"/>
  <c r="EN8" i="11"/>
  <c r="EM8" i="11"/>
  <c r="EL8" i="11"/>
  <c r="EK8" i="11"/>
  <c r="EJ8" i="11"/>
  <c r="EI8" i="11"/>
  <c r="EH8" i="11"/>
  <c r="EG8" i="11"/>
  <c r="EF8" i="11"/>
  <c r="EE8" i="11"/>
  <c r="ED8" i="11"/>
  <c r="EC8" i="11"/>
  <c r="EB8" i="11"/>
  <c r="EA8" i="11"/>
  <c r="DW8" i="11"/>
  <c r="DU8" i="11"/>
  <c r="DT8" i="11"/>
  <c r="DS8" i="11"/>
  <c r="DR8" i="11"/>
  <c r="DQ8" i="11"/>
  <c r="DP8" i="11"/>
  <c r="DO8" i="11"/>
  <c r="DN8" i="11"/>
  <c r="DK8" i="11"/>
  <c r="DJ8" i="11"/>
  <c r="DI8" i="11"/>
  <c r="DH8" i="11"/>
  <c r="DG8" i="11"/>
  <c r="DF8" i="11"/>
  <c r="DE8" i="11"/>
  <c r="DD8" i="11"/>
  <c r="DB8" i="11"/>
  <c r="DA8" i="11"/>
  <c r="CV8" i="11"/>
  <c r="CU8" i="11"/>
  <c r="CT8" i="11"/>
  <c r="CS8" i="11"/>
  <c r="GN8" i="11" s="1"/>
  <c r="CR8" i="11"/>
  <c r="GM8" i="11" s="1"/>
  <c r="CQ8" i="11"/>
  <c r="GL8" i="11" s="1"/>
  <c r="CP8" i="11"/>
  <c r="GJ8" i="11" s="1"/>
  <c r="GK8" i="11" s="1"/>
  <c r="CO8" i="11"/>
  <c r="DZ8" i="11" s="1"/>
  <c r="CN8" i="11"/>
  <c r="DY8" i="11" s="1"/>
  <c r="CM8" i="11"/>
  <c r="DX8" i="11" s="1"/>
  <c r="CL8" i="11"/>
  <c r="CG8" i="11" a="1"/>
  <c r="CG8" i="11" s="1"/>
  <c r="AW8" i="11"/>
  <c r="AV8" i="11"/>
  <c r="J8" i="11"/>
  <c r="G8" i="11"/>
  <c r="IX7" i="11"/>
  <c r="IW7" i="11"/>
  <c r="IU7" i="11"/>
  <c r="IO7" i="11"/>
  <c r="IN7" i="11"/>
  <c r="IM7" i="11"/>
  <c r="IL7" i="11"/>
  <c r="HX7" i="11"/>
  <c r="HX7" i="11" a="1"/>
  <c r="HW7" i="11"/>
  <c r="IV7" i="11" s="1"/>
  <c r="HW7" i="11" a="1"/>
  <c r="HV7" i="11" a="1"/>
  <c r="HV7" i="11" s="1"/>
  <c r="HU7" i="11"/>
  <c r="IT7" i="11" s="1"/>
  <c r="HU7" i="11" a="1"/>
  <c r="HT7" i="11" a="1"/>
  <c r="HT7" i="11" s="1"/>
  <c r="IS7" i="11" s="1"/>
  <c r="HS7" i="11"/>
  <c r="IR7" i="11" s="1"/>
  <c r="HS7" i="11" a="1"/>
  <c r="HR7" i="11"/>
  <c r="IQ7" i="11" s="1"/>
  <c r="HR7" i="11" a="1"/>
  <c r="HQ7" i="11"/>
  <c r="IP7" i="11" s="1"/>
  <c r="HQ7" i="11" a="1"/>
  <c r="HP7" i="11" a="1"/>
  <c r="HP7" i="11" s="1"/>
  <c r="HL7" i="11"/>
  <c r="HJ7" i="11"/>
  <c r="HH7" i="11"/>
  <c r="HC7" i="11"/>
  <c r="HB7" i="11"/>
  <c r="HA7" i="11"/>
  <c r="GZ7" i="11"/>
  <c r="GY7" i="11"/>
  <c r="GX7" i="11"/>
  <c r="GW7" i="11"/>
  <c r="GV7" i="11"/>
  <c r="GU7" i="11"/>
  <c r="GT7" i="11"/>
  <c r="GP7" i="11"/>
  <c r="GN7" i="11"/>
  <c r="GM7" i="11"/>
  <c r="GI7" i="11"/>
  <c r="GH7" i="11"/>
  <c r="GG7" i="11"/>
  <c r="GF7" i="11"/>
  <c r="GE7" i="11"/>
  <c r="GD7" i="11"/>
  <c r="GC7" i="11"/>
  <c r="GB7" i="11"/>
  <c r="GA7" i="11"/>
  <c r="FZ7" i="11"/>
  <c r="FY7" i="11"/>
  <c r="FX7" i="11"/>
  <c r="FW7" i="11"/>
  <c r="FV7" i="11"/>
  <c r="FU7" i="11"/>
  <c r="FT7" i="11"/>
  <c r="FS7" i="11"/>
  <c r="FR7" i="11"/>
  <c r="FQ7" i="11"/>
  <c r="FP7" i="11"/>
  <c r="FO7" i="11"/>
  <c r="FM7" i="11"/>
  <c r="FL7" i="11"/>
  <c r="FK7" i="11"/>
  <c r="FJ7" i="11"/>
  <c r="FI7" i="11"/>
  <c r="FH7" i="11"/>
  <c r="FG7" i="11"/>
  <c r="FF7" i="11"/>
  <c r="FN7" i="11" s="1"/>
  <c r="FE7" i="11"/>
  <c r="FD7" i="11"/>
  <c r="FC7" i="11"/>
  <c r="FB7" i="11"/>
  <c r="FA7" i="11"/>
  <c r="EZ7" i="11"/>
  <c r="EY7" i="11"/>
  <c r="EX7" i="11"/>
  <c r="EW7" i="11"/>
  <c r="EV7" i="11"/>
  <c r="EU7" i="11"/>
  <c r="ET7" i="11"/>
  <c r="ES7" i="11"/>
  <c r="ER7" i="11"/>
  <c r="EQ7" i="11"/>
  <c r="EP7" i="11"/>
  <c r="EO7" i="11"/>
  <c r="EN7" i="11"/>
  <c r="EM7" i="11"/>
  <c r="EL7" i="11"/>
  <c r="EK7" i="11"/>
  <c r="EJ7" i="11"/>
  <c r="EI7" i="11"/>
  <c r="EH7" i="11"/>
  <c r="EG7" i="11"/>
  <c r="EF7" i="11"/>
  <c r="EE7" i="11"/>
  <c r="ED7" i="11"/>
  <c r="EC7" i="11"/>
  <c r="EB7" i="11"/>
  <c r="EA7" i="11"/>
  <c r="DZ7" i="11"/>
  <c r="DW7" i="11"/>
  <c r="DV7" i="11"/>
  <c r="DU7" i="11"/>
  <c r="DT7" i="11"/>
  <c r="DS7" i="11"/>
  <c r="DR7" i="11"/>
  <c r="DQ7" i="11"/>
  <c r="DP7" i="11"/>
  <c r="DO7" i="11"/>
  <c r="DN7" i="11"/>
  <c r="DK7" i="11"/>
  <c r="DJ7" i="11"/>
  <c r="DI7" i="11"/>
  <c r="DH7" i="11"/>
  <c r="DG7" i="11"/>
  <c r="DF7" i="11"/>
  <c r="DE7" i="11"/>
  <c r="DD7" i="11"/>
  <c r="DC7" i="11"/>
  <c r="DB7" i="11"/>
  <c r="DA7" i="11"/>
  <c r="CV7" i="11"/>
  <c r="CU7" i="11"/>
  <c r="CT7" i="11"/>
  <c r="CS7" i="11"/>
  <c r="CR7" i="11"/>
  <c r="CQ7" i="11"/>
  <c r="GL7" i="11" s="1"/>
  <c r="CP7" i="11"/>
  <c r="GJ7" i="11" s="1"/>
  <c r="GK7" i="11" s="1"/>
  <c r="CO7" i="11"/>
  <c r="CN7" i="11"/>
  <c r="DY7" i="11" s="1"/>
  <c r="CM7" i="11"/>
  <c r="DX7" i="11" s="1"/>
  <c r="CL7" i="11"/>
  <c r="CG7" i="11"/>
  <c r="CG7" i="11" a="1"/>
  <c r="AW7" i="11"/>
  <c r="AV7" i="11"/>
  <c r="J7" i="11"/>
  <c r="G7" i="11"/>
  <c r="IV6" i="11"/>
  <c r="IP6" i="11"/>
  <c r="IO6" i="11"/>
  <c r="IN6" i="11"/>
  <c r="IX6" i="11" s="1"/>
  <c r="HX6" i="11"/>
  <c r="IW6" i="11" s="1"/>
  <c r="HX6" i="11" a="1"/>
  <c r="HW6" i="11"/>
  <c r="HW6" i="11" a="1"/>
  <c r="HV6" i="11" a="1"/>
  <c r="HV6" i="11" s="1"/>
  <c r="IU6" i="11" s="1"/>
  <c r="HU6" i="11"/>
  <c r="IT6" i="11" s="1"/>
  <c r="HU6" i="11" a="1"/>
  <c r="HT6" i="11" a="1"/>
  <c r="HT6" i="11" s="1"/>
  <c r="IS6" i="11" s="1"/>
  <c r="HS6" i="11" a="1"/>
  <c r="HS6" i="11" s="1"/>
  <c r="IR6" i="11" s="1"/>
  <c r="HR6" i="11"/>
  <c r="IQ6" i="11" s="1"/>
  <c r="HR6" i="11" a="1"/>
  <c r="HQ6" i="11" a="1"/>
  <c r="HQ6" i="11" s="1"/>
  <c r="HP6" i="11" a="1"/>
  <c r="HP6" i="11" s="1"/>
  <c r="HL6" i="11"/>
  <c r="HJ6" i="11"/>
  <c r="HH6" i="11"/>
  <c r="HI6" i="11" s="1"/>
  <c r="HB6" i="11"/>
  <c r="HA6" i="11"/>
  <c r="GZ6" i="11"/>
  <c r="HC6" i="11" s="1"/>
  <c r="GY6" i="11"/>
  <c r="GX6" i="11"/>
  <c r="GW6" i="11"/>
  <c r="GV6" i="11"/>
  <c r="GU6" i="11"/>
  <c r="GT6" i="11"/>
  <c r="GP6" i="11"/>
  <c r="GM6" i="11"/>
  <c r="GJ6" i="11"/>
  <c r="GK6" i="11" s="1"/>
  <c r="GI6" i="11"/>
  <c r="GH6" i="11"/>
  <c r="GG6" i="11"/>
  <c r="GF6" i="11"/>
  <c r="GE6" i="11"/>
  <c r="GB6" i="11"/>
  <c r="GA6" i="11"/>
  <c r="FZ6" i="11"/>
  <c r="FY6" i="11"/>
  <c r="FW6" i="11"/>
  <c r="FV6" i="11"/>
  <c r="FU6" i="11"/>
  <c r="FT6" i="11"/>
  <c r="FS6" i="11"/>
  <c r="FR6" i="11"/>
  <c r="FQ6" i="11"/>
  <c r="FJ6" i="11"/>
  <c r="FI6" i="11"/>
  <c r="FL6" i="11" s="1"/>
  <c r="FH6" i="11"/>
  <c r="FG6" i="11"/>
  <c r="FF6" i="11"/>
  <c r="FP6" i="11" s="1"/>
  <c r="FE6" i="11"/>
  <c r="FD6" i="11"/>
  <c r="FB6" i="11"/>
  <c r="FA6" i="11"/>
  <c r="EZ6" i="11"/>
  <c r="EY6" i="11"/>
  <c r="EX6" i="11"/>
  <c r="EW6" i="11"/>
  <c r="EV6" i="11"/>
  <c r="EU6" i="11"/>
  <c r="ET6" i="11"/>
  <c r="ES6" i="11"/>
  <c r="ER6" i="11"/>
  <c r="EQ6" i="11"/>
  <c r="EP6" i="11"/>
  <c r="EO6" i="11"/>
  <c r="EN6" i="11"/>
  <c r="EM6" i="11"/>
  <c r="EL6" i="11"/>
  <c r="EK6" i="11"/>
  <c r="EJ6" i="11"/>
  <c r="EI6" i="11"/>
  <c r="EH6" i="11"/>
  <c r="EG6" i="11"/>
  <c r="EF6" i="11"/>
  <c r="EE6" i="11"/>
  <c r="ED6" i="11"/>
  <c r="EC6" i="11"/>
  <c r="EB6" i="11"/>
  <c r="EA6" i="11"/>
  <c r="DY6" i="11"/>
  <c r="DW6" i="11"/>
  <c r="DU6" i="11"/>
  <c r="DT6" i="11"/>
  <c r="DS6" i="11"/>
  <c r="DR6" i="11"/>
  <c r="DQ6" i="11"/>
  <c r="DP6" i="11"/>
  <c r="DO6" i="11"/>
  <c r="DN6" i="11"/>
  <c r="DK6" i="11"/>
  <c r="DJ6" i="11"/>
  <c r="DI6" i="11"/>
  <c r="DH6" i="11"/>
  <c r="DG6" i="11"/>
  <c r="DF6" i="11"/>
  <c r="DE6" i="11"/>
  <c r="DD6" i="11"/>
  <c r="DB6" i="11"/>
  <c r="DA6" i="11"/>
  <c r="CV6" i="11"/>
  <c r="CU6" i="11"/>
  <c r="CT6" i="11"/>
  <c r="CS6" i="11"/>
  <c r="GN6" i="11" s="1"/>
  <c r="CR6" i="11"/>
  <c r="CQ6" i="11"/>
  <c r="GL6" i="11" s="1"/>
  <c r="CP6" i="11"/>
  <c r="CO6" i="11"/>
  <c r="DZ6" i="11" s="1"/>
  <c r="CN6" i="11"/>
  <c r="CM6" i="11"/>
  <c r="DX6" i="11" s="1"/>
  <c r="CL6" i="11"/>
  <c r="CG6" i="11"/>
  <c r="CG6" i="11" a="1"/>
  <c r="AW6" i="11"/>
  <c r="AV6" i="11"/>
  <c r="J6" i="11"/>
  <c r="G6" i="11"/>
  <c r="IV5" i="11"/>
  <c r="IP5" i="11"/>
  <c r="HX5" i="11" a="1"/>
  <c r="HX5" i="11" s="1"/>
  <c r="IW5" i="11" s="1"/>
  <c r="HW5" i="11"/>
  <c r="HW5" i="11" a="1"/>
  <c r="HV5" i="11"/>
  <c r="IU5" i="11" s="1"/>
  <c r="HV5" i="11" a="1"/>
  <c r="HU5" i="11"/>
  <c r="IT5" i="11" s="1"/>
  <c r="HU5" i="11" a="1"/>
  <c r="HT5" i="11"/>
  <c r="IS5" i="11" s="1"/>
  <c r="HT5" i="11" a="1"/>
  <c r="HS5" i="11" a="1"/>
  <c r="HS5" i="11" s="1"/>
  <c r="IR5" i="11" s="1"/>
  <c r="HR5" i="11"/>
  <c r="IQ5" i="11" s="1"/>
  <c r="HR5" i="11" a="1"/>
  <c r="HQ5" i="11"/>
  <c r="HQ5" i="11" a="1"/>
  <c r="HP5" i="11" a="1"/>
  <c r="HP5" i="11" s="1"/>
  <c r="IO5" i="11" s="1"/>
  <c r="HL5" i="11"/>
  <c r="HJ5" i="11"/>
  <c r="HH5" i="11"/>
  <c r="HB5" i="11"/>
  <c r="HA5" i="11"/>
  <c r="GZ5" i="11"/>
  <c r="GY5" i="11"/>
  <c r="GX5" i="11"/>
  <c r="GW5" i="11"/>
  <c r="GV5" i="11"/>
  <c r="GU5" i="11"/>
  <c r="GT5" i="11"/>
  <c r="GP5" i="11"/>
  <c r="GM5" i="11"/>
  <c r="GI5" i="11"/>
  <c r="GH5" i="11"/>
  <c r="GG5" i="11"/>
  <c r="GF5" i="11"/>
  <c r="GE5" i="11"/>
  <c r="GB5" i="11"/>
  <c r="GA5" i="11"/>
  <c r="FZ5" i="11"/>
  <c r="FY5" i="11"/>
  <c r="FW5" i="11"/>
  <c r="FV5" i="11"/>
  <c r="FU5" i="11"/>
  <c r="FT5" i="11"/>
  <c r="FS5" i="11"/>
  <c r="FR5" i="11"/>
  <c r="FQ5" i="11"/>
  <c r="FO5" i="11"/>
  <c r="FJ5" i="11"/>
  <c r="FI5" i="11"/>
  <c r="FH5" i="11"/>
  <c r="FG5" i="11"/>
  <c r="FF5" i="11"/>
  <c r="FE5" i="11"/>
  <c r="FD5" i="11"/>
  <c r="FB5" i="11"/>
  <c r="FA5" i="11"/>
  <c r="EZ5" i="11"/>
  <c r="EY5" i="11"/>
  <c r="EX5" i="11"/>
  <c r="EW5" i="11"/>
  <c r="EV5" i="11"/>
  <c r="EU5" i="11"/>
  <c r="ET5" i="11"/>
  <c r="ES5" i="11"/>
  <c r="ER5" i="11"/>
  <c r="EQ5" i="11"/>
  <c r="EP5" i="11"/>
  <c r="EO5" i="11"/>
  <c r="EN5" i="11"/>
  <c r="EM5" i="11"/>
  <c r="EL5" i="11"/>
  <c r="EK5" i="11"/>
  <c r="EJ5" i="11"/>
  <c r="EI5" i="11"/>
  <c r="EH5" i="11"/>
  <c r="EG5" i="11"/>
  <c r="EF5" i="11"/>
  <c r="EE5" i="11"/>
  <c r="ED5" i="11"/>
  <c r="EC5" i="11"/>
  <c r="EB5" i="11"/>
  <c r="EA5" i="11"/>
  <c r="DX5" i="11"/>
  <c r="DU5" i="11"/>
  <c r="DT5" i="11"/>
  <c r="DS5" i="11"/>
  <c r="DR5" i="11"/>
  <c r="DQ5" i="11"/>
  <c r="DP5" i="11"/>
  <c r="DO5" i="11"/>
  <c r="DN5" i="11"/>
  <c r="DK5" i="11"/>
  <c r="DJ5" i="11"/>
  <c r="DI5" i="11"/>
  <c r="DH5" i="11"/>
  <c r="DG5" i="11"/>
  <c r="DF5" i="11"/>
  <c r="DE5" i="11"/>
  <c r="DD5" i="11"/>
  <c r="DB5" i="11"/>
  <c r="DA5" i="11"/>
  <c r="CV5" i="11"/>
  <c r="CU5" i="11"/>
  <c r="CT5" i="11"/>
  <c r="CS5" i="11"/>
  <c r="GN5" i="11" s="1"/>
  <c r="CR5" i="11"/>
  <c r="CQ5" i="11"/>
  <c r="GL5" i="11" s="1"/>
  <c r="CP5" i="11"/>
  <c r="GJ5" i="11" s="1"/>
  <c r="GK5" i="11" s="1"/>
  <c r="CO5" i="11"/>
  <c r="DZ5" i="11" s="1"/>
  <c r="CN5" i="11"/>
  <c r="DY5" i="11" s="1"/>
  <c r="CM5" i="11"/>
  <c r="CL5" i="11"/>
  <c r="DW5" i="11" s="1"/>
  <c r="CG5" i="11"/>
  <c r="CG5" i="11" a="1"/>
  <c r="AW5" i="11"/>
  <c r="AV5" i="11"/>
  <c r="J5" i="11"/>
  <c r="HI5" i="11" s="1"/>
  <c r="G5" i="11"/>
  <c r="IS4" i="11"/>
  <c r="IN4" i="11"/>
  <c r="IX4" i="11" s="1"/>
  <c r="IM4" i="11"/>
  <c r="HX4" i="11"/>
  <c r="IW4" i="11" s="1"/>
  <c r="HX4" i="11" a="1"/>
  <c r="HW4" i="11"/>
  <c r="IV4" i="11" s="1"/>
  <c r="HW4" i="11" a="1"/>
  <c r="HV4" i="11" a="1"/>
  <c r="HV4" i="11" s="1"/>
  <c r="IU4" i="11" s="1"/>
  <c r="HU4" i="11" a="1"/>
  <c r="HU4" i="11" s="1"/>
  <c r="IT4" i="11" s="1"/>
  <c r="HT4" i="11" a="1"/>
  <c r="HT4" i="11" s="1"/>
  <c r="HS4" i="11" a="1"/>
  <c r="HS4" i="11" s="1"/>
  <c r="IR4" i="11" s="1"/>
  <c r="HR4" i="11"/>
  <c r="IQ4" i="11" s="1"/>
  <c r="HR4" i="11" a="1"/>
  <c r="HQ4" i="11" a="1"/>
  <c r="HQ4" i="11" s="1"/>
  <c r="IP4" i="11" s="1"/>
  <c r="HP4" i="11" a="1"/>
  <c r="HP4" i="11" s="1"/>
  <c r="IO4" i="11" s="1"/>
  <c r="HL4" i="11"/>
  <c r="HJ4" i="11"/>
  <c r="HI4" i="11"/>
  <c r="HH4" i="11"/>
  <c r="HB4" i="11"/>
  <c r="HA4" i="11"/>
  <c r="GZ4" i="11"/>
  <c r="GY4" i="11"/>
  <c r="GX4" i="11"/>
  <c r="GW4" i="11"/>
  <c r="GV4" i="11"/>
  <c r="GU4" i="11"/>
  <c r="GT4" i="11"/>
  <c r="GP4" i="11"/>
  <c r="GN4" i="11"/>
  <c r="GM4" i="11"/>
  <c r="GK4" i="11"/>
  <c r="GJ4" i="11"/>
  <c r="GI4" i="11"/>
  <c r="GH4" i="11"/>
  <c r="GG4" i="11"/>
  <c r="GF4" i="11"/>
  <c r="GE4" i="11"/>
  <c r="GB4" i="11"/>
  <c r="GA4" i="11"/>
  <c r="FZ4" i="11"/>
  <c r="FY4" i="11"/>
  <c r="FW4" i="11"/>
  <c r="FV4" i="11"/>
  <c r="FU4" i="11"/>
  <c r="FT4" i="11"/>
  <c r="FS4" i="11"/>
  <c r="FR4" i="11"/>
  <c r="FQ4" i="11"/>
  <c r="FJ4" i="11"/>
  <c r="FI4" i="11"/>
  <c r="FL4" i="11" s="1"/>
  <c r="FH4" i="11"/>
  <c r="FK4" i="11" s="1"/>
  <c r="FG4" i="11"/>
  <c r="FF4" i="11"/>
  <c r="FP4" i="11" s="1"/>
  <c r="FE4" i="11"/>
  <c r="FD4" i="11"/>
  <c r="FB4" i="11"/>
  <c r="FA4" i="11"/>
  <c r="EZ4" i="11"/>
  <c r="EY4" i="11"/>
  <c r="EX4" i="11"/>
  <c r="EW4" i="11"/>
  <c r="EV4" i="11"/>
  <c r="EU4" i="11"/>
  <c r="ET4" i="11"/>
  <c r="ES4" i="11"/>
  <c r="ER4" i="11"/>
  <c r="EQ4" i="11"/>
  <c r="EP4" i="11"/>
  <c r="EO4" i="11"/>
  <c r="EN4" i="11"/>
  <c r="EM4" i="11"/>
  <c r="EL4" i="11"/>
  <c r="EK4" i="11"/>
  <c r="EJ4" i="11"/>
  <c r="EI4" i="11"/>
  <c r="EH4" i="11"/>
  <c r="EG4" i="11"/>
  <c r="EF4" i="11"/>
  <c r="EE4" i="11"/>
  <c r="ED4" i="11"/>
  <c r="EC4" i="11"/>
  <c r="EB4" i="11"/>
  <c r="EA4" i="11"/>
  <c r="DX4" i="11"/>
  <c r="DU4" i="11"/>
  <c r="DT4" i="11"/>
  <c r="DS4" i="11"/>
  <c r="DR4" i="11"/>
  <c r="DQ4" i="11"/>
  <c r="DP4" i="11"/>
  <c r="DO4" i="11"/>
  <c r="DN4" i="11"/>
  <c r="DK4" i="11"/>
  <c r="DJ4" i="11"/>
  <c r="DI4" i="11"/>
  <c r="DH4" i="11"/>
  <c r="DG4" i="11"/>
  <c r="DF4" i="11"/>
  <c r="DE4" i="11"/>
  <c r="DD4" i="11"/>
  <c r="DB4" i="11"/>
  <c r="DA4" i="11"/>
  <c r="CV4" i="11"/>
  <c r="CU4" i="11"/>
  <c r="CT4" i="11"/>
  <c r="CS4" i="11"/>
  <c r="CR4" i="11"/>
  <c r="CQ4" i="11"/>
  <c r="GL4" i="11" s="1"/>
  <c r="CP4" i="11"/>
  <c r="CO4" i="11"/>
  <c r="DZ4" i="11" s="1"/>
  <c r="CN4" i="11"/>
  <c r="DY4" i="11" s="1"/>
  <c r="CM4" i="11"/>
  <c r="CL4" i="11"/>
  <c r="DW4" i="11" s="1"/>
  <c r="CK4" i="11"/>
  <c r="CZ4" i="11" s="1"/>
  <c r="CJ4" i="11"/>
  <c r="CY4" i="11" s="1"/>
  <c r="CI4" i="11"/>
  <c r="CX4" i="11" s="1"/>
  <c r="CH4" i="11"/>
  <c r="CW4" i="11" s="1"/>
  <c r="CG4" i="11"/>
  <c r="CG4" i="11" a="1"/>
  <c r="AW4" i="11"/>
  <c r="AV4" i="11"/>
  <c r="J4" i="11"/>
  <c r="G4" i="11"/>
  <c r="IW3" i="11"/>
  <c r="IT3" i="11"/>
  <c r="IS3" i="11"/>
  <c r="IR3" i="11"/>
  <c r="IP3" i="11"/>
  <c r="IL3" i="11"/>
  <c r="HX3" i="11"/>
  <c r="HX3" i="11" a="1"/>
  <c r="HW3" i="11" a="1"/>
  <c r="HW3" i="11" s="1"/>
  <c r="IV3" i="11" s="1"/>
  <c r="HV3" i="11"/>
  <c r="IU3" i="11" s="1"/>
  <c r="HV3" i="11" a="1"/>
  <c r="HU3" i="11" a="1"/>
  <c r="HU3" i="11" s="1"/>
  <c r="HT3" i="11"/>
  <c r="HT3" i="11" a="1"/>
  <c r="HS3" i="11"/>
  <c r="HS3" i="11" a="1"/>
  <c r="HR3" i="11" a="1"/>
  <c r="HR3" i="11" s="1"/>
  <c r="IQ3" i="11" s="1"/>
  <c r="HQ3" i="11"/>
  <c r="HQ3" i="11" a="1"/>
  <c r="HP3" i="11" a="1"/>
  <c r="HP3" i="11" s="1"/>
  <c r="IO3" i="11" s="1"/>
  <c r="HL3" i="11"/>
  <c r="HJ3" i="11"/>
  <c r="HI3" i="11"/>
  <c r="HH3" i="11"/>
  <c r="HB3" i="11"/>
  <c r="HA3" i="11"/>
  <c r="GZ3" i="11"/>
  <c r="GY3" i="11"/>
  <c r="GX3" i="11"/>
  <c r="GW3" i="11"/>
  <c r="GV3" i="11"/>
  <c r="GU3" i="11"/>
  <c r="GT3" i="11"/>
  <c r="GP3" i="11"/>
  <c r="GN3" i="11"/>
  <c r="GI3" i="11"/>
  <c r="GH3" i="11"/>
  <c r="GG3" i="11"/>
  <c r="GF3" i="11"/>
  <c r="GE3" i="11"/>
  <c r="GD3" i="11"/>
  <c r="GC3" i="11"/>
  <c r="GB3" i="11"/>
  <c r="GA3" i="11"/>
  <c r="FZ3" i="11"/>
  <c r="FY3" i="11"/>
  <c r="FX3" i="11"/>
  <c r="FW3" i="11"/>
  <c r="FV3" i="11"/>
  <c r="FU3" i="11"/>
  <c r="FT3" i="11"/>
  <c r="FS3" i="11"/>
  <c r="FR3" i="11"/>
  <c r="FQ3" i="11"/>
  <c r="FP3" i="11"/>
  <c r="FO3" i="11"/>
  <c r="FJ3" i="11"/>
  <c r="FI3" i="11"/>
  <c r="FL3" i="11" s="1"/>
  <c r="FH3" i="11"/>
  <c r="FK3" i="11" s="1"/>
  <c r="FG3" i="11"/>
  <c r="FF3" i="11"/>
  <c r="FM3" i="11" s="1"/>
  <c r="FE3" i="11"/>
  <c r="FN3" i="11" s="1"/>
  <c r="FD3" i="11"/>
  <c r="FC3" i="11"/>
  <c r="FB3" i="11"/>
  <c r="FA3" i="11"/>
  <c r="EZ3" i="11"/>
  <c r="EY3" i="11"/>
  <c r="EX3" i="11"/>
  <c r="EW3" i="11"/>
  <c r="EV3" i="11"/>
  <c r="EU3" i="11"/>
  <c r="ET3" i="11"/>
  <c r="ES3" i="11"/>
  <c r="ER3" i="11"/>
  <c r="EQ3" i="11"/>
  <c r="EP3" i="11"/>
  <c r="EO3" i="11"/>
  <c r="EN3" i="11"/>
  <c r="EM3" i="11"/>
  <c r="EL3" i="11"/>
  <c r="EK3" i="11"/>
  <c r="EJ3" i="11"/>
  <c r="EI3" i="11"/>
  <c r="EH3" i="11"/>
  <c r="EG3" i="11"/>
  <c r="EF3" i="11"/>
  <c r="EE3" i="11"/>
  <c r="ED3" i="11"/>
  <c r="EC3" i="11"/>
  <c r="EB3" i="11"/>
  <c r="EA3" i="11"/>
  <c r="DV3" i="11"/>
  <c r="DU3" i="11"/>
  <c r="DT3" i="11"/>
  <c r="DS3" i="11"/>
  <c r="DR3" i="11"/>
  <c r="DQ3" i="11"/>
  <c r="DP3" i="11"/>
  <c r="DO3" i="11"/>
  <c r="DN3" i="11"/>
  <c r="DL3" i="11"/>
  <c r="DK3" i="11"/>
  <c r="DJ3" i="11"/>
  <c r="DI3" i="11"/>
  <c r="DH3" i="11"/>
  <c r="DG3" i="11"/>
  <c r="DF3" i="11"/>
  <c r="DE3" i="11"/>
  <c r="DD3" i="11"/>
  <c r="DC3" i="11"/>
  <c r="DB3" i="11"/>
  <c r="DA3" i="11"/>
  <c r="CZ3" i="11"/>
  <c r="CV3" i="11"/>
  <c r="CU3" i="11"/>
  <c r="CT3" i="11"/>
  <c r="CS3" i="11"/>
  <c r="CR3" i="11"/>
  <c r="GM3" i="11" s="1"/>
  <c r="CQ3" i="11"/>
  <c r="GL3" i="11" s="1"/>
  <c r="CP3" i="11"/>
  <c r="GJ3" i="11" s="1"/>
  <c r="GK3" i="11" s="1"/>
  <c r="CO3" i="11"/>
  <c r="DZ3" i="11" s="1"/>
  <c r="CN3" i="11"/>
  <c r="DY3" i="11" s="1"/>
  <c r="CM3" i="11"/>
  <c r="DX3" i="11" s="1"/>
  <c r="CL3" i="11"/>
  <c r="DW3" i="11" s="1"/>
  <c r="CK3" i="11"/>
  <c r="CJ3" i="11"/>
  <c r="CY3" i="11" s="1"/>
  <c r="CG3" i="11" a="1"/>
  <c r="CG3" i="11" s="1"/>
  <c r="AW3" i="11"/>
  <c r="AV3" i="11"/>
  <c r="J3" i="11"/>
  <c r="G3" i="11"/>
  <c r="IW3" i="9"/>
  <c r="IT3" i="9"/>
  <c r="IR3" i="9"/>
  <c r="IL3" i="9"/>
  <c r="HX3" i="9" a="1"/>
  <c r="HX3" i="9" s="1"/>
  <c r="HW3" i="9" a="1"/>
  <c r="HW3" i="9" s="1"/>
  <c r="IV3" i="9" s="1"/>
  <c r="HV3" i="9" a="1"/>
  <c r="HV3" i="9" s="1"/>
  <c r="IU3" i="9" s="1"/>
  <c r="HU3" i="9"/>
  <c r="HU3" i="9" a="1"/>
  <c r="HT3" i="9" a="1"/>
  <c r="HT3" i="9" s="1"/>
  <c r="IS3" i="9" s="1"/>
  <c r="HS3" i="9"/>
  <c r="HS3" i="9" a="1"/>
  <c r="HR3" i="9" a="1"/>
  <c r="HR3" i="9" s="1"/>
  <c r="IQ3" i="9" s="1"/>
  <c r="HQ3" i="9" a="1"/>
  <c r="HQ3" i="9" s="1"/>
  <c r="IP3" i="9" s="1"/>
  <c r="HP3" i="9"/>
  <c r="IO3" i="9" s="1"/>
  <c r="HP3" i="9" a="1"/>
  <c r="HL3" i="9"/>
  <c r="HJ3" i="9"/>
  <c r="HI3" i="9"/>
  <c r="HH3" i="9"/>
  <c r="HB3" i="9"/>
  <c r="HA3" i="9"/>
  <c r="GZ3" i="9"/>
  <c r="GY3" i="9"/>
  <c r="GX3" i="9"/>
  <c r="GW3" i="9"/>
  <c r="GV3" i="9"/>
  <c r="GU3" i="9"/>
  <c r="GT3" i="9"/>
  <c r="GP3" i="9"/>
  <c r="GI3" i="9"/>
  <c r="GH3" i="9"/>
  <c r="GG3" i="9"/>
  <c r="GF3" i="9"/>
  <c r="GE3" i="9"/>
  <c r="GD3" i="9"/>
  <c r="GC3" i="9"/>
  <c r="GB3" i="9"/>
  <c r="GA3" i="9"/>
  <c r="FZ3" i="9"/>
  <c r="FY3" i="9"/>
  <c r="FX3" i="9"/>
  <c r="FW3" i="9"/>
  <c r="FV3" i="9"/>
  <c r="FU3" i="9"/>
  <c r="FT3" i="9"/>
  <c r="FS3" i="9"/>
  <c r="FR3" i="9"/>
  <c r="FQ3" i="9"/>
  <c r="FL3" i="9"/>
  <c r="FK3" i="9"/>
  <c r="FJ3" i="9"/>
  <c r="FM3" i="9" s="1"/>
  <c r="FI3" i="9"/>
  <c r="FH3" i="9"/>
  <c r="FG3" i="9"/>
  <c r="FF3" i="9"/>
  <c r="FP3" i="9" s="1"/>
  <c r="FE3" i="9"/>
  <c r="FD3" i="9"/>
  <c r="FC3" i="9"/>
  <c r="FB3" i="9"/>
  <c r="FA3" i="9"/>
  <c r="EZ3" i="9"/>
  <c r="EY3" i="9"/>
  <c r="EX3" i="9"/>
  <c r="EW3" i="9"/>
  <c r="EV3" i="9"/>
  <c r="EU3" i="9"/>
  <c r="ET3" i="9"/>
  <c r="ES3" i="9"/>
  <c r="ER3" i="9"/>
  <c r="EQ3" i="9"/>
  <c r="EP3" i="9"/>
  <c r="EO3" i="9"/>
  <c r="EN3" i="9"/>
  <c r="EM3" i="9"/>
  <c r="EL3" i="9"/>
  <c r="EK3" i="9"/>
  <c r="EJ3" i="9"/>
  <c r="EI3" i="9"/>
  <c r="EH3" i="9"/>
  <c r="EG3" i="9"/>
  <c r="EF3" i="9"/>
  <c r="EE3" i="9"/>
  <c r="ED3" i="9"/>
  <c r="EC3" i="9"/>
  <c r="EB3" i="9"/>
  <c r="EA3" i="9"/>
  <c r="DY3" i="9"/>
  <c r="DV3" i="9"/>
  <c r="DU3" i="9"/>
  <c r="DT3" i="9"/>
  <c r="DS3" i="9"/>
  <c r="DR3" i="9"/>
  <c r="DQ3" i="9"/>
  <c r="DP3" i="9"/>
  <c r="DO3" i="9"/>
  <c r="DN3" i="9"/>
  <c r="DK3" i="9"/>
  <c r="DJ3" i="9"/>
  <c r="DI3" i="9"/>
  <c r="DH3" i="9"/>
  <c r="DG3" i="9"/>
  <c r="DF3" i="9"/>
  <c r="DE3" i="9"/>
  <c r="DD3" i="9"/>
  <c r="DC3" i="9"/>
  <c r="DB3" i="9"/>
  <c r="DA3" i="9"/>
  <c r="CV3" i="9"/>
  <c r="CU3" i="9"/>
  <c r="CT3" i="9"/>
  <c r="CS3" i="9"/>
  <c r="GN3" i="9" s="1"/>
  <c r="CR3" i="9"/>
  <c r="GM3" i="9" s="1"/>
  <c r="CQ3" i="9"/>
  <c r="GL3" i="9" s="1"/>
  <c r="CP3" i="9"/>
  <c r="GJ3" i="9" s="1"/>
  <c r="GK3" i="9" s="1"/>
  <c r="CO3" i="9"/>
  <c r="DZ3" i="9" s="1"/>
  <c r="CN3" i="9"/>
  <c r="CM3" i="9"/>
  <c r="DX3" i="9" s="1"/>
  <c r="CL3" i="9"/>
  <c r="DW3" i="9" s="1"/>
  <c r="CG3" i="9"/>
  <c r="IM3" i="9" s="1"/>
  <c r="CG3" i="9" a="1"/>
  <c r="AW3" i="9"/>
  <c r="AV3" i="9"/>
  <c r="AX3" i="9" s="1"/>
  <c r="J3" i="9"/>
  <c r="G3" i="9"/>
  <c r="IV3" i="4"/>
  <c r="IU3" i="4"/>
  <c r="IO3" i="4"/>
  <c r="IN3" i="4"/>
  <c r="IX3" i="4" s="1"/>
  <c r="HX3" i="4" a="1"/>
  <c r="HX3" i="4" s="1"/>
  <c r="IW3" i="4" s="1"/>
  <c r="HW3" i="4"/>
  <c r="HW3" i="4" a="1"/>
  <c r="HV3" i="4"/>
  <c r="HV3" i="4" a="1"/>
  <c r="HU3" i="4"/>
  <c r="IT3" i="4" s="1"/>
  <c r="HU3" i="4" a="1"/>
  <c r="HT3" i="4" a="1"/>
  <c r="HT3" i="4" s="1"/>
  <c r="IS3" i="4" s="1"/>
  <c r="HS3" i="4" a="1"/>
  <c r="HS3" i="4" s="1"/>
  <c r="IR3" i="4" s="1"/>
  <c r="HR3" i="4"/>
  <c r="IQ3" i="4" s="1"/>
  <c r="HR3" i="4" a="1"/>
  <c r="HQ3" i="4"/>
  <c r="IP3" i="4" s="1"/>
  <c r="HQ3" i="4" a="1"/>
  <c r="HP3" i="4"/>
  <c r="HP3" i="4" a="1"/>
  <c r="HL3" i="4"/>
  <c r="HJ3" i="4"/>
  <c r="HH3" i="4"/>
  <c r="HI3" i="4" s="1"/>
  <c r="HB3" i="4"/>
  <c r="HA3" i="4"/>
  <c r="GZ3" i="4"/>
  <c r="GY3" i="4"/>
  <c r="GX3" i="4"/>
  <c r="GW3" i="4"/>
  <c r="GV3" i="4"/>
  <c r="GU3" i="4"/>
  <c r="GT3" i="4"/>
  <c r="GP3" i="4"/>
  <c r="GI3" i="4"/>
  <c r="GH3" i="4"/>
  <c r="GG3" i="4"/>
  <c r="GF3" i="4"/>
  <c r="GE3" i="4"/>
  <c r="GB3" i="4"/>
  <c r="GA3" i="4"/>
  <c r="FZ3" i="4"/>
  <c r="FY3" i="4"/>
  <c r="FW3" i="4"/>
  <c r="FV3" i="4"/>
  <c r="FU3" i="4"/>
  <c r="FT3" i="4"/>
  <c r="FS3" i="4"/>
  <c r="FR3" i="4"/>
  <c r="FQ3" i="4"/>
  <c r="FP3" i="4"/>
  <c r="FO3" i="4"/>
  <c r="FN3" i="4"/>
  <c r="FL3" i="4"/>
  <c r="FJ3" i="4"/>
  <c r="FI3" i="4"/>
  <c r="FH3" i="4"/>
  <c r="FG3" i="4"/>
  <c r="FF3" i="4"/>
  <c r="FM3" i="4" s="1"/>
  <c r="FE3" i="4"/>
  <c r="FD3" i="4"/>
  <c r="FB3" i="4"/>
  <c r="FA3" i="4"/>
  <c r="EZ3" i="4"/>
  <c r="EY3" i="4"/>
  <c r="EX3" i="4"/>
  <c r="EW3" i="4"/>
  <c r="EV3" i="4"/>
  <c r="EU3" i="4"/>
  <c r="ET3" i="4"/>
  <c r="ES3" i="4"/>
  <c r="ER3" i="4"/>
  <c r="EQ3" i="4"/>
  <c r="EP3" i="4"/>
  <c r="EO3" i="4"/>
  <c r="EN3" i="4"/>
  <c r="EM3" i="4"/>
  <c r="EL3" i="4"/>
  <c r="EK3" i="4"/>
  <c r="EJ3" i="4"/>
  <c r="EI3" i="4"/>
  <c r="EH3" i="4"/>
  <c r="EG3" i="4"/>
  <c r="EF3" i="4"/>
  <c r="EE3" i="4"/>
  <c r="ED3" i="4"/>
  <c r="EC3" i="4"/>
  <c r="EB3" i="4"/>
  <c r="EA3" i="4"/>
  <c r="DX3" i="4"/>
  <c r="DU3" i="4"/>
  <c r="DT3" i="4"/>
  <c r="DS3" i="4"/>
  <c r="DR3" i="4"/>
  <c r="DQ3" i="4"/>
  <c r="DP3" i="4"/>
  <c r="DO3" i="4"/>
  <c r="DN3" i="4"/>
  <c r="DK3" i="4"/>
  <c r="DJ3" i="4"/>
  <c r="DI3" i="4"/>
  <c r="DH3" i="4"/>
  <c r="DG3" i="4"/>
  <c r="DF3" i="4"/>
  <c r="DE3" i="4"/>
  <c r="DD3" i="4"/>
  <c r="DB3" i="4"/>
  <c r="DA3" i="4"/>
  <c r="CV3" i="4"/>
  <c r="CU3" i="4"/>
  <c r="CT3" i="4"/>
  <c r="CS3" i="4"/>
  <c r="GN3" i="4" s="1"/>
  <c r="CR3" i="4"/>
  <c r="GM3" i="4" s="1"/>
  <c r="CQ3" i="4"/>
  <c r="GL3" i="4" s="1"/>
  <c r="CP3" i="4"/>
  <c r="GJ3" i="4" s="1"/>
  <c r="GK3" i="4" s="1"/>
  <c r="CO3" i="4"/>
  <c r="DZ3" i="4" s="1"/>
  <c r="CN3" i="4"/>
  <c r="DY3" i="4" s="1"/>
  <c r="CM3" i="4"/>
  <c r="CL3" i="4"/>
  <c r="DW3" i="4" s="1"/>
  <c r="CH3" i="4"/>
  <c r="CW3" i="4" s="1"/>
  <c r="CG3" i="4"/>
  <c r="CG3" i="4" a="1"/>
  <c r="AW3" i="4"/>
  <c r="AV3" i="4"/>
  <c r="J3" i="4"/>
  <c r="G3" i="4"/>
  <c r="IW3" i="5"/>
  <c r="IR3" i="5"/>
  <c r="IQ3" i="5"/>
  <c r="IP3" i="5"/>
  <c r="HX3" i="5"/>
  <c r="HX3" i="5" a="1"/>
  <c r="HW3" i="5" a="1"/>
  <c r="HW3" i="5" s="1"/>
  <c r="IV3" i="5" s="1"/>
  <c r="HV3" i="5"/>
  <c r="IU3" i="5" s="1"/>
  <c r="HV3" i="5" a="1"/>
  <c r="HU3" i="5"/>
  <c r="IT3" i="5" s="1"/>
  <c r="HU3" i="5" a="1"/>
  <c r="HT3" i="5"/>
  <c r="IS3" i="5" s="1"/>
  <c r="HT3" i="5" a="1"/>
  <c r="HS3" i="5" a="1"/>
  <c r="HS3" i="5" s="1"/>
  <c r="HR3" i="5"/>
  <c r="HR3" i="5" a="1"/>
  <c r="HQ3" i="5" a="1"/>
  <c r="HQ3" i="5" s="1"/>
  <c r="HP3" i="5"/>
  <c r="IO3" i="5" s="1"/>
  <c r="HP3" i="5" a="1"/>
  <c r="HL3" i="5"/>
  <c r="HJ3" i="5"/>
  <c r="HH3" i="5"/>
  <c r="HB3" i="5"/>
  <c r="HA3" i="5"/>
  <c r="GZ3" i="5"/>
  <c r="GY3" i="5"/>
  <c r="GX3" i="5"/>
  <c r="GW3" i="5"/>
  <c r="GV3" i="5"/>
  <c r="GU3" i="5"/>
  <c r="GT3" i="5"/>
  <c r="GP3" i="5"/>
  <c r="GL3" i="5"/>
  <c r="GI3" i="5"/>
  <c r="GH3" i="5"/>
  <c r="GG3" i="5"/>
  <c r="GF3" i="5"/>
  <c r="GE3" i="5"/>
  <c r="GB3" i="5"/>
  <c r="GA3" i="5"/>
  <c r="FZ3" i="5"/>
  <c r="FY3" i="5"/>
  <c r="FW3" i="5"/>
  <c r="FV3" i="5"/>
  <c r="FU3" i="5"/>
  <c r="FT3" i="5"/>
  <c r="FS3" i="5"/>
  <c r="FR3" i="5"/>
  <c r="FQ3" i="5"/>
  <c r="FP3" i="5"/>
  <c r="FO3" i="5"/>
  <c r="FN3" i="5"/>
  <c r="FK3" i="5"/>
  <c r="FJ3" i="5"/>
  <c r="FI3" i="5"/>
  <c r="FL3" i="5" s="1"/>
  <c r="FH3" i="5"/>
  <c r="FG3" i="5"/>
  <c r="FF3" i="5"/>
  <c r="FE3" i="5"/>
  <c r="FD3" i="5"/>
  <c r="FB3" i="5"/>
  <c r="FA3" i="5"/>
  <c r="EZ3" i="5"/>
  <c r="EY3" i="5"/>
  <c r="EX3" i="5"/>
  <c r="EW3" i="5"/>
  <c r="EV3" i="5"/>
  <c r="EU3" i="5"/>
  <c r="ET3" i="5"/>
  <c r="ES3" i="5"/>
  <c r="ER3" i="5"/>
  <c r="EQ3" i="5"/>
  <c r="EP3" i="5"/>
  <c r="EO3" i="5"/>
  <c r="EN3" i="5"/>
  <c r="EM3" i="5"/>
  <c r="EL3" i="5"/>
  <c r="EK3" i="5"/>
  <c r="EJ3" i="5"/>
  <c r="EI3" i="5"/>
  <c r="EH3" i="5"/>
  <c r="EG3" i="5"/>
  <c r="EF3" i="5"/>
  <c r="EE3" i="5"/>
  <c r="ED3" i="5"/>
  <c r="EC3" i="5"/>
  <c r="EB3" i="5"/>
  <c r="EA3" i="5"/>
  <c r="DZ3" i="5"/>
  <c r="DX3" i="5"/>
  <c r="DU3" i="5"/>
  <c r="DT3" i="5"/>
  <c r="DS3" i="5"/>
  <c r="DR3" i="5"/>
  <c r="DQ3" i="5"/>
  <c r="DP3" i="5"/>
  <c r="DO3" i="5"/>
  <c r="DN3" i="5"/>
  <c r="DK3" i="5"/>
  <c r="DJ3" i="5"/>
  <c r="DI3" i="5"/>
  <c r="DH3" i="5"/>
  <c r="DG3" i="5"/>
  <c r="DF3" i="5"/>
  <c r="DE3" i="5"/>
  <c r="DD3" i="5"/>
  <c r="DB3" i="5"/>
  <c r="DA3" i="5"/>
  <c r="CV3" i="5"/>
  <c r="CU3" i="5"/>
  <c r="CT3" i="5"/>
  <c r="CS3" i="5"/>
  <c r="GN3" i="5" s="1"/>
  <c r="CR3" i="5"/>
  <c r="GM3" i="5" s="1"/>
  <c r="CQ3" i="5"/>
  <c r="CP3" i="5"/>
  <c r="GJ3" i="5" s="1"/>
  <c r="GK3" i="5" s="1"/>
  <c r="CO3" i="5"/>
  <c r="CN3" i="5"/>
  <c r="DY3" i="5" s="1"/>
  <c r="CM3" i="5"/>
  <c r="CL3" i="5"/>
  <c r="DW3" i="5" s="1"/>
  <c r="CH3" i="5"/>
  <c r="CW3" i="5" s="1"/>
  <c r="CG3" i="5"/>
  <c r="CG3" i="5" a="1"/>
  <c r="AW3" i="5"/>
  <c r="AV3" i="5"/>
  <c r="J3" i="5"/>
  <c r="HI3" i="5" s="1"/>
  <c r="G3" i="5"/>
  <c r="IW8" i="3"/>
  <c r="IV8" i="3"/>
  <c r="IU8" i="3"/>
  <c r="IN8" i="3"/>
  <c r="IX8" i="3" s="1"/>
  <c r="IM8" i="3"/>
  <c r="HX8" i="3" a="1"/>
  <c r="HX8" i="3" s="1"/>
  <c r="HW8" i="3"/>
  <c r="HW8" i="3" a="1"/>
  <c r="HV8" i="3" a="1"/>
  <c r="HV8" i="3" s="1"/>
  <c r="HU8" i="3" a="1"/>
  <c r="HU8" i="3" s="1"/>
  <c r="IT8" i="3" s="1"/>
  <c r="HT8" i="3"/>
  <c r="IS8" i="3" s="1"/>
  <c r="HT8" i="3" a="1"/>
  <c r="HS8" i="3" a="1"/>
  <c r="HS8" i="3" s="1"/>
  <c r="IR8" i="3" s="1"/>
  <c r="HR8" i="3" a="1"/>
  <c r="HR8" i="3" s="1"/>
  <c r="IQ8" i="3" s="1"/>
  <c r="HQ8" i="3"/>
  <c r="IP8" i="3" s="1"/>
  <c r="HQ8" i="3" a="1"/>
  <c r="HP8" i="3" a="1"/>
  <c r="HP8" i="3" s="1"/>
  <c r="IO8" i="3" s="1"/>
  <c r="HL8" i="3"/>
  <c r="HJ8" i="3"/>
  <c r="HH8" i="3"/>
  <c r="HB8" i="3"/>
  <c r="HA8" i="3"/>
  <c r="GZ8" i="3"/>
  <c r="GY8" i="3"/>
  <c r="GX8" i="3"/>
  <c r="GW8" i="3"/>
  <c r="GV8" i="3"/>
  <c r="GU8" i="3"/>
  <c r="GT8" i="3"/>
  <c r="GP8" i="3"/>
  <c r="GN8" i="3"/>
  <c r="GL8" i="3"/>
  <c r="GJ8" i="3"/>
  <c r="GK8" i="3" s="1"/>
  <c r="GI8" i="3"/>
  <c r="GH8" i="3"/>
  <c r="GG8" i="3"/>
  <c r="GF8" i="3"/>
  <c r="GE8" i="3"/>
  <c r="GB8" i="3"/>
  <c r="GA8" i="3"/>
  <c r="FZ8" i="3"/>
  <c r="FY8" i="3"/>
  <c r="FW8" i="3"/>
  <c r="FV8" i="3"/>
  <c r="FU8" i="3"/>
  <c r="FT8" i="3"/>
  <c r="FS8" i="3"/>
  <c r="FR8" i="3"/>
  <c r="FQ8" i="3"/>
  <c r="FJ8" i="3"/>
  <c r="FI8" i="3"/>
  <c r="FL8" i="3" s="1"/>
  <c r="FH8" i="3"/>
  <c r="FK8" i="3" s="1"/>
  <c r="FG8" i="3"/>
  <c r="FF8" i="3"/>
  <c r="FE8" i="3"/>
  <c r="FD8" i="3"/>
  <c r="FB8" i="3"/>
  <c r="FA8" i="3"/>
  <c r="EZ8" i="3"/>
  <c r="EY8" i="3"/>
  <c r="EX8" i="3"/>
  <c r="EW8" i="3"/>
  <c r="EV8" i="3"/>
  <c r="EU8" i="3"/>
  <c r="ET8" i="3"/>
  <c r="ES8" i="3"/>
  <c r="ER8" i="3"/>
  <c r="EQ8" i="3"/>
  <c r="EP8" i="3"/>
  <c r="EO8" i="3"/>
  <c r="EN8" i="3"/>
  <c r="EM8" i="3"/>
  <c r="EL8" i="3"/>
  <c r="EK8" i="3"/>
  <c r="EJ8" i="3"/>
  <c r="EI8" i="3"/>
  <c r="EH8" i="3"/>
  <c r="EG8" i="3"/>
  <c r="EF8" i="3"/>
  <c r="EE8" i="3"/>
  <c r="ED8" i="3"/>
  <c r="EC8" i="3"/>
  <c r="EB8" i="3"/>
  <c r="EA8" i="3"/>
  <c r="DU8" i="3"/>
  <c r="DT8" i="3"/>
  <c r="DS8" i="3"/>
  <c r="DR8" i="3"/>
  <c r="DQ8" i="3"/>
  <c r="DP8" i="3"/>
  <c r="DO8" i="3"/>
  <c r="DN8" i="3"/>
  <c r="DK8" i="3"/>
  <c r="DJ8" i="3"/>
  <c r="DI8" i="3"/>
  <c r="DH8" i="3"/>
  <c r="DG8" i="3"/>
  <c r="DF8" i="3"/>
  <c r="DE8" i="3"/>
  <c r="DD8" i="3"/>
  <c r="DB8" i="3"/>
  <c r="DA8" i="3"/>
  <c r="CV8" i="3"/>
  <c r="CU8" i="3"/>
  <c r="CT8" i="3"/>
  <c r="CS8" i="3"/>
  <c r="CR8" i="3"/>
  <c r="GM8" i="3" s="1"/>
  <c r="CQ8" i="3"/>
  <c r="CP8" i="3"/>
  <c r="CO8" i="3"/>
  <c r="DZ8" i="3" s="1"/>
  <c r="CN8" i="3"/>
  <c r="DY8" i="3" s="1"/>
  <c r="CM8" i="3"/>
  <c r="DX8" i="3" s="1"/>
  <c r="CL8" i="3"/>
  <c r="DW8" i="3" s="1"/>
  <c r="CG8" i="3" a="1"/>
  <c r="CG8" i="3" s="1"/>
  <c r="AW8" i="3"/>
  <c r="AV8" i="3"/>
  <c r="J8" i="3"/>
  <c r="HI8" i="3" s="1"/>
  <c r="G8" i="3"/>
  <c r="IV7" i="3"/>
  <c r="IO7" i="3"/>
  <c r="HX7" i="3" a="1"/>
  <c r="HX7" i="3" s="1"/>
  <c r="IW7" i="3" s="1"/>
  <c r="HW7" i="3"/>
  <c r="HW7" i="3" a="1"/>
  <c r="HV7" i="3" a="1"/>
  <c r="HV7" i="3" s="1"/>
  <c r="IU7" i="3" s="1"/>
  <c r="HU7" i="3" a="1"/>
  <c r="HU7" i="3" s="1"/>
  <c r="IT7" i="3" s="1"/>
  <c r="HT7" i="3"/>
  <c r="IS7" i="3" s="1"/>
  <c r="HT7" i="3" a="1"/>
  <c r="HS7" i="3" a="1"/>
  <c r="HS7" i="3" s="1"/>
  <c r="IR7" i="3" s="1"/>
  <c r="HR7" i="3"/>
  <c r="IQ7" i="3" s="1"/>
  <c r="HR7" i="3" a="1"/>
  <c r="HQ7" i="3" a="1"/>
  <c r="HQ7" i="3" s="1"/>
  <c r="IP7" i="3" s="1"/>
  <c r="HP7" i="3"/>
  <c r="HP7" i="3" a="1"/>
  <c r="HL7" i="3"/>
  <c r="HJ7" i="3"/>
  <c r="HH7" i="3"/>
  <c r="HB7" i="3"/>
  <c r="HA7" i="3"/>
  <c r="GZ7" i="3"/>
  <c r="GY7" i="3"/>
  <c r="GX7" i="3"/>
  <c r="GW7" i="3"/>
  <c r="GV7" i="3"/>
  <c r="GU7" i="3"/>
  <c r="GT7" i="3"/>
  <c r="GP7" i="3"/>
  <c r="GN7" i="3"/>
  <c r="GI7" i="3"/>
  <c r="GH7" i="3"/>
  <c r="GG7" i="3"/>
  <c r="GF7" i="3"/>
  <c r="GE7" i="3"/>
  <c r="GB7" i="3"/>
  <c r="GA7" i="3"/>
  <c r="FZ7" i="3"/>
  <c r="FY7" i="3"/>
  <c r="FW7" i="3"/>
  <c r="FV7" i="3"/>
  <c r="FU7" i="3"/>
  <c r="FT7" i="3"/>
  <c r="FS7" i="3"/>
  <c r="FR7" i="3"/>
  <c r="FQ7" i="3"/>
  <c r="FP7" i="3"/>
  <c r="FO7" i="3"/>
  <c r="FN7" i="3"/>
  <c r="FM7" i="3"/>
  <c r="FL7" i="3"/>
  <c r="FJ7" i="3"/>
  <c r="FI7" i="3"/>
  <c r="FH7" i="3"/>
  <c r="FK7" i="3" s="1"/>
  <c r="FG7" i="3"/>
  <c r="FF7" i="3"/>
  <c r="FE7" i="3"/>
  <c r="FD7" i="3"/>
  <c r="FB7" i="3"/>
  <c r="FA7" i="3"/>
  <c r="EZ7" i="3"/>
  <c r="EY7" i="3"/>
  <c r="EX7" i="3"/>
  <c r="EW7" i="3"/>
  <c r="EV7" i="3"/>
  <c r="EU7" i="3"/>
  <c r="ET7" i="3"/>
  <c r="ES7" i="3"/>
  <c r="ER7" i="3"/>
  <c r="EQ7" i="3"/>
  <c r="EP7" i="3"/>
  <c r="EO7" i="3"/>
  <c r="EN7" i="3"/>
  <c r="EM7" i="3"/>
  <c r="EL7" i="3"/>
  <c r="EK7" i="3"/>
  <c r="EJ7" i="3"/>
  <c r="EI7" i="3"/>
  <c r="EH7" i="3"/>
  <c r="EG7" i="3"/>
  <c r="EF7" i="3"/>
  <c r="EE7" i="3"/>
  <c r="ED7" i="3"/>
  <c r="EC7" i="3"/>
  <c r="EB7" i="3"/>
  <c r="EA7" i="3"/>
  <c r="DU7" i="3"/>
  <c r="DT7" i="3"/>
  <c r="DS7" i="3"/>
  <c r="DR7" i="3"/>
  <c r="DQ7" i="3"/>
  <c r="DP7" i="3"/>
  <c r="DO7" i="3"/>
  <c r="DN7" i="3"/>
  <c r="DK7" i="3"/>
  <c r="DJ7" i="3"/>
  <c r="DI7" i="3"/>
  <c r="DH7" i="3"/>
  <c r="DG7" i="3"/>
  <c r="DF7" i="3"/>
  <c r="DE7" i="3"/>
  <c r="DD7" i="3"/>
  <c r="DB7" i="3"/>
  <c r="DA7" i="3"/>
  <c r="CV7" i="3"/>
  <c r="CU7" i="3"/>
  <c r="CT7" i="3"/>
  <c r="CS7" i="3"/>
  <c r="CR7" i="3"/>
  <c r="GM7" i="3" s="1"/>
  <c r="CQ7" i="3"/>
  <c r="GL7" i="3" s="1"/>
  <c r="CP7" i="3"/>
  <c r="GJ7" i="3" s="1"/>
  <c r="GK7" i="3" s="1"/>
  <c r="CO7" i="3"/>
  <c r="DZ7" i="3" s="1"/>
  <c r="CN7" i="3"/>
  <c r="DY7" i="3" s="1"/>
  <c r="CM7" i="3"/>
  <c r="DX7" i="3" s="1"/>
  <c r="CL7" i="3"/>
  <c r="DW7" i="3" s="1"/>
  <c r="CH7" i="3"/>
  <c r="CW7" i="3" s="1"/>
  <c r="CG7" i="3" a="1"/>
  <c r="CG7" i="3" s="1"/>
  <c r="AW7" i="3"/>
  <c r="AV7" i="3"/>
  <c r="J7" i="3"/>
  <c r="G7" i="3"/>
  <c r="IS6" i="3"/>
  <c r="IN6" i="3"/>
  <c r="IX6" i="3" s="1"/>
  <c r="IM6" i="3"/>
  <c r="IL6" i="3"/>
  <c r="HX6" i="3"/>
  <c r="IW6" i="3" s="1"/>
  <c r="HX6" i="3" a="1"/>
  <c r="HW6" i="3"/>
  <c r="IV6" i="3" s="1"/>
  <c r="HW6" i="3" a="1"/>
  <c r="HV6" i="3"/>
  <c r="IU6" i="3" s="1"/>
  <c r="HV6" i="3" a="1"/>
  <c r="HU6" i="3"/>
  <c r="IT6" i="3" s="1"/>
  <c r="HU6" i="3" a="1"/>
  <c r="HT6" i="3" a="1"/>
  <c r="HT6" i="3" s="1"/>
  <c r="HS6" i="3"/>
  <c r="IR6" i="3" s="1"/>
  <c r="HS6" i="3" a="1"/>
  <c r="HR6" i="3"/>
  <c r="IQ6" i="3" s="1"/>
  <c r="HR6" i="3" a="1"/>
  <c r="HQ6" i="3"/>
  <c r="IP6" i="3" s="1"/>
  <c r="HQ6" i="3" a="1"/>
  <c r="HP6" i="3"/>
  <c r="IO6" i="3" s="1"/>
  <c r="HP6" i="3" a="1"/>
  <c r="HL6" i="3"/>
  <c r="HJ6" i="3"/>
  <c r="HH6" i="3"/>
  <c r="HC6" i="3"/>
  <c r="HB6" i="3"/>
  <c r="HA6" i="3"/>
  <c r="GZ6" i="3"/>
  <c r="GY6" i="3"/>
  <c r="GX6" i="3"/>
  <c r="GW6" i="3"/>
  <c r="GV6" i="3"/>
  <c r="GU6" i="3"/>
  <c r="GT6" i="3"/>
  <c r="GP6" i="3"/>
  <c r="GN6" i="3"/>
  <c r="GI6" i="3"/>
  <c r="GH6" i="3"/>
  <c r="GG6" i="3"/>
  <c r="GF6" i="3"/>
  <c r="GE6" i="3"/>
  <c r="GD6" i="3"/>
  <c r="GC6" i="3"/>
  <c r="GB6" i="3"/>
  <c r="GA6" i="3"/>
  <c r="FZ6" i="3"/>
  <c r="FY6" i="3"/>
  <c r="FX6" i="3"/>
  <c r="FW6" i="3"/>
  <c r="FV6" i="3"/>
  <c r="FU6" i="3"/>
  <c r="FT6" i="3"/>
  <c r="FS6" i="3"/>
  <c r="FR6" i="3"/>
  <c r="FQ6" i="3"/>
  <c r="FP6" i="3"/>
  <c r="FN6" i="3"/>
  <c r="FM6" i="3"/>
  <c r="FL6" i="3"/>
  <c r="FK6" i="3"/>
  <c r="FJ6" i="3"/>
  <c r="FI6" i="3"/>
  <c r="FH6" i="3"/>
  <c r="FG6" i="3"/>
  <c r="FF6" i="3"/>
  <c r="FE6" i="3"/>
  <c r="FO6" i="3" s="1"/>
  <c r="FD6" i="3"/>
  <c r="FC6" i="3"/>
  <c r="FB6" i="3"/>
  <c r="FA6" i="3"/>
  <c r="EZ6" i="3"/>
  <c r="EY6" i="3"/>
  <c r="EX6" i="3"/>
  <c r="EW6" i="3"/>
  <c r="EV6" i="3"/>
  <c r="EU6" i="3"/>
  <c r="ET6" i="3"/>
  <c r="ES6" i="3"/>
  <c r="ER6" i="3"/>
  <c r="EQ6" i="3"/>
  <c r="EP6" i="3"/>
  <c r="EO6" i="3"/>
  <c r="EN6" i="3"/>
  <c r="EM6" i="3"/>
  <c r="EL6" i="3"/>
  <c r="EK6" i="3"/>
  <c r="EJ6" i="3"/>
  <c r="EI6" i="3"/>
  <c r="EH6" i="3"/>
  <c r="EG6" i="3"/>
  <c r="EF6" i="3"/>
  <c r="EE6" i="3"/>
  <c r="ED6" i="3"/>
  <c r="EC6" i="3"/>
  <c r="EB6" i="3"/>
  <c r="EA6" i="3"/>
  <c r="DY6" i="3"/>
  <c r="DX6" i="3"/>
  <c r="DV6" i="3"/>
  <c r="DU6" i="3"/>
  <c r="DT6" i="3"/>
  <c r="DS6" i="3"/>
  <c r="DR6" i="3"/>
  <c r="DQ6" i="3"/>
  <c r="DP6" i="3"/>
  <c r="DO6" i="3"/>
  <c r="DN6" i="3"/>
  <c r="DK6" i="3"/>
  <c r="DJ6" i="3"/>
  <c r="DI6" i="3"/>
  <c r="DH6" i="3"/>
  <c r="DG6" i="3"/>
  <c r="DF6" i="3"/>
  <c r="DE6" i="3"/>
  <c r="DD6" i="3"/>
  <c r="DC6" i="3"/>
  <c r="DB6" i="3"/>
  <c r="DA6" i="3"/>
  <c r="CV6" i="3"/>
  <c r="CU6" i="3"/>
  <c r="CT6" i="3"/>
  <c r="CS6" i="3"/>
  <c r="CR6" i="3"/>
  <c r="GM6" i="3" s="1"/>
  <c r="CQ6" i="3"/>
  <c r="GL6" i="3" s="1"/>
  <c r="CP6" i="3"/>
  <c r="GJ6" i="3" s="1"/>
  <c r="GK6" i="3" s="1"/>
  <c r="CO6" i="3"/>
  <c r="DZ6" i="3" s="1"/>
  <c r="CN6" i="3"/>
  <c r="CM6" i="3"/>
  <c r="CL6" i="3"/>
  <c r="DW6" i="3" s="1"/>
  <c r="CK6" i="3"/>
  <c r="CZ6" i="3" s="1"/>
  <c r="CG6" i="3" a="1"/>
  <c r="CG6" i="3" s="1"/>
  <c r="AW6" i="3"/>
  <c r="AV6" i="3"/>
  <c r="J6" i="3"/>
  <c r="HI6" i="3" s="1"/>
  <c r="G6" i="3"/>
  <c r="IV5" i="3"/>
  <c r="IT5" i="3"/>
  <c r="IS5" i="3"/>
  <c r="IR5" i="3"/>
  <c r="IN5" i="3"/>
  <c r="IX5" i="3" s="1"/>
  <c r="IL5" i="3"/>
  <c r="HX5" i="3"/>
  <c r="IW5" i="3" s="1"/>
  <c r="HX5" i="3" a="1"/>
  <c r="HW5" i="3" a="1"/>
  <c r="HW5" i="3" s="1"/>
  <c r="HV5" i="3" a="1"/>
  <c r="HV5" i="3" s="1"/>
  <c r="IU5" i="3" s="1"/>
  <c r="HU5" i="3" a="1"/>
  <c r="HU5" i="3" s="1"/>
  <c r="HT5" i="3" a="1"/>
  <c r="HT5" i="3" s="1"/>
  <c r="HS5" i="3" a="1"/>
  <c r="HS5" i="3" s="1"/>
  <c r="HR5" i="3" a="1"/>
  <c r="HR5" i="3" s="1"/>
  <c r="IQ5" i="3" s="1"/>
  <c r="HQ5" i="3" a="1"/>
  <c r="HQ5" i="3" s="1"/>
  <c r="IP5" i="3" s="1"/>
  <c r="HP5" i="3"/>
  <c r="IO5" i="3" s="1"/>
  <c r="HP5" i="3" a="1"/>
  <c r="HL5" i="3"/>
  <c r="HJ5" i="3"/>
  <c r="HH5" i="3"/>
  <c r="HB5" i="3"/>
  <c r="HA5" i="3"/>
  <c r="GZ5" i="3"/>
  <c r="GY5" i="3"/>
  <c r="GX5" i="3"/>
  <c r="GW5" i="3"/>
  <c r="GV5" i="3"/>
  <c r="GU5" i="3"/>
  <c r="GT5" i="3"/>
  <c r="GP5" i="3"/>
  <c r="GI5" i="3"/>
  <c r="GH5" i="3"/>
  <c r="GG5" i="3"/>
  <c r="GF5" i="3"/>
  <c r="GE5" i="3"/>
  <c r="GD5" i="3"/>
  <c r="GC5" i="3"/>
  <c r="GB5" i="3"/>
  <c r="GA5" i="3"/>
  <c r="FZ5" i="3"/>
  <c r="FY5" i="3"/>
  <c r="FX5" i="3"/>
  <c r="FW5" i="3"/>
  <c r="FV5" i="3"/>
  <c r="FU5" i="3"/>
  <c r="FT5" i="3"/>
  <c r="FS5" i="3"/>
  <c r="FR5" i="3"/>
  <c r="FQ5" i="3"/>
  <c r="FJ5" i="3"/>
  <c r="FI5" i="3"/>
  <c r="FH5" i="3"/>
  <c r="FG5" i="3"/>
  <c r="FF5" i="3"/>
  <c r="FE5" i="3"/>
  <c r="FD5" i="3"/>
  <c r="FC5" i="3"/>
  <c r="FB5" i="3"/>
  <c r="FA5" i="3"/>
  <c r="EZ5" i="3"/>
  <c r="EY5" i="3"/>
  <c r="EX5" i="3"/>
  <c r="EW5" i="3"/>
  <c r="EV5" i="3"/>
  <c r="EU5" i="3"/>
  <c r="ET5" i="3"/>
  <c r="ES5" i="3"/>
  <c r="ER5" i="3"/>
  <c r="EQ5" i="3"/>
  <c r="EP5" i="3"/>
  <c r="EO5" i="3"/>
  <c r="EN5" i="3"/>
  <c r="EM5" i="3"/>
  <c r="EL5" i="3"/>
  <c r="EK5" i="3"/>
  <c r="EJ5" i="3"/>
  <c r="EI5" i="3"/>
  <c r="EH5" i="3"/>
  <c r="EG5" i="3"/>
  <c r="EF5" i="3"/>
  <c r="EE5" i="3"/>
  <c r="ED5" i="3"/>
  <c r="EC5" i="3"/>
  <c r="EB5" i="3"/>
  <c r="EA5" i="3"/>
  <c r="DZ5" i="3"/>
  <c r="DV5" i="3"/>
  <c r="DU5" i="3"/>
  <c r="DT5" i="3"/>
  <c r="DS5" i="3"/>
  <c r="DR5" i="3"/>
  <c r="DQ5" i="3"/>
  <c r="DP5" i="3"/>
  <c r="DO5" i="3"/>
  <c r="DN5" i="3"/>
  <c r="DK5" i="3"/>
  <c r="DJ5" i="3"/>
  <c r="DI5" i="3"/>
  <c r="DH5" i="3"/>
  <c r="DG5" i="3"/>
  <c r="DF5" i="3"/>
  <c r="DE5" i="3"/>
  <c r="DD5" i="3"/>
  <c r="DC5" i="3"/>
  <c r="DB5" i="3"/>
  <c r="DA5" i="3"/>
  <c r="CV5" i="3"/>
  <c r="CU5" i="3"/>
  <c r="CT5" i="3"/>
  <c r="CS5" i="3"/>
  <c r="GN5" i="3" s="1"/>
  <c r="CR5" i="3"/>
  <c r="GM5" i="3" s="1"/>
  <c r="CQ5" i="3"/>
  <c r="GL5" i="3" s="1"/>
  <c r="CP5" i="3"/>
  <c r="GJ5" i="3" s="1"/>
  <c r="GK5" i="3" s="1"/>
  <c r="CO5" i="3"/>
  <c r="CN5" i="3"/>
  <c r="DY5" i="3" s="1"/>
  <c r="CM5" i="3"/>
  <c r="DX5" i="3" s="1"/>
  <c r="CL5" i="3"/>
  <c r="DW5" i="3" s="1"/>
  <c r="CG5" i="3" a="1"/>
  <c r="CG5" i="3" s="1"/>
  <c r="AW5" i="3"/>
  <c r="AX5" i="3" s="1"/>
  <c r="AV5" i="3"/>
  <c r="J5" i="3"/>
  <c r="HI5" i="3" s="1"/>
  <c r="G5" i="3"/>
  <c r="IU4" i="3"/>
  <c r="IQ4" i="3"/>
  <c r="IP4" i="3"/>
  <c r="HX4" i="3"/>
  <c r="IW4" i="3" s="1"/>
  <c r="HX4" i="3" a="1"/>
  <c r="HW4" i="3" a="1"/>
  <c r="HW4" i="3" s="1"/>
  <c r="IV4" i="3" s="1"/>
  <c r="HV4" i="3" a="1"/>
  <c r="HV4" i="3" s="1"/>
  <c r="HU4" i="3" a="1"/>
  <c r="HU4" i="3" s="1"/>
  <c r="IT4" i="3" s="1"/>
  <c r="HT4" i="3"/>
  <c r="IS4" i="3" s="1"/>
  <c r="HT4" i="3" a="1"/>
  <c r="HS4" i="3" a="1"/>
  <c r="HS4" i="3" s="1"/>
  <c r="IR4" i="3" s="1"/>
  <c r="HR4" i="3"/>
  <c r="HR4" i="3" a="1"/>
  <c r="HQ4" i="3" a="1"/>
  <c r="HQ4" i="3" s="1"/>
  <c r="HP4" i="3"/>
  <c r="IO4" i="3" s="1"/>
  <c r="HP4" i="3" a="1"/>
  <c r="HL4" i="3"/>
  <c r="HJ4" i="3"/>
  <c r="HH4" i="3"/>
  <c r="HI4" i="3" s="1"/>
  <c r="HC4" i="3"/>
  <c r="HB4" i="3"/>
  <c r="HA4" i="3"/>
  <c r="GZ4" i="3"/>
  <c r="GY4" i="3"/>
  <c r="GX4" i="3"/>
  <c r="GW4" i="3"/>
  <c r="GV4" i="3"/>
  <c r="GU4" i="3"/>
  <c r="GT4" i="3"/>
  <c r="GP4" i="3"/>
  <c r="GN4" i="3"/>
  <c r="GM4" i="3"/>
  <c r="GK4" i="3"/>
  <c r="GJ4" i="3"/>
  <c r="GI4" i="3"/>
  <c r="GH4" i="3"/>
  <c r="GG4" i="3"/>
  <c r="GF4" i="3"/>
  <c r="GE4" i="3"/>
  <c r="GB4" i="3"/>
  <c r="GA4" i="3"/>
  <c r="FZ4" i="3"/>
  <c r="FY4" i="3"/>
  <c r="FW4" i="3"/>
  <c r="FV4" i="3"/>
  <c r="FU4" i="3"/>
  <c r="FT4" i="3"/>
  <c r="FS4" i="3"/>
  <c r="FR4" i="3"/>
  <c r="FQ4" i="3"/>
  <c r="FP4" i="3"/>
  <c r="FO4" i="3"/>
  <c r="FM4" i="3"/>
  <c r="FL4" i="3"/>
  <c r="FJ4" i="3"/>
  <c r="FI4" i="3"/>
  <c r="FH4" i="3"/>
  <c r="FK4" i="3" s="1"/>
  <c r="FG4" i="3"/>
  <c r="FF4" i="3"/>
  <c r="FE4" i="3"/>
  <c r="FN4" i="3" s="1"/>
  <c r="FD4" i="3"/>
  <c r="FB4" i="3"/>
  <c r="FA4" i="3"/>
  <c r="EZ4" i="3"/>
  <c r="EY4" i="3"/>
  <c r="EX4" i="3"/>
  <c r="EW4" i="3"/>
  <c r="EV4" i="3"/>
  <c r="EU4" i="3"/>
  <c r="ET4" i="3"/>
  <c r="ES4" i="3"/>
  <c r="ER4" i="3"/>
  <c r="EQ4" i="3"/>
  <c r="EP4" i="3"/>
  <c r="EO4" i="3"/>
  <c r="EN4" i="3"/>
  <c r="EM4" i="3"/>
  <c r="EL4" i="3"/>
  <c r="EK4" i="3"/>
  <c r="EJ4" i="3"/>
  <c r="EI4" i="3"/>
  <c r="EH4" i="3"/>
  <c r="EG4" i="3"/>
  <c r="EF4" i="3"/>
  <c r="EE4" i="3"/>
  <c r="ED4" i="3"/>
  <c r="EC4" i="3"/>
  <c r="EB4" i="3"/>
  <c r="EA4" i="3"/>
  <c r="DX4" i="3"/>
  <c r="DW4" i="3"/>
  <c r="DU4" i="3"/>
  <c r="DT4" i="3"/>
  <c r="DS4" i="3"/>
  <c r="DR4" i="3"/>
  <c r="DQ4" i="3"/>
  <c r="DP4" i="3"/>
  <c r="DO4" i="3"/>
  <c r="DN4" i="3"/>
  <c r="DL4" i="3"/>
  <c r="DK4" i="3"/>
  <c r="DJ4" i="3"/>
  <c r="DI4" i="3"/>
  <c r="DH4" i="3"/>
  <c r="DG4" i="3"/>
  <c r="DF4" i="3"/>
  <c r="DE4" i="3"/>
  <c r="DD4" i="3"/>
  <c r="DB4" i="3"/>
  <c r="DA4" i="3"/>
  <c r="CV4" i="3"/>
  <c r="CU4" i="3"/>
  <c r="CT4" i="3"/>
  <c r="CS4" i="3"/>
  <c r="CR4" i="3"/>
  <c r="CQ4" i="3"/>
  <c r="GL4" i="3" s="1"/>
  <c r="CP4" i="3"/>
  <c r="CO4" i="3"/>
  <c r="DZ4" i="3" s="1"/>
  <c r="CN4" i="3"/>
  <c r="DY4" i="3" s="1"/>
  <c r="CM4" i="3"/>
  <c r="CL4" i="3"/>
  <c r="CK4" i="3"/>
  <c r="CZ4" i="3" s="1"/>
  <c r="CI4" i="3"/>
  <c r="CX4" i="3" s="1"/>
  <c r="CH4" i="3"/>
  <c r="CW4" i="3" s="1"/>
  <c r="CG4" i="3"/>
  <c r="IN4" i="3" s="1"/>
  <c r="IX4" i="3" s="1"/>
  <c r="CG4" i="3" a="1"/>
  <c r="AW4" i="3"/>
  <c r="AV4" i="3"/>
  <c r="J4" i="3"/>
  <c r="G4" i="3"/>
  <c r="IV3" i="3"/>
  <c r="IT3" i="3"/>
  <c r="IR3" i="3"/>
  <c r="IP3" i="3"/>
  <c r="IO3" i="3"/>
  <c r="HX3" i="3"/>
  <c r="IW3" i="3" s="1"/>
  <c r="HX3" i="3" a="1"/>
  <c r="HW3" i="3"/>
  <c r="HW3" i="3" a="1"/>
  <c r="HV3" i="3"/>
  <c r="IU3" i="3" s="1"/>
  <c r="HV3" i="3" a="1"/>
  <c r="HU3" i="3"/>
  <c r="HU3" i="3" a="1"/>
  <c r="HT3" i="3" a="1"/>
  <c r="HT3" i="3" s="1"/>
  <c r="IS3" i="3" s="1"/>
  <c r="HS3" i="3"/>
  <c r="HS3" i="3" a="1"/>
  <c r="HR3" i="3"/>
  <c r="IQ3" i="3" s="1"/>
  <c r="HR3" i="3" a="1"/>
  <c r="HQ3" i="3"/>
  <c r="HQ3" i="3" a="1"/>
  <c r="HP3" i="3"/>
  <c r="HP3" i="3" a="1"/>
  <c r="HL3" i="3"/>
  <c r="HJ3" i="3"/>
  <c r="HI3" i="3"/>
  <c r="HH3" i="3"/>
  <c r="HB3" i="3"/>
  <c r="HA3" i="3"/>
  <c r="GZ3" i="3"/>
  <c r="GY3" i="3"/>
  <c r="GX3" i="3"/>
  <c r="GW3" i="3"/>
  <c r="GV3" i="3"/>
  <c r="GU3" i="3"/>
  <c r="GT3" i="3"/>
  <c r="GP3" i="3"/>
  <c r="GJ3" i="3"/>
  <c r="GK3" i="3" s="1"/>
  <c r="GI3" i="3"/>
  <c r="GH3" i="3"/>
  <c r="GG3" i="3"/>
  <c r="GF3" i="3"/>
  <c r="GE3" i="3"/>
  <c r="GB3" i="3"/>
  <c r="GA3" i="3"/>
  <c r="FZ3" i="3"/>
  <c r="FY3" i="3"/>
  <c r="FW3" i="3"/>
  <c r="FV3" i="3"/>
  <c r="FU3" i="3"/>
  <c r="FT3" i="3"/>
  <c r="FS3" i="3"/>
  <c r="FR3" i="3"/>
  <c r="FQ3" i="3"/>
  <c r="FP3" i="3"/>
  <c r="FO3" i="3"/>
  <c r="FN3" i="3"/>
  <c r="FM3" i="3"/>
  <c r="FJ3" i="3"/>
  <c r="FI3" i="3"/>
  <c r="FL3" i="3" s="1"/>
  <c r="FH3" i="3"/>
  <c r="FG3" i="3"/>
  <c r="FF3" i="3"/>
  <c r="FK3" i="3" s="1"/>
  <c r="FE3" i="3"/>
  <c r="FD3" i="3"/>
  <c r="FB3" i="3"/>
  <c r="FA3" i="3"/>
  <c r="EZ3" i="3"/>
  <c r="EY3" i="3"/>
  <c r="EX3" i="3"/>
  <c r="EW3" i="3"/>
  <c r="EV3" i="3"/>
  <c r="EU3" i="3"/>
  <c r="ET3" i="3"/>
  <c r="ES3" i="3"/>
  <c r="ER3" i="3"/>
  <c r="EQ3" i="3"/>
  <c r="EP3" i="3"/>
  <c r="EO3" i="3"/>
  <c r="EN3" i="3"/>
  <c r="EM3" i="3"/>
  <c r="EL3" i="3"/>
  <c r="EK3" i="3"/>
  <c r="EJ3" i="3"/>
  <c r="EI3" i="3"/>
  <c r="EH3" i="3"/>
  <c r="EG3" i="3"/>
  <c r="EF3" i="3"/>
  <c r="EE3" i="3"/>
  <c r="ED3" i="3"/>
  <c r="EC3" i="3"/>
  <c r="EB3" i="3"/>
  <c r="EA3" i="3"/>
  <c r="DX3" i="3"/>
  <c r="DU3" i="3"/>
  <c r="DT3" i="3"/>
  <c r="DS3" i="3"/>
  <c r="DR3" i="3"/>
  <c r="DQ3" i="3"/>
  <c r="DP3" i="3"/>
  <c r="DO3" i="3"/>
  <c r="DN3" i="3"/>
  <c r="DK3" i="3"/>
  <c r="DJ3" i="3"/>
  <c r="DI3" i="3"/>
  <c r="DH3" i="3"/>
  <c r="DG3" i="3"/>
  <c r="DF3" i="3"/>
  <c r="DE3" i="3"/>
  <c r="DD3" i="3"/>
  <c r="DB3" i="3"/>
  <c r="DA3" i="3"/>
  <c r="CV3" i="3"/>
  <c r="CU3" i="3"/>
  <c r="CT3" i="3"/>
  <c r="CS3" i="3"/>
  <c r="GN3" i="3" s="1"/>
  <c r="CR3" i="3"/>
  <c r="GM3" i="3" s="1"/>
  <c r="CQ3" i="3"/>
  <c r="GL3" i="3" s="1"/>
  <c r="CP3" i="3"/>
  <c r="CO3" i="3"/>
  <c r="DZ3" i="3" s="1"/>
  <c r="CN3" i="3"/>
  <c r="DY3" i="3" s="1"/>
  <c r="CM3" i="3"/>
  <c r="CL3" i="3"/>
  <c r="DW3" i="3" s="1"/>
  <c r="CJ3" i="3"/>
  <c r="CY3" i="3" s="1"/>
  <c r="CI3" i="3"/>
  <c r="CX3" i="3" s="1"/>
  <c r="CH3" i="3"/>
  <c r="CW3" i="3" s="1"/>
  <c r="CG3" i="3"/>
  <c r="CG3" i="3" a="1"/>
  <c r="AW3" i="3"/>
  <c r="AV3" i="3"/>
  <c r="J3" i="3"/>
  <c r="G3" i="3"/>
  <c r="IP3" i="2"/>
  <c r="IN3" i="2"/>
  <c r="IX3" i="2" s="1"/>
  <c r="IM3" i="2"/>
  <c r="HX3" i="2"/>
  <c r="IW3" i="2" s="1"/>
  <c r="HX3" i="2" a="1"/>
  <c r="HW3" i="2" a="1"/>
  <c r="HW3" i="2" s="1"/>
  <c r="IV3" i="2" s="1"/>
  <c r="HV3" i="2" a="1"/>
  <c r="HV3" i="2" s="1"/>
  <c r="IU3" i="2" s="1"/>
  <c r="HU3" i="2" a="1"/>
  <c r="HU3" i="2" s="1"/>
  <c r="IT3" i="2" s="1"/>
  <c r="HT3" i="2"/>
  <c r="IS3" i="2" s="1"/>
  <c r="HT3" i="2" a="1"/>
  <c r="HS3" i="2" a="1"/>
  <c r="HS3" i="2" s="1"/>
  <c r="IR3" i="2" s="1"/>
  <c r="HR3" i="2"/>
  <c r="IQ3" i="2" s="1"/>
  <c r="HR3" i="2" a="1"/>
  <c r="HQ3" i="2" a="1"/>
  <c r="HQ3" i="2" s="1"/>
  <c r="HP3" i="2"/>
  <c r="IO3" i="2" s="1"/>
  <c r="HP3" i="2" a="1"/>
  <c r="HL3" i="2"/>
  <c r="HJ3" i="2"/>
  <c r="HH3" i="2"/>
  <c r="HI3" i="2" s="1"/>
  <c r="HB3" i="2"/>
  <c r="HA3" i="2"/>
  <c r="GZ3" i="2"/>
  <c r="HC3" i="2" s="1"/>
  <c r="GY3" i="2"/>
  <c r="GX3" i="2"/>
  <c r="GW3" i="2"/>
  <c r="GV3" i="2"/>
  <c r="GU3" i="2"/>
  <c r="GT3" i="2"/>
  <c r="GP3" i="2"/>
  <c r="GN3" i="2"/>
  <c r="GM3" i="2"/>
  <c r="GJ3" i="2"/>
  <c r="GK3" i="2" s="1"/>
  <c r="GI3" i="2"/>
  <c r="GH3" i="2"/>
  <c r="GG3" i="2"/>
  <c r="GF3" i="2"/>
  <c r="GE3" i="2"/>
  <c r="GB3" i="2"/>
  <c r="GA3" i="2"/>
  <c r="FZ3" i="2"/>
  <c r="FY3" i="2"/>
  <c r="FW3" i="2"/>
  <c r="FV3" i="2"/>
  <c r="FU3" i="2"/>
  <c r="FT3" i="2"/>
  <c r="FS3" i="2"/>
  <c r="FR3" i="2"/>
  <c r="FQ3" i="2"/>
  <c r="FP3" i="2"/>
  <c r="FM3" i="2"/>
  <c r="FJ3" i="2"/>
  <c r="FI3" i="2"/>
  <c r="FL3" i="2" s="1"/>
  <c r="FH3" i="2"/>
  <c r="FK3" i="2" s="1"/>
  <c r="FG3" i="2"/>
  <c r="FO3" i="2" s="1"/>
  <c r="FF3" i="2"/>
  <c r="FE3" i="2"/>
  <c r="FN3" i="2" s="1"/>
  <c r="FD3" i="2"/>
  <c r="FB3" i="2"/>
  <c r="FA3" i="2"/>
  <c r="EZ3" i="2"/>
  <c r="EY3" i="2"/>
  <c r="EX3" i="2"/>
  <c r="EW3" i="2"/>
  <c r="EV3" i="2"/>
  <c r="EU3" i="2"/>
  <c r="ET3" i="2"/>
  <c r="ES3" i="2"/>
  <c r="ER3" i="2"/>
  <c r="EQ3" i="2"/>
  <c r="EP3" i="2"/>
  <c r="EO3" i="2"/>
  <c r="EN3" i="2"/>
  <c r="EM3" i="2"/>
  <c r="EL3" i="2"/>
  <c r="EK3" i="2"/>
  <c r="EJ3" i="2"/>
  <c r="EI3" i="2"/>
  <c r="EH3" i="2"/>
  <c r="EG3" i="2"/>
  <c r="EF3" i="2"/>
  <c r="EE3" i="2"/>
  <c r="ED3" i="2"/>
  <c r="EC3" i="2"/>
  <c r="EB3" i="2"/>
  <c r="EA3" i="2"/>
  <c r="DX3" i="2"/>
  <c r="DW3" i="2"/>
  <c r="DU3" i="2"/>
  <c r="DT3" i="2"/>
  <c r="DS3" i="2"/>
  <c r="DR3" i="2"/>
  <c r="DQ3" i="2"/>
  <c r="DP3" i="2"/>
  <c r="DO3" i="2"/>
  <c r="DN3" i="2"/>
  <c r="DK3" i="2"/>
  <c r="DJ3" i="2"/>
  <c r="DI3" i="2"/>
  <c r="DH3" i="2"/>
  <c r="DG3" i="2"/>
  <c r="DF3" i="2"/>
  <c r="DE3" i="2"/>
  <c r="DD3" i="2"/>
  <c r="DB3" i="2"/>
  <c r="DA3" i="2"/>
  <c r="CV3" i="2"/>
  <c r="CU3" i="2"/>
  <c r="CT3" i="2"/>
  <c r="CS3" i="2"/>
  <c r="CR3" i="2"/>
  <c r="CQ3" i="2"/>
  <c r="GL3" i="2" s="1"/>
  <c r="CP3" i="2"/>
  <c r="CO3" i="2"/>
  <c r="DZ3" i="2" s="1"/>
  <c r="CN3" i="2"/>
  <c r="DY3" i="2" s="1"/>
  <c r="CM3" i="2"/>
  <c r="CL3" i="2"/>
  <c r="CG3" i="2"/>
  <c r="CH3" i="2" s="1"/>
  <c r="CW3" i="2" s="1"/>
  <c r="CG3" i="2" a="1"/>
  <c r="AW3" i="2"/>
  <c r="AV3" i="2"/>
  <c r="J3" i="2"/>
  <c r="G3" i="2"/>
  <c r="IV2" i="27"/>
  <c r="IU2" i="27"/>
  <c r="IR2" i="27"/>
  <c r="IO2" i="27"/>
  <c r="IN2" i="27"/>
  <c r="IX2" i="27" s="1"/>
  <c r="HX2" i="27" a="1"/>
  <c r="HX2" i="27" s="1"/>
  <c r="IW2" i="27" s="1"/>
  <c r="HW2" i="27"/>
  <c r="HW2" i="27" a="1"/>
  <c r="HV2" i="27"/>
  <c r="HV2" i="27" a="1"/>
  <c r="HU2" i="27"/>
  <c r="IT2" i="27" s="1"/>
  <c r="HU2" i="27" a="1"/>
  <c r="HT2" i="27"/>
  <c r="IS2" i="27" s="1"/>
  <c r="HT2" i="27" a="1"/>
  <c r="HS2" i="27"/>
  <c r="HS2" i="27" a="1"/>
  <c r="HR2" i="27" a="1"/>
  <c r="HR2" i="27" s="1"/>
  <c r="IQ2" i="27" s="1"/>
  <c r="HQ2" i="27"/>
  <c r="IP2" i="27" s="1"/>
  <c r="HQ2" i="27" a="1"/>
  <c r="HP2" i="27"/>
  <c r="HP2" i="27" a="1"/>
  <c r="HL2" i="27"/>
  <c r="HJ2" i="27"/>
  <c r="HH2" i="27"/>
  <c r="HB2" i="27"/>
  <c r="HA2" i="27"/>
  <c r="GZ2" i="27"/>
  <c r="GY2" i="27"/>
  <c r="GX2" i="27"/>
  <c r="GW2" i="27"/>
  <c r="GV2" i="27"/>
  <c r="GU2" i="27"/>
  <c r="GT2" i="27"/>
  <c r="GP2" i="27"/>
  <c r="GI2" i="27"/>
  <c r="GH2" i="27"/>
  <c r="GG2" i="27"/>
  <c r="GF2" i="27"/>
  <c r="GE2" i="27"/>
  <c r="GB2" i="27"/>
  <c r="GA2" i="27"/>
  <c r="FZ2" i="27"/>
  <c r="FY2" i="27"/>
  <c r="FW2" i="27"/>
  <c r="FV2" i="27"/>
  <c r="FU2" i="27"/>
  <c r="FT2" i="27"/>
  <c r="FS2" i="27"/>
  <c r="FR2" i="27"/>
  <c r="FQ2" i="27"/>
  <c r="FK2" i="27"/>
  <c r="FJ2" i="27"/>
  <c r="FM2" i="27" s="1"/>
  <c r="FI2" i="27"/>
  <c r="FH2" i="27"/>
  <c r="FG2" i="27"/>
  <c r="FF2" i="27"/>
  <c r="FE2" i="27"/>
  <c r="FD2" i="27"/>
  <c r="FB2" i="27"/>
  <c r="FA2" i="27"/>
  <c r="EZ2" i="27"/>
  <c r="EY2" i="27"/>
  <c r="EX2" i="27"/>
  <c r="EW2" i="27"/>
  <c r="EV2" i="27"/>
  <c r="EU2" i="27"/>
  <c r="ET2" i="27"/>
  <c r="ES2" i="27"/>
  <c r="ER2" i="27"/>
  <c r="EQ2" i="27"/>
  <c r="EP2" i="27"/>
  <c r="EO2" i="27"/>
  <c r="EN2" i="27"/>
  <c r="EM2" i="27"/>
  <c r="EL2" i="27"/>
  <c r="EK2" i="27"/>
  <c r="EJ2" i="27"/>
  <c r="EI2" i="27"/>
  <c r="EH2" i="27"/>
  <c r="EG2" i="27"/>
  <c r="EF2" i="27"/>
  <c r="EE2" i="27"/>
  <c r="ED2" i="27"/>
  <c r="EC2" i="27"/>
  <c r="EB2" i="27"/>
  <c r="EA2" i="27"/>
  <c r="DZ2" i="27"/>
  <c r="DY2" i="27"/>
  <c r="DU2" i="27"/>
  <c r="DT2" i="27"/>
  <c r="DS2" i="27"/>
  <c r="DR2" i="27"/>
  <c r="DQ2" i="27"/>
  <c r="DP2" i="27"/>
  <c r="DO2" i="27"/>
  <c r="DN2" i="27"/>
  <c r="DK2" i="27"/>
  <c r="DJ2" i="27"/>
  <c r="DI2" i="27"/>
  <c r="DH2" i="27"/>
  <c r="DG2" i="27"/>
  <c r="DF2" i="27"/>
  <c r="DE2" i="27"/>
  <c r="DD2" i="27"/>
  <c r="DB2" i="27"/>
  <c r="DA2" i="27"/>
  <c r="CV2" i="27"/>
  <c r="CU2" i="27"/>
  <c r="CT2" i="27"/>
  <c r="CS2" i="27"/>
  <c r="GN2" i="27" s="1"/>
  <c r="CR2" i="27"/>
  <c r="GM2" i="27" s="1"/>
  <c r="CQ2" i="27"/>
  <c r="GL2" i="27" s="1"/>
  <c r="CP2" i="27"/>
  <c r="GJ2" i="27" s="1"/>
  <c r="GK2" i="27" s="1"/>
  <c r="CO2" i="27"/>
  <c r="CN2" i="27"/>
  <c r="CM2" i="27"/>
  <c r="DX2" i="27" s="1"/>
  <c r="CL2" i="27"/>
  <c r="DW2" i="27" s="1"/>
  <c r="CG2" i="27" a="1"/>
  <c r="CG2" i="27" s="1"/>
  <c r="AW2" i="27"/>
  <c r="AV2" i="27"/>
  <c r="J2" i="27"/>
  <c r="HI2" i="27" s="1"/>
  <c r="G2" i="27"/>
  <c r="IP2" i="26"/>
  <c r="IO2" i="26"/>
  <c r="IN2" i="26"/>
  <c r="IX2" i="26" s="1"/>
  <c r="HX2" i="26" a="1"/>
  <c r="HX2" i="26" s="1"/>
  <c r="IW2" i="26" s="1"/>
  <c r="HW2" i="26"/>
  <c r="IV2" i="26" s="1"/>
  <c r="HW2" i="26" a="1"/>
  <c r="HV2" i="26" a="1"/>
  <c r="HV2" i="26" s="1"/>
  <c r="IU2" i="26" s="1"/>
  <c r="HU2" i="26"/>
  <c r="IT2" i="26" s="1"/>
  <c r="HU2" i="26" a="1"/>
  <c r="HT2" i="26" a="1"/>
  <c r="HT2" i="26" s="1"/>
  <c r="IS2" i="26" s="1"/>
  <c r="HS2" i="26"/>
  <c r="IR2" i="26" s="1"/>
  <c r="HS2" i="26" a="1"/>
  <c r="HR2" i="26"/>
  <c r="IQ2" i="26" s="1"/>
  <c r="HR2" i="26" a="1"/>
  <c r="HQ2" i="26"/>
  <c r="HQ2" i="26" a="1"/>
  <c r="HP2" i="26" a="1"/>
  <c r="HP2" i="26" s="1"/>
  <c r="HL2" i="26"/>
  <c r="HJ2" i="26"/>
  <c r="HH2" i="26"/>
  <c r="HC2" i="26"/>
  <c r="HB2" i="26"/>
  <c r="HA2" i="26"/>
  <c r="GZ2" i="26"/>
  <c r="GY2" i="26"/>
  <c r="GX2" i="26"/>
  <c r="GW2" i="26"/>
  <c r="GV2" i="26"/>
  <c r="GU2" i="26"/>
  <c r="GT2" i="26"/>
  <c r="GP2" i="26"/>
  <c r="GN2" i="26"/>
  <c r="GM2" i="26"/>
  <c r="GI2" i="26"/>
  <c r="GH2" i="26"/>
  <c r="GG2" i="26"/>
  <c r="GF2" i="26"/>
  <c r="GE2" i="26"/>
  <c r="GB2" i="26"/>
  <c r="GA2" i="26"/>
  <c r="FZ2" i="26"/>
  <c r="FY2" i="26"/>
  <c r="FW2" i="26"/>
  <c r="FV2" i="26"/>
  <c r="FU2" i="26"/>
  <c r="FT2" i="26"/>
  <c r="FS2" i="26"/>
  <c r="FR2" i="26"/>
  <c r="FQ2" i="26"/>
  <c r="FM2" i="26"/>
  <c r="FL2" i="26"/>
  <c r="FK2" i="26"/>
  <c r="FJ2" i="26"/>
  <c r="FI2" i="26"/>
  <c r="FH2" i="26"/>
  <c r="FG2" i="26"/>
  <c r="FF2" i="26"/>
  <c r="FP2" i="26" s="1"/>
  <c r="FE2" i="26"/>
  <c r="FO2" i="26" s="1"/>
  <c r="FD2" i="26"/>
  <c r="FB2" i="26"/>
  <c r="FA2" i="26"/>
  <c r="EZ2" i="26"/>
  <c r="EY2" i="26"/>
  <c r="EX2" i="26"/>
  <c r="EW2" i="26"/>
  <c r="EV2" i="26"/>
  <c r="EU2" i="26"/>
  <c r="ET2" i="26"/>
  <c r="ES2" i="26"/>
  <c r="ER2" i="26"/>
  <c r="EQ2" i="26"/>
  <c r="EP2" i="26"/>
  <c r="EO2" i="26"/>
  <c r="EN2" i="26"/>
  <c r="EM2" i="26"/>
  <c r="EL2" i="26"/>
  <c r="EK2" i="26"/>
  <c r="EJ2" i="26"/>
  <c r="EI2" i="26"/>
  <c r="EH2" i="26"/>
  <c r="EG2" i="26"/>
  <c r="EF2" i="26"/>
  <c r="EE2" i="26"/>
  <c r="ED2" i="26"/>
  <c r="EC2" i="26"/>
  <c r="EB2" i="26"/>
  <c r="EA2" i="26"/>
  <c r="DZ2" i="26"/>
  <c r="DX2" i="26"/>
  <c r="DU2" i="26"/>
  <c r="DT2" i="26"/>
  <c r="DS2" i="26"/>
  <c r="DR2" i="26"/>
  <c r="DQ2" i="26"/>
  <c r="DP2" i="26"/>
  <c r="DO2" i="26"/>
  <c r="DN2" i="26"/>
  <c r="DK2" i="26"/>
  <c r="DJ2" i="26"/>
  <c r="DI2" i="26"/>
  <c r="DH2" i="26"/>
  <c r="DG2" i="26"/>
  <c r="DF2" i="26"/>
  <c r="DE2" i="26"/>
  <c r="DD2" i="26"/>
  <c r="DB2" i="26"/>
  <c r="DA2" i="26"/>
  <c r="CV2" i="26"/>
  <c r="CU2" i="26"/>
  <c r="CT2" i="26"/>
  <c r="CS2" i="26"/>
  <c r="CR2" i="26"/>
  <c r="CQ2" i="26"/>
  <c r="GL2" i="26" s="1"/>
  <c r="CP2" i="26"/>
  <c r="GJ2" i="26" s="1"/>
  <c r="GK2" i="26" s="1"/>
  <c r="CO2" i="26"/>
  <c r="CN2" i="26"/>
  <c r="DY2" i="26" s="1"/>
  <c r="CM2" i="26"/>
  <c r="CL2" i="26"/>
  <c r="DW2" i="26" s="1"/>
  <c r="CG2" i="26" a="1"/>
  <c r="CG2" i="26" s="1"/>
  <c r="DL2" i="26" s="1"/>
  <c r="AW2" i="26"/>
  <c r="AV2" i="26"/>
  <c r="J2" i="26"/>
  <c r="HI2" i="26" s="1"/>
  <c r="G2" i="26"/>
  <c r="IV2" i="25"/>
  <c r="IS2" i="25"/>
  <c r="IQ2" i="25"/>
  <c r="HX2" i="25" a="1"/>
  <c r="HX2" i="25" s="1"/>
  <c r="IW2" i="25" s="1"/>
  <c r="HW2" i="25"/>
  <c r="HW2" i="25" a="1"/>
  <c r="HV2" i="25"/>
  <c r="IU2" i="25" s="1"/>
  <c r="HV2" i="25" a="1"/>
  <c r="HU2" i="25" a="1"/>
  <c r="HU2" i="25" s="1"/>
  <c r="IT2" i="25" s="1"/>
  <c r="HT2" i="25" a="1"/>
  <c r="HT2" i="25" s="1"/>
  <c r="HS2" i="25"/>
  <c r="IR2" i="25" s="1"/>
  <c r="HS2" i="25" a="1"/>
  <c r="HR2" i="25"/>
  <c r="HR2" i="25" a="1"/>
  <c r="HQ2" i="25"/>
  <c r="IP2" i="25" s="1"/>
  <c r="HQ2" i="25" a="1"/>
  <c r="HP2" i="25"/>
  <c r="IO2" i="25" s="1"/>
  <c r="HP2" i="25" a="1"/>
  <c r="HL2" i="25"/>
  <c r="HJ2" i="25"/>
  <c r="HI2" i="25"/>
  <c r="HH2" i="25"/>
  <c r="HB2" i="25"/>
  <c r="HA2" i="25"/>
  <c r="HC2" i="25" s="1"/>
  <c r="GZ2" i="25"/>
  <c r="GY2" i="25"/>
  <c r="GX2" i="25"/>
  <c r="GW2" i="25"/>
  <c r="GV2" i="25"/>
  <c r="GU2" i="25"/>
  <c r="GT2" i="25"/>
  <c r="GP2" i="25"/>
  <c r="GL2" i="25"/>
  <c r="GJ2" i="25"/>
  <c r="GK2" i="25" s="1"/>
  <c r="GI2" i="25"/>
  <c r="GH2" i="25"/>
  <c r="GG2" i="25"/>
  <c r="GF2" i="25"/>
  <c r="GE2" i="25"/>
  <c r="GB2" i="25"/>
  <c r="GA2" i="25"/>
  <c r="FZ2" i="25"/>
  <c r="FY2" i="25"/>
  <c r="FW2" i="25"/>
  <c r="FV2" i="25"/>
  <c r="FU2" i="25"/>
  <c r="FT2" i="25"/>
  <c r="FS2" i="25"/>
  <c r="FR2" i="25"/>
  <c r="FQ2" i="25"/>
  <c r="FJ2" i="25"/>
  <c r="FI2" i="25"/>
  <c r="FH2" i="25"/>
  <c r="FG2" i="25"/>
  <c r="FO2" i="25" s="1"/>
  <c r="FF2" i="25"/>
  <c r="FE2" i="25"/>
  <c r="FD2" i="25"/>
  <c r="FB2" i="25"/>
  <c r="FA2" i="25"/>
  <c r="EZ2" i="25"/>
  <c r="EY2" i="25"/>
  <c r="EX2" i="25"/>
  <c r="EW2" i="25"/>
  <c r="EV2" i="25"/>
  <c r="EU2" i="25"/>
  <c r="ET2" i="25"/>
  <c r="ES2" i="25"/>
  <c r="ER2" i="25"/>
  <c r="EQ2" i="25"/>
  <c r="EP2" i="25"/>
  <c r="EO2" i="25"/>
  <c r="EN2" i="25"/>
  <c r="EM2" i="25"/>
  <c r="EL2" i="25"/>
  <c r="EK2" i="25"/>
  <c r="EJ2" i="25"/>
  <c r="EI2" i="25"/>
  <c r="EH2" i="25"/>
  <c r="EG2" i="25"/>
  <c r="EF2" i="25"/>
  <c r="EE2" i="25"/>
  <c r="ED2" i="25"/>
  <c r="EC2" i="25"/>
  <c r="EB2" i="25"/>
  <c r="EA2" i="25"/>
  <c r="DW2" i="25"/>
  <c r="DU2" i="25"/>
  <c r="DT2" i="25"/>
  <c r="DS2" i="25"/>
  <c r="DR2" i="25"/>
  <c r="DQ2" i="25"/>
  <c r="DP2" i="25"/>
  <c r="DO2" i="25"/>
  <c r="DN2" i="25"/>
  <c r="DK2" i="25"/>
  <c r="DJ2" i="25"/>
  <c r="DI2" i="25"/>
  <c r="DH2" i="25"/>
  <c r="DG2" i="25"/>
  <c r="DF2" i="25"/>
  <c r="DE2" i="25"/>
  <c r="DD2" i="25"/>
  <c r="DB2" i="25"/>
  <c r="DA2" i="25"/>
  <c r="CV2" i="25"/>
  <c r="CU2" i="25"/>
  <c r="CT2" i="25"/>
  <c r="CS2" i="25"/>
  <c r="GN2" i="25" s="1"/>
  <c r="CR2" i="25"/>
  <c r="GM2" i="25" s="1"/>
  <c r="CQ2" i="25"/>
  <c r="CP2" i="25"/>
  <c r="CO2" i="25"/>
  <c r="DZ2" i="25" s="1"/>
  <c r="CN2" i="25"/>
  <c r="DY2" i="25" s="1"/>
  <c r="CM2" i="25"/>
  <c r="DX2" i="25" s="1"/>
  <c r="CL2" i="25"/>
  <c r="CG2" i="25" a="1"/>
  <c r="CG2" i="25" s="1"/>
  <c r="AW2" i="25"/>
  <c r="AV2" i="25"/>
  <c r="J2" i="25"/>
  <c r="G2" i="25"/>
  <c r="IW2" i="24"/>
  <c r="IS2" i="24"/>
  <c r="IR2" i="24"/>
  <c r="IQ2" i="24"/>
  <c r="HX2" i="24" a="1"/>
  <c r="HX2" i="24" s="1"/>
  <c r="HW2" i="24" a="1"/>
  <c r="HW2" i="24" s="1"/>
  <c r="IV2" i="24" s="1"/>
  <c r="HV2" i="24"/>
  <c r="IU2" i="24" s="1"/>
  <c r="HV2" i="24" a="1"/>
  <c r="HU2" i="24"/>
  <c r="IT2" i="24" s="1"/>
  <c r="HU2" i="24" a="1"/>
  <c r="HT2" i="24"/>
  <c r="HT2" i="24" a="1"/>
  <c r="HS2" i="24"/>
  <c r="HS2" i="24" a="1"/>
  <c r="HR2" i="24" a="1"/>
  <c r="HR2" i="24" s="1"/>
  <c r="HQ2" i="24" a="1"/>
  <c r="HQ2" i="24" s="1"/>
  <c r="IP2" i="24" s="1"/>
  <c r="HP2" i="24"/>
  <c r="IO2" i="24" s="1"/>
  <c r="HP2" i="24" a="1"/>
  <c r="HL2" i="24"/>
  <c r="HJ2" i="24"/>
  <c r="HH2" i="24"/>
  <c r="HB2" i="24"/>
  <c r="HA2" i="24"/>
  <c r="GZ2" i="24"/>
  <c r="GY2" i="24"/>
  <c r="GX2" i="24"/>
  <c r="GW2" i="24"/>
  <c r="GV2" i="24"/>
  <c r="GU2" i="24"/>
  <c r="GT2" i="24"/>
  <c r="GP2" i="24"/>
  <c r="GI2" i="24"/>
  <c r="GH2" i="24"/>
  <c r="GG2" i="24"/>
  <c r="GF2" i="24"/>
  <c r="GE2" i="24"/>
  <c r="GB2" i="24"/>
  <c r="GA2" i="24"/>
  <c r="FZ2" i="24"/>
  <c r="FY2" i="24"/>
  <c r="FW2" i="24"/>
  <c r="FV2" i="24"/>
  <c r="FU2" i="24"/>
  <c r="FT2" i="24"/>
  <c r="FS2" i="24"/>
  <c r="FR2" i="24"/>
  <c r="FQ2" i="24"/>
  <c r="FP2" i="24"/>
  <c r="FO2" i="24"/>
  <c r="FM2" i="24"/>
  <c r="FL2" i="24"/>
  <c r="FK2" i="24"/>
  <c r="FJ2" i="24"/>
  <c r="FI2" i="24"/>
  <c r="FH2" i="24"/>
  <c r="FG2" i="24"/>
  <c r="FF2" i="24"/>
  <c r="FE2" i="24"/>
  <c r="FN2" i="24" s="1"/>
  <c r="FD2" i="24"/>
  <c r="FB2" i="24"/>
  <c r="FA2" i="24"/>
  <c r="EZ2" i="24"/>
  <c r="EY2" i="24"/>
  <c r="EX2" i="24"/>
  <c r="EW2" i="24"/>
  <c r="EV2" i="24"/>
  <c r="EU2" i="24"/>
  <c r="ET2" i="24"/>
  <c r="ES2" i="24"/>
  <c r="ER2" i="24"/>
  <c r="EQ2" i="24"/>
  <c r="EP2" i="24"/>
  <c r="EO2" i="24"/>
  <c r="EN2" i="24"/>
  <c r="EM2" i="24"/>
  <c r="EL2" i="24"/>
  <c r="EK2" i="24"/>
  <c r="EJ2" i="24"/>
  <c r="EI2" i="24"/>
  <c r="EH2" i="24"/>
  <c r="EG2" i="24"/>
  <c r="EF2" i="24"/>
  <c r="EE2" i="24"/>
  <c r="ED2" i="24"/>
  <c r="EC2" i="24"/>
  <c r="EB2" i="24"/>
  <c r="EA2" i="24"/>
  <c r="DZ2" i="24"/>
  <c r="DU2" i="24"/>
  <c r="DT2" i="24"/>
  <c r="DS2" i="24"/>
  <c r="DR2" i="24"/>
  <c r="DQ2" i="24"/>
  <c r="DP2" i="24"/>
  <c r="DO2" i="24"/>
  <c r="DN2" i="24"/>
  <c r="DK2" i="24"/>
  <c r="DJ2" i="24"/>
  <c r="DI2" i="24"/>
  <c r="DH2" i="24"/>
  <c r="DG2" i="24"/>
  <c r="DF2" i="24"/>
  <c r="DE2" i="24"/>
  <c r="DD2" i="24"/>
  <c r="DB2" i="24"/>
  <c r="DA2" i="24"/>
  <c r="CV2" i="24"/>
  <c r="CU2" i="24"/>
  <c r="CT2" i="24"/>
  <c r="CS2" i="24"/>
  <c r="GN2" i="24" s="1"/>
  <c r="CR2" i="24"/>
  <c r="GM2" i="24" s="1"/>
  <c r="CQ2" i="24"/>
  <c r="GL2" i="24" s="1"/>
  <c r="CP2" i="24"/>
  <c r="GJ2" i="24" s="1"/>
  <c r="GK2" i="24" s="1"/>
  <c r="CO2" i="24"/>
  <c r="CN2" i="24"/>
  <c r="DY2" i="24" s="1"/>
  <c r="CM2" i="24"/>
  <c r="DX2" i="24" s="1"/>
  <c r="CL2" i="24"/>
  <c r="DW2" i="24" s="1"/>
  <c r="CG2" i="24" a="1"/>
  <c r="CG2" i="24" s="1"/>
  <c r="AW2" i="24"/>
  <c r="AV2" i="24"/>
  <c r="J2" i="24"/>
  <c r="HI2" i="24" s="1"/>
  <c r="G2" i="24"/>
  <c r="IW2" i="23"/>
  <c r="IR2" i="23"/>
  <c r="HX2" i="23"/>
  <c r="HX2" i="23" a="1"/>
  <c r="HW2" i="23" a="1"/>
  <c r="HW2" i="23" s="1"/>
  <c r="IV2" i="23" s="1"/>
  <c r="HV2" i="23" a="1"/>
  <c r="HV2" i="23" s="1"/>
  <c r="IU2" i="23" s="1"/>
  <c r="HU2" i="23" a="1"/>
  <c r="HU2" i="23" s="1"/>
  <c r="IT2" i="23" s="1"/>
  <c r="HT2" i="23"/>
  <c r="IS2" i="23" s="1"/>
  <c r="HT2" i="23" a="1"/>
  <c r="HS2" i="23" a="1"/>
  <c r="HS2" i="23" s="1"/>
  <c r="HR2" i="23" a="1"/>
  <c r="HR2" i="23" s="1"/>
  <c r="IQ2" i="23" s="1"/>
  <c r="HQ2" i="23" a="1"/>
  <c r="HQ2" i="23" s="1"/>
  <c r="IP2" i="23" s="1"/>
  <c r="HP2" i="23" a="1"/>
  <c r="HP2" i="23" s="1"/>
  <c r="IO2" i="23" s="1"/>
  <c r="HL2" i="23"/>
  <c r="HJ2" i="23"/>
  <c r="HH2" i="23"/>
  <c r="HB2" i="23"/>
  <c r="HA2" i="23"/>
  <c r="GZ2" i="23"/>
  <c r="GY2" i="23"/>
  <c r="GX2" i="23"/>
  <c r="GW2" i="23"/>
  <c r="GV2" i="23"/>
  <c r="GU2" i="23"/>
  <c r="GT2" i="23"/>
  <c r="HC2" i="23" s="1"/>
  <c r="GP2" i="23"/>
  <c r="GJ2" i="23"/>
  <c r="GK2" i="23" s="1"/>
  <c r="GI2" i="23"/>
  <c r="GH2" i="23"/>
  <c r="GG2" i="23"/>
  <c r="GF2" i="23"/>
  <c r="GE2" i="23"/>
  <c r="GB2" i="23"/>
  <c r="GA2" i="23"/>
  <c r="FZ2" i="23"/>
  <c r="FY2" i="23"/>
  <c r="FW2" i="23"/>
  <c r="FV2" i="23"/>
  <c r="FU2" i="23"/>
  <c r="FT2" i="23"/>
  <c r="FS2" i="23"/>
  <c r="FR2" i="23"/>
  <c r="FQ2" i="23"/>
  <c r="FP2" i="23"/>
  <c r="FO2" i="23"/>
  <c r="FN2" i="23"/>
  <c r="FM2" i="23"/>
  <c r="FJ2" i="23"/>
  <c r="FI2" i="23"/>
  <c r="FL2" i="23" s="1"/>
  <c r="FH2" i="23"/>
  <c r="FK2" i="23" s="1"/>
  <c r="FG2" i="23"/>
  <c r="FF2" i="23"/>
  <c r="FE2" i="23"/>
  <c r="FD2" i="23"/>
  <c r="FB2" i="23"/>
  <c r="FA2" i="23"/>
  <c r="EZ2" i="23"/>
  <c r="EY2" i="23"/>
  <c r="EX2" i="23"/>
  <c r="EW2" i="23"/>
  <c r="EV2" i="23"/>
  <c r="EU2" i="23"/>
  <c r="ET2" i="23"/>
  <c r="ES2" i="23"/>
  <c r="ER2" i="23"/>
  <c r="EQ2" i="23"/>
  <c r="EP2" i="23"/>
  <c r="EO2" i="23"/>
  <c r="EN2" i="23"/>
  <c r="EM2" i="23"/>
  <c r="EL2" i="23"/>
  <c r="EK2" i="23"/>
  <c r="EJ2" i="23"/>
  <c r="EI2" i="23"/>
  <c r="EH2" i="23"/>
  <c r="EG2" i="23"/>
  <c r="EF2" i="23"/>
  <c r="EE2" i="23"/>
  <c r="ED2" i="23"/>
  <c r="EC2" i="23"/>
  <c r="EB2" i="23"/>
  <c r="EA2" i="23"/>
  <c r="DX2" i="23"/>
  <c r="DW2" i="23"/>
  <c r="DU2" i="23"/>
  <c r="DT2" i="23"/>
  <c r="DS2" i="23"/>
  <c r="DR2" i="23"/>
  <c r="DQ2" i="23"/>
  <c r="DP2" i="23"/>
  <c r="DO2" i="23"/>
  <c r="DN2" i="23"/>
  <c r="DK2" i="23"/>
  <c r="DJ2" i="23"/>
  <c r="DI2" i="23"/>
  <c r="DH2" i="23"/>
  <c r="DG2" i="23"/>
  <c r="DF2" i="23"/>
  <c r="DE2" i="23"/>
  <c r="DD2" i="23"/>
  <c r="DB2" i="23"/>
  <c r="DA2" i="23"/>
  <c r="CV2" i="23"/>
  <c r="CU2" i="23"/>
  <c r="CT2" i="23"/>
  <c r="CS2" i="23"/>
  <c r="GN2" i="23" s="1"/>
  <c r="CR2" i="23"/>
  <c r="GM2" i="23" s="1"/>
  <c r="CQ2" i="23"/>
  <c r="GL2" i="23" s="1"/>
  <c r="CP2" i="23"/>
  <c r="CO2" i="23"/>
  <c r="DZ2" i="23" s="1"/>
  <c r="CN2" i="23"/>
  <c r="DY2" i="23" s="1"/>
  <c r="CM2" i="23"/>
  <c r="CL2" i="23"/>
  <c r="CG2" i="23" a="1"/>
  <c r="CG2" i="23" s="1"/>
  <c r="AW2" i="23"/>
  <c r="AV2" i="23"/>
  <c r="J2" i="23"/>
  <c r="G2" i="23"/>
  <c r="IV2" i="22"/>
  <c r="IT2" i="22"/>
  <c r="IP2" i="22"/>
  <c r="IO2" i="22"/>
  <c r="IL2" i="22"/>
  <c r="HX2" i="22" a="1"/>
  <c r="HX2" i="22" s="1"/>
  <c r="IW2" i="22" s="1"/>
  <c r="HW2" i="22" a="1"/>
  <c r="HW2" i="22" s="1"/>
  <c r="HV2" i="22" a="1"/>
  <c r="HV2" i="22" s="1"/>
  <c r="IU2" i="22" s="1"/>
  <c r="HU2" i="22" a="1"/>
  <c r="HU2" i="22" s="1"/>
  <c r="HT2" i="22" a="1"/>
  <c r="HT2" i="22" s="1"/>
  <c r="IS2" i="22" s="1"/>
  <c r="HS2" i="22" a="1"/>
  <c r="HS2" i="22" s="1"/>
  <c r="IR2" i="22" s="1"/>
  <c r="HR2" i="22" a="1"/>
  <c r="HR2" i="22" s="1"/>
  <c r="IQ2" i="22" s="1"/>
  <c r="HQ2" i="22" a="1"/>
  <c r="HQ2" i="22" s="1"/>
  <c r="HP2" i="22"/>
  <c r="HP2" i="22" a="1"/>
  <c r="HL2" i="22"/>
  <c r="HJ2" i="22"/>
  <c r="HH2" i="22"/>
  <c r="HI2" i="22" s="1"/>
  <c r="HB2" i="22"/>
  <c r="HA2" i="22"/>
  <c r="GZ2" i="22"/>
  <c r="GY2" i="22"/>
  <c r="GX2" i="22"/>
  <c r="GW2" i="22"/>
  <c r="GV2" i="22"/>
  <c r="GU2" i="22"/>
  <c r="GT2" i="22"/>
  <c r="GP2" i="22"/>
  <c r="GM2" i="22"/>
  <c r="GL2" i="22"/>
  <c r="GK2" i="22"/>
  <c r="GI2" i="22"/>
  <c r="GH2" i="22"/>
  <c r="GG2" i="22"/>
  <c r="GF2" i="22"/>
  <c r="GE2" i="22"/>
  <c r="GD2" i="22"/>
  <c r="GC2" i="22"/>
  <c r="GB2" i="22"/>
  <c r="GA2" i="22"/>
  <c r="FZ2" i="22"/>
  <c r="FY2" i="22"/>
  <c r="FX2" i="22"/>
  <c r="FW2" i="22"/>
  <c r="FV2" i="22"/>
  <c r="FU2" i="22"/>
  <c r="FT2" i="22"/>
  <c r="FS2" i="22"/>
  <c r="FR2" i="22"/>
  <c r="FQ2" i="22"/>
  <c r="FN2" i="22"/>
  <c r="FL2" i="22"/>
  <c r="FJ2" i="22"/>
  <c r="FM2" i="22" s="1"/>
  <c r="FI2" i="22"/>
  <c r="FH2" i="22"/>
  <c r="FG2" i="22"/>
  <c r="FF2" i="22"/>
  <c r="FE2" i="22"/>
  <c r="FO2" i="22" s="1"/>
  <c r="FD2" i="22"/>
  <c r="FC2" i="22"/>
  <c r="FB2" i="22"/>
  <c r="FA2" i="22"/>
  <c r="EZ2" i="22"/>
  <c r="EY2" i="22"/>
  <c r="EX2" i="22"/>
  <c r="EW2" i="22"/>
  <c r="EV2" i="22"/>
  <c r="EU2" i="22"/>
  <c r="ET2" i="22"/>
  <c r="ES2" i="22"/>
  <c r="ER2" i="22"/>
  <c r="EQ2" i="22"/>
  <c r="EP2" i="22"/>
  <c r="EO2" i="22"/>
  <c r="EN2" i="22"/>
  <c r="EM2" i="22"/>
  <c r="EL2" i="22"/>
  <c r="EK2" i="22"/>
  <c r="EJ2" i="22"/>
  <c r="EI2" i="22"/>
  <c r="EH2" i="22"/>
  <c r="EG2" i="22"/>
  <c r="EF2" i="22"/>
  <c r="EE2" i="22"/>
  <c r="ED2" i="22"/>
  <c r="EC2" i="22"/>
  <c r="EB2" i="22"/>
  <c r="EA2" i="22"/>
  <c r="DZ2" i="22"/>
  <c r="DY2" i="22"/>
  <c r="DV2" i="22"/>
  <c r="DU2" i="22"/>
  <c r="DT2" i="22"/>
  <c r="DS2" i="22"/>
  <c r="DR2" i="22"/>
  <c r="DQ2" i="22"/>
  <c r="DP2" i="22"/>
  <c r="DO2" i="22"/>
  <c r="DN2" i="22"/>
  <c r="DK2" i="22"/>
  <c r="DJ2" i="22"/>
  <c r="DI2" i="22"/>
  <c r="DH2" i="22"/>
  <c r="DG2" i="22"/>
  <c r="DF2" i="22"/>
  <c r="DE2" i="22"/>
  <c r="DD2" i="22"/>
  <c r="DC2" i="22"/>
  <c r="DB2" i="22"/>
  <c r="DA2" i="22"/>
  <c r="CV2" i="22"/>
  <c r="CU2" i="22"/>
  <c r="CT2" i="22"/>
  <c r="CS2" i="22"/>
  <c r="GN2" i="22" s="1"/>
  <c r="CR2" i="22"/>
  <c r="CQ2" i="22"/>
  <c r="CP2" i="22"/>
  <c r="GJ2" i="22" s="1"/>
  <c r="CO2" i="22"/>
  <c r="CN2" i="22"/>
  <c r="CM2" i="22"/>
  <c r="DX2" i="22" s="1"/>
  <c r="CL2" i="22"/>
  <c r="DW2" i="22" s="1"/>
  <c r="CG2" i="22" a="1"/>
  <c r="CG2" i="22" s="1"/>
  <c r="AW2" i="22"/>
  <c r="AX2" i="22" s="1"/>
  <c r="AV2" i="22"/>
  <c r="J2" i="22"/>
  <c r="G2" i="22"/>
  <c r="IQ2" i="21"/>
  <c r="IN2" i="21"/>
  <c r="IX2" i="21" s="1"/>
  <c r="HX2" i="21"/>
  <c r="IW2" i="21" s="1"/>
  <c r="HX2" i="21" a="1"/>
  <c r="HW2" i="21" a="1"/>
  <c r="HW2" i="21" s="1"/>
  <c r="IV2" i="21" s="1"/>
  <c r="HV2" i="21" a="1"/>
  <c r="HV2" i="21" s="1"/>
  <c r="IU2" i="21" s="1"/>
  <c r="HU2" i="21"/>
  <c r="IT2" i="21" s="1"/>
  <c r="HU2" i="21" a="1"/>
  <c r="HT2" i="21"/>
  <c r="IS2" i="21" s="1"/>
  <c r="HT2" i="21" a="1"/>
  <c r="HS2" i="21"/>
  <c r="IR2" i="21" s="1"/>
  <c r="HS2" i="21" a="1"/>
  <c r="HR2" i="21"/>
  <c r="HR2" i="21" a="1"/>
  <c r="HQ2" i="21" a="1"/>
  <c r="HQ2" i="21" s="1"/>
  <c r="IP2" i="21" s="1"/>
  <c r="HP2" i="21" a="1"/>
  <c r="HP2" i="21" s="1"/>
  <c r="IO2" i="21" s="1"/>
  <c r="HL2" i="21"/>
  <c r="HJ2" i="21"/>
  <c r="HH2" i="21"/>
  <c r="HB2" i="21"/>
  <c r="HA2" i="21"/>
  <c r="GZ2" i="21"/>
  <c r="GY2" i="21"/>
  <c r="GX2" i="21"/>
  <c r="GW2" i="21"/>
  <c r="GV2" i="21"/>
  <c r="GU2" i="21"/>
  <c r="GT2" i="21"/>
  <c r="HC2" i="21" s="1"/>
  <c r="GP2" i="21"/>
  <c r="GM2" i="21"/>
  <c r="GL2" i="21"/>
  <c r="GK2" i="21"/>
  <c r="GJ2" i="21"/>
  <c r="GI2" i="21"/>
  <c r="GH2" i="21"/>
  <c r="GG2" i="21"/>
  <c r="GF2" i="21"/>
  <c r="GE2" i="21"/>
  <c r="GB2" i="21"/>
  <c r="GA2" i="21"/>
  <c r="FZ2" i="21"/>
  <c r="FY2" i="21"/>
  <c r="FW2" i="21"/>
  <c r="FV2" i="21"/>
  <c r="FU2" i="21"/>
  <c r="FT2" i="21"/>
  <c r="FS2" i="21"/>
  <c r="FR2" i="21"/>
  <c r="FQ2" i="21"/>
  <c r="FP2" i="21"/>
  <c r="FO2" i="21"/>
  <c r="FK2" i="21"/>
  <c r="FJ2" i="21"/>
  <c r="FM2" i="21" s="1"/>
  <c r="FI2" i="21"/>
  <c r="FL2" i="21" s="1"/>
  <c r="FH2" i="21"/>
  <c r="FG2" i="21"/>
  <c r="FF2" i="21"/>
  <c r="FE2" i="21"/>
  <c r="FN2" i="21" s="1"/>
  <c r="FD2" i="21"/>
  <c r="FB2" i="21"/>
  <c r="FA2" i="21"/>
  <c r="EZ2" i="21"/>
  <c r="EY2" i="21"/>
  <c r="EX2" i="21"/>
  <c r="EW2" i="21"/>
  <c r="EV2" i="21"/>
  <c r="EU2" i="21"/>
  <c r="ET2" i="21"/>
  <c r="ES2" i="21"/>
  <c r="ER2" i="21"/>
  <c r="EQ2" i="21"/>
  <c r="EP2" i="21"/>
  <c r="EO2" i="21"/>
  <c r="EN2" i="21"/>
  <c r="EM2" i="21"/>
  <c r="EL2" i="21"/>
  <c r="EK2" i="21"/>
  <c r="EJ2" i="21"/>
  <c r="EI2" i="21"/>
  <c r="EH2" i="21"/>
  <c r="EG2" i="21"/>
  <c r="EF2" i="21"/>
  <c r="EE2" i="21"/>
  <c r="ED2" i="21"/>
  <c r="EC2" i="21"/>
  <c r="EB2" i="21"/>
  <c r="EA2" i="21"/>
  <c r="DX2" i="21"/>
  <c r="DU2" i="21"/>
  <c r="DT2" i="21"/>
  <c r="DS2" i="21"/>
  <c r="DR2" i="21"/>
  <c r="DQ2" i="21"/>
  <c r="DP2" i="21"/>
  <c r="DO2" i="21"/>
  <c r="DN2" i="21"/>
  <c r="DK2" i="21"/>
  <c r="DJ2" i="21"/>
  <c r="DI2" i="21"/>
  <c r="DH2" i="21"/>
  <c r="DG2" i="21"/>
  <c r="DF2" i="21"/>
  <c r="DE2" i="21"/>
  <c r="DD2" i="21"/>
  <c r="DB2" i="21"/>
  <c r="DA2" i="21"/>
  <c r="CV2" i="21"/>
  <c r="CU2" i="21"/>
  <c r="CT2" i="21"/>
  <c r="CS2" i="21"/>
  <c r="GN2" i="21" s="1"/>
  <c r="CR2" i="21"/>
  <c r="CQ2" i="21"/>
  <c r="CP2" i="21"/>
  <c r="CO2" i="21"/>
  <c r="DZ2" i="21" s="1"/>
  <c r="CN2" i="21"/>
  <c r="DY2" i="21" s="1"/>
  <c r="CM2" i="21"/>
  <c r="CL2" i="21"/>
  <c r="DW2" i="21" s="1"/>
  <c r="CG2" i="21"/>
  <c r="DL2" i="21" s="1"/>
  <c r="CG2" i="21" a="1"/>
  <c r="AW2" i="21"/>
  <c r="AV2" i="21"/>
  <c r="J2" i="21"/>
  <c r="HI2" i="21" s="1"/>
  <c r="G2" i="21"/>
  <c r="IX2" i="20"/>
  <c r="IT2" i="20"/>
  <c r="IN2" i="20"/>
  <c r="IM2" i="20"/>
  <c r="HX2" i="20" a="1"/>
  <c r="HX2" i="20" s="1"/>
  <c r="IW2" i="20" s="1"/>
  <c r="HW2" i="20" a="1"/>
  <c r="HW2" i="20" s="1"/>
  <c r="IV2" i="20" s="1"/>
  <c r="HV2" i="20" a="1"/>
  <c r="HV2" i="20" s="1"/>
  <c r="IU2" i="20" s="1"/>
  <c r="HU2" i="20" a="1"/>
  <c r="HU2" i="20" s="1"/>
  <c r="HT2" i="20"/>
  <c r="IS2" i="20" s="1"/>
  <c r="HT2" i="20" a="1"/>
  <c r="HS2" i="20" a="1"/>
  <c r="HS2" i="20" s="1"/>
  <c r="IR2" i="20" s="1"/>
  <c r="HR2" i="20" a="1"/>
  <c r="HR2" i="20" s="1"/>
  <c r="IQ2" i="20" s="1"/>
  <c r="HQ2" i="20" a="1"/>
  <c r="HQ2" i="20" s="1"/>
  <c r="IP2" i="20" s="1"/>
  <c r="HP2" i="20" a="1"/>
  <c r="HP2" i="20" s="1"/>
  <c r="HL2" i="20"/>
  <c r="HJ2" i="20"/>
  <c r="HH2" i="20"/>
  <c r="HB2" i="20"/>
  <c r="HA2" i="20"/>
  <c r="GZ2" i="20"/>
  <c r="GY2" i="20"/>
  <c r="GX2" i="20"/>
  <c r="HC2" i="20" s="1"/>
  <c r="GW2" i="20"/>
  <c r="GV2" i="20"/>
  <c r="GU2" i="20"/>
  <c r="GT2" i="20"/>
  <c r="GP2" i="20"/>
  <c r="GN2" i="20"/>
  <c r="GM2" i="20"/>
  <c r="GL2" i="20"/>
  <c r="GK2" i="20"/>
  <c r="GI2" i="20"/>
  <c r="GH2" i="20"/>
  <c r="GG2" i="20"/>
  <c r="GF2" i="20"/>
  <c r="GE2" i="20"/>
  <c r="GB2" i="20"/>
  <c r="GA2" i="20"/>
  <c r="FZ2" i="20"/>
  <c r="FY2" i="20"/>
  <c r="FW2" i="20"/>
  <c r="FV2" i="20"/>
  <c r="FU2" i="20"/>
  <c r="FT2" i="20"/>
  <c r="FS2" i="20"/>
  <c r="FR2" i="20"/>
  <c r="FQ2" i="20"/>
  <c r="FP2" i="20"/>
  <c r="FN2" i="20"/>
  <c r="FM2" i="20"/>
  <c r="FL2" i="20"/>
  <c r="FJ2" i="20"/>
  <c r="FI2" i="20"/>
  <c r="FH2" i="20"/>
  <c r="FK2" i="20" s="1"/>
  <c r="FG2" i="20"/>
  <c r="FF2" i="20"/>
  <c r="FE2" i="20"/>
  <c r="FO2" i="20" s="1"/>
  <c r="FD2" i="20"/>
  <c r="FB2" i="20"/>
  <c r="FA2" i="20"/>
  <c r="EZ2" i="20"/>
  <c r="EY2" i="20"/>
  <c r="EX2" i="20"/>
  <c r="EW2" i="20"/>
  <c r="EV2" i="20"/>
  <c r="EU2" i="20"/>
  <c r="ET2" i="20"/>
  <c r="ES2" i="20"/>
  <c r="ER2" i="20"/>
  <c r="EQ2" i="20"/>
  <c r="EP2" i="20"/>
  <c r="EO2" i="20"/>
  <c r="EN2" i="20"/>
  <c r="EM2" i="20"/>
  <c r="EL2" i="20"/>
  <c r="EK2" i="20"/>
  <c r="EJ2" i="20"/>
  <c r="EI2" i="20"/>
  <c r="EH2" i="20"/>
  <c r="EG2" i="20"/>
  <c r="EF2" i="20"/>
  <c r="EE2" i="20"/>
  <c r="ED2" i="20"/>
  <c r="EC2" i="20"/>
  <c r="EB2" i="20"/>
  <c r="EA2" i="20"/>
  <c r="DW2" i="20"/>
  <c r="DU2" i="20"/>
  <c r="DT2" i="20"/>
  <c r="DS2" i="20"/>
  <c r="DR2" i="20"/>
  <c r="DQ2" i="20"/>
  <c r="DP2" i="20"/>
  <c r="DO2" i="20"/>
  <c r="DN2" i="20"/>
  <c r="DK2" i="20"/>
  <c r="DJ2" i="20"/>
  <c r="DI2" i="20"/>
  <c r="DH2" i="20"/>
  <c r="DG2" i="20"/>
  <c r="DF2" i="20"/>
  <c r="DE2" i="20"/>
  <c r="DD2" i="20"/>
  <c r="DB2" i="20"/>
  <c r="DA2" i="20"/>
  <c r="CZ2" i="20"/>
  <c r="CV2" i="20"/>
  <c r="CU2" i="20"/>
  <c r="CT2" i="20"/>
  <c r="CS2" i="20"/>
  <c r="CR2" i="20"/>
  <c r="CQ2" i="20"/>
  <c r="CP2" i="20"/>
  <c r="GJ2" i="20" s="1"/>
  <c r="CO2" i="20"/>
  <c r="DZ2" i="20" s="1"/>
  <c r="CN2" i="20"/>
  <c r="DY2" i="20" s="1"/>
  <c r="CM2" i="20"/>
  <c r="DX2" i="20" s="1"/>
  <c r="CL2" i="20"/>
  <c r="CK2" i="20"/>
  <c r="CJ2" i="20"/>
  <c r="CY2" i="20" s="1"/>
  <c r="CI2" i="20"/>
  <c r="CX2" i="20" s="1"/>
  <c r="CH2" i="20"/>
  <c r="CW2" i="20" s="1"/>
  <c r="CG2" i="20" a="1"/>
  <c r="CG2" i="20" s="1"/>
  <c r="DL2" i="20" s="1"/>
  <c r="AW2" i="20"/>
  <c r="AV2" i="20"/>
  <c r="J2" i="20"/>
  <c r="HI2" i="20" s="1"/>
  <c r="G2" i="20"/>
  <c r="IW2" i="19"/>
  <c r="IN2" i="19"/>
  <c r="IX2" i="19" s="1"/>
  <c r="IM2" i="19"/>
  <c r="HX2" i="19" a="1"/>
  <c r="HX2" i="19" s="1"/>
  <c r="HW2" i="19" a="1"/>
  <c r="HW2" i="19" s="1"/>
  <c r="IV2" i="19" s="1"/>
  <c r="HV2" i="19" a="1"/>
  <c r="HV2" i="19" s="1"/>
  <c r="IU2" i="19" s="1"/>
  <c r="HU2" i="19" a="1"/>
  <c r="HU2" i="19" s="1"/>
  <c r="IT2" i="19" s="1"/>
  <c r="HT2" i="19" a="1"/>
  <c r="HT2" i="19" s="1"/>
  <c r="IS2" i="19" s="1"/>
  <c r="HS2" i="19"/>
  <c r="IR2" i="19" s="1"/>
  <c r="HS2" i="19" a="1"/>
  <c r="HR2" i="19" a="1"/>
  <c r="HR2" i="19" s="1"/>
  <c r="IQ2" i="19" s="1"/>
  <c r="HQ2" i="19" a="1"/>
  <c r="HQ2" i="19" s="1"/>
  <c r="IP2" i="19" s="1"/>
  <c r="HP2" i="19"/>
  <c r="IO2" i="19" s="1"/>
  <c r="HP2" i="19" a="1"/>
  <c r="HL2" i="19"/>
  <c r="HJ2" i="19"/>
  <c r="HH2" i="19"/>
  <c r="HI2" i="19" s="1"/>
  <c r="HB2" i="19"/>
  <c r="HA2" i="19"/>
  <c r="GZ2" i="19"/>
  <c r="GY2" i="19"/>
  <c r="GX2" i="19"/>
  <c r="GW2" i="19"/>
  <c r="GV2" i="19"/>
  <c r="GU2" i="19"/>
  <c r="GT2" i="19"/>
  <c r="GP2" i="19"/>
  <c r="GN2" i="19"/>
  <c r="GJ2" i="19"/>
  <c r="GK2" i="19" s="1"/>
  <c r="GI2" i="19"/>
  <c r="GH2" i="19"/>
  <c r="GG2" i="19"/>
  <c r="GF2" i="19"/>
  <c r="GE2" i="19"/>
  <c r="GB2" i="19"/>
  <c r="GA2" i="19"/>
  <c r="FZ2" i="19"/>
  <c r="FY2" i="19"/>
  <c r="FW2" i="19"/>
  <c r="FV2" i="19"/>
  <c r="FU2" i="19"/>
  <c r="FT2" i="19"/>
  <c r="FS2" i="19"/>
  <c r="FR2" i="19"/>
  <c r="FQ2" i="19"/>
  <c r="FN2" i="19"/>
  <c r="FJ2" i="19"/>
  <c r="FI2" i="19"/>
  <c r="FH2" i="19"/>
  <c r="FG2" i="19"/>
  <c r="FF2" i="19"/>
  <c r="FE2" i="19"/>
  <c r="FO2" i="19" s="1"/>
  <c r="FD2" i="19"/>
  <c r="FB2" i="19"/>
  <c r="FA2" i="19"/>
  <c r="EZ2" i="19"/>
  <c r="EY2" i="19"/>
  <c r="EX2" i="19"/>
  <c r="EW2" i="19"/>
  <c r="EV2" i="19"/>
  <c r="EU2" i="19"/>
  <c r="ET2" i="19"/>
  <c r="ES2" i="19"/>
  <c r="ER2" i="19"/>
  <c r="EQ2" i="19"/>
  <c r="EP2" i="19"/>
  <c r="EO2" i="19"/>
  <c r="EN2" i="19"/>
  <c r="EM2" i="19"/>
  <c r="EL2" i="19"/>
  <c r="EK2" i="19"/>
  <c r="EJ2" i="19"/>
  <c r="EI2" i="19"/>
  <c r="EH2" i="19"/>
  <c r="EG2" i="19"/>
  <c r="EF2" i="19"/>
  <c r="EE2" i="19"/>
  <c r="ED2" i="19"/>
  <c r="EC2" i="19"/>
  <c r="EB2" i="19"/>
  <c r="EA2" i="19"/>
  <c r="DU2" i="19"/>
  <c r="DT2" i="19"/>
  <c r="DS2" i="19"/>
  <c r="DR2" i="19"/>
  <c r="DQ2" i="19"/>
  <c r="DP2" i="19"/>
  <c r="DO2" i="19"/>
  <c r="DN2" i="19"/>
  <c r="DM2" i="19" a="1"/>
  <c r="DM2" i="19" s="1"/>
  <c r="DL2" i="19"/>
  <c r="DK2" i="19"/>
  <c r="DJ2" i="19"/>
  <c r="DI2" i="19"/>
  <c r="DH2" i="19"/>
  <c r="DG2" i="19"/>
  <c r="DF2" i="19"/>
  <c r="DE2" i="19"/>
  <c r="DD2" i="19"/>
  <c r="DB2" i="19"/>
  <c r="DA2" i="19"/>
  <c r="CW2" i="19"/>
  <c r="CV2" i="19"/>
  <c r="CU2" i="19"/>
  <c r="CT2" i="19"/>
  <c r="CS2" i="19"/>
  <c r="CR2" i="19"/>
  <c r="GM2" i="19" s="1"/>
  <c r="CQ2" i="19"/>
  <c r="GL2" i="19" s="1"/>
  <c r="CP2" i="19"/>
  <c r="CO2" i="19"/>
  <c r="DZ2" i="19" s="1"/>
  <c r="CN2" i="19"/>
  <c r="DY2" i="19" s="1"/>
  <c r="CM2" i="19"/>
  <c r="DX2" i="19" s="1"/>
  <c r="CL2" i="19"/>
  <c r="DW2" i="19" s="1"/>
  <c r="CK2" i="19"/>
  <c r="CZ2" i="19" s="1"/>
  <c r="CJ2" i="19"/>
  <c r="CY2" i="19" s="1"/>
  <c r="CI2" i="19"/>
  <c r="CX2" i="19" s="1"/>
  <c r="CH2" i="19"/>
  <c r="CG2" i="19" a="1"/>
  <c r="CG2" i="19" s="1"/>
  <c r="AW2" i="19"/>
  <c r="AV2" i="19"/>
  <c r="J2" i="19"/>
  <c r="G2" i="19"/>
  <c r="IU2" i="18"/>
  <c r="IT2" i="18"/>
  <c r="IQ2" i="18"/>
  <c r="IO2" i="18"/>
  <c r="IN2" i="18"/>
  <c r="IX2" i="18" s="1"/>
  <c r="IL2" i="18"/>
  <c r="HX2" i="18" a="1"/>
  <c r="HX2" i="18" s="1"/>
  <c r="IW2" i="18" s="1"/>
  <c r="HW2" i="18" a="1"/>
  <c r="HW2" i="18" s="1"/>
  <c r="IV2" i="18" s="1"/>
  <c r="HV2" i="18"/>
  <c r="HV2" i="18" a="1"/>
  <c r="HU2" i="18"/>
  <c r="HU2" i="18" a="1"/>
  <c r="HT2" i="18" a="1"/>
  <c r="HT2" i="18" s="1"/>
  <c r="IS2" i="18" s="1"/>
  <c r="HS2" i="18" a="1"/>
  <c r="HS2" i="18" s="1"/>
  <c r="HR2" i="18" a="1"/>
  <c r="HR2" i="18" s="1"/>
  <c r="HQ2" i="18" a="1"/>
  <c r="HQ2" i="18" s="1"/>
  <c r="IP2" i="18" s="1"/>
  <c r="HP2" i="18"/>
  <c r="HP2" i="18" a="1"/>
  <c r="HL2" i="18"/>
  <c r="HJ2" i="18"/>
  <c r="HH2" i="18"/>
  <c r="HI2" i="18" s="1"/>
  <c r="HB2" i="18"/>
  <c r="HA2" i="18"/>
  <c r="GZ2" i="18"/>
  <c r="GY2" i="18"/>
  <c r="GX2" i="18"/>
  <c r="GW2" i="18"/>
  <c r="GV2" i="18"/>
  <c r="GU2" i="18"/>
  <c r="GT2" i="18"/>
  <c r="HC2" i="18" s="1"/>
  <c r="GP2" i="18"/>
  <c r="GJ2" i="18"/>
  <c r="GK2" i="18" s="1"/>
  <c r="GI2" i="18"/>
  <c r="GH2" i="18"/>
  <c r="GG2" i="18"/>
  <c r="GF2" i="18"/>
  <c r="GE2" i="18"/>
  <c r="GD2" i="18"/>
  <c r="GC2" i="18"/>
  <c r="GB2" i="18"/>
  <c r="GA2" i="18"/>
  <c r="FZ2" i="18"/>
  <c r="FY2" i="18"/>
  <c r="FX2" i="18"/>
  <c r="FW2" i="18"/>
  <c r="FV2" i="18"/>
  <c r="FU2" i="18"/>
  <c r="FT2" i="18"/>
  <c r="FS2" i="18"/>
  <c r="FR2" i="18"/>
  <c r="FQ2" i="18"/>
  <c r="FJ2" i="18"/>
  <c r="FI2" i="18"/>
  <c r="FH2" i="18"/>
  <c r="FK2" i="18" s="1"/>
  <c r="FG2" i="18"/>
  <c r="FF2" i="18"/>
  <c r="FE2" i="18"/>
  <c r="FD2" i="18"/>
  <c r="FC2" i="18"/>
  <c r="FB2" i="18"/>
  <c r="FA2" i="18"/>
  <c r="EZ2" i="18"/>
  <c r="EY2" i="18"/>
  <c r="EX2" i="18"/>
  <c r="EW2" i="18"/>
  <c r="EV2" i="18"/>
  <c r="EU2" i="18"/>
  <c r="ET2" i="18"/>
  <c r="ES2" i="18"/>
  <c r="ER2" i="18"/>
  <c r="EQ2" i="18"/>
  <c r="EP2" i="18"/>
  <c r="EO2" i="18"/>
  <c r="EN2" i="18"/>
  <c r="EM2" i="18"/>
  <c r="EL2" i="18"/>
  <c r="EK2" i="18"/>
  <c r="EJ2" i="18"/>
  <c r="EI2" i="18"/>
  <c r="EH2" i="18"/>
  <c r="EG2" i="18"/>
  <c r="EF2" i="18"/>
  <c r="EE2" i="18"/>
  <c r="ED2" i="18"/>
  <c r="EC2" i="18"/>
  <c r="EB2" i="18"/>
  <c r="EA2" i="18"/>
  <c r="DV2" i="18"/>
  <c r="DU2" i="18"/>
  <c r="DT2" i="18"/>
  <c r="DS2" i="18"/>
  <c r="DR2" i="18"/>
  <c r="DQ2" i="18"/>
  <c r="DP2" i="18"/>
  <c r="DO2" i="18"/>
  <c r="DN2" i="18"/>
  <c r="DL2" i="18"/>
  <c r="DK2" i="18"/>
  <c r="DJ2" i="18"/>
  <c r="DI2" i="18"/>
  <c r="DH2" i="18"/>
  <c r="DG2" i="18"/>
  <c r="DF2" i="18"/>
  <c r="DE2" i="18"/>
  <c r="DD2" i="18"/>
  <c r="DC2" i="18"/>
  <c r="DB2" i="18"/>
  <c r="DA2" i="18"/>
  <c r="CW2" i="18"/>
  <c r="CV2" i="18"/>
  <c r="CU2" i="18"/>
  <c r="CT2" i="18"/>
  <c r="CS2" i="18"/>
  <c r="GN2" i="18" s="1"/>
  <c r="CR2" i="18"/>
  <c r="GM2" i="18" s="1"/>
  <c r="CQ2" i="18"/>
  <c r="GL2" i="18" s="1"/>
  <c r="CP2" i="18"/>
  <c r="CO2" i="18"/>
  <c r="DZ2" i="18" s="1"/>
  <c r="CN2" i="18"/>
  <c r="DY2" i="18" s="1"/>
  <c r="CM2" i="18"/>
  <c r="DX2" i="18" s="1"/>
  <c r="CL2" i="18"/>
  <c r="DW2" i="18" s="1"/>
  <c r="CK2" i="18"/>
  <c r="CZ2" i="18" s="1"/>
  <c r="CJ2" i="18"/>
  <c r="CY2" i="18" s="1"/>
  <c r="CG2" i="18" a="1"/>
  <c r="CG2" i="18" s="1"/>
  <c r="CH2" i="18" s="1"/>
  <c r="AW2" i="18"/>
  <c r="AX2" i="18" s="1"/>
  <c r="AV2" i="18"/>
  <c r="J2" i="18"/>
  <c r="G2" i="18"/>
  <c r="IW2" i="17"/>
  <c r="IV2" i="17"/>
  <c r="IU2" i="17"/>
  <c r="IS2" i="17"/>
  <c r="IR2" i="17"/>
  <c r="HX2" i="17"/>
  <c r="HX2" i="17" a="1"/>
  <c r="HW2" i="17"/>
  <c r="HW2" i="17" a="1"/>
  <c r="HV2" i="17" a="1"/>
  <c r="HV2" i="17" s="1"/>
  <c r="HU2" i="17" a="1"/>
  <c r="HU2" i="17" s="1"/>
  <c r="IT2" i="17" s="1"/>
  <c r="HT2" i="17" a="1"/>
  <c r="HT2" i="17" s="1"/>
  <c r="HS2" i="17"/>
  <c r="HS2" i="17" a="1"/>
  <c r="HR2" i="17"/>
  <c r="IQ2" i="17" s="1"/>
  <c r="HR2" i="17" a="1"/>
  <c r="HQ2" i="17"/>
  <c r="IP2" i="17" s="1"/>
  <c r="HQ2" i="17" a="1"/>
  <c r="HP2" i="17" a="1"/>
  <c r="HP2" i="17" s="1"/>
  <c r="IO2" i="17" s="1"/>
  <c r="HL2" i="17"/>
  <c r="HJ2" i="17"/>
  <c r="HI2" i="17"/>
  <c r="HH2" i="17"/>
  <c r="HB2" i="17"/>
  <c r="HC2" i="17" s="1"/>
  <c r="HA2" i="17"/>
  <c r="GZ2" i="17"/>
  <c r="GY2" i="17"/>
  <c r="GX2" i="17"/>
  <c r="GW2" i="17"/>
  <c r="GV2" i="17"/>
  <c r="GU2" i="17"/>
  <c r="GT2" i="17"/>
  <c r="GP2" i="17"/>
  <c r="GM2" i="17"/>
  <c r="GJ2" i="17"/>
  <c r="GK2" i="17" s="1"/>
  <c r="GI2" i="17"/>
  <c r="GH2" i="17"/>
  <c r="GG2" i="17"/>
  <c r="GF2" i="17"/>
  <c r="GE2" i="17"/>
  <c r="GB2" i="17"/>
  <c r="GA2" i="17"/>
  <c r="FZ2" i="17"/>
  <c r="FY2" i="17"/>
  <c r="FW2" i="17"/>
  <c r="FV2" i="17"/>
  <c r="FU2" i="17"/>
  <c r="FT2" i="17"/>
  <c r="FS2" i="17"/>
  <c r="FR2" i="17"/>
  <c r="FQ2" i="17"/>
  <c r="FJ2" i="17"/>
  <c r="FI2" i="17"/>
  <c r="FH2" i="17"/>
  <c r="FG2" i="17"/>
  <c r="FF2" i="17"/>
  <c r="FM2" i="17" s="1"/>
  <c r="FE2" i="17"/>
  <c r="FD2" i="17"/>
  <c r="FB2" i="17"/>
  <c r="FA2" i="17"/>
  <c r="EZ2" i="17"/>
  <c r="EY2" i="17"/>
  <c r="EX2" i="17"/>
  <c r="EW2" i="17"/>
  <c r="EV2" i="17"/>
  <c r="EU2" i="17"/>
  <c r="ET2" i="17"/>
  <c r="ES2" i="17"/>
  <c r="ER2" i="17"/>
  <c r="EQ2" i="17"/>
  <c r="EP2" i="17"/>
  <c r="EO2" i="17"/>
  <c r="EN2" i="17"/>
  <c r="EM2" i="17"/>
  <c r="EL2" i="17"/>
  <c r="EK2" i="17"/>
  <c r="EJ2" i="17"/>
  <c r="EI2" i="17"/>
  <c r="EH2" i="17"/>
  <c r="EG2" i="17"/>
  <c r="EF2" i="17"/>
  <c r="EE2" i="17"/>
  <c r="ED2" i="17"/>
  <c r="EC2" i="17"/>
  <c r="EB2" i="17"/>
  <c r="EA2" i="17"/>
  <c r="DX2" i="17"/>
  <c r="DW2" i="17"/>
  <c r="DU2" i="17"/>
  <c r="DT2" i="17"/>
  <c r="DS2" i="17"/>
  <c r="DR2" i="17"/>
  <c r="DQ2" i="17"/>
  <c r="DP2" i="17"/>
  <c r="DO2" i="17"/>
  <c r="DN2" i="17"/>
  <c r="DK2" i="17"/>
  <c r="DJ2" i="17"/>
  <c r="DI2" i="17"/>
  <c r="DH2" i="17"/>
  <c r="DG2" i="17"/>
  <c r="DF2" i="17"/>
  <c r="DE2" i="17"/>
  <c r="DD2" i="17"/>
  <c r="DB2" i="17"/>
  <c r="DA2" i="17"/>
  <c r="CV2" i="17"/>
  <c r="CU2" i="17"/>
  <c r="CT2" i="17"/>
  <c r="CS2" i="17"/>
  <c r="GN2" i="17" s="1"/>
  <c r="CR2" i="17"/>
  <c r="CQ2" i="17"/>
  <c r="GL2" i="17" s="1"/>
  <c r="CP2" i="17"/>
  <c r="CO2" i="17"/>
  <c r="DZ2" i="17" s="1"/>
  <c r="CN2" i="17"/>
  <c r="DY2" i="17" s="1"/>
  <c r="CM2" i="17"/>
  <c r="CL2" i="17"/>
  <c r="CG2" i="17" a="1"/>
  <c r="CG2" i="17" s="1"/>
  <c r="AW2" i="17"/>
  <c r="AV2" i="17"/>
  <c r="J2" i="17"/>
  <c r="G2" i="17"/>
  <c r="IV2" i="16"/>
  <c r="IS2" i="16"/>
  <c r="IR2" i="16"/>
  <c r="IQ2" i="16"/>
  <c r="IL2" i="16"/>
  <c r="HX2" i="16"/>
  <c r="IW2" i="16" s="1"/>
  <c r="HX2" i="16" a="1"/>
  <c r="HW2" i="16" a="1"/>
  <c r="HW2" i="16" s="1"/>
  <c r="HV2" i="16" a="1"/>
  <c r="HV2" i="16" s="1"/>
  <c r="IU2" i="16" s="1"/>
  <c r="HU2" i="16" a="1"/>
  <c r="HU2" i="16" s="1"/>
  <c r="IT2" i="16" s="1"/>
  <c r="HT2" i="16"/>
  <c r="HT2" i="16" a="1"/>
  <c r="HS2" i="16" a="1"/>
  <c r="HS2" i="16" s="1"/>
  <c r="HR2" i="16" a="1"/>
  <c r="HR2" i="16" s="1"/>
  <c r="HQ2" i="16" a="1"/>
  <c r="HQ2" i="16" s="1"/>
  <c r="IP2" i="16" s="1"/>
  <c r="HP2" i="16" a="1"/>
  <c r="HP2" i="16" s="1"/>
  <c r="IO2" i="16" s="1"/>
  <c r="HL2" i="16"/>
  <c r="HJ2" i="16"/>
  <c r="HH2" i="16"/>
  <c r="HB2" i="16"/>
  <c r="HA2" i="16"/>
  <c r="GZ2" i="16"/>
  <c r="GY2" i="16"/>
  <c r="GX2" i="16"/>
  <c r="GW2" i="16"/>
  <c r="GV2" i="16"/>
  <c r="GU2" i="16"/>
  <c r="GT2" i="16"/>
  <c r="HC2" i="16" s="1"/>
  <c r="GP2" i="16"/>
  <c r="GJ2" i="16"/>
  <c r="GK2" i="16" s="1"/>
  <c r="GI2" i="16"/>
  <c r="GH2" i="16"/>
  <c r="GG2" i="16"/>
  <c r="GF2" i="16"/>
  <c r="GE2" i="16"/>
  <c r="GD2" i="16"/>
  <c r="GC2" i="16"/>
  <c r="GB2" i="16"/>
  <c r="GA2" i="16"/>
  <c r="FZ2" i="16"/>
  <c r="FY2" i="16"/>
  <c r="FX2" i="16"/>
  <c r="FW2" i="16"/>
  <c r="FV2" i="16"/>
  <c r="FU2" i="16"/>
  <c r="FT2" i="16"/>
  <c r="FS2" i="16"/>
  <c r="FR2" i="16"/>
  <c r="FQ2" i="16"/>
  <c r="FM2" i="16"/>
  <c r="FJ2" i="16"/>
  <c r="FI2" i="16"/>
  <c r="FH2" i="16"/>
  <c r="FG2" i="16"/>
  <c r="FF2" i="16"/>
  <c r="FP2" i="16" s="1"/>
  <c r="FE2" i="16"/>
  <c r="FO2" i="16" s="1"/>
  <c r="FD2" i="16"/>
  <c r="FC2" i="16"/>
  <c r="FB2" i="16"/>
  <c r="FA2" i="16"/>
  <c r="EZ2" i="16"/>
  <c r="EY2" i="16"/>
  <c r="EX2" i="16"/>
  <c r="EW2" i="16"/>
  <c r="EV2" i="16"/>
  <c r="EU2" i="16"/>
  <c r="ET2" i="16"/>
  <c r="ES2" i="16"/>
  <c r="ER2" i="16"/>
  <c r="EQ2" i="16"/>
  <c r="EP2" i="16"/>
  <c r="EO2" i="16"/>
  <c r="EN2" i="16"/>
  <c r="EM2" i="16"/>
  <c r="EL2" i="16"/>
  <c r="EK2" i="16"/>
  <c r="EJ2" i="16"/>
  <c r="EI2" i="16"/>
  <c r="EH2" i="16"/>
  <c r="EG2" i="16"/>
  <c r="EF2" i="16"/>
  <c r="EE2" i="16"/>
  <c r="ED2" i="16"/>
  <c r="EC2" i="16"/>
  <c r="EB2" i="16"/>
  <c r="EA2" i="16"/>
  <c r="DX2" i="16"/>
  <c r="DV2" i="16"/>
  <c r="DU2" i="16"/>
  <c r="DT2" i="16"/>
  <c r="DS2" i="16"/>
  <c r="DR2" i="16"/>
  <c r="DQ2" i="16"/>
  <c r="DP2" i="16"/>
  <c r="DO2" i="16"/>
  <c r="DN2" i="16"/>
  <c r="DK2" i="16"/>
  <c r="DJ2" i="16"/>
  <c r="DI2" i="16"/>
  <c r="DH2" i="16"/>
  <c r="DG2" i="16"/>
  <c r="DF2" i="16"/>
  <c r="DE2" i="16"/>
  <c r="DD2" i="16"/>
  <c r="DC2" i="16"/>
  <c r="DB2" i="16"/>
  <c r="DA2" i="16"/>
  <c r="CV2" i="16"/>
  <c r="CU2" i="16"/>
  <c r="CT2" i="16"/>
  <c r="CS2" i="16"/>
  <c r="GN2" i="16" s="1"/>
  <c r="CR2" i="16"/>
  <c r="GM2" i="16" s="1"/>
  <c r="CQ2" i="16"/>
  <c r="GL2" i="16" s="1"/>
  <c r="CP2" i="16"/>
  <c r="CO2" i="16"/>
  <c r="DZ2" i="16" s="1"/>
  <c r="CN2" i="16"/>
  <c r="DY2" i="16" s="1"/>
  <c r="CM2" i="16"/>
  <c r="CL2" i="16"/>
  <c r="DW2" i="16" s="1"/>
  <c r="CG2" i="16"/>
  <c r="CG2" i="16" a="1"/>
  <c r="AW2" i="16"/>
  <c r="AV2" i="16"/>
  <c r="AX2" i="16" s="1"/>
  <c r="J2" i="16"/>
  <c r="HI2" i="16" s="1"/>
  <c r="G2" i="16"/>
  <c r="IT2" i="15"/>
  <c r="IO2" i="15"/>
  <c r="IN2" i="15"/>
  <c r="IX2" i="15" s="1"/>
  <c r="IM2" i="15"/>
  <c r="IL2" i="15"/>
  <c r="HX2" i="15"/>
  <c r="IW2" i="15" s="1"/>
  <c r="HX2" i="15" a="1"/>
  <c r="HW2" i="15"/>
  <c r="IV2" i="15" s="1"/>
  <c r="HW2" i="15" a="1"/>
  <c r="HV2" i="15" a="1"/>
  <c r="HV2" i="15" s="1"/>
  <c r="IU2" i="15" s="1"/>
  <c r="HU2" i="15"/>
  <c r="HU2" i="15" a="1"/>
  <c r="HT2" i="15" a="1"/>
  <c r="HT2" i="15" s="1"/>
  <c r="IS2" i="15" s="1"/>
  <c r="HS2" i="15"/>
  <c r="IR2" i="15" s="1"/>
  <c r="HS2" i="15" a="1"/>
  <c r="HR2" i="15" a="1"/>
  <c r="HR2" i="15" s="1"/>
  <c r="IQ2" i="15" s="1"/>
  <c r="HQ2" i="15" a="1"/>
  <c r="HQ2" i="15" s="1"/>
  <c r="IP2" i="15" s="1"/>
  <c r="HP2" i="15" a="1"/>
  <c r="HP2" i="15" s="1"/>
  <c r="HL2" i="15"/>
  <c r="HJ2" i="15"/>
  <c r="HH2" i="15"/>
  <c r="HB2" i="15"/>
  <c r="HA2" i="15"/>
  <c r="GZ2" i="15"/>
  <c r="HC2" i="15" s="1"/>
  <c r="GY2" i="15"/>
  <c r="GX2" i="15"/>
  <c r="GW2" i="15"/>
  <c r="GV2" i="15"/>
  <c r="GU2" i="15"/>
  <c r="GT2" i="15"/>
  <c r="GP2" i="15"/>
  <c r="GN2" i="15"/>
  <c r="GM2" i="15"/>
  <c r="GL2" i="15"/>
  <c r="GJ2" i="15"/>
  <c r="GK2" i="15" s="1"/>
  <c r="GI2" i="15"/>
  <c r="GH2" i="15"/>
  <c r="GG2" i="15"/>
  <c r="GF2" i="15"/>
  <c r="GE2" i="15"/>
  <c r="GD2" i="15"/>
  <c r="GC2" i="15"/>
  <c r="GB2" i="15"/>
  <c r="GA2" i="15"/>
  <c r="FZ2" i="15"/>
  <c r="FY2" i="15"/>
  <c r="FX2" i="15"/>
  <c r="FW2" i="15"/>
  <c r="FV2" i="15"/>
  <c r="FU2" i="15"/>
  <c r="FT2" i="15"/>
  <c r="FS2" i="15"/>
  <c r="FR2" i="15"/>
  <c r="FQ2" i="15"/>
  <c r="FP2" i="15"/>
  <c r="FO2" i="15"/>
  <c r="FN2" i="15"/>
  <c r="FM2" i="15"/>
  <c r="FL2" i="15"/>
  <c r="FJ2" i="15"/>
  <c r="FI2" i="15"/>
  <c r="FH2" i="15"/>
  <c r="FG2" i="15"/>
  <c r="FF2" i="15"/>
  <c r="FE2" i="15"/>
  <c r="FD2" i="15"/>
  <c r="FC2" i="15"/>
  <c r="FB2" i="15"/>
  <c r="FA2" i="15"/>
  <c r="EZ2" i="15"/>
  <c r="EY2" i="15"/>
  <c r="EX2" i="15"/>
  <c r="EW2" i="15"/>
  <c r="EV2" i="15"/>
  <c r="EU2" i="15"/>
  <c r="ET2" i="15"/>
  <c r="ES2" i="15"/>
  <c r="ER2" i="15"/>
  <c r="EQ2" i="15"/>
  <c r="EP2" i="15"/>
  <c r="EO2" i="15"/>
  <c r="EN2" i="15"/>
  <c r="EM2" i="15"/>
  <c r="EL2" i="15"/>
  <c r="EK2" i="15"/>
  <c r="EJ2" i="15"/>
  <c r="EI2" i="15"/>
  <c r="EH2" i="15"/>
  <c r="EG2" i="15"/>
  <c r="EF2" i="15"/>
  <c r="EE2" i="15"/>
  <c r="ED2" i="15"/>
  <c r="EC2" i="15"/>
  <c r="EB2" i="15"/>
  <c r="EA2" i="15"/>
  <c r="DY2" i="15"/>
  <c r="DW2" i="15"/>
  <c r="DV2" i="15"/>
  <c r="DU2" i="15"/>
  <c r="DT2" i="15"/>
  <c r="DS2" i="15"/>
  <c r="DR2" i="15"/>
  <c r="DQ2" i="15"/>
  <c r="DP2" i="15"/>
  <c r="DO2" i="15"/>
  <c r="DN2" i="15"/>
  <c r="DK2" i="15"/>
  <c r="DJ2" i="15"/>
  <c r="DI2" i="15"/>
  <c r="DH2" i="15"/>
  <c r="DG2" i="15"/>
  <c r="DF2" i="15"/>
  <c r="DE2" i="15"/>
  <c r="DD2" i="15"/>
  <c r="DC2" i="15"/>
  <c r="DB2" i="15"/>
  <c r="DA2" i="15"/>
  <c r="CY2" i="15"/>
  <c r="CW2" i="15"/>
  <c r="CV2" i="15"/>
  <c r="CU2" i="15"/>
  <c r="CT2" i="15"/>
  <c r="CS2" i="15"/>
  <c r="CR2" i="15"/>
  <c r="CQ2" i="15"/>
  <c r="CP2" i="15"/>
  <c r="CO2" i="15"/>
  <c r="DZ2" i="15" s="1"/>
  <c r="CN2" i="15"/>
  <c r="CM2" i="15"/>
  <c r="DX2" i="15" s="1"/>
  <c r="CL2" i="15"/>
  <c r="CK2" i="15"/>
  <c r="CZ2" i="15" s="1"/>
  <c r="CJ2" i="15"/>
  <c r="CI2" i="15"/>
  <c r="CX2" i="15" s="1"/>
  <c r="CH2" i="15"/>
  <c r="CG2" i="15"/>
  <c r="CG2" i="15" a="1"/>
  <c r="AW2" i="15"/>
  <c r="AV2" i="15"/>
  <c r="J2" i="15"/>
  <c r="HI2" i="15" s="1"/>
  <c r="G2" i="15"/>
  <c r="IU2" i="14"/>
  <c r="IR2" i="14"/>
  <c r="IP2" i="14"/>
  <c r="IN2" i="14"/>
  <c r="IX2" i="14" s="1"/>
  <c r="IL2" i="14"/>
  <c r="HX2" i="14"/>
  <c r="IW2" i="14" s="1"/>
  <c r="HX2" i="14" a="1"/>
  <c r="HW2" i="14" a="1"/>
  <c r="HW2" i="14" s="1"/>
  <c r="IV2" i="14" s="1"/>
  <c r="HV2" i="14"/>
  <c r="HV2" i="14" a="1"/>
  <c r="HU2" i="14" a="1"/>
  <c r="HU2" i="14" s="1"/>
  <c r="IT2" i="14" s="1"/>
  <c r="HT2" i="14" a="1"/>
  <c r="HT2" i="14" s="1"/>
  <c r="IS2" i="14" s="1"/>
  <c r="HS2" i="14"/>
  <c r="HS2" i="14" a="1"/>
  <c r="HR2" i="14"/>
  <c r="IQ2" i="14" s="1"/>
  <c r="HR2" i="14" a="1"/>
  <c r="HQ2" i="14" a="1"/>
  <c r="HQ2" i="14" s="1"/>
  <c r="HP2" i="14" a="1"/>
  <c r="HP2" i="14" s="1"/>
  <c r="IO2" i="14" s="1"/>
  <c r="HL2" i="14"/>
  <c r="HJ2" i="14"/>
  <c r="HH2" i="14"/>
  <c r="HI2" i="14" s="1"/>
  <c r="HB2" i="14"/>
  <c r="HA2" i="14"/>
  <c r="GZ2" i="14"/>
  <c r="GY2" i="14"/>
  <c r="GX2" i="14"/>
  <c r="GW2" i="14"/>
  <c r="GV2" i="14"/>
  <c r="GU2" i="14"/>
  <c r="GT2" i="14"/>
  <c r="HC2" i="14" s="1"/>
  <c r="GP2" i="14"/>
  <c r="GN2" i="14"/>
  <c r="GI2" i="14"/>
  <c r="GH2" i="14"/>
  <c r="GG2" i="14"/>
  <c r="GF2" i="14"/>
  <c r="GE2" i="14"/>
  <c r="GD2" i="14"/>
  <c r="GC2" i="14"/>
  <c r="GB2" i="14"/>
  <c r="GA2" i="14"/>
  <c r="FZ2" i="14"/>
  <c r="FY2" i="14"/>
  <c r="FX2" i="14"/>
  <c r="FW2" i="14"/>
  <c r="FV2" i="14"/>
  <c r="FU2" i="14"/>
  <c r="FT2" i="14"/>
  <c r="FS2" i="14"/>
  <c r="FR2" i="14"/>
  <c r="FQ2" i="14"/>
  <c r="FJ2" i="14"/>
  <c r="FI2" i="14"/>
  <c r="FH2" i="14"/>
  <c r="FG2" i="14"/>
  <c r="FF2" i="14"/>
  <c r="FP2" i="14" s="1"/>
  <c r="FE2" i="14"/>
  <c r="FD2" i="14"/>
  <c r="FC2" i="14"/>
  <c r="FB2" i="14"/>
  <c r="FA2" i="14"/>
  <c r="EZ2" i="14"/>
  <c r="EY2" i="14"/>
  <c r="EX2" i="14"/>
  <c r="EW2" i="14"/>
  <c r="EV2" i="14"/>
  <c r="EU2" i="14"/>
  <c r="ET2" i="14"/>
  <c r="ES2" i="14"/>
  <c r="ER2" i="14"/>
  <c r="EQ2" i="14"/>
  <c r="EP2" i="14"/>
  <c r="EO2" i="14"/>
  <c r="EN2" i="14"/>
  <c r="EM2" i="14"/>
  <c r="EL2" i="14"/>
  <c r="EK2" i="14"/>
  <c r="EJ2" i="14"/>
  <c r="EI2" i="14"/>
  <c r="EH2" i="14"/>
  <c r="EG2" i="14"/>
  <c r="EF2" i="14"/>
  <c r="EE2" i="14"/>
  <c r="ED2" i="14"/>
  <c r="EC2" i="14"/>
  <c r="EB2" i="14"/>
  <c r="EA2" i="14"/>
  <c r="DY2" i="14"/>
  <c r="DV2" i="14"/>
  <c r="DU2" i="14"/>
  <c r="DT2" i="14"/>
  <c r="DS2" i="14"/>
  <c r="DR2" i="14"/>
  <c r="DQ2" i="14"/>
  <c r="DP2" i="14"/>
  <c r="DO2" i="14"/>
  <c r="DN2" i="14"/>
  <c r="DM2" i="14"/>
  <c r="DM2" i="14" a="1"/>
  <c r="DL2" i="14"/>
  <c r="DK2" i="14"/>
  <c r="DJ2" i="14"/>
  <c r="DI2" i="14"/>
  <c r="DH2" i="14"/>
  <c r="DG2" i="14"/>
  <c r="DF2" i="14"/>
  <c r="DE2" i="14"/>
  <c r="DD2" i="14"/>
  <c r="DC2" i="14"/>
  <c r="DB2" i="14"/>
  <c r="DA2" i="14"/>
  <c r="CW2" i="14"/>
  <c r="CV2" i="14"/>
  <c r="CU2" i="14"/>
  <c r="CT2" i="14"/>
  <c r="CS2" i="14"/>
  <c r="CR2" i="14"/>
  <c r="GM2" i="14" s="1"/>
  <c r="CQ2" i="14"/>
  <c r="GL2" i="14" s="1"/>
  <c r="CP2" i="14"/>
  <c r="GJ2" i="14" s="1"/>
  <c r="GK2" i="14" s="1"/>
  <c r="CO2" i="14"/>
  <c r="DZ2" i="14" s="1"/>
  <c r="CN2" i="14"/>
  <c r="CM2" i="14"/>
  <c r="DX2" i="14" s="1"/>
  <c r="CL2" i="14"/>
  <c r="DW2" i="14" s="1"/>
  <c r="CK2" i="14"/>
  <c r="CZ2" i="14" s="1"/>
  <c r="CJ2" i="14"/>
  <c r="CY2" i="14" s="1"/>
  <c r="CI2" i="14"/>
  <c r="CX2" i="14" s="1"/>
  <c r="CG2" i="14" a="1"/>
  <c r="CG2" i="14" s="1"/>
  <c r="CH2" i="14" s="1"/>
  <c r="AW2" i="14"/>
  <c r="AV2" i="14"/>
  <c r="J2" i="14"/>
  <c r="G2" i="14"/>
  <c r="IV2" i="13"/>
  <c r="IU2" i="13"/>
  <c r="IT2" i="13"/>
  <c r="IS2" i="13"/>
  <c r="IP2" i="13"/>
  <c r="IL2" i="13"/>
  <c r="HX2" i="13"/>
  <c r="IW2" i="13" s="1"/>
  <c r="HX2" i="13" a="1"/>
  <c r="HW2" i="13"/>
  <c r="HW2" i="13" a="1"/>
  <c r="HV2" i="13"/>
  <c r="HV2" i="13" a="1"/>
  <c r="HU2" i="13" a="1"/>
  <c r="HU2" i="13" s="1"/>
  <c r="HT2" i="13"/>
  <c r="HT2" i="13" a="1"/>
  <c r="HS2" i="13"/>
  <c r="IR2" i="13" s="1"/>
  <c r="HS2" i="13" a="1"/>
  <c r="HR2" i="13" a="1"/>
  <c r="HR2" i="13" s="1"/>
  <c r="IQ2" i="13" s="1"/>
  <c r="HQ2" i="13"/>
  <c r="HQ2" i="13" a="1"/>
  <c r="HP2" i="13"/>
  <c r="IO2" i="13" s="1"/>
  <c r="HP2" i="13" a="1"/>
  <c r="HL2" i="13"/>
  <c r="HJ2" i="13"/>
  <c r="HH2" i="13"/>
  <c r="HB2" i="13"/>
  <c r="HA2" i="13"/>
  <c r="HC2" i="13" s="1"/>
  <c r="GZ2" i="13"/>
  <c r="GY2" i="13"/>
  <c r="GX2" i="13"/>
  <c r="GW2" i="13"/>
  <c r="GV2" i="13"/>
  <c r="GU2" i="13"/>
  <c r="GT2" i="13"/>
  <c r="GP2" i="13"/>
  <c r="GN2" i="13"/>
  <c r="GM2" i="13"/>
  <c r="GL2" i="13"/>
  <c r="GJ2" i="13"/>
  <c r="GK2" i="13" s="1"/>
  <c r="GI2" i="13"/>
  <c r="GH2" i="13"/>
  <c r="GG2" i="13"/>
  <c r="GF2" i="13"/>
  <c r="GE2" i="13"/>
  <c r="GD2" i="13"/>
  <c r="GC2" i="13"/>
  <c r="GB2" i="13"/>
  <c r="GA2" i="13"/>
  <c r="FZ2" i="13"/>
  <c r="FY2" i="13"/>
  <c r="FX2" i="13"/>
  <c r="FW2" i="13"/>
  <c r="FV2" i="13"/>
  <c r="FU2" i="13"/>
  <c r="FT2" i="13"/>
  <c r="FS2" i="13"/>
  <c r="FR2" i="13"/>
  <c r="FQ2" i="13"/>
  <c r="FO2" i="13"/>
  <c r="FN2" i="13"/>
  <c r="FL2" i="13"/>
  <c r="FK2" i="13"/>
  <c r="FJ2" i="13"/>
  <c r="FI2" i="13"/>
  <c r="FH2" i="13"/>
  <c r="FG2" i="13"/>
  <c r="FF2" i="13"/>
  <c r="FP2" i="13" s="1"/>
  <c r="FE2" i="13"/>
  <c r="FD2" i="13"/>
  <c r="FC2" i="13"/>
  <c r="FB2" i="13"/>
  <c r="FA2" i="13"/>
  <c r="EZ2" i="13"/>
  <c r="EY2" i="13"/>
  <c r="EX2" i="13"/>
  <c r="EW2" i="13"/>
  <c r="EV2" i="13"/>
  <c r="EU2" i="13"/>
  <c r="ET2" i="13"/>
  <c r="ES2" i="13"/>
  <c r="ER2" i="13"/>
  <c r="EQ2" i="13"/>
  <c r="EP2" i="13"/>
  <c r="EO2" i="13"/>
  <c r="EN2" i="13"/>
  <c r="EM2" i="13"/>
  <c r="EL2" i="13"/>
  <c r="EK2" i="13"/>
  <c r="EJ2" i="13"/>
  <c r="EI2" i="13"/>
  <c r="EH2" i="13"/>
  <c r="EG2" i="13"/>
  <c r="EF2" i="13"/>
  <c r="EE2" i="13"/>
  <c r="ED2" i="13"/>
  <c r="EC2" i="13"/>
  <c r="EB2" i="13"/>
  <c r="EA2" i="13"/>
  <c r="DY2" i="13"/>
  <c r="DW2" i="13"/>
  <c r="DV2" i="13"/>
  <c r="DU2" i="13"/>
  <c r="DT2" i="13"/>
  <c r="DS2" i="13"/>
  <c r="DR2" i="13"/>
  <c r="DQ2" i="13"/>
  <c r="DP2" i="13"/>
  <c r="DO2" i="13"/>
  <c r="DN2" i="13"/>
  <c r="DK2" i="13"/>
  <c r="DJ2" i="13"/>
  <c r="DI2" i="13"/>
  <c r="DH2" i="13"/>
  <c r="DG2" i="13"/>
  <c r="DF2" i="13"/>
  <c r="DE2" i="13"/>
  <c r="DD2" i="13"/>
  <c r="DC2" i="13"/>
  <c r="DB2" i="13"/>
  <c r="DA2" i="13"/>
  <c r="CV2" i="13"/>
  <c r="CU2" i="13"/>
  <c r="CT2" i="13"/>
  <c r="CS2" i="13"/>
  <c r="CR2" i="13"/>
  <c r="CQ2" i="13"/>
  <c r="CP2" i="13"/>
  <c r="CO2" i="13"/>
  <c r="DZ2" i="13" s="1"/>
  <c r="CN2" i="13"/>
  <c r="CM2" i="13"/>
  <c r="DX2" i="13" s="1"/>
  <c r="CL2" i="13"/>
  <c r="CG2" i="13" a="1"/>
  <c r="CG2" i="13" s="1"/>
  <c r="AW2" i="13"/>
  <c r="AV2" i="13"/>
  <c r="J2" i="13"/>
  <c r="G2" i="13"/>
  <c r="IQ2" i="12"/>
  <c r="IL2" i="12"/>
  <c r="HX2" i="12" a="1"/>
  <c r="HX2" i="12" s="1"/>
  <c r="IW2" i="12" s="1"/>
  <c r="HW2" i="12"/>
  <c r="IV2" i="12" s="1"/>
  <c r="HW2" i="12" a="1"/>
  <c r="HV2" i="12" a="1"/>
  <c r="HV2" i="12" s="1"/>
  <c r="IU2" i="12" s="1"/>
  <c r="HU2" i="12" a="1"/>
  <c r="HU2" i="12" s="1"/>
  <c r="IT2" i="12" s="1"/>
  <c r="HT2" i="12" a="1"/>
  <c r="HT2" i="12" s="1"/>
  <c r="IS2" i="12" s="1"/>
  <c r="HS2" i="12" a="1"/>
  <c r="HS2" i="12" s="1"/>
  <c r="IR2" i="12" s="1"/>
  <c r="HR2" i="12"/>
  <c r="HR2" i="12" a="1"/>
  <c r="HQ2" i="12" a="1"/>
  <c r="HQ2" i="12" s="1"/>
  <c r="IP2" i="12" s="1"/>
  <c r="HP2" i="12" a="1"/>
  <c r="HP2" i="12" s="1"/>
  <c r="IO2" i="12" s="1"/>
  <c r="HL2" i="12"/>
  <c r="HJ2" i="12"/>
  <c r="HI2" i="12"/>
  <c r="HH2" i="12"/>
  <c r="HB2" i="12"/>
  <c r="HA2" i="12"/>
  <c r="GZ2" i="12"/>
  <c r="GY2" i="12"/>
  <c r="GX2" i="12"/>
  <c r="GW2" i="12"/>
  <c r="GV2" i="12"/>
  <c r="GU2" i="12"/>
  <c r="HC2" i="12" s="1"/>
  <c r="GT2" i="12"/>
  <c r="GP2" i="12"/>
  <c r="GJ2" i="12"/>
  <c r="GK2" i="12" s="1"/>
  <c r="GI2" i="12"/>
  <c r="GH2" i="12"/>
  <c r="GG2" i="12"/>
  <c r="GF2" i="12"/>
  <c r="GE2" i="12"/>
  <c r="GD2" i="12"/>
  <c r="GC2" i="12"/>
  <c r="GB2" i="12"/>
  <c r="GA2" i="12"/>
  <c r="FZ2" i="12"/>
  <c r="FY2" i="12"/>
  <c r="FX2" i="12"/>
  <c r="FW2" i="12"/>
  <c r="FV2" i="12"/>
  <c r="FU2" i="12"/>
  <c r="FT2" i="12"/>
  <c r="FS2" i="12"/>
  <c r="FR2" i="12"/>
  <c r="FQ2" i="12"/>
  <c r="FO2" i="12"/>
  <c r="FJ2" i="12"/>
  <c r="FI2" i="12"/>
  <c r="FL2" i="12" s="1"/>
  <c r="FH2" i="12"/>
  <c r="FG2" i="12"/>
  <c r="FF2" i="12"/>
  <c r="FP2" i="12" s="1"/>
  <c r="FE2" i="12"/>
  <c r="FD2" i="12"/>
  <c r="FC2" i="12"/>
  <c r="FB2" i="12"/>
  <c r="FA2" i="12"/>
  <c r="EZ2" i="12"/>
  <c r="EY2" i="12"/>
  <c r="EX2" i="12"/>
  <c r="EW2" i="12"/>
  <c r="EV2" i="12"/>
  <c r="EU2" i="12"/>
  <c r="ET2" i="12"/>
  <c r="ES2" i="12"/>
  <c r="ER2" i="12"/>
  <c r="EQ2" i="12"/>
  <c r="EP2" i="12"/>
  <c r="EO2" i="12"/>
  <c r="EN2" i="12"/>
  <c r="EM2" i="12"/>
  <c r="EL2" i="12"/>
  <c r="EK2" i="12"/>
  <c r="EJ2" i="12"/>
  <c r="EI2" i="12"/>
  <c r="EH2" i="12"/>
  <c r="EG2" i="12"/>
  <c r="EF2" i="12"/>
  <c r="EE2" i="12"/>
  <c r="ED2" i="12"/>
  <c r="EC2" i="12"/>
  <c r="EB2" i="12"/>
  <c r="EA2" i="12"/>
  <c r="DY2" i="12"/>
  <c r="DW2" i="12"/>
  <c r="DV2" i="12"/>
  <c r="DU2" i="12"/>
  <c r="DT2" i="12"/>
  <c r="DS2" i="12"/>
  <c r="DR2" i="12"/>
  <c r="DQ2" i="12"/>
  <c r="DP2" i="12"/>
  <c r="DO2" i="12"/>
  <c r="DN2" i="12"/>
  <c r="DK2" i="12"/>
  <c r="DJ2" i="12"/>
  <c r="DI2" i="12"/>
  <c r="DH2" i="12"/>
  <c r="DG2" i="12"/>
  <c r="DF2" i="12"/>
  <c r="DE2" i="12"/>
  <c r="DD2" i="12"/>
  <c r="DC2" i="12"/>
  <c r="DB2" i="12"/>
  <c r="DA2" i="12"/>
  <c r="CV2" i="12"/>
  <c r="CU2" i="12"/>
  <c r="CT2" i="12"/>
  <c r="CS2" i="12"/>
  <c r="GN2" i="12" s="1"/>
  <c r="CR2" i="12"/>
  <c r="GM2" i="12" s="1"/>
  <c r="CQ2" i="12"/>
  <c r="GL2" i="12" s="1"/>
  <c r="CP2" i="12"/>
  <c r="CO2" i="12"/>
  <c r="DZ2" i="12" s="1"/>
  <c r="CN2" i="12"/>
  <c r="CM2" i="12"/>
  <c r="DX2" i="12" s="1"/>
  <c r="CL2" i="12"/>
  <c r="CG2" i="12"/>
  <c r="CG2" i="12" a="1"/>
  <c r="AW2" i="12"/>
  <c r="AV2" i="12"/>
  <c r="J2" i="12"/>
  <c r="G2" i="12"/>
  <c r="IR2" i="11"/>
  <c r="IQ2" i="11"/>
  <c r="IP2" i="11"/>
  <c r="IO2" i="11"/>
  <c r="IL2" i="11"/>
  <c r="HX2" i="11" a="1"/>
  <c r="HX2" i="11" s="1"/>
  <c r="IW2" i="11" s="1"/>
  <c r="HW2" i="11" a="1"/>
  <c r="HW2" i="11" s="1"/>
  <c r="IV2" i="11" s="1"/>
  <c r="HV2" i="11" a="1"/>
  <c r="HV2" i="11" s="1"/>
  <c r="IU2" i="11" s="1"/>
  <c r="HU2" i="11" a="1"/>
  <c r="HU2" i="11" s="1"/>
  <c r="IT2" i="11" s="1"/>
  <c r="HT2" i="11" a="1"/>
  <c r="HT2" i="11" s="1"/>
  <c r="IS2" i="11" s="1"/>
  <c r="HS2" i="11" a="1"/>
  <c r="HS2" i="11" s="1"/>
  <c r="HR2" i="11" a="1"/>
  <c r="HR2" i="11" s="1"/>
  <c r="HQ2" i="11" a="1"/>
  <c r="HQ2" i="11" s="1"/>
  <c r="HP2" i="11"/>
  <c r="HP2" i="11" a="1"/>
  <c r="HL2" i="11"/>
  <c r="HJ2" i="11"/>
  <c r="HI2" i="11"/>
  <c r="HH2" i="11"/>
  <c r="HB2" i="11"/>
  <c r="HA2" i="11"/>
  <c r="GZ2" i="11"/>
  <c r="GY2" i="11"/>
  <c r="GX2" i="11"/>
  <c r="GW2" i="11"/>
  <c r="GV2" i="11"/>
  <c r="GU2" i="11"/>
  <c r="GT2" i="11"/>
  <c r="HC2" i="11" s="1"/>
  <c r="GP2" i="11"/>
  <c r="GN2" i="11"/>
  <c r="GI2" i="11"/>
  <c r="GH2" i="11"/>
  <c r="GG2" i="11"/>
  <c r="GF2" i="11"/>
  <c r="GE2" i="11"/>
  <c r="GD2" i="11"/>
  <c r="GC2" i="11"/>
  <c r="GB2" i="11"/>
  <c r="GA2" i="11"/>
  <c r="FZ2" i="11"/>
  <c r="FY2" i="11"/>
  <c r="FX2" i="11"/>
  <c r="FW2" i="11"/>
  <c r="FV2" i="11"/>
  <c r="FU2" i="11"/>
  <c r="FT2" i="11"/>
  <c r="FS2" i="11"/>
  <c r="FR2" i="11"/>
  <c r="FQ2" i="11"/>
  <c r="FP2" i="11"/>
  <c r="FM2" i="11"/>
  <c r="FL2" i="11"/>
  <c r="FK2" i="11"/>
  <c r="FJ2" i="11"/>
  <c r="FI2" i="11"/>
  <c r="FH2" i="11"/>
  <c r="FG2" i="11"/>
  <c r="FF2" i="11"/>
  <c r="FE2" i="11"/>
  <c r="FD2" i="11"/>
  <c r="FC2" i="11"/>
  <c r="FB2" i="11"/>
  <c r="FA2" i="11"/>
  <c r="EZ2" i="11"/>
  <c r="EY2" i="11"/>
  <c r="EX2" i="11"/>
  <c r="EW2" i="11"/>
  <c r="EV2" i="11"/>
  <c r="EU2" i="11"/>
  <c r="ET2" i="11"/>
  <c r="ES2" i="11"/>
  <c r="ER2" i="11"/>
  <c r="EQ2" i="11"/>
  <c r="EP2" i="11"/>
  <c r="EO2" i="11"/>
  <c r="EN2" i="11"/>
  <c r="EM2" i="11"/>
  <c r="EL2" i="11"/>
  <c r="EK2" i="11"/>
  <c r="EJ2" i="11"/>
  <c r="EI2" i="11"/>
  <c r="EH2" i="11"/>
  <c r="EG2" i="11"/>
  <c r="EF2" i="11"/>
  <c r="EE2" i="11"/>
  <c r="ED2" i="11"/>
  <c r="EC2" i="11"/>
  <c r="EB2" i="11"/>
  <c r="EA2" i="11"/>
  <c r="DX2" i="11"/>
  <c r="DV2" i="11"/>
  <c r="DU2" i="11"/>
  <c r="DT2" i="11"/>
  <c r="DS2" i="11"/>
  <c r="DR2" i="11"/>
  <c r="DQ2" i="11"/>
  <c r="DP2" i="11"/>
  <c r="DO2" i="11"/>
  <c r="DN2" i="11"/>
  <c r="DK2" i="11"/>
  <c r="DJ2" i="11"/>
  <c r="DI2" i="11"/>
  <c r="DH2" i="11"/>
  <c r="DG2" i="11"/>
  <c r="DF2" i="11"/>
  <c r="DE2" i="11"/>
  <c r="DD2" i="11"/>
  <c r="DC2" i="11"/>
  <c r="DB2" i="11"/>
  <c r="DA2" i="11"/>
  <c r="CV2" i="11"/>
  <c r="CU2" i="11"/>
  <c r="CT2" i="11"/>
  <c r="CS2" i="11"/>
  <c r="CR2" i="11"/>
  <c r="GM2" i="11" s="1"/>
  <c r="CQ2" i="11"/>
  <c r="GL2" i="11" s="1"/>
  <c r="CP2" i="11"/>
  <c r="GJ2" i="11" s="1"/>
  <c r="GK2" i="11" s="1"/>
  <c r="CO2" i="11"/>
  <c r="DZ2" i="11" s="1"/>
  <c r="CN2" i="11"/>
  <c r="DY2" i="11" s="1"/>
  <c r="CM2" i="11"/>
  <c r="CL2" i="11"/>
  <c r="DW2" i="11" s="1"/>
  <c r="CG2" i="11" a="1"/>
  <c r="CG2" i="11" s="1"/>
  <c r="AW2" i="11"/>
  <c r="AV2" i="11"/>
  <c r="J2" i="11"/>
  <c r="G2" i="11"/>
  <c r="IL2" i="10"/>
  <c r="HX2" i="10" a="1"/>
  <c r="HX2" i="10" s="1"/>
  <c r="IW2" i="10" s="1"/>
  <c r="HW2" i="10" a="1"/>
  <c r="HW2" i="10" s="1"/>
  <c r="IV2" i="10" s="1"/>
  <c r="HV2" i="10" a="1"/>
  <c r="HV2" i="10" s="1"/>
  <c r="IU2" i="10" s="1"/>
  <c r="HU2" i="10" a="1"/>
  <c r="HU2" i="10" s="1"/>
  <c r="IT2" i="10" s="1"/>
  <c r="HT2" i="10"/>
  <c r="IS2" i="10" s="1"/>
  <c r="HT2" i="10" a="1"/>
  <c r="HS2" i="10"/>
  <c r="IR2" i="10" s="1"/>
  <c r="HS2" i="10" a="1"/>
  <c r="HR2" i="10" a="1"/>
  <c r="HR2" i="10" s="1"/>
  <c r="IQ2" i="10" s="1"/>
  <c r="HQ2" i="10" a="1"/>
  <c r="HQ2" i="10" s="1"/>
  <c r="IP2" i="10" s="1"/>
  <c r="HP2" i="10" a="1"/>
  <c r="HP2" i="10" s="1"/>
  <c r="IO2" i="10" s="1"/>
  <c r="HL2" i="10"/>
  <c r="HJ2" i="10"/>
  <c r="HI2" i="10"/>
  <c r="HH2" i="10"/>
  <c r="HB2" i="10"/>
  <c r="HA2" i="10"/>
  <c r="GZ2" i="10"/>
  <c r="GY2" i="10"/>
  <c r="GX2" i="10"/>
  <c r="GW2" i="10"/>
  <c r="GV2" i="10"/>
  <c r="GU2" i="10"/>
  <c r="GT2" i="10"/>
  <c r="GP2" i="10"/>
  <c r="GM2" i="10"/>
  <c r="GJ2" i="10"/>
  <c r="GK2" i="10" s="1"/>
  <c r="GI2" i="10"/>
  <c r="GH2" i="10"/>
  <c r="GG2" i="10"/>
  <c r="GF2" i="10"/>
  <c r="GE2" i="10"/>
  <c r="GD2" i="10"/>
  <c r="GC2" i="10"/>
  <c r="GB2" i="10"/>
  <c r="GA2" i="10"/>
  <c r="FZ2" i="10"/>
  <c r="FY2" i="10"/>
  <c r="FX2" i="10"/>
  <c r="FW2" i="10"/>
  <c r="FV2" i="10"/>
  <c r="FU2" i="10"/>
  <c r="FT2" i="10"/>
  <c r="FS2" i="10"/>
  <c r="FR2" i="10"/>
  <c r="FQ2" i="10"/>
  <c r="FJ2" i="10"/>
  <c r="FI2" i="10"/>
  <c r="FL2" i="10" s="1"/>
  <c r="FH2" i="10"/>
  <c r="FK2" i="10" s="1"/>
  <c r="FG2" i="10"/>
  <c r="FF2" i="10"/>
  <c r="FP2" i="10" s="1"/>
  <c r="FE2" i="10"/>
  <c r="FN2" i="10" s="1"/>
  <c r="FD2" i="10"/>
  <c r="FC2" i="10"/>
  <c r="FB2" i="10"/>
  <c r="FA2" i="10"/>
  <c r="EZ2" i="10"/>
  <c r="EY2" i="10"/>
  <c r="EX2" i="10"/>
  <c r="EW2" i="10"/>
  <c r="EV2" i="10"/>
  <c r="EU2" i="10"/>
  <c r="ET2" i="10"/>
  <c r="ES2" i="10"/>
  <c r="ER2" i="10"/>
  <c r="EQ2" i="10"/>
  <c r="EP2" i="10"/>
  <c r="EO2" i="10"/>
  <c r="EN2" i="10"/>
  <c r="EM2" i="10"/>
  <c r="EL2" i="10"/>
  <c r="EK2" i="10"/>
  <c r="EJ2" i="10"/>
  <c r="EI2" i="10"/>
  <c r="EH2" i="10"/>
  <c r="EG2" i="10"/>
  <c r="EF2" i="10"/>
  <c r="EE2" i="10"/>
  <c r="ED2" i="10"/>
  <c r="EC2" i="10"/>
  <c r="EB2" i="10"/>
  <c r="EA2" i="10"/>
  <c r="DZ2" i="10"/>
  <c r="DY2" i="10"/>
  <c r="DX2" i="10"/>
  <c r="DV2" i="10"/>
  <c r="DU2" i="10"/>
  <c r="DT2" i="10"/>
  <c r="DS2" i="10"/>
  <c r="DR2" i="10"/>
  <c r="DQ2" i="10"/>
  <c r="DP2" i="10"/>
  <c r="DO2" i="10"/>
  <c r="DN2" i="10"/>
  <c r="DK2" i="10"/>
  <c r="DJ2" i="10"/>
  <c r="DI2" i="10"/>
  <c r="DH2" i="10"/>
  <c r="DG2" i="10"/>
  <c r="DF2" i="10"/>
  <c r="DE2" i="10"/>
  <c r="DD2" i="10"/>
  <c r="DC2" i="10"/>
  <c r="DB2" i="10"/>
  <c r="DA2" i="10"/>
  <c r="CV2" i="10"/>
  <c r="CU2" i="10"/>
  <c r="CT2" i="10"/>
  <c r="CS2" i="10"/>
  <c r="GN2" i="10" s="1"/>
  <c r="CR2" i="10"/>
  <c r="CQ2" i="10"/>
  <c r="GL2" i="10" s="1"/>
  <c r="CP2" i="10"/>
  <c r="CO2" i="10"/>
  <c r="CN2" i="10"/>
  <c r="CM2" i="10"/>
  <c r="CL2" i="10"/>
  <c r="DW2" i="10" s="1"/>
  <c r="CG2" i="10"/>
  <c r="CI2" i="10" s="1"/>
  <c r="CX2" i="10" s="1"/>
  <c r="CG2" i="10" a="1"/>
  <c r="AW2" i="10"/>
  <c r="AV2" i="10"/>
  <c r="J2" i="10"/>
  <c r="G2" i="10"/>
  <c r="IS2" i="9"/>
  <c r="IR2" i="9"/>
  <c r="IL2" i="9"/>
  <c r="HX2" i="9" a="1"/>
  <c r="HX2" i="9" s="1"/>
  <c r="IW2" i="9" s="1"/>
  <c r="HW2" i="9" a="1"/>
  <c r="HW2" i="9" s="1"/>
  <c r="IV2" i="9" s="1"/>
  <c r="HV2" i="9"/>
  <c r="IU2" i="9" s="1"/>
  <c r="HV2" i="9" a="1"/>
  <c r="HU2" i="9"/>
  <c r="IT2" i="9" s="1"/>
  <c r="HU2" i="9" a="1"/>
  <c r="HT2" i="9"/>
  <c r="HT2" i="9" a="1"/>
  <c r="HS2" i="9" a="1"/>
  <c r="HS2" i="9" s="1"/>
  <c r="HR2" i="9" a="1"/>
  <c r="HR2" i="9" s="1"/>
  <c r="IQ2" i="9" s="1"/>
  <c r="HQ2" i="9" a="1"/>
  <c r="HQ2" i="9" s="1"/>
  <c r="IP2" i="9" s="1"/>
  <c r="HP2" i="9" a="1"/>
  <c r="HP2" i="9" s="1"/>
  <c r="IO2" i="9" s="1"/>
  <c r="HL2" i="9"/>
  <c r="HJ2" i="9"/>
  <c r="HH2" i="9"/>
  <c r="HB2" i="9"/>
  <c r="HA2" i="9"/>
  <c r="GZ2" i="9"/>
  <c r="GY2" i="9"/>
  <c r="GX2" i="9"/>
  <c r="GW2" i="9"/>
  <c r="GV2" i="9"/>
  <c r="GU2" i="9"/>
  <c r="GT2" i="9"/>
  <c r="HC2" i="9" s="1"/>
  <c r="GP2" i="9"/>
  <c r="GI2" i="9"/>
  <c r="GH2" i="9"/>
  <c r="GG2" i="9"/>
  <c r="GF2" i="9"/>
  <c r="GE2" i="9"/>
  <c r="GD2" i="9"/>
  <c r="GC2" i="9"/>
  <c r="GB2" i="9"/>
  <c r="GA2" i="9"/>
  <c r="FZ2" i="9"/>
  <c r="FY2" i="9"/>
  <c r="FX2" i="9"/>
  <c r="FW2" i="9"/>
  <c r="FV2" i="9"/>
  <c r="FU2" i="9"/>
  <c r="FT2" i="9"/>
  <c r="FS2" i="9"/>
  <c r="FR2" i="9"/>
  <c r="FQ2" i="9"/>
  <c r="FP2" i="9"/>
  <c r="FN2" i="9"/>
  <c r="FK2" i="9"/>
  <c r="FJ2" i="9"/>
  <c r="FM2" i="9" s="1"/>
  <c r="FI2" i="9"/>
  <c r="FL2" i="9" s="1"/>
  <c r="FH2" i="9"/>
  <c r="FG2" i="9"/>
  <c r="FO2" i="9" s="1"/>
  <c r="FF2" i="9"/>
  <c r="FE2" i="9"/>
  <c r="FD2" i="9"/>
  <c r="FC2" i="9"/>
  <c r="FB2" i="9"/>
  <c r="FA2" i="9"/>
  <c r="EZ2" i="9"/>
  <c r="EY2" i="9"/>
  <c r="EX2" i="9"/>
  <c r="EW2" i="9"/>
  <c r="EV2" i="9"/>
  <c r="EU2" i="9"/>
  <c r="ET2" i="9"/>
  <c r="ES2" i="9"/>
  <c r="ER2" i="9"/>
  <c r="EQ2" i="9"/>
  <c r="EP2" i="9"/>
  <c r="EO2" i="9"/>
  <c r="EN2" i="9"/>
  <c r="EM2" i="9"/>
  <c r="EL2" i="9"/>
  <c r="EK2" i="9"/>
  <c r="EJ2" i="9"/>
  <c r="EI2" i="9"/>
  <c r="EH2" i="9"/>
  <c r="EG2" i="9"/>
  <c r="EF2" i="9"/>
  <c r="EE2" i="9"/>
  <c r="ED2" i="9"/>
  <c r="EC2" i="9"/>
  <c r="EB2" i="9"/>
  <c r="EA2" i="9"/>
  <c r="DX2" i="9"/>
  <c r="DW2" i="9"/>
  <c r="DV2" i="9"/>
  <c r="DU2" i="9"/>
  <c r="DT2" i="9"/>
  <c r="DS2" i="9"/>
  <c r="DR2" i="9"/>
  <c r="DQ2" i="9"/>
  <c r="DP2" i="9"/>
  <c r="DO2" i="9"/>
  <c r="DN2" i="9"/>
  <c r="DK2" i="9"/>
  <c r="DJ2" i="9"/>
  <c r="DI2" i="9"/>
  <c r="DH2" i="9"/>
  <c r="DG2" i="9"/>
  <c r="DF2" i="9"/>
  <c r="DE2" i="9"/>
  <c r="DD2" i="9"/>
  <c r="DC2" i="9"/>
  <c r="DB2" i="9"/>
  <c r="DA2" i="9"/>
  <c r="CV2" i="9"/>
  <c r="CU2" i="9"/>
  <c r="CT2" i="9"/>
  <c r="CS2" i="9"/>
  <c r="GN2" i="9" s="1"/>
  <c r="CR2" i="9"/>
  <c r="GM2" i="9" s="1"/>
  <c r="CQ2" i="9"/>
  <c r="GL2" i="9" s="1"/>
  <c r="CP2" i="9"/>
  <c r="GJ2" i="9" s="1"/>
  <c r="GK2" i="9" s="1"/>
  <c r="CO2" i="9"/>
  <c r="DZ2" i="9" s="1"/>
  <c r="CN2" i="9"/>
  <c r="DY2" i="9" s="1"/>
  <c r="CM2" i="9"/>
  <c r="CL2" i="9"/>
  <c r="CG2" i="9" a="1"/>
  <c r="CG2" i="9" s="1"/>
  <c r="AW2" i="9"/>
  <c r="AV2" i="9"/>
  <c r="J2" i="9"/>
  <c r="HI2" i="9" s="1"/>
  <c r="G2" i="9"/>
  <c r="IU2" i="8"/>
  <c r="IO2" i="8"/>
  <c r="IL2" i="8"/>
  <c r="HX2" i="8" a="1"/>
  <c r="HX2" i="8" s="1"/>
  <c r="IW2" i="8" s="1"/>
  <c r="HW2" i="8" a="1"/>
  <c r="HW2" i="8" s="1"/>
  <c r="IV2" i="8" s="1"/>
  <c r="HV2" i="8"/>
  <c r="HV2" i="8" a="1"/>
  <c r="HU2" i="8" a="1"/>
  <c r="HU2" i="8" s="1"/>
  <c r="IT2" i="8" s="1"/>
  <c r="HT2" i="8" a="1"/>
  <c r="HT2" i="8" s="1"/>
  <c r="IS2" i="8" s="1"/>
  <c r="HS2" i="8"/>
  <c r="IR2" i="8" s="1"/>
  <c r="HS2" i="8" a="1"/>
  <c r="HR2" i="8" a="1"/>
  <c r="HR2" i="8" s="1"/>
  <c r="IQ2" i="8" s="1"/>
  <c r="HQ2" i="8"/>
  <c r="IP2" i="8" s="1"/>
  <c r="HQ2" i="8" a="1"/>
  <c r="HP2" i="8"/>
  <c r="HP2" i="8" a="1"/>
  <c r="HL2" i="8"/>
  <c r="HJ2" i="8"/>
  <c r="HI2" i="8"/>
  <c r="HH2" i="8"/>
  <c r="HB2" i="8"/>
  <c r="HC2" i="8" s="1"/>
  <c r="HA2" i="8"/>
  <c r="GZ2" i="8"/>
  <c r="GY2" i="8"/>
  <c r="GX2" i="8"/>
  <c r="GW2" i="8"/>
  <c r="GV2" i="8"/>
  <c r="GU2" i="8"/>
  <c r="GT2" i="8"/>
  <c r="GP2" i="8"/>
  <c r="GI2" i="8"/>
  <c r="GH2" i="8"/>
  <c r="GG2" i="8"/>
  <c r="GF2" i="8"/>
  <c r="GE2" i="8"/>
  <c r="GD2" i="8"/>
  <c r="GC2" i="8"/>
  <c r="GB2" i="8"/>
  <c r="GA2" i="8"/>
  <c r="FZ2" i="8"/>
  <c r="FY2" i="8"/>
  <c r="FX2" i="8"/>
  <c r="FW2" i="8"/>
  <c r="FV2" i="8"/>
  <c r="FU2" i="8"/>
  <c r="FT2" i="8"/>
  <c r="FS2" i="8"/>
  <c r="FR2" i="8"/>
  <c r="FQ2" i="8"/>
  <c r="FP2" i="8"/>
  <c r="FO2" i="8"/>
  <c r="FN2" i="8"/>
  <c r="FM2" i="8"/>
  <c r="FL2" i="8"/>
  <c r="FK2" i="8"/>
  <c r="FJ2" i="8"/>
  <c r="FI2" i="8"/>
  <c r="FH2" i="8"/>
  <c r="FG2" i="8"/>
  <c r="FF2" i="8"/>
  <c r="FE2" i="8"/>
  <c r="FD2" i="8"/>
  <c r="FC2" i="8"/>
  <c r="FB2" i="8"/>
  <c r="FA2" i="8"/>
  <c r="EZ2" i="8"/>
  <c r="EY2" i="8"/>
  <c r="EX2" i="8"/>
  <c r="EW2" i="8"/>
  <c r="EV2" i="8"/>
  <c r="EU2" i="8"/>
  <c r="ET2" i="8"/>
  <c r="ES2" i="8"/>
  <c r="ER2" i="8"/>
  <c r="EQ2" i="8"/>
  <c r="EP2" i="8"/>
  <c r="EO2" i="8"/>
  <c r="EN2" i="8"/>
  <c r="EM2" i="8"/>
  <c r="EL2" i="8"/>
  <c r="EK2" i="8"/>
  <c r="EJ2" i="8"/>
  <c r="EI2" i="8"/>
  <c r="EH2" i="8"/>
  <c r="EG2" i="8"/>
  <c r="EF2" i="8"/>
  <c r="EE2" i="8"/>
  <c r="ED2" i="8"/>
  <c r="EC2" i="8"/>
  <c r="EB2" i="8"/>
  <c r="EA2" i="8"/>
  <c r="DY2" i="8"/>
  <c r="DX2" i="8"/>
  <c r="DV2" i="8"/>
  <c r="DU2" i="8"/>
  <c r="DT2" i="8"/>
  <c r="DS2" i="8"/>
  <c r="DR2" i="8"/>
  <c r="DQ2" i="8"/>
  <c r="DP2" i="8"/>
  <c r="DO2" i="8"/>
  <c r="DN2" i="8"/>
  <c r="DK2" i="8"/>
  <c r="DJ2" i="8"/>
  <c r="DI2" i="8"/>
  <c r="DH2" i="8"/>
  <c r="DG2" i="8"/>
  <c r="DF2" i="8"/>
  <c r="DE2" i="8"/>
  <c r="DD2" i="8"/>
  <c r="DC2" i="8"/>
  <c r="DB2" i="8"/>
  <c r="DA2" i="8"/>
  <c r="CV2" i="8"/>
  <c r="CU2" i="8"/>
  <c r="CT2" i="8"/>
  <c r="CS2" i="8"/>
  <c r="GN2" i="8" s="1"/>
  <c r="CR2" i="8"/>
  <c r="GM2" i="8" s="1"/>
  <c r="CQ2" i="8"/>
  <c r="GL2" i="8" s="1"/>
  <c r="CP2" i="8"/>
  <c r="GJ2" i="8" s="1"/>
  <c r="GK2" i="8" s="1"/>
  <c r="CO2" i="8"/>
  <c r="DZ2" i="8" s="1"/>
  <c r="CN2" i="8"/>
  <c r="CM2" i="8"/>
  <c r="CL2" i="8"/>
  <c r="DW2" i="8" s="1"/>
  <c r="CG2" i="8" a="1"/>
  <c r="CG2" i="8" s="1"/>
  <c r="AW2" i="8"/>
  <c r="AV2" i="8"/>
  <c r="J2" i="8"/>
  <c r="G2" i="8"/>
  <c r="IT2" i="7"/>
  <c r="IS2" i="7"/>
  <c r="IR2" i="7"/>
  <c r="IL2" i="7"/>
  <c r="HX2" i="7" a="1"/>
  <c r="HX2" i="7" s="1"/>
  <c r="IW2" i="7" s="1"/>
  <c r="HW2" i="7" a="1"/>
  <c r="HW2" i="7" s="1"/>
  <c r="IV2" i="7" s="1"/>
  <c r="HV2" i="7" a="1"/>
  <c r="HV2" i="7" s="1"/>
  <c r="IU2" i="7" s="1"/>
  <c r="HU2" i="7"/>
  <c r="HU2" i="7" a="1"/>
  <c r="HT2" i="7"/>
  <c r="HT2" i="7" a="1"/>
  <c r="HS2" i="7" a="1"/>
  <c r="HS2" i="7" s="1"/>
  <c r="HR2" i="7" a="1"/>
  <c r="HR2" i="7" s="1"/>
  <c r="IQ2" i="7" s="1"/>
  <c r="HQ2" i="7" a="1"/>
  <c r="HQ2" i="7" s="1"/>
  <c r="IP2" i="7" s="1"/>
  <c r="HP2" i="7" a="1"/>
  <c r="HP2" i="7" s="1"/>
  <c r="IO2" i="7" s="1"/>
  <c r="HL2" i="7"/>
  <c r="HJ2" i="7"/>
  <c r="HH2" i="7"/>
  <c r="HB2" i="7"/>
  <c r="HA2" i="7"/>
  <c r="GZ2" i="7"/>
  <c r="GY2" i="7"/>
  <c r="GX2" i="7"/>
  <c r="HC2" i="7" s="1"/>
  <c r="GW2" i="7"/>
  <c r="GV2" i="7"/>
  <c r="GU2" i="7"/>
  <c r="GT2" i="7"/>
  <c r="GP2" i="7"/>
  <c r="GJ2" i="7"/>
  <c r="GK2" i="7" s="1"/>
  <c r="GI2" i="7"/>
  <c r="GH2" i="7"/>
  <c r="GG2" i="7"/>
  <c r="GF2" i="7"/>
  <c r="GE2" i="7"/>
  <c r="GD2" i="7"/>
  <c r="GC2" i="7"/>
  <c r="GB2" i="7"/>
  <c r="GA2" i="7"/>
  <c r="FZ2" i="7"/>
  <c r="FY2" i="7"/>
  <c r="FX2" i="7"/>
  <c r="FW2" i="7"/>
  <c r="FV2" i="7"/>
  <c r="FU2" i="7"/>
  <c r="FT2" i="7"/>
  <c r="FS2" i="7"/>
  <c r="FR2" i="7"/>
  <c r="FQ2" i="7"/>
  <c r="FP2" i="7"/>
  <c r="FO2" i="7"/>
  <c r="FN2" i="7"/>
  <c r="FM2" i="7"/>
  <c r="FL2" i="7"/>
  <c r="FK2" i="7"/>
  <c r="FJ2" i="7"/>
  <c r="FI2" i="7"/>
  <c r="FH2" i="7"/>
  <c r="FG2" i="7"/>
  <c r="FF2" i="7"/>
  <c r="FE2" i="7"/>
  <c r="FD2" i="7"/>
  <c r="FC2" i="7"/>
  <c r="FB2" i="7"/>
  <c r="FA2" i="7"/>
  <c r="EZ2" i="7"/>
  <c r="EY2" i="7"/>
  <c r="EX2" i="7"/>
  <c r="EW2" i="7"/>
  <c r="EV2" i="7"/>
  <c r="EU2" i="7"/>
  <c r="ET2" i="7"/>
  <c r="ES2" i="7"/>
  <c r="ER2" i="7"/>
  <c r="EQ2" i="7"/>
  <c r="EP2" i="7"/>
  <c r="EO2" i="7"/>
  <c r="EN2" i="7"/>
  <c r="EM2" i="7"/>
  <c r="EL2" i="7"/>
  <c r="EK2" i="7"/>
  <c r="EJ2" i="7"/>
  <c r="EI2" i="7"/>
  <c r="EH2" i="7"/>
  <c r="EG2" i="7"/>
  <c r="EF2" i="7"/>
  <c r="EE2" i="7"/>
  <c r="ED2" i="7"/>
  <c r="EC2" i="7"/>
  <c r="EB2" i="7"/>
  <c r="EA2" i="7"/>
  <c r="DZ2" i="7"/>
  <c r="DV2" i="7"/>
  <c r="DU2" i="7"/>
  <c r="DT2" i="7"/>
  <c r="DS2" i="7"/>
  <c r="DR2" i="7"/>
  <c r="DQ2" i="7"/>
  <c r="DP2" i="7"/>
  <c r="DO2" i="7"/>
  <c r="DN2" i="7"/>
  <c r="DK2" i="7"/>
  <c r="DJ2" i="7"/>
  <c r="DI2" i="7"/>
  <c r="DH2" i="7"/>
  <c r="DG2" i="7"/>
  <c r="DF2" i="7"/>
  <c r="DE2" i="7"/>
  <c r="DD2" i="7"/>
  <c r="DC2" i="7"/>
  <c r="DB2" i="7"/>
  <c r="DA2" i="7"/>
  <c r="CV2" i="7"/>
  <c r="CU2" i="7"/>
  <c r="CT2" i="7"/>
  <c r="CS2" i="7"/>
  <c r="GN2" i="7" s="1"/>
  <c r="CR2" i="7"/>
  <c r="GM2" i="7" s="1"/>
  <c r="CQ2" i="7"/>
  <c r="GL2" i="7" s="1"/>
  <c r="CP2" i="7"/>
  <c r="CO2" i="7"/>
  <c r="CN2" i="7"/>
  <c r="DY2" i="7" s="1"/>
  <c r="CM2" i="7"/>
  <c r="DX2" i="7" s="1"/>
  <c r="CL2" i="7"/>
  <c r="DW2" i="7" s="1"/>
  <c r="CG2" i="7" a="1"/>
  <c r="CG2" i="7" s="1"/>
  <c r="AW2" i="7"/>
  <c r="AV2" i="7"/>
  <c r="J2" i="7"/>
  <c r="HI2" i="7" s="1"/>
  <c r="G2" i="7"/>
  <c r="IN2" i="6"/>
  <c r="IX2" i="6" s="1"/>
  <c r="IM2" i="6"/>
  <c r="IL2" i="6"/>
  <c r="HX2" i="6"/>
  <c r="IW2" i="6" s="1"/>
  <c r="HX2" i="6" a="1"/>
  <c r="HW2" i="6"/>
  <c r="IV2" i="6" s="1"/>
  <c r="HW2" i="6" a="1"/>
  <c r="HV2" i="6" a="1"/>
  <c r="HV2" i="6" s="1"/>
  <c r="IU2" i="6" s="1"/>
  <c r="HU2" i="6" a="1"/>
  <c r="HU2" i="6" s="1"/>
  <c r="IT2" i="6" s="1"/>
  <c r="HT2" i="6" a="1"/>
  <c r="HT2" i="6" s="1"/>
  <c r="IS2" i="6" s="1"/>
  <c r="HS2" i="6" a="1"/>
  <c r="HS2" i="6" s="1"/>
  <c r="IR2" i="6" s="1"/>
  <c r="HR2" i="6" a="1"/>
  <c r="HR2" i="6" s="1"/>
  <c r="IQ2" i="6" s="1"/>
  <c r="HQ2" i="6"/>
  <c r="IP2" i="6" s="1"/>
  <c r="HQ2" i="6" a="1"/>
  <c r="HP2" i="6" a="1"/>
  <c r="HP2" i="6" s="1"/>
  <c r="IO2" i="6" s="1"/>
  <c r="HL2" i="6"/>
  <c r="HJ2" i="6"/>
  <c r="HH2" i="6"/>
  <c r="HI2" i="6" s="1"/>
  <c r="HB2" i="6"/>
  <c r="HA2" i="6"/>
  <c r="GZ2" i="6"/>
  <c r="GY2" i="6"/>
  <c r="GX2" i="6"/>
  <c r="GW2" i="6"/>
  <c r="GV2" i="6"/>
  <c r="GU2" i="6"/>
  <c r="GT2" i="6"/>
  <c r="HC2" i="6" s="1"/>
  <c r="GP2" i="6"/>
  <c r="GN2" i="6"/>
  <c r="GM2" i="6"/>
  <c r="GL2" i="6"/>
  <c r="GK2" i="6"/>
  <c r="GI2" i="6"/>
  <c r="GH2" i="6"/>
  <c r="GG2" i="6"/>
  <c r="GF2" i="6"/>
  <c r="GE2" i="6"/>
  <c r="GD2" i="6"/>
  <c r="GC2" i="6"/>
  <c r="GB2" i="6"/>
  <c r="GA2" i="6"/>
  <c r="FZ2" i="6"/>
  <c r="FY2" i="6"/>
  <c r="FX2" i="6"/>
  <c r="FW2" i="6"/>
  <c r="FV2" i="6"/>
  <c r="FU2" i="6"/>
  <c r="FT2" i="6"/>
  <c r="FS2" i="6"/>
  <c r="FR2" i="6"/>
  <c r="FQ2" i="6"/>
  <c r="FP2" i="6"/>
  <c r="FJ2" i="6"/>
  <c r="FI2" i="6"/>
  <c r="FH2" i="6"/>
  <c r="FG2" i="6"/>
  <c r="FF2" i="6"/>
  <c r="FM2" i="6" s="1"/>
  <c r="FE2" i="6"/>
  <c r="FO2" i="6" s="1"/>
  <c r="FD2" i="6"/>
  <c r="FC2" i="6"/>
  <c r="FB2" i="6"/>
  <c r="FA2" i="6"/>
  <c r="EZ2" i="6"/>
  <c r="EY2" i="6"/>
  <c r="EX2" i="6"/>
  <c r="EW2" i="6"/>
  <c r="EV2" i="6"/>
  <c r="EU2" i="6"/>
  <c r="ET2" i="6"/>
  <c r="ES2" i="6"/>
  <c r="ER2" i="6"/>
  <c r="EQ2" i="6"/>
  <c r="EP2" i="6"/>
  <c r="EO2" i="6"/>
  <c r="EN2" i="6"/>
  <c r="EM2" i="6"/>
  <c r="EL2" i="6"/>
  <c r="EK2" i="6"/>
  <c r="EJ2" i="6"/>
  <c r="EI2" i="6"/>
  <c r="EH2" i="6"/>
  <c r="EG2" i="6"/>
  <c r="EF2" i="6"/>
  <c r="EE2" i="6"/>
  <c r="ED2" i="6"/>
  <c r="EC2" i="6"/>
  <c r="EB2" i="6"/>
  <c r="EA2" i="6"/>
  <c r="DZ2" i="6"/>
  <c r="DV2" i="6"/>
  <c r="DU2" i="6"/>
  <c r="DT2" i="6"/>
  <c r="DS2" i="6"/>
  <c r="DR2" i="6"/>
  <c r="DQ2" i="6"/>
  <c r="DP2" i="6"/>
  <c r="DO2" i="6"/>
  <c r="DN2" i="6"/>
  <c r="DL2" i="6"/>
  <c r="DK2" i="6"/>
  <c r="DJ2" i="6"/>
  <c r="DI2" i="6"/>
  <c r="DH2" i="6"/>
  <c r="DG2" i="6"/>
  <c r="DF2" i="6"/>
  <c r="DE2" i="6"/>
  <c r="DD2" i="6"/>
  <c r="DC2" i="6"/>
  <c r="DB2" i="6"/>
  <c r="DA2" i="6"/>
  <c r="CW2" i="6"/>
  <c r="CV2" i="6"/>
  <c r="CU2" i="6"/>
  <c r="CT2" i="6"/>
  <c r="CS2" i="6"/>
  <c r="CR2" i="6"/>
  <c r="CQ2" i="6"/>
  <c r="CP2" i="6"/>
  <c r="GJ2" i="6" s="1"/>
  <c r="CO2" i="6"/>
  <c r="CN2" i="6"/>
  <c r="DY2" i="6" s="1"/>
  <c r="CM2" i="6"/>
  <c r="DX2" i="6" s="1"/>
  <c r="CL2" i="6"/>
  <c r="DW2" i="6" s="1"/>
  <c r="CK2" i="6"/>
  <c r="CZ2" i="6" s="1"/>
  <c r="CJ2" i="6"/>
  <c r="CY2" i="6" s="1"/>
  <c r="CI2" i="6"/>
  <c r="CX2" i="6" s="1"/>
  <c r="CH2" i="6"/>
  <c r="CG2" i="6" a="1"/>
  <c r="CG2" i="6" s="1"/>
  <c r="AW2" i="6"/>
  <c r="AV2" i="6"/>
  <c r="J2" i="6"/>
  <c r="G2" i="6"/>
  <c r="IL2" i="5"/>
  <c r="HX2" i="5" a="1"/>
  <c r="HX2" i="5" s="1"/>
  <c r="IW2" i="5" s="1"/>
  <c r="HW2" i="5" a="1"/>
  <c r="HW2" i="5" s="1"/>
  <c r="IV2" i="5" s="1"/>
  <c r="HV2" i="5" a="1"/>
  <c r="HV2" i="5" s="1"/>
  <c r="IU2" i="5" s="1"/>
  <c r="HU2" i="5"/>
  <c r="IT2" i="5" s="1"/>
  <c r="HU2" i="5" a="1"/>
  <c r="HT2" i="5"/>
  <c r="IS2" i="5" s="1"/>
  <c r="HT2" i="5" a="1"/>
  <c r="HS2" i="5" a="1"/>
  <c r="HS2" i="5" s="1"/>
  <c r="IR2" i="5" s="1"/>
  <c r="HR2" i="5" a="1"/>
  <c r="HR2" i="5" s="1"/>
  <c r="IQ2" i="5" s="1"/>
  <c r="HQ2" i="5" a="1"/>
  <c r="HQ2" i="5" s="1"/>
  <c r="IP2" i="5" s="1"/>
  <c r="HP2" i="5" a="1"/>
  <c r="HP2" i="5" s="1"/>
  <c r="IO2" i="5" s="1"/>
  <c r="HL2" i="5"/>
  <c r="HJ2" i="5"/>
  <c r="HH2" i="5"/>
  <c r="HB2" i="5"/>
  <c r="HC2" i="5" s="1"/>
  <c r="HA2" i="5"/>
  <c r="GZ2" i="5"/>
  <c r="GY2" i="5"/>
  <c r="GX2" i="5"/>
  <c r="GW2" i="5"/>
  <c r="GV2" i="5"/>
  <c r="GU2" i="5"/>
  <c r="GT2" i="5"/>
  <c r="GP2" i="5"/>
  <c r="GI2" i="5"/>
  <c r="GH2" i="5"/>
  <c r="GG2" i="5"/>
  <c r="GF2" i="5"/>
  <c r="GE2" i="5"/>
  <c r="GD2" i="5"/>
  <c r="GC2" i="5"/>
  <c r="GB2" i="5"/>
  <c r="GA2" i="5"/>
  <c r="FZ2" i="5"/>
  <c r="FY2" i="5"/>
  <c r="FX2" i="5"/>
  <c r="FW2" i="5"/>
  <c r="FV2" i="5"/>
  <c r="FU2" i="5"/>
  <c r="FT2" i="5"/>
  <c r="FS2" i="5"/>
  <c r="FR2" i="5"/>
  <c r="FQ2" i="5"/>
  <c r="FP2" i="5"/>
  <c r="FO2" i="5"/>
  <c r="FK2" i="5"/>
  <c r="FJ2" i="5"/>
  <c r="FM2" i="5" s="1"/>
  <c r="FI2" i="5"/>
  <c r="FL2" i="5" s="1"/>
  <c r="FH2" i="5"/>
  <c r="FG2" i="5"/>
  <c r="FF2" i="5"/>
  <c r="FE2" i="5"/>
  <c r="FD2" i="5"/>
  <c r="FC2" i="5"/>
  <c r="FB2" i="5"/>
  <c r="FA2" i="5"/>
  <c r="EZ2" i="5"/>
  <c r="EY2" i="5"/>
  <c r="EX2" i="5"/>
  <c r="EW2" i="5"/>
  <c r="EV2" i="5"/>
  <c r="EU2" i="5"/>
  <c r="ET2" i="5"/>
  <c r="ES2" i="5"/>
  <c r="ER2" i="5"/>
  <c r="EQ2" i="5"/>
  <c r="EP2" i="5"/>
  <c r="EO2" i="5"/>
  <c r="EN2" i="5"/>
  <c r="EM2" i="5"/>
  <c r="EL2" i="5"/>
  <c r="EK2" i="5"/>
  <c r="EJ2" i="5"/>
  <c r="EI2" i="5"/>
  <c r="EH2" i="5"/>
  <c r="EG2" i="5"/>
  <c r="EF2" i="5"/>
  <c r="EE2" i="5"/>
  <c r="ED2" i="5"/>
  <c r="EC2" i="5"/>
  <c r="EB2" i="5"/>
  <c r="EA2" i="5"/>
  <c r="DZ2" i="5"/>
  <c r="DY2" i="5"/>
  <c r="DX2" i="5"/>
  <c r="DW2" i="5"/>
  <c r="DV2" i="5"/>
  <c r="DU2" i="5"/>
  <c r="DT2" i="5"/>
  <c r="DS2" i="5"/>
  <c r="DR2" i="5"/>
  <c r="DQ2" i="5"/>
  <c r="DP2" i="5"/>
  <c r="DO2" i="5"/>
  <c r="DN2" i="5"/>
  <c r="DK2" i="5"/>
  <c r="DJ2" i="5"/>
  <c r="DI2" i="5"/>
  <c r="DH2" i="5"/>
  <c r="DG2" i="5"/>
  <c r="DF2" i="5"/>
  <c r="DE2" i="5"/>
  <c r="DD2" i="5"/>
  <c r="DC2" i="5"/>
  <c r="DB2" i="5"/>
  <c r="DA2" i="5"/>
  <c r="CV2" i="5"/>
  <c r="CU2" i="5"/>
  <c r="CT2" i="5"/>
  <c r="CS2" i="5"/>
  <c r="GN2" i="5" s="1"/>
  <c r="CR2" i="5"/>
  <c r="GM2" i="5" s="1"/>
  <c r="CQ2" i="5"/>
  <c r="GL2" i="5" s="1"/>
  <c r="CP2" i="5"/>
  <c r="GJ2" i="5" s="1"/>
  <c r="GK2" i="5" s="1"/>
  <c r="CO2" i="5"/>
  <c r="CN2" i="5"/>
  <c r="CM2" i="5"/>
  <c r="CL2" i="5"/>
  <c r="CG2" i="5" a="1"/>
  <c r="CG2" i="5" s="1"/>
  <c r="AW2" i="5"/>
  <c r="AV2" i="5"/>
  <c r="J2" i="5"/>
  <c r="HI2" i="5" s="1"/>
  <c r="G2" i="5"/>
  <c r="IP2" i="4"/>
  <c r="IO2" i="4"/>
  <c r="IL2" i="4"/>
  <c r="HX2" i="4"/>
  <c r="IW2" i="4" s="1"/>
  <c r="HX2" i="4" a="1"/>
  <c r="HW2" i="4"/>
  <c r="IV2" i="4" s="1"/>
  <c r="HW2" i="4" a="1"/>
  <c r="HV2" i="4" a="1"/>
  <c r="HV2" i="4" s="1"/>
  <c r="IU2" i="4" s="1"/>
  <c r="HU2" i="4" a="1"/>
  <c r="HU2" i="4" s="1"/>
  <c r="IT2" i="4" s="1"/>
  <c r="HT2" i="4" a="1"/>
  <c r="HT2" i="4" s="1"/>
  <c r="IS2" i="4" s="1"/>
  <c r="HS2" i="4" a="1"/>
  <c r="HS2" i="4" s="1"/>
  <c r="IR2" i="4" s="1"/>
  <c r="HR2" i="4" a="1"/>
  <c r="HR2" i="4" s="1"/>
  <c r="IQ2" i="4" s="1"/>
  <c r="HQ2" i="4"/>
  <c r="HQ2" i="4" a="1"/>
  <c r="HP2" i="4" a="1"/>
  <c r="HP2" i="4" s="1"/>
  <c r="HL2" i="4"/>
  <c r="HJ2" i="4"/>
  <c r="HH2" i="4"/>
  <c r="HI2" i="4" s="1"/>
  <c r="HC2" i="4"/>
  <c r="HB2" i="4"/>
  <c r="HA2" i="4"/>
  <c r="GZ2" i="4"/>
  <c r="GY2" i="4"/>
  <c r="GX2" i="4"/>
  <c r="GW2" i="4"/>
  <c r="GV2" i="4"/>
  <c r="GU2" i="4"/>
  <c r="GT2" i="4"/>
  <c r="GP2" i="4"/>
  <c r="GN2" i="4"/>
  <c r="GK2" i="4"/>
  <c r="GJ2" i="4"/>
  <c r="GI2" i="4"/>
  <c r="GH2" i="4"/>
  <c r="GG2" i="4"/>
  <c r="GF2" i="4"/>
  <c r="GE2" i="4"/>
  <c r="GD2" i="4"/>
  <c r="GC2" i="4"/>
  <c r="GB2" i="4"/>
  <c r="GA2" i="4"/>
  <c r="FZ2" i="4"/>
  <c r="FY2" i="4"/>
  <c r="FX2" i="4"/>
  <c r="FW2" i="4"/>
  <c r="FV2" i="4"/>
  <c r="FU2" i="4"/>
  <c r="FT2" i="4"/>
  <c r="FS2" i="4"/>
  <c r="FR2" i="4"/>
  <c r="FQ2" i="4"/>
  <c r="FP2" i="4"/>
  <c r="FM2" i="4"/>
  <c r="FL2" i="4"/>
  <c r="FK2" i="4"/>
  <c r="FJ2" i="4"/>
  <c r="FI2" i="4"/>
  <c r="FH2" i="4"/>
  <c r="FG2" i="4"/>
  <c r="FF2" i="4"/>
  <c r="FE2" i="4"/>
  <c r="FD2" i="4"/>
  <c r="FC2" i="4"/>
  <c r="FB2" i="4"/>
  <c r="FA2" i="4"/>
  <c r="EZ2" i="4"/>
  <c r="EY2" i="4"/>
  <c r="EX2" i="4"/>
  <c r="EW2" i="4"/>
  <c r="EV2" i="4"/>
  <c r="EU2" i="4"/>
  <c r="ET2" i="4"/>
  <c r="ES2" i="4"/>
  <c r="ER2" i="4"/>
  <c r="EQ2" i="4"/>
  <c r="EP2" i="4"/>
  <c r="EO2" i="4"/>
  <c r="EN2" i="4"/>
  <c r="EM2" i="4"/>
  <c r="EL2" i="4"/>
  <c r="EK2" i="4"/>
  <c r="EJ2" i="4"/>
  <c r="EI2" i="4"/>
  <c r="EH2" i="4"/>
  <c r="EG2" i="4"/>
  <c r="EF2" i="4"/>
  <c r="EE2" i="4"/>
  <c r="ED2" i="4"/>
  <c r="EC2" i="4"/>
  <c r="EB2" i="4"/>
  <c r="EA2" i="4"/>
  <c r="DZ2" i="4"/>
  <c r="DY2" i="4"/>
  <c r="DX2" i="4"/>
  <c r="DV2" i="4"/>
  <c r="DU2" i="4"/>
  <c r="DT2" i="4"/>
  <c r="DS2" i="4"/>
  <c r="DR2" i="4"/>
  <c r="DQ2" i="4"/>
  <c r="DP2" i="4"/>
  <c r="DO2" i="4"/>
  <c r="DN2" i="4"/>
  <c r="DK2" i="4"/>
  <c r="DJ2" i="4"/>
  <c r="DI2" i="4"/>
  <c r="DH2" i="4"/>
  <c r="DG2" i="4"/>
  <c r="DF2" i="4"/>
  <c r="DE2" i="4"/>
  <c r="DD2" i="4"/>
  <c r="DC2" i="4"/>
  <c r="DB2" i="4"/>
  <c r="DA2" i="4"/>
  <c r="CV2" i="4"/>
  <c r="CU2" i="4"/>
  <c r="CT2" i="4"/>
  <c r="CS2" i="4"/>
  <c r="CR2" i="4"/>
  <c r="GM2" i="4" s="1"/>
  <c r="CQ2" i="4"/>
  <c r="GL2" i="4" s="1"/>
  <c r="CP2" i="4"/>
  <c r="CO2" i="4"/>
  <c r="CN2" i="4"/>
  <c r="CM2" i="4"/>
  <c r="CL2" i="4"/>
  <c r="DW2" i="4" s="1"/>
  <c r="CG2" i="4" a="1"/>
  <c r="CG2" i="4" s="1"/>
  <c r="AW2" i="4"/>
  <c r="AV2" i="4"/>
  <c r="J2" i="4"/>
  <c r="G2" i="4"/>
  <c r="IU2" i="3"/>
  <c r="IT2" i="3"/>
  <c r="IL2" i="3"/>
  <c r="HX2" i="3" a="1"/>
  <c r="HX2" i="3" s="1"/>
  <c r="IW2" i="3" s="1"/>
  <c r="HW2" i="3" a="1"/>
  <c r="HW2" i="3" s="1"/>
  <c r="IV2" i="3" s="1"/>
  <c r="HV2" i="3"/>
  <c r="HV2" i="3" a="1"/>
  <c r="HU2" i="3"/>
  <c r="HU2" i="3" a="1"/>
  <c r="HT2" i="3" a="1"/>
  <c r="HT2" i="3" s="1"/>
  <c r="IS2" i="3" s="1"/>
  <c r="HS2" i="3"/>
  <c r="IR2" i="3" s="1"/>
  <c r="HS2" i="3" a="1"/>
  <c r="HR2" i="3" a="1"/>
  <c r="HR2" i="3" s="1"/>
  <c r="IQ2" i="3" s="1"/>
  <c r="HQ2" i="3" a="1"/>
  <c r="HQ2" i="3" s="1"/>
  <c r="IP2" i="3" s="1"/>
  <c r="HP2" i="3"/>
  <c r="IO2" i="3" s="1"/>
  <c r="HP2" i="3" a="1"/>
  <c r="HL2" i="3"/>
  <c r="HJ2" i="3"/>
  <c r="HI2" i="3"/>
  <c r="HH2" i="3"/>
  <c r="HB2" i="3"/>
  <c r="HA2" i="3"/>
  <c r="GZ2" i="3"/>
  <c r="HC2" i="3" s="1"/>
  <c r="GY2" i="3"/>
  <c r="GX2" i="3"/>
  <c r="GW2" i="3"/>
  <c r="GV2" i="3"/>
  <c r="GU2" i="3"/>
  <c r="GT2" i="3"/>
  <c r="GP2" i="3"/>
  <c r="GJ2" i="3"/>
  <c r="GK2" i="3" s="1"/>
  <c r="GI2" i="3"/>
  <c r="GH2" i="3"/>
  <c r="GG2" i="3"/>
  <c r="GF2" i="3"/>
  <c r="GE2" i="3"/>
  <c r="GD2" i="3"/>
  <c r="GC2" i="3"/>
  <c r="GB2" i="3"/>
  <c r="GA2" i="3"/>
  <c r="FZ2" i="3"/>
  <c r="FY2" i="3"/>
  <c r="FX2" i="3"/>
  <c r="FW2" i="3"/>
  <c r="FV2" i="3"/>
  <c r="FU2" i="3"/>
  <c r="FT2" i="3"/>
  <c r="FS2" i="3"/>
  <c r="FR2" i="3"/>
  <c r="FQ2" i="3"/>
  <c r="FP2" i="3"/>
  <c r="FO2" i="3"/>
  <c r="FN2" i="3"/>
  <c r="FM2" i="3"/>
  <c r="FL2" i="3"/>
  <c r="FK2" i="3"/>
  <c r="FJ2" i="3"/>
  <c r="FI2" i="3"/>
  <c r="FH2" i="3"/>
  <c r="FG2" i="3"/>
  <c r="FF2" i="3"/>
  <c r="FE2" i="3"/>
  <c r="FD2" i="3"/>
  <c r="FC2" i="3"/>
  <c r="FB2" i="3"/>
  <c r="FA2" i="3"/>
  <c r="EZ2" i="3"/>
  <c r="EY2" i="3"/>
  <c r="EX2" i="3"/>
  <c r="EW2" i="3"/>
  <c r="EV2" i="3"/>
  <c r="EU2" i="3"/>
  <c r="ET2" i="3"/>
  <c r="ES2" i="3"/>
  <c r="ER2" i="3"/>
  <c r="EQ2" i="3"/>
  <c r="EP2" i="3"/>
  <c r="EO2" i="3"/>
  <c r="EN2" i="3"/>
  <c r="EM2" i="3"/>
  <c r="EL2" i="3"/>
  <c r="EK2" i="3"/>
  <c r="EJ2" i="3"/>
  <c r="EI2" i="3"/>
  <c r="EH2" i="3"/>
  <c r="EG2" i="3"/>
  <c r="EF2" i="3"/>
  <c r="EE2" i="3"/>
  <c r="ED2" i="3"/>
  <c r="EC2" i="3"/>
  <c r="EB2" i="3"/>
  <c r="EA2" i="3"/>
  <c r="DY2" i="3"/>
  <c r="DX2" i="3"/>
  <c r="DV2" i="3"/>
  <c r="DU2" i="3"/>
  <c r="DT2" i="3"/>
  <c r="DS2" i="3"/>
  <c r="DR2" i="3"/>
  <c r="DQ2" i="3"/>
  <c r="DP2" i="3"/>
  <c r="DO2" i="3"/>
  <c r="DN2" i="3"/>
  <c r="DK2" i="3"/>
  <c r="DJ2" i="3"/>
  <c r="DI2" i="3"/>
  <c r="DH2" i="3"/>
  <c r="DG2" i="3"/>
  <c r="DF2" i="3"/>
  <c r="DE2" i="3"/>
  <c r="DD2" i="3"/>
  <c r="DC2" i="3"/>
  <c r="DB2" i="3"/>
  <c r="DA2" i="3"/>
  <c r="CV2" i="3"/>
  <c r="CU2" i="3"/>
  <c r="CT2" i="3"/>
  <c r="CS2" i="3"/>
  <c r="GN2" i="3" s="1"/>
  <c r="CR2" i="3"/>
  <c r="GM2" i="3" s="1"/>
  <c r="CQ2" i="3"/>
  <c r="GL2" i="3" s="1"/>
  <c r="CP2" i="3"/>
  <c r="CO2" i="3"/>
  <c r="DZ2" i="3" s="1"/>
  <c r="CN2" i="3"/>
  <c r="CM2" i="3"/>
  <c r="CL2" i="3"/>
  <c r="DW2" i="3" s="1"/>
  <c r="CG2" i="3" a="1"/>
  <c r="CG2" i="3" s="1"/>
  <c r="AW2" i="3"/>
  <c r="AV2" i="3"/>
  <c r="AX2" i="3" s="1"/>
  <c r="J2" i="3"/>
  <c r="G2" i="3"/>
  <c r="IT2" i="2"/>
  <c r="IS2" i="2"/>
  <c r="IR2" i="2"/>
  <c r="IL2" i="2"/>
  <c r="HX2" i="2" a="1"/>
  <c r="HX2" i="2" s="1"/>
  <c r="IW2" i="2" s="1"/>
  <c r="HW2" i="2" a="1"/>
  <c r="HW2" i="2" s="1"/>
  <c r="IV2" i="2" s="1"/>
  <c r="HV2" i="2" a="1"/>
  <c r="HV2" i="2" s="1"/>
  <c r="IU2" i="2" s="1"/>
  <c r="HU2" i="2"/>
  <c r="HU2" i="2" a="1"/>
  <c r="HT2" i="2" a="1"/>
  <c r="HT2" i="2" s="1"/>
  <c r="HS2" i="2"/>
  <c r="HS2" i="2" a="1"/>
  <c r="HR2" i="2" a="1"/>
  <c r="HR2" i="2" s="1"/>
  <c r="IQ2" i="2" s="1"/>
  <c r="HQ2" i="2" a="1"/>
  <c r="HQ2" i="2" s="1"/>
  <c r="IP2" i="2" s="1"/>
  <c r="HP2" i="2" a="1"/>
  <c r="HP2" i="2" s="1"/>
  <c r="IO2" i="2" s="1"/>
  <c r="HL2" i="2"/>
  <c r="HJ2" i="2"/>
  <c r="HH2" i="2"/>
  <c r="HB2" i="2"/>
  <c r="HA2" i="2"/>
  <c r="GZ2" i="2"/>
  <c r="GY2" i="2"/>
  <c r="HC2" i="2" s="1"/>
  <c r="GX2" i="2"/>
  <c r="GW2" i="2"/>
  <c r="GV2" i="2"/>
  <c r="GU2" i="2"/>
  <c r="GT2" i="2"/>
  <c r="GP2" i="2"/>
  <c r="GL2" i="2"/>
  <c r="GJ2" i="2"/>
  <c r="GK2" i="2" s="1"/>
  <c r="GI2" i="2"/>
  <c r="GH2" i="2"/>
  <c r="GG2" i="2"/>
  <c r="GF2" i="2"/>
  <c r="GE2" i="2"/>
  <c r="GD2" i="2"/>
  <c r="GC2" i="2"/>
  <c r="GB2" i="2"/>
  <c r="GA2" i="2"/>
  <c r="FZ2" i="2"/>
  <c r="FY2" i="2"/>
  <c r="FX2" i="2"/>
  <c r="FW2" i="2"/>
  <c r="FV2" i="2"/>
  <c r="FU2" i="2"/>
  <c r="FT2" i="2"/>
  <c r="FS2" i="2"/>
  <c r="FR2" i="2"/>
  <c r="FQ2" i="2"/>
  <c r="FP2" i="2"/>
  <c r="FO2" i="2"/>
  <c r="FN2" i="2"/>
  <c r="FM2" i="2"/>
  <c r="FL2" i="2"/>
  <c r="FK2" i="2"/>
  <c r="FJ2" i="2"/>
  <c r="FI2" i="2"/>
  <c r="FH2" i="2"/>
  <c r="FG2" i="2"/>
  <c r="FF2" i="2"/>
  <c r="FE2" i="2"/>
  <c r="FD2" i="2"/>
  <c r="FC2" i="2"/>
  <c r="FB2" i="2"/>
  <c r="FA2" i="2"/>
  <c r="EZ2" i="2"/>
  <c r="EY2" i="2"/>
  <c r="EX2" i="2"/>
  <c r="EW2" i="2"/>
  <c r="EV2" i="2"/>
  <c r="EU2" i="2"/>
  <c r="ET2" i="2"/>
  <c r="ES2" i="2"/>
  <c r="ER2" i="2"/>
  <c r="EQ2" i="2"/>
  <c r="EP2" i="2"/>
  <c r="EO2" i="2"/>
  <c r="EN2" i="2"/>
  <c r="EM2" i="2"/>
  <c r="EL2" i="2"/>
  <c r="EK2" i="2"/>
  <c r="EJ2" i="2"/>
  <c r="EI2" i="2"/>
  <c r="EH2" i="2"/>
  <c r="EG2" i="2"/>
  <c r="EF2" i="2"/>
  <c r="EE2" i="2"/>
  <c r="ED2" i="2"/>
  <c r="EC2" i="2"/>
  <c r="EB2" i="2"/>
  <c r="EA2" i="2"/>
  <c r="DY2" i="2"/>
  <c r="DX2" i="2"/>
  <c r="DW2" i="2"/>
  <c r="DV2" i="2"/>
  <c r="DU2" i="2"/>
  <c r="DT2" i="2"/>
  <c r="DS2" i="2"/>
  <c r="DR2" i="2"/>
  <c r="DQ2" i="2"/>
  <c r="DP2" i="2"/>
  <c r="DO2" i="2"/>
  <c r="DN2" i="2"/>
  <c r="DK2" i="2"/>
  <c r="DJ2" i="2"/>
  <c r="DI2" i="2"/>
  <c r="DH2" i="2"/>
  <c r="DG2" i="2"/>
  <c r="DF2" i="2"/>
  <c r="DE2" i="2"/>
  <c r="DD2" i="2"/>
  <c r="DC2" i="2"/>
  <c r="DB2" i="2"/>
  <c r="DA2" i="2"/>
  <c r="CV2" i="2"/>
  <c r="CU2" i="2"/>
  <c r="CT2" i="2"/>
  <c r="CS2" i="2"/>
  <c r="GN2" i="2" s="1"/>
  <c r="CR2" i="2"/>
  <c r="GM2" i="2" s="1"/>
  <c r="CQ2" i="2"/>
  <c r="CP2" i="2"/>
  <c r="CO2" i="2"/>
  <c r="DZ2" i="2" s="1"/>
  <c r="CN2" i="2"/>
  <c r="CM2" i="2"/>
  <c r="CL2" i="2"/>
  <c r="CG2" i="2" a="1"/>
  <c r="CG2" i="2" s="1"/>
  <c r="AW2" i="2"/>
  <c r="AV2" i="2"/>
  <c r="J2" i="2"/>
  <c r="HI2" i="2" s="1"/>
  <c r="G2" i="2"/>
  <c r="DL2" i="3" l="1"/>
  <c r="DM2" i="3" a="1"/>
  <c r="DM2" i="3" s="1"/>
  <c r="IM2" i="3"/>
  <c r="CK2" i="3"/>
  <c r="CZ2" i="3" s="1"/>
  <c r="CJ2" i="3"/>
  <c r="CY2" i="3" s="1"/>
  <c r="IN2" i="3"/>
  <c r="IX2" i="3" s="1"/>
  <c r="CI2" i="3"/>
  <c r="CX2" i="3" s="1"/>
  <c r="CH2" i="3"/>
  <c r="CW2" i="3" s="1"/>
  <c r="DL2" i="8"/>
  <c r="CH2" i="8"/>
  <c r="CW2" i="8" s="1"/>
  <c r="IM2" i="8"/>
  <c r="DM2" i="8" a="1"/>
  <c r="DM2" i="8" s="1"/>
  <c r="CJ2" i="8"/>
  <c r="CY2" i="8" s="1"/>
  <c r="CI2" i="8"/>
  <c r="CX2" i="8" s="1"/>
  <c r="IN2" i="8"/>
  <c r="IX2" i="8" s="1"/>
  <c r="CK2" i="8"/>
  <c r="CZ2" i="8" s="1"/>
  <c r="CH2" i="13"/>
  <c r="CW2" i="13" s="1"/>
  <c r="IM2" i="13"/>
  <c r="CJ2" i="13"/>
  <c r="CY2" i="13" s="1"/>
  <c r="CI2" i="13"/>
  <c r="CX2" i="13" s="1"/>
  <c r="DM2" i="13" a="1"/>
  <c r="DM2" i="13" s="1"/>
  <c r="DL2" i="13"/>
  <c r="CK2" i="13"/>
  <c r="CZ2" i="13" s="1"/>
  <c r="IN2" i="13"/>
  <c r="IX2" i="13" s="1"/>
  <c r="CJ2" i="23"/>
  <c r="CY2" i="23" s="1"/>
  <c r="IN2" i="23"/>
  <c r="IX2" i="23" s="1"/>
  <c r="CH2" i="23"/>
  <c r="CW2" i="23" s="1"/>
  <c r="IM2" i="23"/>
  <c r="DM2" i="23" a="1"/>
  <c r="DM2" i="23" s="1"/>
  <c r="DL2" i="23"/>
  <c r="CK2" i="23"/>
  <c r="CZ2" i="23" s="1"/>
  <c r="CI2" i="23"/>
  <c r="CX2" i="23" s="1"/>
  <c r="CI2" i="5"/>
  <c r="CX2" i="5" s="1"/>
  <c r="CH2" i="5"/>
  <c r="CW2" i="5" s="1"/>
  <c r="DM2" i="5" a="1"/>
  <c r="DM2" i="5" s="1"/>
  <c r="DL2" i="5"/>
  <c r="CK2" i="5"/>
  <c r="CZ2" i="5" s="1"/>
  <c r="IM2" i="5"/>
  <c r="IN2" i="5"/>
  <c r="IX2" i="5" s="1"/>
  <c r="CJ2" i="5"/>
  <c r="CY2" i="5" s="1"/>
  <c r="IN2" i="2"/>
  <c r="IX2" i="2" s="1"/>
  <c r="CI2" i="2"/>
  <c r="CX2" i="2" s="1"/>
  <c r="DM2" i="2" a="1"/>
  <c r="DM2" i="2" s="1"/>
  <c r="DL2" i="2"/>
  <c r="IM2" i="2"/>
  <c r="CK2" i="2"/>
  <c r="CZ2" i="2" s="1"/>
  <c r="CJ2" i="2"/>
  <c r="CY2" i="2" s="1"/>
  <c r="CH2" i="2"/>
  <c r="CW2" i="2" s="1"/>
  <c r="IO2" i="20"/>
  <c r="DM2" i="20" a="1"/>
  <c r="DM2" i="20" s="1"/>
  <c r="CJ2" i="4"/>
  <c r="CY2" i="4" s="1"/>
  <c r="CI2" i="4"/>
  <c r="CX2" i="4" s="1"/>
  <c r="IN2" i="4"/>
  <c r="IX2" i="4" s="1"/>
  <c r="DM2" i="4" a="1"/>
  <c r="DM2" i="4" s="1"/>
  <c r="CH2" i="4"/>
  <c r="CW2" i="4" s="1"/>
  <c r="DL2" i="4"/>
  <c r="CK2" i="4"/>
  <c r="CZ2" i="4" s="1"/>
  <c r="IM2" i="4"/>
  <c r="IN2" i="11"/>
  <c r="IX2" i="11" s="1"/>
  <c r="CK2" i="11"/>
  <c r="CZ2" i="11" s="1"/>
  <c r="CI2" i="11"/>
  <c r="CX2" i="11" s="1"/>
  <c r="CH2" i="11"/>
  <c r="CW2" i="11" s="1"/>
  <c r="IM2" i="11"/>
  <c r="DM2" i="11" a="1"/>
  <c r="DM2" i="11" s="1"/>
  <c r="DL2" i="11"/>
  <c r="CJ2" i="11"/>
  <c r="CY2" i="11" s="1"/>
  <c r="IN2" i="17"/>
  <c r="IX2" i="17" s="1"/>
  <c r="DM2" i="17" a="1"/>
  <c r="DM2" i="17" s="1"/>
  <c r="DL2" i="17"/>
  <c r="IM2" i="17"/>
  <c r="CK2" i="17"/>
  <c r="CZ2" i="17" s="1"/>
  <c r="CJ2" i="17"/>
  <c r="CY2" i="17" s="1"/>
  <c r="CI2" i="17"/>
  <c r="CX2" i="17" s="1"/>
  <c r="CH2" i="17"/>
  <c r="CW2" i="17" s="1"/>
  <c r="GS2" i="20"/>
  <c r="HG2" i="20" s="1"/>
  <c r="IN2" i="7"/>
  <c r="IX2" i="7" s="1"/>
  <c r="IM2" i="7"/>
  <c r="DM2" i="7" a="1"/>
  <c r="DM2" i="7" s="1"/>
  <c r="CK2" i="7"/>
  <c r="CZ2" i="7" s="1"/>
  <c r="CJ2" i="7"/>
  <c r="CY2" i="7" s="1"/>
  <c r="CI2" i="7"/>
  <c r="CX2" i="7" s="1"/>
  <c r="DL2" i="7"/>
  <c r="CH2" i="7"/>
  <c r="CW2" i="7" s="1"/>
  <c r="DM2" i="6" a="1"/>
  <c r="DM2" i="6" s="1"/>
  <c r="IR2" i="18"/>
  <c r="DM2" i="18" a="1"/>
  <c r="DM2" i="18" s="1"/>
  <c r="HM2" i="20"/>
  <c r="CK2" i="22"/>
  <c r="CZ2" i="22" s="1"/>
  <c r="DM2" i="22" a="1"/>
  <c r="DM2" i="22" s="1"/>
  <c r="DL2" i="22"/>
  <c r="CJ2" i="22"/>
  <c r="CY2" i="22" s="1"/>
  <c r="CI2" i="22"/>
  <c r="CX2" i="22" s="1"/>
  <c r="IN2" i="22"/>
  <c r="IX2" i="22" s="1"/>
  <c r="CH2" i="22"/>
  <c r="CW2" i="22" s="1"/>
  <c r="IM2" i="22"/>
  <c r="CJ2" i="24"/>
  <c r="CY2" i="24" s="1"/>
  <c r="DM2" i="24" a="1"/>
  <c r="DM2" i="24" s="1"/>
  <c r="IN2" i="24"/>
  <c r="IX2" i="24" s="1"/>
  <c r="DL2" i="24"/>
  <c r="IM2" i="24"/>
  <c r="CK2" i="24"/>
  <c r="CZ2" i="24" s="1"/>
  <c r="CI2" i="24"/>
  <c r="CX2" i="24" s="1"/>
  <c r="CH2" i="24"/>
  <c r="CW2" i="24" s="1"/>
  <c r="IM2" i="9"/>
  <c r="DM2" i="9" a="1"/>
  <c r="DM2" i="9" s="1"/>
  <c r="DL2" i="9"/>
  <c r="CK2" i="9"/>
  <c r="CZ2" i="9" s="1"/>
  <c r="CJ2" i="9"/>
  <c r="CY2" i="9" s="1"/>
  <c r="CI2" i="9"/>
  <c r="CX2" i="9" s="1"/>
  <c r="CH2" i="9"/>
  <c r="CW2" i="9" s="1"/>
  <c r="IN2" i="9"/>
  <c r="IX2" i="9" s="1"/>
  <c r="CI2" i="25"/>
  <c r="CX2" i="25" s="1"/>
  <c r="IN2" i="25"/>
  <c r="IX2" i="25" s="1"/>
  <c r="DM2" i="25" a="1"/>
  <c r="DM2" i="25" s="1"/>
  <c r="DL2" i="25"/>
  <c r="CH2" i="25"/>
  <c r="CW2" i="25" s="1"/>
  <c r="CK2" i="25"/>
  <c r="CZ2" i="25" s="1"/>
  <c r="CJ2" i="25"/>
  <c r="CY2" i="25" s="1"/>
  <c r="IM2" i="25"/>
  <c r="CK5" i="19"/>
  <c r="CZ5" i="19" s="1"/>
  <c r="CJ5" i="19"/>
  <c r="CY5" i="19" s="1"/>
  <c r="IM5" i="19"/>
  <c r="DM5" i="19" a="1"/>
  <c r="DM5" i="19" s="1"/>
  <c r="CH5" i="19"/>
  <c r="CW5" i="19" s="1"/>
  <c r="IN5" i="19"/>
  <c r="IX5" i="19" s="1"/>
  <c r="DL5" i="19"/>
  <c r="CI5" i="19"/>
  <c r="CX5" i="19" s="1"/>
  <c r="FN11" i="3"/>
  <c r="FO11" i="3"/>
  <c r="DL2" i="10"/>
  <c r="CH2" i="10"/>
  <c r="CW2" i="10" s="1"/>
  <c r="IN2" i="12"/>
  <c r="IX2" i="12" s="1"/>
  <c r="DM2" i="12" a="1"/>
  <c r="DM2" i="12" s="1"/>
  <c r="DL2" i="12"/>
  <c r="CH2" i="12"/>
  <c r="CW2" i="12" s="1"/>
  <c r="FP2" i="18"/>
  <c r="FL2" i="18"/>
  <c r="CJ3" i="2"/>
  <c r="CY3" i="2" s="1"/>
  <c r="DM3" i="2" a="1"/>
  <c r="DM3" i="2" s="1"/>
  <c r="DL3" i="2"/>
  <c r="CK3" i="2"/>
  <c r="CZ3" i="2" s="1"/>
  <c r="CI3" i="2"/>
  <c r="CX3" i="2" s="1"/>
  <c r="GS3" i="2" s="1"/>
  <c r="IN2" i="16"/>
  <c r="IX2" i="16" s="1"/>
  <c r="IM2" i="16"/>
  <c r="CH2" i="16"/>
  <c r="CW2" i="16" s="1"/>
  <c r="FK2" i="12"/>
  <c r="FM2" i="18"/>
  <c r="FP2" i="19"/>
  <c r="FK2" i="19"/>
  <c r="GS2" i="19" s="1"/>
  <c r="FK2" i="25"/>
  <c r="CJ2" i="26"/>
  <c r="CY2" i="26" s="1"/>
  <c r="FK2" i="6"/>
  <c r="GS2" i="6" s="1"/>
  <c r="FM2" i="10"/>
  <c r="IN2" i="10"/>
  <c r="IX2" i="10" s="1"/>
  <c r="FO2" i="11"/>
  <c r="FK2" i="14"/>
  <c r="CJ2" i="16"/>
  <c r="CY2" i="16" s="1"/>
  <c r="CH2" i="21"/>
  <c r="CW2" i="21" s="1"/>
  <c r="FL2" i="25"/>
  <c r="HC3" i="3"/>
  <c r="HM3" i="3" s="1"/>
  <c r="IM5" i="3"/>
  <c r="DM5" i="3" a="1"/>
  <c r="DM5" i="3" s="1"/>
  <c r="CK5" i="3"/>
  <c r="CZ5" i="3" s="1"/>
  <c r="DL5" i="3"/>
  <c r="CJ5" i="3"/>
  <c r="CY5" i="3" s="1"/>
  <c r="CI5" i="3"/>
  <c r="CX5" i="3" s="1"/>
  <c r="CH5" i="3"/>
  <c r="CW5" i="3" s="1"/>
  <c r="FO2" i="18"/>
  <c r="FN2" i="18"/>
  <c r="FN2" i="17"/>
  <c r="FO2" i="17"/>
  <c r="CJ2" i="10"/>
  <c r="CY2" i="10" s="1"/>
  <c r="CI2" i="12"/>
  <c r="CX2" i="12" s="1"/>
  <c r="CK2" i="10"/>
  <c r="CZ2" i="10" s="1"/>
  <c r="CJ2" i="12"/>
  <c r="CY2" i="12" s="1"/>
  <c r="HI2" i="13"/>
  <c r="FN2" i="14"/>
  <c r="GS2" i="14" s="1"/>
  <c r="FO2" i="14"/>
  <c r="FP2" i="25"/>
  <c r="FN2" i="25"/>
  <c r="IM2" i="26"/>
  <c r="CH2" i="26"/>
  <c r="CW2" i="26" s="1"/>
  <c r="CK2" i="26"/>
  <c r="CZ2" i="26" s="1"/>
  <c r="DM2" i="26" a="1"/>
  <c r="DM2" i="26" s="1"/>
  <c r="CK2" i="12"/>
  <c r="CZ2" i="12" s="1"/>
  <c r="FK2" i="17"/>
  <c r="CI2" i="26"/>
  <c r="CX2" i="26" s="1"/>
  <c r="FO2" i="4"/>
  <c r="FN2" i="4"/>
  <c r="DM2" i="10" a="1"/>
  <c r="DM2" i="10" s="1"/>
  <c r="IM2" i="10"/>
  <c r="CI2" i="16"/>
  <c r="CX2" i="16" s="1"/>
  <c r="FL2" i="17"/>
  <c r="IM2" i="21"/>
  <c r="CK2" i="21"/>
  <c r="CZ2" i="21" s="1"/>
  <c r="CJ2" i="21"/>
  <c r="CY2" i="21" s="1"/>
  <c r="CI2" i="21"/>
  <c r="CX2" i="21" s="1"/>
  <c r="FL2" i="6"/>
  <c r="FM2" i="12"/>
  <c r="IM2" i="12"/>
  <c r="FL2" i="14"/>
  <c r="DM2" i="15" a="1"/>
  <c r="DM2" i="15" s="1"/>
  <c r="DL2" i="15"/>
  <c r="CK2" i="16"/>
  <c r="CZ2" i="16" s="1"/>
  <c r="FP2" i="17"/>
  <c r="DM2" i="21" a="1"/>
  <c r="DM2" i="21" s="1"/>
  <c r="HC2" i="22"/>
  <c r="FM2" i="25"/>
  <c r="FN2" i="26"/>
  <c r="CK2" i="27"/>
  <c r="CZ2" i="27" s="1"/>
  <c r="CJ2" i="27"/>
  <c r="CY2" i="27" s="1"/>
  <c r="IM2" i="27"/>
  <c r="DM2" i="27" a="1"/>
  <c r="DM2" i="27" s="1"/>
  <c r="CI2" i="27"/>
  <c r="CX2" i="27" s="1"/>
  <c r="DL2" i="27"/>
  <c r="CH2" i="27"/>
  <c r="CW2" i="27" s="1"/>
  <c r="DL7" i="3"/>
  <c r="IN7" i="3"/>
  <c r="IX7" i="3" s="1"/>
  <c r="CI7" i="3"/>
  <c r="CX7" i="3" s="1"/>
  <c r="DM7" i="3" a="1"/>
  <c r="DM7" i="3" s="1"/>
  <c r="CK7" i="3"/>
  <c r="CZ7" i="3" s="1"/>
  <c r="IM7" i="3"/>
  <c r="CJ7" i="3"/>
  <c r="CY7" i="3" s="1"/>
  <c r="IN5" i="11"/>
  <c r="IX5" i="11" s="1"/>
  <c r="CI5" i="11"/>
  <c r="CX5" i="11" s="1"/>
  <c r="CH5" i="11"/>
  <c r="CW5" i="11" s="1"/>
  <c r="DM5" i="11" a="1"/>
  <c r="DM5" i="11" s="1"/>
  <c r="DL5" i="11"/>
  <c r="CK5" i="11"/>
  <c r="CZ5" i="11" s="1"/>
  <c r="CJ5" i="11"/>
  <c r="CY5" i="11" s="1"/>
  <c r="IM5" i="11"/>
  <c r="FN2" i="5"/>
  <c r="HC2" i="19"/>
  <c r="HF2" i="20"/>
  <c r="FO2" i="27"/>
  <c r="FN2" i="27"/>
  <c r="FK5" i="11"/>
  <c r="FN5" i="11"/>
  <c r="FM5" i="11"/>
  <c r="FL5" i="11"/>
  <c r="FP5" i="11"/>
  <c r="DL3" i="19"/>
  <c r="CK3" i="19"/>
  <c r="CZ3" i="19" s="1"/>
  <c r="CJ3" i="19"/>
  <c r="CY3" i="19" s="1"/>
  <c r="IN3" i="19"/>
  <c r="IX3" i="19" s="1"/>
  <c r="IM3" i="19"/>
  <c r="DM3" i="19" a="1"/>
  <c r="DM3" i="19" s="1"/>
  <c r="CI3" i="19"/>
  <c r="CX3" i="19" s="1"/>
  <c r="FO2" i="10"/>
  <c r="FM2" i="14"/>
  <c r="DL2" i="16"/>
  <c r="HC2" i="24"/>
  <c r="FL2" i="27"/>
  <c r="FP2" i="27"/>
  <c r="DM3" i="3" a="1"/>
  <c r="DM3" i="3" s="1"/>
  <c r="DL3" i="3"/>
  <c r="IN3" i="3"/>
  <c r="IX3" i="3" s="1"/>
  <c r="IM3" i="3"/>
  <c r="CK3" i="3"/>
  <c r="CZ3" i="3" s="1"/>
  <c r="GS3" i="3" s="1"/>
  <c r="HG3" i="3" s="1"/>
  <c r="FO5" i="3"/>
  <c r="FN5" i="3"/>
  <c r="CH3" i="19"/>
  <c r="CW3" i="19" s="1"/>
  <c r="GS3" i="19" s="1"/>
  <c r="HG3" i="19" s="1"/>
  <c r="FN2" i="6"/>
  <c r="HC2" i="10"/>
  <c r="DM2" i="16" a="1"/>
  <c r="DM2" i="16" s="1"/>
  <c r="FK2" i="16"/>
  <c r="FL2" i="19"/>
  <c r="FP5" i="3"/>
  <c r="FL5" i="3"/>
  <c r="FK5" i="3"/>
  <c r="HC6" i="12"/>
  <c r="CJ6" i="19"/>
  <c r="CY6" i="19" s="1"/>
  <c r="IN6" i="19"/>
  <c r="IX6" i="19" s="1"/>
  <c r="CI6" i="19"/>
  <c r="CX6" i="19" s="1"/>
  <c r="IM6" i="19"/>
  <c r="DM6" i="19" a="1"/>
  <c r="DM6" i="19" s="1"/>
  <c r="DL6" i="19"/>
  <c r="CK6" i="19"/>
  <c r="CZ6" i="19" s="1"/>
  <c r="CH6" i="19"/>
  <c r="CW6" i="19" s="1"/>
  <c r="GS2" i="15"/>
  <c r="HG2" i="15" s="1"/>
  <c r="FL2" i="16"/>
  <c r="CI2" i="18"/>
  <c r="CX2" i="18" s="1"/>
  <c r="GS2" i="18" s="1"/>
  <c r="IM2" i="18"/>
  <c r="FM2" i="19"/>
  <c r="DM3" i="5" a="1"/>
  <c r="DM3" i="5" s="1"/>
  <c r="IM3" i="5"/>
  <c r="CK3" i="5"/>
  <c r="CZ3" i="5" s="1"/>
  <c r="CJ3" i="5"/>
  <c r="CY3" i="5" s="1"/>
  <c r="CI3" i="5"/>
  <c r="CX3" i="5" s="1"/>
  <c r="GS3" i="5" s="1"/>
  <c r="IN3" i="5"/>
  <c r="IX3" i="5" s="1"/>
  <c r="DL3" i="5"/>
  <c r="HC4" i="11"/>
  <c r="FN2" i="11"/>
  <c r="FN2" i="16"/>
  <c r="FP2" i="22"/>
  <c r="FK2" i="22"/>
  <c r="HC2" i="27"/>
  <c r="HC7" i="3"/>
  <c r="CI8" i="3"/>
  <c r="CX8" i="3" s="1"/>
  <c r="DM8" i="3" a="1"/>
  <c r="DM8" i="3" s="1"/>
  <c r="DL8" i="3"/>
  <c r="CK8" i="3"/>
  <c r="CZ8" i="3" s="1"/>
  <c r="CJ8" i="3"/>
  <c r="CY8" i="3" s="1"/>
  <c r="CH8" i="3"/>
  <c r="CW8" i="3" s="1"/>
  <c r="IM3" i="16"/>
  <c r="DM3" i="16" a="1"/>
  <c r="DM3" i="16" s="1"/>
  <c r="DL3" i="16"/>
  <c r="CK3" i="16"/>
  <c r="CZ3" i="16" s="1"/>
  <c r="CJ3" i="16"/>
  <c r="CY3" i="16" s="1"/>
  <c r="CI3" i="16"/>
  <c r="CX3" i="16" s="1"/>
  <c r="CH3" i="16"/>
  <c r="CW3" i="16" s="1"/>
  <c r="FK2" i="15"/>
  <c r="FM5" i="3"/>
  <c r="FP8" i="3"/>
  <c r="FN8" i="3"/>
  <c r="IM2" i="14"/>
  <c r="HI2" i="23"/>
  <c r="IM4" i="3"/>
  <c r="HC5" i="3"/>
  <c r="HI7" i="3"/>
  <c r="IN5" i="12"/>
  <c r="IX5" i="12" s="1"/>
  <c r="DM5" i="12" a="1"/>
  <c r="DM5" i="12" s="1"/>
  <c r="DL5" i="12"/>
  <c r="CK5" i="12"/>
  <c r="CZ5" i="12" s="1"/>
  <c r="CJ5" i="12"/>
  <c r="CY5" i="12" s="1"/>
  <c r="IM5" i="12"/>
  <c r="CI5" i="12"/>
  <c r="CX5" i="12" s="1"/>
  <c r="GS5" i="12" s="1"/>
  <c r="FO5" i="15"/>
  <c r="FN5" i="15"/>
  <c r="DL6" i="3"/>
  <c r="CJ6" i="3"/>
  <c r="CY6" i="3" s="1"/>
  <c r="DM6" i="3" a="1"/>
  <c r="DM6" i="3" s="1"/>
  <c r="CI6" i="3"/>
  <c r="CX6" i="3" s="1"/>
  <c r="CH6" i="3"/>
  <c r="CW6" i="3" s="1"/>
  <c r="DM4" i="15" a="1"/>
  <c r="DM4" i="15" s="1"/>
  <c r="DL4" i="15"/>
  <c r="CK4" i="15"/>
  <c r="CZ4" i="15" s="1"/>
  <c r="CJ4" i="15"/>
  <c r="CY4" i="15" s="1"/>
  <c r="CI4" i="15"/>
  <c r="CX4" i="15" s="1"/>
  <c r="CH4" i="15"/>
  <c r="CW4" i="15" s="1"/>
  <c r="IN4" i="15"/>
  <c r="IX4" i="15" s="1"/>
  <c r="IM4" i="15"/>
  <c r="CJ4" i="3"/>
  <c r="CY4" i="3" s="1"/>
  <c r="GS4" i="3" s="1"/>
  <c r="DM4" i="3" a="1"/>
  <c r="DM4" i="3" s="1"/>
  <c r="HF4" i="3"/>
  <c r="HC8" i="3"/>
  <c r="FO3" i="9"/>
  <c r="FN3" i="9"/>
  <c r="IO4" i="12"/>
  <c r="DM4" i="12" a="1"/>
  <c r="DM4" i="12" s="1"/>
  <c r="FP10" i="19"/>
  <c r="FN10" i="19"/>
  <c r="FM10" i="19"/>
  <c r="FN2" i="12"/>
  <c r="FM2" i="13"/>
  <c r="GS4" i="12"/>
  <c r="FK10" i="19"/>
  <c r="HC8" i="11"/>
  <c r="FN6" i="8"/>
  <c r="FO6" i="8"/>
  <c r="FO7" i="19"/>
  <c r="FN7" i="19"/>
  <c r="HG3" i="5"/>
  <c r="FL7" i="19"/>
  <c r="FP7" i="19"/>
  <c r="FO8" i="19"/>
  <c r="FN8" i="19"/>
  <c r="CJ16" i="3"/>
  <c r="CY16" i="3" s="1"/>
  <c r="CI16" i="3"/>
  <c r="CX16" i="3" s="1"/>
  <c r="IN16" i="3"/>
  <c r="IX16" i="3" s="1"/>
  <c r="IM16" i="3"/>
  <c r="CK16" i="3"/>
  <c r="CZ16" i="3" s="1"/>
  <c r="DM16" i="3" a="1"/>
  <c r="DM16" i="3" s="1"/>
  <c r="DL16" i="3"/>
  <c r="CH16" i="3"/>
  <c r="CW16" i="3" s="1"/>
  <c r="HC5" i="11"/>
  <c r="CJ6" i="11"/>
  <c r="CY6" i="11" s="1"/>
  <c r="DM6" i="11" a="1"/>
  <c r="DM6" i="11" s="1"/>
  <c r="IM6" i="11"/>
  <c r="DL6" i="11"/>
  <c r="CK6" i="11"/>
  <c r="CZ6" i="11" s="1"/>
  <c r="CI6" i="11"/>
  <c r="CX6" i="11" s="1"/>
  <c r="HN5" i="14"/>
  <c r="HC5" i="15"/>
  <c r="FM8" i="3"/>
  <c r="HC3" i="4"/>
  <c r="CH6" i="11"/>
  <c r="CW6" i="11" s="1"/>
  <c r="HC4" i="14"/>
  <c r="FO5" i="19"/>
  <c r="FN5" i="19"/>
  <c r="FK9" i="19"/>
  <c r="FN9" i="19"/>
  <c r="FM9" i="19"/>
  <c r="FL9" i="19"/>
  <c r="FP9" i="19"/>
  <c r="HC3" i="9"/>
  <c r="FN6" i="11"/>
  <c r="FO6" i="11"/>
  <c r="CK3" i="12"/>
  <c r="CZ3" i="12" s="1"/>
  <c r="CH3" i="12"/>
  <c r="CW3" i="12" s="1"/>
  <c r="DM3" i="12" a="1"/>
  <c r="DM3" i="12" s="1"/>
  <c r="DL3" i="12"/>
  <c r="IN3" i="12"/>
  <c r="IX3" i="12" s="1"/>
  <c r="CJ3" i="12"/>
  <c r="CY3" i="12" s="1"/>
  <c r="HC6" i="19"/>
  <c r="HC7" i="19"/>
  <c r="HI7" i="11"/>
  <c r="CK8" i="11"/>
  <c r="CZ8" i="11" s="1"/>
  <c r="IM8" i="11"/>
  <c r="CH8" i="11"/>
  <c r="CW8" i="11" s="1"/>
  <c r="DL8" i="11"/>
  <c r="IN8" i="11"/>
  <c r="IX8" i="11" s="1"/>
  <c r="DM8" i="11" a="1"/>
  <c r="DM8" i="11" s="1"/>
  <c r="CJ8" i="11"/>
  <c r="CY8" i="11" s="1"/>
  <c r="CI8" i="11"/>
  <c r="CX8" i="11" s="1"/>
  <c r="HM5" i="14"/>
  <c r="FP4" i="15"/>
  <c r="FK4" i="15"/>
  <c r="HC9" i="19"/>
  <c r="HC3" i="11"/>
  <c r="FN4" i="11"/>
  <c r="FO4" i="11"/>
  <c r="FP8" i="11"/>
  <c r="FL8" i="11"/>
  <c r="HG5" i="14"/>
  <c r="DM6" i="8" a="1"/>
  <c r="DM6" i="8" s="1"/>
  <c r="CK6" i="8"/>
  <c r="CZ6" i="8" s="1"/>
  <c r="CJ6" i="8"/>
  <c r="CY6" i="8" s="1"/>
  <c r="IM6" i="8"/>
  <c r="CI6" i="8"/>
  <c r="CX6" i="8" s="1"/>
  <c r="DL6" i="8"/>
  <c r="CH6" i="8"/>
  <c r="CW6" i="8" s="1"/>
  <c r="IN6" i="8"/>
  <c r="IX6" i="8" s="1"/>
  <c r="HC3" i="5"/>
  <c r="DM3" i="4" a="1"/>
  <c r="DM3" i="4" s="1"/>
  <c r="CK3" i="4"/>
  <c r="CZ3" i="4" s="1"/>
  <c r="DL3" i="4"/>
  <c r="CJ3" i="4"/>
  <c r="CY3" i="4" s="1"/>
  <c r="CI3" i="4"/>
  <c r="CX3" i="4" s="1"/>
  <c r="GS3" i="4" s="1"/>
  <c r="IM3" i="4"/>
  <c r="DM6" i="12" a="1"/>
  <c r="DM6" i="12" s="1"/>
  <c r="DL6" i="12"/>
  <c r="IN6" i="12"/>
  <c r="IX6" i="12" s="1"/>
  <c r="CK6" i="12"/>
  <c r="CZ6" i="12" s="1"/>
  <c r="CJ6" i="12"/>
  <c r="CY6" i="12" s="1"/>
  <c r="HI3" i="14"/>
  <c r="HC3" i="16"/>
  <c r="DM4" i="16" a="1"/>
  <c r="DM4" i="16" s="1"/>
  <c r="CK4" i="16"/>
  <c r="CZ4" i="16" s="1"/>
  <c r="GS4" i="16" s="1"/>
  <c r="IN4" i="16"/>
  <c r="IX4" i="16" s="1"/>
  <c r="DL5" i="15"/>
  <c r="CK5" i="15"/>
  <c r="CZ5" i="15" s="1"/>
  <c r="CJ5" i="15"/>
  <c r="CY5" i="15" s="1"/>
  <c r="IM5" i="15"/>
  <c r="DM5" i="15" a="1"/>
  <c r="DM5" i="15" s="1"/>
  <c r="CI5" i="15"/>
  <c r="CX5" i="15" s="1"/>
  <c r="IN5" i="15"/>
  <c r="IX5" i="15" s="1"/>
  <c r="IN8" i="19"/>
  <c r="IX8" i="19" s="1"/>
  <c r="DL8" i="19"/>
  <c r="CK8" i="19"/>
  <c r="CZ8" i="19" s="1"/>
  <c r="CJ8" i="19"/>
  <c r="CY8" i="19" s="1"/>
  <c r="IM8" i="19"/>
  <c r="CI8" i="19"/>
  <c r="CX8" i="19" s="1"/>
  <c r="CH8" i="19"/>
  <c r="CW8" i="19" s="1"/>
  <c r="GS8" i="19" s="1"/>
  <c r="DM8" i="19" a="1"/>
  <c r="DM8" i="19" s="1"/>
  <c r="HC5" i="8"/>
  <c r="FM6" i="11"/>
  <c r="FO3" i="12"/>
  <c r="FN3" i="12"/>
  <c r="IN6" i="15"/>
  <c r="IX6" i="15" s="1"/>
  <c r="CK6" i="15"/>
  <c r="CZ6" i="15" s="1"/>
  <c r="IM6" i="15"/>
  <c r="CJ6" i="15"/>
  <c r="CY6" i="15" s="1"/>
  <c r="CI6" i="15"/>
  <c r="CX6" i="15" s="1"/>
  <c r="CH6" i="15"/>
  <c r="CW6" i="15" s="1"/>
  <c r="GS6" i="15" s="1"/>
  <c r="HM6" i="15" s="1"/>
  <c r="HC5" i="19"/>
  <c r="HC10" i="19"/>
  <c r="HI3" i="21"/>
  <c r="CH4" i="8"/>
  <c r="CW4" i="8" s="1"/>
  <c r="CJ4" i="8"/>
  <c r="CY4" i="8" s="1"/>
  <c r="DL4" i="8"/>
  <c r="IM4" i="8"/>
  <c r="IN4" i="8"/>
  <c r="IX4" i="8" s="1"/>
  <c r="CI4" i="8"/>
  <c r="CX4" i="8" s="1"/>
  <c r="CJ3" i="25"/>
  <c r="CY3" i="25" s="1"/>
  <c r="CI3" i="25"/>
  <c r="CX3" i="25" s="1"/>
  <c r="CK3" i="25"/>
  <c r="CZ3" i="25" s="1"/>
  <c r="GS3" i="25" s="1"/>
  <c r="HF3" i="25" s="1"/>
  <c r="DM3" i="25" a="1"/>
  <c r="DM3" i="25" s="1"/>
  <c r="IN3" i="25"/>
  <c r="IX3" i="25" s="1"/>
  <c r="DL3" i="25"/>
  <c r="DM9" i="11" a="1"/>
  <c r="DM9" i="11" s="1"/>
  <c r="IM9" i="11"/>
  <c r="CK9" i="11"/>
  <c r="CZ9" i="11" s="1"/>
  <c r="IN9" i="11"/>
  <c r="IX9" i="11" s="1"/>
  <c r="FO6" i="12"/>
  <c r="FN6" i="12"/>
  <c r="CH4" i="14"/>
  <c r="CW4" i="14" s="1"/>
  <c r="DL4" i="14"/>
  <c r="CK4" i="14"/>
  <c r="CZ4" i="14" s="1"/>
  <c r="IN4" i="14"/>
  <c r="IX4" i="14" s="1"/>
  <c r="CJ4" i="14"/>
  <c r="CY4" i="14" s="1"/>
  <c r="IM4" i="14"/>
  <c r="CI4" i="14"/>
  <c r="CX4" i="14" s="1"/>
  <c r="DL9" i="19"/>
  <c r="CJ9" i="19"/>
  <c r="CY9" i="19" s="1"/>
  <c r="CI9" i="19"/>
  <c r="CX9" i="19" s="1"/>
  <c r="CH9" i="19"/>
  <c r="CW9" i="19" s="1"/>
  <c r="HC6" i="8"/>
  <c r="FM3" i="5"/>
  <c r="CH9" i="11"/>
  <c r="CW9" i="11" s="1"/>
  <c r="HC6" i="15"/>
  <c r="CK3" i="23"/>
  <c r="CZ3" i="23" s="1"/>
  <c r="CJ3" i="23"/>
  <c r="CY3" i="23" s="1"/>
  <c r="DM3" i="23" a="1"/>
  <c r="DM3" i="23" s="1"/>
  <c r="IN3" i="23"/>
  <c r="IX3" i="23" s="1"/>
  <c r="IM3" i="23"/>
  <c r="CI3" i="23"/>
  <c r="CX3" i="23" s="1"/>
  <c r="DL10" i="3"/>
  <c r="CK10" i="3"/>
  <c r="CZ10" i="3" s="1"/>
  <c r="IN10" i="3"/>
  <c r="IX10" i="3" s="1"/>
  <c r="DM10" i="3" a="1"/>
  <c r="DM10" i="3" s="1"/>
  <c r="CJ10" i="3"/>
  <c r="CY10" i="3" s="1"/>
  <c r="CI10" i="3"/>
  <c r="CX10" i="3" s="1"/>
  <c r="CH10" i="3"/>
  <c r="CW10" i="3" s="1"/>
  <c r="DL3" i="9"/>
  <c r="CK3" i="9"/>
  <c r="CZ3" i="9" s="1"/>
  <c r="IN3" i="9"/>
  <c r="IX3" i="9" s="1"/>
  <c r="DM3" i="9" a="1"/>
  <c r="DM3" i="9" s="1"/>
  <c r="CJ3" i="9"/>
  <c r="CY3" i="9" s="1"/>
  <c r="CI3" i="9"/>
  <c r="CX3" i="9" s="1"/>
  <c r="CH3" i="9"/>
  <c r="CW3" i="9" s="1"/>
  <c r="IN3" i="11"/>
  <c r="IX3" i="11" s="1"/>
  <c r="IM3" i="11"/>
  <c r="CI3" i="11"/>
  <c r="CX3" i="11" s="1"/>
  <c r="DM3" i="11" a="1"/>
  <c r="DM3" i="11" s="1"/>
  <c r="CI7" i="11"/>
  <c r="CX7" i="11" s="1"/>
  <c r="CK7" i="11"/>
  <c r="CZ7" i="11" s="1"/>
  <c r="CJ7" i="11"/>
  <c r="CY7" i="11" s="1"/>
  <c r="CH7" i="11"/>
  <c r="CW7" i="11" s="1"/>
  <c r="DL7" i="11"/>
  <c r="HC9" i="11"/>
  <c r="HI5" i="14"/>
  <c r="FO4" i="19"/>
  <c r="FN4" i="19"/>
  <c r="GS4" i="19" s="1"/>
  <c r="DL5" i="20"/>
  <c r="IN5" i="20"/>
  <c r="IX5" i="20" s="1"/>
  <c r="DM5" i="20" a="1"/>
  <c r="DM5" i="20" s="1"/>
  <c r="CK5" i="20"/>
  <c r="CZ5" i="20" s="1"/>
  <c r="CH5" i="20"/>
  <c r="CW5" i="20" s="1"/>
  <c r="IM5" i="20"/>
  <c r="CJ5" i="20"/>
  <c r="CY5" i="20" s="1"/>
  <c r="GS3" i="23"/>
  <c r="HC3" i="25"/>
  <c r="FO8" i="3"/>
  <c r="FK3" i="4"/>
  <c r="CH3" i="11"/>
  <c r="CW3" i="11" s="1"/>
  <c r="DM4" i="11" a="1"/>
  <c r="DM4" i="11" s="1"/>
  <c r="DL4" i="11"/>
  <c r="GS4" i="11" s="1"/>
  <c r="HF4" i="11" s="1"/>
  <c r="FM4" i="11"/>
  <c r="DM7" i="11" a="1"/>
  <c r="DM7" i="11" s="1"/>
  <c r="CJ9" i="11"/>
  <c r="CY9" i="11" s="1"/>
  <c r="DL9" i="11"/>
  <c r="FL3" i="12"/>
  <c r="FK6" i="12"/>
  <c r="IN3" i="21"/>
  <c r="IX3" i="21" s="1"/>
  <c r="CK3" i="21"/>
  <c r="CZ3" i="21" s="1"/>
  <c r="CI3" i="21"/>
  <c r="CX3" i="21" s="1"/>
  <c r="CH3" i="21"/>
  <c r="CW3" i="21" s="1"/>
  <c r="DM3" i="21" a="1"/>
  <c r="DM3" i="21" s="1"/>
  <c r="IM3" i="21"/>
  <c r="DL3" i="21"/>
  <c r="CI5" i="20"/>
  <c r="CX5" i="20" s="1"/>
  <c r="IM4" i="27"/>
  <c r="DM4" i="27" a="1"/>
  <c r="DM4" i="27" s="1"/>
  <c r="IN4" i="27"/>
  <c r="IX4" i="27" s="1"/>
  <c r="CI4" i="27"/>
  <c r="CX4" i="27" s="1"/>
  <c r="DL4" i="27"/>
  <c r="CK4" i="27"/>
  <c r="CZ4" i="27" s="1"/>
  <c r="CJ4" i="27"/>
  <c r="CY4" i="27" s="1"/>
  <c r="CH4" i="27"/>
  <c r="CW4" i="27" s="1"/>
  <c r="IM10" i="3"/>
  <c r="HC4" i="19"/>
  <c r="IM4" i="18"/>
  <c r="DL4" i="18"/>
  <c r="CK4" i="18"/>
  <c r="CZ4" i="18" s="1"/>
  <c r="CJ4" i="18"/>
  <c r="CY4" i="18" s="1"/>
  <c r="CI4" i="18"/>
  <c r="CX4" i="18" s="1"/>
  <c r="IN4" i="18"/>
  <c r="IX4" i="18" s="1"/>
  <c r="DM4" i="18" a="1"/>
  <c r="DM4" i="18" s="1"/>
  <c r="FL10" i="19"/>
  <c r="IM4" i="20"/>
  <c r="DM4" i="20" a="1"/>
  <c r="DM4" i="20" s="1"/>
  <c r="IN4" i="20"/>
  <c r="IX4" i="20" s="1"/>
  <c r="CK4" i="20"/>
  <c r="CZ4" i="20" s="1"/>
  <c r="CI4" i="20"/>
  <c r="CX4" i="20" s="1"/>
  <c r="CJ4" i="20"/>
  <c r="CY4" i="20" s="1"/>
  <c r="CK3" i="26"/>
  <c r="CZ3" i="26" s="1"/>
  <c r="CI3" i="26"/>
  <c r="CX3" i="26" s="1"/>
  <c r="CH3" i="26"/>
  <c r="CW3" i="26" s="1"/>
  <c r="GS3" i="26" s="1"/>
  <c r="IN3" i="26"/>
  <c r="IX3" i="26" s="1"/>
  <c r="IM3" i="26"/>
  <c r="CJ3" i="26"/>
  <c r="CY3" i="26" s="1"/>
  <c r="DL3" i="26"/>
  <c r="CH4" i="18"/>
  <c r="CW4" i="18" s="1"/>
  <c r="HC3" i="12"/>
  <c r="IN5" i="14"/>
  <c r="IX5" i="14" s="1"/>
  <c r="CI5" i="14"/>
  <c r="CX5" i="14" s="1"/>
  <c r="DM5" i="14" a="1"/>
  <c r="DM5" i="14" s="1"/>
  <c r="FL4" i="15"/>
  <c r="HN3" i="19"/>
  <c r="DM3" i="26" a="1"/>
  <c r="DM3" i="26" s="1"/>
  <c r="CK4" i="12"/>
  <c r="CZ4" i="12" s="1"/>
  <c r="CH5" i="14"/>
  <c r="CW5" i="14" s="1"/>
  <c r="GS5" i="14" s="1"/>
  <c r="HF5" i="14" s="1"/>
  <c r="FK3" i="15"/>
  <c r="GS3" i="15" s="1"/>
  <c r="HG3" i="15" s="1"/>
  <c r="FM4" i="15"/>
  <c r="HC4" i="15"/>
  <c r="HI7" i="19"/>
  <c r="HC8" i="19"/>
  <c r="FO3" i="21"/>
  <c r="FN3" i="21"/>
  <c r="IM5" i="8"/>
  <c r="CK5" i="8"/>
  <c r="CZ5" i="8" s="1"/>
  <c r="DL5" i="8"/>
  <c r="CJ5" i="8"/>
  <c r="CY5" i="8" s="1"/>
  <c r="GS5" i="8" s="1"/>
  <c r="HG5" i="8" s="1"/>
  <c r="CI5" i="8"/>
  <c r="CX5" i="8" s="1"/>
  <c r="DM5" i="8" a="1"/>
  <c r="DM5" i="8" s="1"/>
  <c r="AX4" i="27"/>
  <c r="GS13" i="3"/>
  <c r="FM5" i="20"/>
  <c r="CJ18" i="3"/>
  <c r="CY18" i="3" s="1"/>
  <c r="CH18" i="3"/>
  <c r="CW18" i="3" s="1"/>
  <c r="IN18" i="3"/>
  <c r="IX18" i="3" s="1"/>
  <c r="IM18" i="3"/>
  <c r="CK18" i="3"/>
  <c r="CZ18" i="3" s="1"/>
  <c r="DM18" i="3" a="1"/>
  <c r="DM18" i="3" s="1"/>
  <c r="DL18" i="3"/>
  <c r="DL10" i="11"/>
  <c r="IM10" i="11"/>
  <c r="CK10" i="11"/>
  <c r="CZ10" i="11" s="1"/>
  <c r="DM10" i="11" a="1"/>
  <c r="DM10" i="11" s="1"/>
  <c r="CJ10" i="11"/>
  <c r="CY10" i="11" s="1"/>
  <c r="CH10" i="11"/>
  <c r="CW10" i="11" s="1"/>
  <c r="IN10" i="11"/>
  <c r="IX10" i="11" s="1"/>
  <c r="HI3" i="25"/>
  <c r="FO3" i="25"/>
  <c r="FN3" i="25"/>
  <c r="FK6" i="11"/>
  <c r="FM9" i="11"/>
  <c r="IN3" i="14"/>
  <c r="IX3" i="14" s="1"/>
  <c r="CI3" i="14"/>
  <c r="CX3" i="14" s="1"/>
  <c r="GS3" i="14" s="1"/>
  <c r="HN3" i="14" s="1"/>
  <c r="HF3" i="14"/>
  <c r="FK4" i="14"/>
  <c r="HI6" i="19"/>
  <c r="IN7" i="19"/>
  <c r="IX7" i="19" s="1"/>
  <c r="IM7" i="19"/>
  <c r="DM7" i="19" a="1"/>
  <c r="DM7" i="19" s="1"/>
  <c r="GS7" i="19" s="1"/>
  <c r="FK3" i="21"/>
  <c r="CK7" i="8"/>
  <c r="CZ7" i="8" s="1"/>
  <c r="CI7" i="8"/>
  <c r="CX7" i="8" s="1"/>
  <c r="IN7" i="8"/>
  <c r="IX7" i="8" s="1"/>
  <c r="CH7" i="8"/>
  <c r="CW7" i="8" s="1"/>
  <c r="GS7" i="8" s="1"/>
  <c r="HM7" i="8" s="1"/>
  <c r="HC4" i="20"/>
  <c r="CI7" i="15"/>
  <c r="CX7" i="15" s="1"/>
  <c r="DL7" i="15"/>
  <c r="CK7" i="15"/>
  <c r="CZ7" i="15" s="1"/>
  <c r="IN7" i="15"/>
  <c r="IX7" i="15" s="1"/>
  <c r="IM7" i="15"/>
  <c r="CJ7" i="15"/>
  <c r="CY7" i="15" s="1"/>
  <c r="DM7" i="15" a="1"/>
  <c r="DM7" i="15" s="1"/>
  <c r="CH7" i="15"/>
  <c r="CW7" i="15" s="1"/>
  <c r="CI3" i="8"/>
  <c r="CX3" i="8" s="1"/>
  <c r="DM3" i="8" a="1"/>
  <c r="DM3" i="8" s="1"/>
  <c r="FM7" i="8"/>
  <c r="FP7" i="8"/>
  <c r="HI4" i="20"/>
  <c r="DL8" i="15"/>
  <c r="CK8" i="15"/>
  <c r="CZ8" i="15" s="1"/>
  <c r="IM8" i="15"/>
  <c r="DM8" i="15" a="1"/>
  <c r="DM8" i="15" s="1"/>
  <c r="CI8" i="15"/>
  <c r="CX8" i="15" s="1"/>
  <c r="CH8" i="15"/>
  <c r="CW8" i="15" s="1"/>
  <c r="IN8" i="15"/>
  <c r="IX8" i="15" s="1"/>
  <c r="FN14" i="3"/>
  <c r="FO14" i="3"/>
  <c r="IN10" i="19"/>
  <c r="IX10" i="19" s="1"/>
  <c r="FL11" i="19"/>
  <c r="GS11" i="19" s="1"/>
  <c r="IN3" i="20"/>
  <c r="IX3" i="20" s="1"/>
  <c r="CI3" i="20"/>
  <c r="CX3" i="20" s="1"/>
  <c r="GS3" i="20" s="1"/>
  <c r="HC3" i="20"/>
  <c r="FN4" i="27"/>
  <c r="FM4" i="27"/>
  <c r="FL4" i="27"/>
  <c r="FO8" i="15"/>
  <c r="FN8" i="15"/>
  <c r="FP19" i="3"/>
  <c r="FN19" i="3"/>
  <c r="FL19" i="3"/>
  <c r="HC3" i="23"/>
  <c r="HC10" i="3"/>
  <c r="FL8" i="15"/>
  <c r="FM8" i="15"/>
  <c r="FP8" i="15"/>
  <c r="IN5" i="27"/>
  <c r="IX5" i="27" s="1"/>
  <c r="DL5" i="27"/>
  <c r="CK5" i="27"/>
  <c r="CZ5" i="27" s="1"/>
  <c r="IM5" i="27"/>
  <c r="DM5" i="27" a="1"/>
  <c r="DM5" i="27" s="1"/>
  <c r="CJ5" i="27"/>
  <c r="CY5" i="27" s="1"/>
  <c r="CI5" i="27"/>
  <c r="CX5" i="27" s="1"/>
  <c r="CH5" i="27"/>
  <c r="CW5" i="27" s="1"/>
  <c r="IR9" i="15"/>
  <c r="DM9" i="15" a="1"/>
  <c r="DM9" i="15" s="1"/>
  <c r="CI10" i="19"/>
  <c r="CX10" i="19" s="1"/>
  <c r="FO3" i="23"/>
  <c r="FO15" i="3"/>
  <c r="FN15" i="3"/>
  <c r="FK6" i="8"/>
  <c r="FM5" i="27"/>
  <c r="FL5" i="27"/>
  <c r="CH9" i="15"/>
  <c r="CW9" i="15" s="1"/>
  <c r="CK9" i="15"/>
  <c r="CZ9" i="15" s="1"/>
  <c r="IM9" i="15"/>
  <c r="DM6" i="7" a="1"/>
  <c r="DM6" i="7" s="1"/>
  <c r="CK6" i="7"/>
  <c r="CZ6" i="7" s="1"/>
  <c r="DL6" i="7"/>
  <c r="CJ6" i="7"/>
  <c r="CY6" i="7" s="1"/>
  <c r="IN6" i="7"/>
  <c r="IX6" i="7" s="1"/>
  <c r="CI6" i="7"/>
  <c r="CX6" i="7" s="1"/>
  <c r="IM6" i="7"/>
  <c r="CH6" i="7"/>
  <c r="CW6" i="7" s="1"/>
  <c r="DL9" i="3"/>
  <c r="CI9" i="3"/>
  <c r="CX9" i="3" s="1"/>
  <c r="CK9" i="3"/>
  <c r="CZ9" i="3" s="1"/>
  <c r="CJ9" i="3"/>
  <c r="CY9" i="3" s="1"/>
  <c r="CH9" i="3"/>
  <c r="CW9" i="3" s="1"/>
  <c r="DM9" i="3" a="1"/>
  <c r="DM9" i="3" s="1"/>
  <c r="FO12" i="3"/>
  <c r="FN12" i="3"/>
  <c r="CK17" i="3"/>
  <c r="CZ17" i="3" s="1"/>
  <c r="CI17" i="3"/>
  <c r="CX17" i="3" s="1"/>
  <c r="CJ17" i="3"/>
  <c r="CY17" i="3" s="1"/>
  <c r="CH17" i="3"/>
  <c r="CW17" i="3" s="1"/>
  <c r="IM17" i="3"/>
  <c r="DM17" i="3" a="1"/>
  <c r="DM17" i="3" s="1"/>
  <c r="DL17" i="3"/>
  <c r="IN17" i="3"/>
  <c r="IX17" i="3" s="1"/>
  <c r="CJ3" i="27"/>
  <c r="CY3" i="27" s="1"/>
  <c r="CI3" i="27"/>
  <c r="CX3" i="27" s="1"/>
  <c r="DL3" i="27"/>
  <c r="CK3" i="27"/>
  <c r="CZ3" i="27" s="1"/>
  <c r="CH3" i="27"/>
  <c r="CW3" i="27" s="1"/>
  <c r="GS3" i="27" s="1"/>
  <c r="HM3" i="27" s="1"/>
  <c r="DM3" i="27" a="1"/>
  <c r="DM3" i="27" s="1"/>
  <c r="FO3" i="27"/>
  <c r="FN3" i="27"/>
  <c r="IM3" i="27"/>
  <c r="HC9" i="15"/>
  <c r="FK14" i="3"/>
  <c r="HC3" i="7"/>
  <c r="FP4" i="7"/>
  <c r="FN4" i="7"/>
  <c r="FM4" i="7"/>
  <c r="FL4" i="7"/>
  <c r="FL6" i="7"/>
  <c r="FP6" i="7"/>
  <c r="FN6" i="7"/>
  <c r="FM6" i="7"/>
  <c r="FK8" i="15"/>
  <c r="HC11" i="3"/>
  <c r="FL14" i="3"/>
  <c r="HC16" i="3"/>
  <c r="IN3" i="6"/>
  <c r="IX3" i="6" s="1"/>
  <c r="IM3" i="6"/>
  <c r="DM3" i="6" a="1"/>
  <c r="DM3" i="6" s="1"/>
  <c r="DL3" i="6"/>
  <c r="CJ3" i="6"/>
  <c r="CY3" i="6" s="1"/>
  <c r="CI3" i="6"/>
  <c r="CX3" i="6" s="1"/>
  <c r="GS3" i="6" s="1"/>
  <c r="FO5" i="7"/>
  <c r="FN5" i="7"/>
  <c r="DL14" i="15"/>
  <c r="CK14" i="15"/>
  <c r="CZ14" i="15" s="1"/>
  <c r="CJ14" i="15"/>
  <c r="CY14" i="15" s="1"/>
  <c r="IN14" i="15"/>
  <c r="IX14" i="15" s="1"/>
  <c r="IM14" i="15"/>
  <c r="DM14" i="15" a="1"/>
  <c r="DM14" i="15" s="1"/>
  <c r="CH14" i="15"/>
  <c r="CW14" i="15" s="1"/>
  <c r="GS14" i="15" s="1"/>
  <c r="HN14" i="15" s="1"/>
  <c r="CI14" i="15"/>
  <c r="CX14" i="15" s="1"/>
  <c r="HI11" i="3"/>
  <c r="DL12" i="3"/>
  <c r="DM12" i="3" a="1"/>
  <c r="DM12" i="3" s="1"/>
  <c r="IN12" i="3"/>
  <c r="IX12" i="3" s="1"/>
  <c r="CK12" i="3"/>
  <c r="CZ12" i="3" s="1"/>
  <c r="IM12" i="3"/>
  <c r="CI12" i="3"/>
  <c r="CX12" i="3" s="1"/>
  <c r="CH12" i="3"/>
  <c r="CW12" i="3" s="1"/>
  <c r="FO16" i="3"/>
  <c r="FP22" i="3"/>
  <c r="FL22" i="3"/>
  <c r="FM22" i="3"/>
  <c r="FN22" i="3"/>
  <c r="FP5" i="7"/>
  <c r="FL5" i="7"/>
  <c r="FK6" i="7"/>
  <c r="FO3" i="10"/>
  <c r="FN3" i="10"/>
  <c r="HI3" i="26"/>
  <c r="FM7" i="15"/>
  <c r="HC8" i="15"/>
  <c r="CJ12" i="3"/>
  <c r="CY12" i="3" s="1"/>
  <c r="FP3" i="13"/>
  <c r="FN3" i="13"/>
  <c r="FM3" i="13"/>
  <c r="FL3" i="13"/>
  <c r="FK3" i="13"/>
  <c r="FM10" i="3"/>
  <c r="FO9" i="15"/>
  <c r="IN11" i="3"/>
  <c r="IX11" i="3" s="1"/>
  <c r="DM11" i="3" a="1"/>
  <c r="DM11" i="3" s="1"/>
  <c r="IM11" i="3"/>
  <c r="CJ11" i="3"/>
  <c r="CY11" i="3" s="1"/>
  <c r="CH11" i="3"/>
  <c r="CW11" i="3" s="1"/>
  <c r="HC13" i="3"/>
  <c r="IN22" i="3"/>
  <c r="IX22" i="3" s="1"/>
  <c r="CI22" i="3"/>
  <c r="CX22" i="3" s="1"/>
  <c r="CH22" i="3"/>
  <c r="CW22" i="3" s="1"/>
  <c r="DM22" i="3" a="1"/>
  <c r="DM22" i="3" s="1"/>
  <c r="DL22" i="3"/>
  <c r="CK22" i="3"/>
  <c r="CZ22" i="3" s="1"/>
  <c r="GS3" i="22"/>
  <c r="CI11" i="3"/>
  <c r="CX11" i="3" s="1"/>
  <c r="FK12" i="3"/>
  <c r="IM15" i="3"/>
  <c r="CJ15" i="3"/>
  <c r="CY15" i="3" s="1"/>
  <c r="GS15" i="3" s="1"/>
  <c r="DM15" i="3" a="1"/>
  <c r="DM15" i="3" s="1"/>
  <c r="CK15" i="3"/>
  <c r="CZ15" i="3" s="1"/>
  <c r="CJ22" i="3"/>
  <c r="CY22" i="3" s="1"/>
  <c r="HC10" i="11"/>
  <c r="HC3" i="13"/>
  <c r="FN14" i="15"/>
  <c r="FO14" i="15"/>
  <c r="CK11" i="3"/>
  <c r="CZ11" i="3" s="1"/>
  <c r="HC22" i="3"/>
  <c r="FP17" i="3"/>
  <c r="FM17" i="3"/>
  <c r="FK17" i="3"/>
  <c r="FO19" i="3"/>
  <c r="FK19" i="3"/>
  <c r="FL3" i="7"/>
  <c r="FK5" i="7"/>
  <c r="HI3" i="10"/>
  <c r="DL10" i="15"/>
  <c r="CH10" i="15"/>
  <c r="CW10" i="15" s="1"/>
  <c r="DM10" i="15" a="1"/>
  <c r="DM10" i="15" s="1"/>
  <c r="CK10" i="15"/>
  <c r="CZ10" i="15" s="1"/>
  <c r="CJ10" i="15"/>
  <c r="CY10" i="15" s="1"/>
  <c r="CI10" i="15"/>
  <c r="CX10" i="15" s="1"/>
  <c r="IN10" i="15"/>
  <c r="IX10" i="15" s="1"/>
  <c r="HC20" i="3"/>
  <c r="HG20" i="3" s="1"/>
  <c r="FO3" i="7"/>
  <c r="FN3" i="7"/>
  <c r="FK4" i="7"/>
  <c r="HC15" i="3"/>
  <c r="FP3" i="18"/>
  <c r="FN3" i="18"/>
  <c r="FL3" i="18"/>
  <c r="FK3" i="18"/>
  <c r="IM10" i="15"/>
  <c r="HC3" i="26"/>
  <c r="FO7" i="15"/>
  <c r="FL11" i="3"/>
  <c r="FM18" i="3"/>
  <c r="FO7" i="12"/>
  <c r="FN7" i="12"/>
  <c r="DL3" i="18"/>
  <c r="IM3" i="18"/>
  <c r="CI3" i="18"/>
  <c r="CX3" i="18" s="1"/>
  <c r="IN3" i="18"/>
  <c r="IX3" i="18" s="1"/>
  <c r="HC4" i="25"/>
  <c r="IN20" i="3"/>
  <c r="IX20" i="3" s="1"/>
  <c r="CK20" i="3"/>
  <c r="CZ20" i="3" s="1"/>
  <c r="IM20" i="3"/>
  <c r="CJ20" i="3"/>
  <c r="CY20" i="3" s="1"/>
  <c r="DL21" i="3"/>
  <c r="CK21" i="3"/>
  <c r="CZ21" i="3" s="1"/>
  <c r="IM4" i="6"/>
  <c r="DM4" i="6" a="1"/>
  <c r="DM4" i="6" s="1"/>
  <c r="DL4" i="6"/>
  <c r="CI4" i="6"/>
  <c r="CX4" i="6" s="1"/>
  <c r="CJ4" i="6"/>
  <c r="CY4" i="6" s="1"/>
  <c r="CH4" i="6"/>
  <c r="CW4" i="6" s="1"/>
  <c r="IN4" i="6"/>
  <c r="IX4" i="6" s="1"/>
  <c r="IM3" i="7"/>
  <c r="CH3" i="7"/>
  <c r="CW3" i="7" s="1"/>
  <c r="IN3" i="7"/>
  <c r="IX3" i="7" s="1"/>
  <c r="DM3" i="7" a="1"/>
  <c r="DM3" i="7" s="1"/>
  <c r="DL3" i="7"/>
  <c r="CK3" i="7"/>
  <c r="CZ3" i="7" s="1"/>
  <c r="HC14" i="15"/>
  <c r="DL16" i="15"/>
  <c r="CK16" i="15"/>
  <c r="CZ16" i="15" s="1"/>
  <c r="CJ16" i="15"/>
  <c r="CY16" i="15" s="1"/>
  <c r="CI16" i="15"/>
  <c r="CX16" i="15" s="1"/>
  <c r="DM16" i="15" a="1"/>
  <c r="DM16" i="15" s="1"/>
  <c r="CH16" i="15"/>
  <c r="CW16" i="15" s="1"/>
  <c r="IN16" i="15"/>
  <c r="IX16" i="15" s="1"/>
  <c r="IM16" i="15"/>
  <c r="IN19" i="3"/>
  <c r="IX19" i="3" s="1"/>
  <c r="CH20" i="3"/>
  <c r="CW20" i="3" s="1"/>
  <c r="GS20" i="3" s="1"/>
  <c r="CH21" i="3"/>
  <c r="CW21" i="3" s="1"/>
  <c r="CK4" i="6"/>
  <c r="CZ4" i="6" s="1"/>
  <c r="CI3" i="7"/>
  <c r="CX3" i="7" s="1"/>
  <c r="DM4" i="7" a="1"/>
  <c r="DM4" i="7" s="1"/>
  <c r="CK4" i="7"/>
  <c r="CZ4" i="7" s="1"/>
  <c r="IN4" i="7"/>
  <c r="IX4" i="7" s="1"/>
  <c r="DL4" i="7"/>
  <c r="CJ4" i="7"/>
  <c r="CY4" i="7" s="1"/>
  <c r="IM4" i="7"/>
  <c r="IM7" i="12"/>
  <c r="DL7" i="12"/>
  <c r="CI7" i="12"/>
  <c r="CX7" i="12" s="1"/>
  <c r="GS7" i="12" s="1"/>
  <c r="FL7" i="12"/>
  <c r="HC7" i="12"/>
  <c r="CJ3" i="18"/>
  <c r="CY3" i="18" s="1"/>
  <c r="GS3" i="18" s="1"/>
  <c r="CJ11" i="15"/>
  <c r="CY11" i="15" s="1"/>
  <c r="CI11" i="15"/>
  <c r="CX11" i="15" s="1"/>
  <c r="DM11" i="15" a="1"/>
  <c r="DM11" i="15" s="1"/>
  <c r="CH11" i="15"/>
  <c r="CW11" i="15" s="1"/>
  <c r="GS11" i="15" s="1"/>
  <c r="IM5" i="6"/>
  <c r="DM5" i="6" a="1"/>
  <c r="DM5" i="6" s="1"/>
  <c r="DL5" i="6"/>
  <c r="IN5" i="6"/>
  <c r="IX5" i="6" s="1"/>
  <c r="CI5" i="6"/>
  <c r="CX5" i="6" s="1"/>
  <c r="GS5" i="6" s="1"/>
  <c r="IM5" i="7"/>
  <c r="CH5" i="7"/>
  <c r="CW5" i="7" s="1"/>
  <c r="IN5" i="7"/>
  <c r="IX5" i="7" s="1"/>
  <c r="DM5" i="7" a="1"/>
  <c r="DM5" i="7" s="1"/>
  <c r="CK5" i="7"/>
  <c r="CZ5" i="7" s="1"/>
  <c r="CJ5" i="7"/>
  <c r="CY5" i="7" s="1"/>
  <c r="HC5" i="7"/>
  <c r="FM7" i="12"/>
  <c r="DL3" i="13"/>
  <c r="CI3" i="13"/>
  <c r="CX3" i="13" s="1"/>
  <c r="CH3" i="13"/>
  <c r="CW3" i="13" s="1"/>
  <c r="GS3" i="13" s="1"/>
  <c r="HN3" i="13" s="1"/>
  <c r="IM3" i="13"/>
  <c r="HC11" i="15"/>
  <c r="DL12" i="15"/>
  <c r="CJ12" i="15"/>
  <c r="CY12" i="15" s="1"/>
  <c r="CH12" i="15"/>
  <c r="CW12" i="15" s="1"/>
  <c r="IM12" i="15"/>
  <c r="FN17" i="3"/>
  <c r="FO18" i="3"/>
  <c r="FM19" i="3"/>
  <c r="GS19" i="3" s="1"/>
  <c r="FK10" i="11"/>
  <c r="HC4" i="18"/>
  <c r="CI12" i="15"/>
  <c r="CX12" i="15" s="1"/>
  <c r="IN12" i="15"/>
  <c r="IX12" i="15" s="1"/>
  <c r="FO4" i="6"/>
  <c r="FM5" i="7"/>
  <c r="FO4" i="18"/>
  <c r="FN4" i="18"/>
  <c r="GS15" i="15"/>
  <c r="HG15" i="15" s="1"/>
  <c r="HI5" i="6"/>
  <c r="FM3" i="7"/>
  <c r="DM3" i="10" a="1"/>
  <c r="DM3" i="10" s="1"/>
  <c r="CK3" i="10"/>
  <c r="CZ3" i="10" s="1"/>
  <c r="IM3" i="10"/>
  <c r="FO15" i="15"/>
  <c r="FN15" i="15"/>
  <c r="DM3" i="22" a="1"/>
  <c r="DM3" i="22" s="1"/>
  <c r="DL3" i="22"/>
  <c r="IN3" i="22"/>
  <c r="IX3" i="22" s="1"/>
  <c r="FO3" i="24"/>
  <c r="FN3" i="24"/>
  <c r="DL4" i="25"/>
  <c r="CK4" i="25"/>
  <c r="CZ4" i="25" s="1"/>
  <c r="CJ4" i="25"/>
  <c r="CY4" i="25" s="1"/>
  <c r="CI4" i="25"/>
  <c r="CX4" i="25" s="1"/>
  <c r="GS4" i="25" s="1"/>
  <c r="IM4" i="25"/>
  <c r="FO3" i="22"/>
  <c r="FN3" i="22"/>
  <c r="FL15" i="15"/>
  <c r="DL3" i="24"/>
  <c r="CK3" i="24"/>
  <c r="CZ3" i="24" s="1"/>
  <c r="CJ3" i="24"/>
  <c r="CY3" i="24" s="1"/>
  <c r="IM3" i="24"/>
  <c r="CK13" i="15"/>
  <c r="CZ13" i="15" s="1"/>
  <c r="IN13" i="15"/>
  <c r="IX13" i="15" s="1"/>
  <c r="CJ13" i="15"/>
  <c r="CY13" i="15" s="1"/>
  <c r="IM13" i="15"/>
  <c r="CI13" i="15"/>
  <c r="CX13" i="15" s="1"/>
  <c r="FM15" i="15"/>
  <c r="HC15" i="15"/>
  <c r="HN15" i="15" s="1"/>
  <c r="CH3" i="24"/>
  <c r="CW3" i="24" s="1"/>
  <c r="DM3" i="24" a="1"/>
  <c r="DM3" i="24" s="1"/>
  <c r="IN3" i="24"/>
  <c r="IX3" i="24" s="1"/>
  <c r="FO12" i="15"/>
  <c r="FN12" i="15"/>
  <c r="CH13" i="15"/>
  <c r="CW13" i="15" s="1"/>
  <c r="FK3" i="22"/>
  <c r="CI3" i="24"/>
  <c r="CX3" i="24" s="1"/>
  <c r="FO13" i="15"/>
  <c r="FN13" i="15"/>
  <c r="FL3" i="22"/>
  <c r="HC3" i="22"/>
  <c r="FN4" i="25"/>
  <c r="FO11" i="15"/>
  <c r="FN11" i="15"/>
  <c r="FM3" i="22"/>
  <c r="HC3" i="24"/>
  <c r="HG15" i="3" l="1"/>
  <c r="HN15" i="3"/>
  <c r="HF3" i="7"/>
  <c r="HN4" i="25"/>
  <c r="HM4" i="25"/>
  <c r="HG4" i="25"/>
  <c r="HF19" i="3"/>
  <c r="HN19" i="3"/>
  <c r="HM19" i="3"/>
  <c r="HG19" i="3"/>
  <c r="HN3" i="6"/>
  <c r="HM3" i="6"/>
  <c r="HG3" i="6"/>
  <c r="HF3" i="6"/>
  <c r="HM3" i="18"/>
  <c r="HG3" i="18"/>
  <c r="HF3" i="18"/>
  <c r="HN3" i="18"/>
  <c r="HG5" i="6"/>
  <c r="HF5" i="6"/>
  <c r="HM5" i="6"/>
  <c r="HN5" i="6"/>
  <c r="HG4" i="19"/>
  <c r="HM4" i="19"/>
  <c r="HN4" i="19"/>
  <c r="HF10" i="11"/>
  <c r="HM10" i="11"/>
  <c r="HG10" i="11"/>
  <c r="HF4" i="12"/>
  <c r="HN4" i="12"/>
  <c r="HG2" i="6"/>
  <c r="HN2" i="6"/>
  <c r="HM2" i="6"/>
  <c r="HF2" i="6"/>
  <c r="HM14" i="15"/>
  <c r="GS4" i="6"/>
  <c r="HN3" i="7"/>
  <c r="HM13" i="3"/>
  <c r="HN13" i="3"/>
  <c r="HF13" i="3"/>
  <c r="HG13" i="3"/>
  <c r="HG4" i="11"/>
  <c r="HM11" i="15"/>
  <c r="HN11" i="15"/>
  <c r="GS21" i="3"/>
  <c r="HF3" i="23"/>
  <c r="HG3" i="23"/>
  <c r="HF7" i="8"/>
  <c r="GS9" i="19"/>
  <c r="HF8" i="19"/>
  <c r="HN8" i="19"/>
  <c r="HM8" i="19"/>
  <c r="HG8" i="19"/>
  <c r="HN3" i="24"/>
  <c r="HG3" i="26"/>
  <c r="HF15" i="15"/>
  <c r="GS5" i="7"/>
  <c r="HG14" i="15"/>
  <c r="HF14" i="15"/>
  <c r="HF15" i="3"/>
  <c r="GS12" i="3"/>
  <c r="GS3" i="8"/>
  <c r="HM3" i="22"/>
  <c r="HG3" i="22"/>
  <c r="HG7" i="8"/>
  <c r="HN7" i="8"/>
  <c r="GS14" i="3"/>
  <c r="HM2" i="19"/>
  <c r="GS9" i="3"/>
  <c r="HG3" i="4"/>
  <c r="HF3" i="4"/>
  <c r="HM3" i="4"/>
  <c r="HN3" i="4"/>
  <c r="HG2" i="19"/>
  <c r="HF2" i="19"/>
  <c r="HG7" i="12"/>
  <c r="HF7" i="12"/>
  <c r="GS12" i="15"/>
  <c r="HF11" i="15"/>
  <c r="HG3" i="27"/>
  <c r="HM7" i="19"/>
  <c r="HG7" i="19"/>
  <c r="HM5" i="12"/>
  <c r="HG5" i="12"/>
  <c r="HN5" i="12"/>
  <c r="HF5" i="12"/>
  <c r="HG6" i="19"/>
  <c r="HM15" i="15"/>
  <c r="HN11" i="19"/>
  <c r="HM11" i="19"/>
  <c r="HG11" i="19"/>
  <c r="HF11" i="19"/>
  <c r="GS3" i="12"/>
  <c r="HN3" i="12" s="1"/>
  <c r="HF3" i="13"/>
  <c r="HM7" i="12"/>
  <c r="HG11" i="15"/>
  <c r="GS10" i="15"/>
  <c r="GS10" i="11"/>
  <c r="HN10" i="11" s="1"/>
  <c r="HF4" i="19"/>
  <c r="HN8" i="11"/>
  <c r="HN4" i="3"/>
  <c r="HG4" i="3"/>
  <c r="HM4" i="3"/>
  <c r="HF20" i="3"/>
  <c r="HM20" i="3"/>
  <c r="GS4" i="7"/>
  <c r="HM3" i="25"/>
  <c r="HF5" i="19"/>
  <c r="HM5" i="19"/>
  <c r="HF3" i="27"/>
  <c r="HN3" i="27"/>
  <c r="HG3" i="13"/>
  <c r="HN7" i="12"/>
  <c r="HM3" i="23"/>
  <c r="HM4" i="12"/>
  <c r="HG2" i="18"/>
  <c r="HF2" i="18"/>
  <c r="HN2" i="18"/>
  <c r="HM2" i="18"/>
  <c r="HF3" i="2"/>
  <c r="HN3" i="2"/>
  <c r="HM3" i="2"/>
  <c r="HG3" i="2"/>
  <c r="HF3" i="15"/>
  <c r="HN3" i="15"/>
  <c r="HG3" i="9"/>
  <c r="HN3" i="9"/>
  <c r="GS3" i="24"/>
  <c r="HF3" i="24" s="1"/>
  <c r="GS3" i="10"/>
  <c r="HN3" i="22"/>
  <c r="HG4" i="12"/>
  <c r="HM3" i="15"/>
  <c r="HN5" i="8"/>
  <c r="HM5" i="8"/>
  <c r="HF5" i="8"/>
  <c r="GS6" i="12"/>
  <c r="HM2" i="22"/>
  <c r="HM3" i="20"/>
  <c r="HN3" i="20"/>
  <c r="HG3" i="20"/>
  <c r="HF3" i="20"/>
  <c r="HM2" i="14"/>
  <c r="HN2" i="14"/>
  <c r="HG2" i="14"/>
  <c r="HF2" i="14"/>
  <c r="HN20" i="3"/>
  <c r="GS4" i="27"/>
  <c r="HF4" i="16"/>
  <c r="HG4" i="16"/>
  <c r="HM4" i="16"/>
  <c r="HN4" i="16"/>
  <c r="HM3" i="13"/>
  <c r="GS16" i="15"/>
  <c r="GS13" i="15"/>
  <c r="HF22" i="3"/>
  <c r="HN5" i="7"/>
  <c r="GS3" i="7"/>
  <c r="HF3" i="22"/>
  <c r="HM15" i="3"/>
  <c r="GS10" i="19"/>
  <c r="GS8" i="15"/>
  <c r="GS4" i="20"/>
  <c r="GS3" i="9"/>
  <c r="HF3" i="9" s="1"/>
  <c r="HN3" i="23"/>
  <c r="GS5" i="15"/>
  <c r="HN7" i="19"/>
  <c r="HM2" i="27"/>
  <c r="GS4" i="15"/>
  <c r="HM4" i="15" s="1"/>
  <c r="HM2" i="15"/>
  <c r="GS5" i="19"/>
  <c r="HN5" i="19" s="1"/>
  <c r="GS2" i="2"/>
  <c r="GS6" i="7"/>
  <c r="GS5" i="27"/>
  <c r="GS4" i="18"/>
  <c r="HN4" i="18" s="1"/>
  <c r="HN9" i="19"/>
  <c r="GS3" i="21"/>
  <c r="HF6" i="15"/>
  <c r="HF7" i="19"/>
  <c r="GS2" i="13"/>
  <c r="GS4" i="8"/>
  <c r="HN3" i="5"/>
  <c r="HF5" i="11"/>
  <c r="GS16" i="3"/>
  <c r="HG3" i="14"/>
  <c r="GS6" i="19"/>
  <c r="HM6" i="19" s="1"/>
  <c r="HM2" i="10"/>
  <c r="HM3" i="5"/>
  <c r="GS7" i="3"/>
  <c r="HN7" i="3" s="1"/>
  <c r="GS2" i="4"/>
  <c r="GS2" i="23"/>
  <c r="HN3" i="25"/>
  <c r="HN4" i="14"/>
  <c r="HG3" i="25"/>
  <c r="GS2" i="25"/>
  <c r="HF7" i="3"/>
  <c r="GS18" i="3"/>
  <c r="GS10" i="3"/>
  <c r="GS9" i="11"/>
  <c r="HM9" i="11" s="1"/>
  <c r="GS4" i="14"/>
  <c r="GS6" i="8"/>
  <c r="HG6" i="8" s="1"/>
  <c r="GS8" i="11"/>
  <c r="HF8" i="11" s="1"/>
  <c r="GS6" i="11"/>
  <c r="HM5" i="15"/>
  <c r="HM3" i="14"/>
  <c r="HF2" i="15"/>
  <c r="GS2" i="17"/>
  <c r="GS2" i="12"/>
  <c r="GS2" i="10"/>
  <c r="HN2" i="10" s="1"/>
  <c r="GS2" i="11"/>
  <c r="HM3" i="26"/>
  <c r="GS5" i="20"/>
  <c r="HF3" i="5"/>
  <c r="HN4" i="11"/>
  <c r="HM4" i="11"/>
  <c r="HF3" i="3"/>
  <c r="GS5" i="3"/>
  <c r="HF5" i="3" s="1"/>
  <c r="HN2" i="20"/>
  <c r="HN3" i="3"/>
  <c r="GS2" i="5"/>
  <c r="HF4" i="25"/>
  <c r="GS11" i="3"/>
  <c r="HM11" i="3" s="1"/>
  <c r="HF4" i="14"/>
  <c r="GS3" i="11"/>
  <c r="HM3" i="11" s="1"/>
  <c r="GS7" i="11"/>
  <c r="GS6" i="3"/>
  <c r="GS3" i="16"/>
  <c r="HM3" i="16" s="1"/>
  <c r="HN3" i="16"/>
  <c r="HM3" i="19"/>
  <c r="GS2" i="9"/>
  <c r="GS2" i="22"/>
  <c r="GS2" i="7"/>
  <c r="HN2" i="19"/>
  <c r="HF3" i="26"/>
  <c r="HN3" i="26"/>
  <c r="HF9" i="15"/>
  <c r="HG9" i="15"/>
  <c r="GS17" i="3"/>
  <c r="GS9" i="15"/>
  <c r="HN6" i="15"/>
  <c r="GS8" i="3"/>
  <c r="HF8" i="3" s="1"/>
  <c r="HF3" i="16"/>
  <c r="GS5" i="11"/>
  <c r="HG5" i="11" s="1"/>
  <c r="GS2" i="26"/>
  <c r="HF3" i="19"/>
  <c r="GS2" i="8"/>
  <c r="GS22" i="3"/>
  <c r="HM22" i="3" s="1"/>
  <c r="GS7" i="15"/>
  <c r="HG6" i="15"/>
  <c r="HF3" i="11"/>
  <c r="HG5" i="3"/>
  <c r="HN6" i="12"/>
  <c r="HN2" i="15"/>
  <c r="GS2" i="27"/>
  <c r="HF2" i="27" s="1"/>
  <c r="GS2" i="21"/>
  <c r="HG2" i="10"/>
  <c r="HN5" i="3"/>
  <c r="GS2" i="16"/>
  <c r="GS2" i="24"/>
  <c r="GS2" i="3"/>
  <c r="HM4" i="20" l="1"/>
  <c r="HN4" i="20"/>
  <c r="HG4" i="7"/>
  <c r="HN4" i="7"/>
  <c r="HF4" i="7"/>
  <c r="HM4" i="7"/>
  <c r="HF2" i="16"/>
  <c r="HN2" i="16"/>
  <c r="HM2" i="16"/>
  <c r="HG2" i="16"/>
  <c r="HF6" i="19"/>
  <c r="HN17" i="3"/>
  <c r="HF17" i="3"/>
  <c r="HM17" i="3"/>
  <c r="HG17" i="3"/>
  <c r="HN4" i="15"/>
  <c r="HM8" i="3"/>
  <c r="HG8" i="11"/>
  <c r="HF4" i="18"/>
  <c r="HN22" i="3"/>
  <c r="HG14" i="3"/>
  <c r="HN14" i="3"/>
  <c r="HM14" i="3"/>
  <c r="HF14" i="3"/>
  <c r="HN9" i="11"/>
  <c r="HG5" i="19"/>
  <c r="HG10" i="3"/>
  <c r="HF10" i="3"/>
  <c r="HN10" i="3"/>
  <c r="HF16" i="3"/>
  <c r="HN16" i="3"/>
  <c r="HM16" i="3"/>
  <c r="HF3" i="21"/>
  <c r="HG3" i="21"/>
  <c r="HN3" i="21"/>
  <c r="HM3" i="21"/>
  <c r="HG3" i="7"/>
  <c r="HM3" i="7"/>
  <c r="HF4" i="27"/>
  <c r="HN4" i="27"/>
  <c r="HM4" i="27"/>
  <c r="HG4" i="27"/>
  <c r="HM3" i="9"/>
  <c r="HG8" i="3"/>
  <c r="HM8" i="11"/>
  <c r="HG4" i="18"/>
  <c r="HM7" i="3"/>
  <c r="HM10" i="3"/>
  <c r="HG3" i="24"/>
  <c r="HM2" i="21"/>
  <c r="HF2" i="21"/>
  <c r="HG2" i="21"/>
  <c r="HN2" i="21"/>
  <c r="HF2" i="26"/>
  <c r="HM2" i="26"/>
  <c r="HG2" i="26"/>
  <c r="HN2" i="26"/>
  <c r="HN18" i="3"/>
  <c r="HM18" i="3"/>
  <c r="HF18" i="3"/>
  <c r="HG18" i="3"/>
  <c r="HN2" i="23"/>
  <c r="HM2" i="23"/>
  <c r="HG2" i="23"/>
  <c r="HF2" i="23"/>
  <c r="HM3" i="8"/>
  <c r="HG3" i="8"/>
  <c r="HF3" i="8"/>
  <c r="HN3" i="8"/>
  <c r="HM3" i="24"/>
  <c r="HF9" i="19"/>
  <c r="HM9" i="19"/>
  <c r="HF6" i="11"/>
  <c r="HM6" i="11"/>
  <c r="HG6" i="11"/>
  <c r="HN6" i="11"/>
  <c r="HM2" i="4"/>
  <c r="HF2" i="4"/>
  <c r="HG2" i="4"/>
  <c r="HN2" i="4"/>
  <c r="HM7" i="15"/>
  <c r="HG7" i="15"/>
  <c r="HF7" i="15"/>
  <c r="HN7" i="15"/>
  <c r="HG2" i="7"/>
  <c r="HM2" i="7"/>
  <c r="HF2" i="7"/>
  <c r="HN2" i="7"/>
  <c r="HN4" i="8"/>
  <c r="HG4" i="8"/>
  <c r="HF4" i="8"/>
  <c r="HM4" i="8"/>
  <c r="HN11" i="3"/>
  <c r="HN12" i="3"/>
  <c r="HG12" i="3"/>
  <c r="HM12" i="3"/>
  <c r="HF12" i="3"/>
  <c r="HM21" i="3"/>
  <c r="HG21" i="3"/>
  <c r="HF21" i="3"/>
  <c r="HN21" i="3"/>
  <c r="HF2" i="22"/>
  <c r="HG2" i="22"/>
  <c r="HN2" i="22"/>
  <c r="HG7" i="3"/>
  <c r="HM5" i="3"/>
  <c r="HG4" i="20"/>
  <c r="HF10" i="19"/>
  <c r="HN10" i="19"/>
  <c r="HM10" i="19"/>
  <c r="HG10" i="19"/>
  <c r="HM16" i="15"/>
  <c r="HG16" i="15"/>
  <c r="HF16" i="15"/>
  <c r="HN16" i="15"/>
  <c r="HG3" i="16"/>
  <c r="HM10" i="15"/>
  <c r="HF10" i="15"/>
  <c r="HN10" i="15"/>
  <c r="HG10" i="15"/>
  <c r="HM12" i="15"/>
  <c r="HG12" i="15"/>
  <c r="HN12" i="15"/>
  <c r="HF12" i="15"/>
  <c r="HF11" i="3"/>
  <c r="HF4" i="6"/>
  <c r="HM4" i="6"/>
  <c r="HG4" i="6"/>
  <c r="HN4" i="6"/>
  <c r="HN5" i="11"/>
  <c r="HM5" i="11"/>
  <c r="HF6" i="7"/>
  <c r="HN6" i="7"/>
  <c r="HG6" i="7"/>
  <c r="HM6" i="7"/>
  <c r="HG2" i="17"/>
  <c r="HF2" i="17"/>
  <c r="HN2" i="17"/>
  <c r="HM2" i="17"/>
  <c r="HM2" i="2"/>
  <c r="HF2" i="2"/>
  <c r="HN2" i="2"/>
  <c r="HG2" i="2"/>
  <c r="HG11" i="3"/>
  <c r="HG9" i="19"/>
  <c r="HG4" i="15"/>
  <c r="HN2" i="5"/>
  <c r="HM2" i="5"/>
  <c r="HG2" i="5"/>
  <c r="HF2" i="5"/>
  <c r="HF4" i="20"/>
  <c r="HN6" i="19"/>
  <c r="HG2" i="9"/>
  <c r="HF2" i="9"/>
  <c r="HM2" i="9"/>
  <c r="HN2" i="9"/>
  <c r="HG5" i="20"/>
  <c r="HM5" i="20"/>
  <c r="HN5" i="20"/>
  <c r="HF5" i="20"/>
  <c r="HF6" i="8"/>
  <c r="HN6" i="8"/>
  <c r="HM2" i="25"/>
  <c r="HN2" i="25"/>
  <c r="HF2" i="25"/>
  <c r="HG2" i="25"/>
  <c r="HM6" i="8"/>
  <c r="HG16" i="3"/>
  <c r="HM6" i="12"/>
  <c r="HG6" i="12"/>
  <c r="HF6" i="12"/>
  <c r="HG3" i="12"/>
  <c r="HG9" i="11"/>
  <c r="HF3" i="12"/>
  <c r="HG5" i="27"/>
  <c r="HM5" i="27"/>
  <c r="HF5" i="27"/>
  <c r="HN5" i="27"/>
  <c r="HG8" i="15"/>
  <c r="HN8" i="15"/>
  <c r="HF2" i="10"/>
  <c r="HG4" i="14"/>
  <c r="HM4" i="14"/>
  <c r="HF4" i="15"/>
  <c r="HN2" i="13"/>
  <c r="HM2" i="13"/>
  <c r="HG2" i="13"/>
  <c r="HF2" i="13"/>
  <c r="HN8" i="3"/>
  <c r="HM4" i="18"/>
  <c r="HG9" i="3"/>
  <c r="HF9" i="3"/>
  <c r="HM9" i="3"/>
  <c r="HN9" i="3"/>
  <c r="HF9" i="11"/>
  <c r="HM3" i="12"/>
  <c r="HG7" i="11"/>
  <c r="HF7" i="11"/>
  <c r="HN7" i="11"/>
  <c r="HM7" i="11"/>
  <c r="HF2" i="11"/>
  <c r="HM2" i="11"/>
  <c r="HG2" i="11"/>
  <c r="HN2" i="11"/>
  <c r="HN3" i="11"/>
  <c r="HG3" i="11"/>
  <c r="HF2" i="12"/>
  <c r="HM2" i="12"/>
  <c r="HN2" i="12"/>
  <c r="HG2" i="12"/>
  <c r="HF13" i="15"/>
  <c r="HG13" i="15"/>
  <c r="HN13" i="15"/>
  <c r="HM13" i="15"/>
  <c r="HN2" i="27"/>
  <c r="HG2" i="27"/>
  <c r="HF8" i="15"/>
  <c r="HM8" i="15"/>
  <c r="HG2" i="3"/>
  <c r="HF2" i="3"/>
  <c r="HM2" i="3"/>
  <c r="HN2" i="3"/>
  <c r="HN2" i="24"/>
  <c r="HM2" i="24"/>
  <c r="HG2" i="24"/>
  <c r="HG2" i="8"/>
  <c r="HF2" i="8"/>
  <c r="HM2" i="8"/>
  <c r="HN2" i="8"/>
  <c r="HN9" i="15"/>
  <c r="HM9" i="15"/>
  <c r="HF6" i="3"/>
  <c r="HG6" i="3"/>
  <c r="HM6" i="3"/>
  <c r="HN6" i="3"/>
  <c r="HF5" i="15"/>
  <c r="HG5" i="15"/>
  <c r="HN5" i="15"/>
  <c r="HF2" i="24"/>
  <c r="HM3" i="10"/>
  <c r="HF3" i="10"/>
  <c r="HG3" i="10"/>
  <c r="HN3" i="10"/>
  <c r="HG22" i="3"/>
  <c r="HF5" i="7"/>
  <c r="HG5" i="7"/>
  <c r="HM5" i="7"/>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18">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futureMetadata>
  <cellMetadata count="1">
    <bk>
      <rc t="1" v="0"/>
    </bk>
  </cellMetadata>
  <valueMetadata count="118">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valueMetadata>
</metadata>
</file>

<file path=xl/sharedStrings.xml><?xml version="1.0" encoding="utf-8"?>
<sst xmlns="http://schemas.openxmlformats.org/spreadsheetml/2006/main" count="11314" uniqueCount="852">
  <si>
    <t>Country</t>
  </si>
  <si>
    <t>LEVEL</t>
  </si>
  <si>
    <t xml:space="preserve"> </t>
  </si>
  <si>
    <t>Subtype</t>
  </si>
  <si>
    <t>Population 2023</t>
  </si>
  <si>
    <t>Tourists 2023</t>
  </si>
  <si>
    <t>Regional</t>
  </si>
  <si>
    <t>Avg</t>
  </si>
  <si>
    <t>Flag Date</t>
  </si>
  <si>
    <t>Description</t>
  </si>
  <si>
    <t>Word count</t>
  </si>
  <si>
    <t>Bands</t>
  </si>
  <si>
    <t>Diagon</t>
  </si>
  <si>
    <t>Crosse</t>
  </si>
  <si>
    <t>Horizo</t>
  </si>
  <si>
    <t>Vertic</t>
  </si>
  <si>
    <t>Circle</t>
  </si>
  <si>
    <t>Animal</t>
  </si>
  <si>
    <t>Bird</t>
  </si>
  <si>
    <t>Plants</t>
  </si>
  <si>
    <t>Texted</t>
  </si>
  <si>
    <t>Weapon</t>
  </si>
  <si>
    <t>HasSun</t>
  </si>
  <si>
    <t>IsMoon</t>
  </si>
  <si>
    <t>Trside</t>
  </si>
  <si>
    <t>Unequa</t>
  </si>
  <si>
    <t>Center</t>
  </si>
  <si>
    <t>Canton</t>
  </si>
  <si>
    <t>Nordic</t>
  </si>
  <si>
    <t>OnlyBa</t>
  </si>
  <si>
    <t>Wavess</t>
  </si>
  <si>
    <t>Geogrh</t>
  </si>
  <si>
    <t>Humans</t>
  </si>
  <si>
    <t>Builds</t>
  </si>
  <si>
    <t>Ships!</t>
  </si>
  <si>
    <t>Crowns</t>
  </si>
  <si>
    <t>Rotate</t>
  </si>
  <si>
    <t>Waters</t>
  </si>
  <si>
    <t>Stars</t>
  </si>
  <si>
    <t>Region1</t>
  </si>
  <si>
    <t>Region2</t>
  </si>
  <si>
    <t>Region3</t>
  </si>
  <si>
    <t>Island</t>
  </si>
  <si>
    <t>StarCL</t>
  </si>
  <si>
    <t>Myr</t>
  </si>
  <si>
    <t>BANDA</t>
  </si>
  <si>
    <t>BANDM</t>
  </si>
  <si>
    <t>BANDF</t>
  </si>
  <si>
    <t>OTHER0</t>
  </si>
  <si>
    <t>OTHER1</t>
  </si>
  <si>
    <t>Colors</t>
  </si>
  <si>
    <t>UNION</t>
  </si>
  <si>
    <t>ntWHYE</t>
  </si>
  <si>
    <t>ntREWH</t>
  </si>
  <si>
    <t>diagoband</t>
  </si>
  <si>
    <t>Landlocked</t>
  </si>
  <si>
    <t>EU</t>
  </si>
  <si>
    <t>Arabic Official</t>
  </si>
  <si>
    <t>Post Soviet</t>
  </si>
  <si>
    <t>Southern Cross</t>
  </si>
  <si>
    <t>Maps</t>
  </si>
  <si>
    <t>Monarchy</t>
  </si>
  <si>
    <t>2Color</t>
  </si>
  <si>
    <t>3Color</t>
  </si>
  <si>
    <t>4Color</t>
  </si>
  <si>
    <t>5+Colo</t>
  </si>
  <si>
    <t>NoBand</t>
  </si>
  <si>
    <t>2Bands</t>
  </si>
  <si>
    <t>3Bands</t>
  </si>
  <si>
    <t>4+Band</t>
  </si>
  <si>
    <t>NoStar</t>
  </si>
  <si>
    <t>1Stars</t>
  </si>
  <si>
    <t>2Stars</t>
  </si>
  <si>
    <t>3+Star</t>
  </si>
  <si>
    <t>Name</t>
  </si>
  <si>
    <t>Flag</t>
  </si>
  <si>
    <t>2 Colors</t>
  </si>
  <si>
    <t>3 Colors</t>
  </si>
  <si>
    <t>5+ Colors</t>
  </si>
  <si>
    <t>words2</t>
  </si>
  <si>
    <t>words3</t>
  </si>
  <si>
    <t>exact2</t>
  </si>
  <si>
    <t>letter</t>
  </si>
  <si>
    <t>starts</t>
  </si>
  <si>
    <t>contains tan</t>
  </si>
  <si>
    <t>contains q</t>
  </si>
  <si>
    <t>contains V</t>
  </si>
  <si>
    <t>contains W</t>
  </si>
  <si>
    <t>contains Y</t>
  </si>
  <si>
    <t>contains Z</t>
  </si>
  <si>
    <t>color2only</t>
  </si>
  <si>
    <t>color3only</t>
  </si>
  <si>
    <t>year18</t>
  </si>
  <si>
    <t>year19</t>
  </si>
  <si>
    <t>year00</t>
  </si>
  <si>
    <t>post soviet</t>
  </si>
  <si>
    <t>only vertical</t>
  </si>
  <si>
    <t>only horizontal</t>
  </si>
  <si>
    <t>only diagonal</t>
  </si>
  <si>
    <t>Lcross</t>
  </si>
  <si>
    <t>No Bands</t>
  </si>
  <si>
    <t>2 Bands</t>
  </si>
  <si>
    <t>3 Bands</t>
  </si>
  <si>
    <t>4+ Bands</t>
  </si>
  <si>
    <t>Diagonal</t>
  </si>
  <si>
    <t>Cross</t>
  </si>
  <si>
    <t>Horizontal</t>
  </si>
  <si>
    <t>Vertical</t>
  </si>
  <si>
    <t>Text</t>
  </si>
  <si>
    <t>Has Sun</t>
  </si>
  <si>
    <t>Moon</t>
  </si>
  <si>
    <t>Nordics</t>
  </si>
  <si>
    <t>Mounts</t>
  </si>
  <si>
    <t>Ships</t>
  </si>
  <si>
    <t>Star01</t>
  </si>
  <si>
    <t>Star02</t>
  </si>
  <si>
    <t>Star03</t>
  </si>
  <si>
    <t>NO_BLU</t>
  </si>
  <si>
    <t>NO_WHI</t>
  </si>
  <si>
    <t>NO_RED</t>
  </si>
  <si>
    <t>NO_GRE</t>
  </si>
  <si>
    <t>NO_YEL</t>
  </si>
  <si>
    <t>NO_BLA</t>
  </si>
  <si>
    <t>WHGRNO</t>
  </si>
  <si>
    <t>WHYENO</t>
  </si>
  <si>
    <t>BAWHNO</t>
  </si>
  <si>
    <t>BLWHINO</t>
  </si>
  <si>
    <t>BLRENO</t>
  </si>
  <si>
    <t>WHRENO</t>
  </si>
  <si>
    <t>Band01</t>
  </si>
  <si>
    <t>Band02</t>
  </si>
  <si>
    <t>Band03</t>
  </si>
  <si>
    <t>myr</t>
  </si>
  <si>
    <t>Landlock</t>
  </si>
  <si>
    <t>NOT EU</t>
  </si>
  <si>
    <t>Arabic</t>
  </si>
  <si>
    <t>English</t>
  </si>
  <si>
    <t>French</t>
  </si>
  <si>
    <t>Spanish</t>
  </si>
  <si>
    <t>Portuguese</t>
  </si>
  <si>
    <t>German</t>
  </si>
  <si>
    <t>Dutch</t>
  </si>
  <si>
    <t>Histor</t>
  </si>
  <si>
    <t>Canton Jack</t>
  </si>
  <si>
    <t>No Star</t>
  </si>
  <si>
    <t>HasSta</t>
  </si>
  <si>
    <t>1 Star</t>
  </si>
  <si>
    <t>2 Stars</t>
  </si>
  <si>
    <t>3+Stars</t>
  </si>
  <si>
    <t>Type</t>
  </si>
  <si>
    <t>Day</t>
  </si>
  <si>
    <t>BLA</t>
  </si>
  <si>
    <t>BLU</t>
  </si>
  <si>
    <t>GRE</t>
  </si>
  <si>
    <t>RED</t>
  </si>
  <si>
    <t>YEL</t>
  </si>
  <si>
    <t>ORA</t>
  </si>
  <si>
    <t>BRO</t>
  </si>
  <si>
    <t>PUR</t>
  </si>
  <si>
    <t>WHI</t>
  </si>
  <si>
    <t>Large Cross</t>
  </si>
  <si>
    <t>Small Cross</t>
  </si>
  <si>
    <t>ID</t>
  </si>
  <si>
    <t>American Samoa</t>
  </si>
  <si>
    <t>https://upload.wikimedia.org/wikipedia/commons/thumb/8/87/Flag_of_American_Samoa.svg/1200px-Flag_of_American_Samoa.svg.png</t>
  </si>
  <si>
    <t>https://upload.wikimedia.org/wikipedia/commons/thumb/8/87/Flag_of_American_Samoa.svg/2560px-Flag_of_American_Samoa.svg.png</t>
  </si>
  <si>
    <t>.</t>
  </si>
  <si>
    <t>https://en.wikipedia.org/wiki/Flag_of_American_Samoa</t>
  </si>
  <si>
    <t>[ASM]</t>
  </si>
  <si>
    <t>Oceania</t>
  </si>
  <si>
    <t xml:space="preserve">1960 </t>
  </si>
  <si>
    <t>The colors used epitomize the traditional colors of the United States and Samoa. The bald eagle and the blue, white and red colors symbolize the country's ties to the United States. The eagle holds a staff and a war club, two traditional symbols of the Samoan chiefs.</t>
  </si>
  <si>
    <t>y</t>
  </si>
  <si>
    <t>n</t>
  </si>
  <si>
    <t>nn</t>
  </si>
  <si>
    <t>Samoan, English</t>
  </si>
  <si>
    <t>Australia</t>
  </si>
  <si>
    <t>https://i.ibb.co/cJ1kzCd/Australia-Flag.png</t>
  </si>
  <si>
    <t>https://upload.wikimedia.org/wikipedia/en/thumb/b/b9/Flag_of_Australia.svg/2560px-Flag_of_Australia.svg.png</t>
  </si>
  <si>
    <t>https://en.wikipedia.org/wiki/Flag_of_Australia</t>
  </si>
  <si>
    <t>[AUS]</t>
  </si>
  <si>
    <t xml:space="preserve">1903, 1908. 1970 </t>
  </si>
  <si>
    <t>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t>
  </si>
  <si>
    <t>nc</t>
  </si>
  <si>
    <t>Christmas Island</t>
  </si>
  <si>
    <t>https://upload.wikimedia.org/wikipedia/commons/thumb/6/67/Flag_of_Christmas_Island.svg/383px-Flag_of_Christmas_Island.svg.png</t>
  </si>
  <si>
    <t>https://upload.wikimedia.org/wikipedia/commons/thumb/6/67/Flag_of_Christmas_Island.svg/2560px-Flag_of_Christmas_Island.svg.png</t>
  </si>
  <si>
    <t>https://en.wikipedia.org/wiki/Flag_of_Christmas_Island</t>
  </si>
  <si>
    <t>[CXR]</t>
  </si>
  <si>
    <t xml:space="preserve">1986, 2002 </t>
  </si>
  <si>
    <t>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t>
  </si>
  <si>
    <t>Oceania, rgn_Asia</t>
  </si>
  <si>
    <t/>
  </si>
  <si>
    <t>Cocos Islands</t>
  </si>
  <si>
    <t>https://upload.wikimedia.org/wikipedia/commons/thumb/7/74/Flag_of_the_Cocos_%28Keeling%29_Islands.svg/1920px-Flag_of_the_Cocos_%28Keeling%29_Islands.svg.png</t>
  </si>
  <si>
    <t>https://upload.wikimedia.org/wikipedia/commons/thumb/7/74/Flag_of_the_Cocos_%28Keeling%29_Islands.svg/2560px-Flag_of_the_Cocos_%28Keeling%29_Islands.svg.png</t>
  </si>
  <si>
    <t>https://en.wikipedia.org/wiki/Flag_of_the_Cocos_(Keeling)_Islands</t>
  </si>
  <si>
    <t>[CCK]</t>
  </si>
  <si>
    <t xml:space="preserve">2004 </t>
  </si>
  <si>
    <t>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t>
  </si>
  <si>
    <t>Cook Islands</t>
  </si>
  <si>
    <t>https://i.ibb.co/d23ftXX/Cook-Islands-Flag.png</t>
  </si>
  <si>
    <t>https://upload.wikimedia.org/wikipedia/commons/thumb/3/35/Flag_of_the_Cook_Islands.svg/2560px-Flag_of_the_Cook_Islands.svg.png</t>
  </si>
  <si>
    <t>https://en.wikipedia.org/wiki/Flag_of_Cook_Islands</t>
  </si>
  <si>
    <t>[CKI]</t>
  </si>
  <si>
    <t xml:space="preserve">1979 </t>
  </si>
  <si>
    <t>The Union Flag is symbolic of the nation's historic ties to the United Kingdom and to the Commonwealth of Nations. The stars stand for the fifteen islands that make up the Cook Islands. The blue represents the ocean and the peaceful nature of the inhabitants.</t>
  </si>
  <si>
    <t>Fiji</t>
  </si>
  <si>
    <t>https://i.ibb.co/WK7Cyyh/Fiji-Flag.png</t>
  </si>
  <si>
    <t>https://upload.wikimedia.org/wikipedia/commons/thumb/b/ba/Flag_of_Fiji.svg/2560px-Flag_of_Fiji.svg.png</t>
  </si>
  <si>
    <t>https://en.wikipedia.org/wiki/Flag_of_Fiji</t>
  </si>
  <si>
    <t>[FJI]</t>
  </si>
  <si>
    <t xml:space="preserve">1970 </t>
  </si>
  <si>
    <t>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t>
  </si>
  <si>
    <t>French Polynesia</t>
  </si>
  <si>
    <t>https://i.ibb.co/jZ2wfRj/Tahiti-Flag.png</t>
  </si>
  <si>
    <t>https://upload.wikimedia.org/wikipedia/commons/thumb/d/db/Flag_of_French_Polynesia.svg/2560px-Flag_of_French_Polynesia.svg.png</t>
  </si>
  <si>
    <t>https://en.wikipedia.org/wiki/Flag_of_French_Polynesia</t>
  </si>
  <si>
    <t>[PLY]</t>
  </si>
  <si>
    <t xml:space="preserve">1984 </t>
  </si>
  <si>
    <t>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t>
  </si>
  <si>
    <t>Guam</t>
  </si>
  <si>
    <t>https://upload.wikimedia.org/wikipedia/commons/thumb/0/07/Flag_of_Guam.svg/2560px-Flag_of_Guam.svg.png</t>
  </si>
  <si>
    <t>https://en.wikipedia.org/wiki/Flag_of_Guam</t>
  </si>
  <si>
    <t>[GUM]</t>
  </si>
  <si>
    <t xml:space="preserve">1948 </t>
  </si>
  <si>
    <t>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t>
  </si>
  <si>
    <t>Oceania, rgn_North America</t>
  </si>
  <si>
    <t>Kiribati</t>
  </si>
  <si>
    <t>https://i.ibb.co/zJCR6VG/Kiribati-Flag.png</t>
  </si>
  <si>
    <t>https://upload.wikimedia.org/wikipedia/commons/thumb/d/d3/Flag_of_Kiribati.svg/2560px-Flag_of_Kiribati.svg.png</t>
  </si>
  <si>
    <t>https://en.wikipedia.org/wiki/Flag_of_Kiribati</t>
  </si>
  <si>
    <t>[KIR]</t>
  </si>
  <si>
    <t>The bird is a frigate bird which represents power, freedom and Kiribati cultural dance patterns. The rising sun is the tropical sun as Kiribati lies astride the Equator.The sea is the Pacific Ocean which surrounds Kiribati.</t>
  </si>
  <si>
    <t>Marshall Islands</t>
  </si>
  <si>
    <t>https://i.ibb.co/98FvLgw/Marshall-Islands-Flag.png</t>
  </si>
  <si>
    <t>https://upload.wikimedia.org/wikipedia/commons/thumb/2/2e/Flag_of_the_Marshall_Islands.svg/2560px-Flag_of_the_Marshall_Islands.svg.png</t>
  </si>
  <si>
    <t>https://en.wikipedia.org/wiki/Flag_of_the_Marshall_Islands</t>
  </si>
  <si>
    <t>[MHL]</t>
  </si>
  <si>
    <t>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t>
  </si>
  <si>
    <t>Micronesia</t>
  </si>
  <si>
    <t>https://i.ibb.co/j4nBMmd/Micronesia-Flag.png</t>
  </si>
  <si>
    <t>https://upload.wikimedia.org/wikipedia/commons/thumb/e/e4/Flag_of_the_Federated_States_of_Micronesia.svg/2560px-Flag_of_the_Federated_States_of_Micronesia.svg.png</t>
  </si>
  <si>
    <t>https://en.wikipedia.org/wiki/Flag_of_the_Federated_States_of_Micronesia</t>
  </si>
  <si>
    <t>[MIC]</t>
  </si>
  <si>
    <t xml:space="preserve">1978 </t>
  </si>
  <si>
    <t>The blue field represents the Pacific Ocean. In an echo of U.S. heraldic practice, the stars represent the four federated states: Chuuk, Pohnpei, Kosrae and Yap, arranged like the points of the compass.</t>
  </si>
  <si>
    <t>Nauru</t>
  </si>
  <si>
    <t>https://i.ibb.co/Sm3L855/Nauru-Flag.png</t>
  </si>
  <si>
    <t>https://upload.wikimedia.org/wikipedia/commons/thumb/3/30/Flag_of_Nauru.svg/2560px-Flag_of_Nauru.svg.png</t>
  </si>
  <si>
    <t>https://en.wikipedia.org/wiki/Flag_of_Nauru</t>
  </si>
  <si>
    <t>[NRU]</t>
  </si>
  <si>
    <t xml:space="preserve">1968 </t>
  </si>
  <si>
    <t>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t>
  </si>
  <si>
    <t>New Caledonia</t>
  </si>
  <si>
    <t>https://i.ibb.co/8BYXc8r/New-Caledonia-Flag.png</t>
  </si>
  <si>
    <t>https://upload.wikimedia.org/wikipedia/commons/thumb/6/66/Flag_of_FLNKS.svg/2560px-Flag_of_FLNKS.svg.png</t>
  </si>
  <si>
    <t>https://en.wikipedia.org/wiki/Flags_of_New_Caledonia</t>
  </si>
  <si>
    <t>[NCL]</t>
  </si>
  <si>
    <t xml:space="preserve">2010 </t>
  </si>
  <si>
    <t>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t>
  </si>
  <si>
    <t>New Zealand</t>
  </si>
  <si>
    <t>https://i.ibb.co/Y8G5GLw/New-Zealand-Flag.png</t>
  </si>
  <si>
    <t>https://upload.wikimedia.org/wikipedia/commons/thumb/3/3e/Flag_of_New_Zealand.svg/2560px-Flag_of_New_Zealand.svg.png</t>
  </si>
  <si>
    <t>https://en.wikipedia.org/wiki/Flag_of_New_Zealand</t>
  </si>
  <si>
    <t>[NZE]</t>
  </si>
  <si>
    <t xml:space="preserve">1902 </t>
  </si>
  <si>
    <t>The blue of the background is reminiscent of the blue sea and sky surrounding , and the stars of the Southern Cross signify the place in the South Pacific Ocean.</t>
  </si>
  <si>
    <t>Niue</t>
  </si>
  <si>
    <t>https://upload.wikimedia.org/wikipedia/commons/thumb/0/01/Flag_of_Niue.svg/300px-Flag_of_Niue.svg.png</t>
  </si>
  <si>
    <t>https://upload.wikimedia.org/wikipedia/commons/thumb/0/01/Flag_of_Niue.svg/2560px-Flag_of_Niue.svg.png</t>
  </si>
  <si>
    <t>https://en.wikipedia.org/wiki/Flag_of_Niue</t>
  </si>
  <si>
    <t>[NIU]</t>
  </si>
  <si>
    <t xml:space="preserve">1975 </t>
  </si>
  <si>
    <t>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t>
  </si>
  <si>
    <t>English, Malay</t>
  </si>
  <si>
    <t>Norfolk Island</t>
  </si>
  <si>
    <t>https://upload.wikimedia.org/wikipedia/commons/thumb/4/48/Flag_of_Norfolk_Island.svg/383px-Flag_of_Norfolk_Island.svg.png</t>
  </si>
  <si>
    <t>https://upload.wikimedia.org/wikipedia/commons/thumb/4/48/Flag_of_Norfolk_Island.svg/2560px-Flag_of_Norfolk_Island.svg.png</t>
  </si>
  <si>
    <t>https://en.wikipedia.org/wiki/Flag_of_Norfolk_Island</t>
  </si>
  <si>
    <t>[NFK]</t>
  </si>
  <si>
    <t>The green symbolises Norfolk Island's plentiful vegetation and fertile land. The Norfolk Island pine is native to the islands, and is the official tree of the territory.</t>
  </si>
  <si>
    <t>Northern Mariana Islands</t>
  </si>
  <si>
    <t>https://upload.wikimedia.org/wikipedia/commons/thumb/e/e0/Flag_of_the_Northern_Mariana_Islands.svg/1200px-Flag_of_the_Northern_Mariana_Islands.svg.png</t>
  </si>
  <si>
    <t>https://upload.wikimedia.org/wikipedia/commons/thumb/e/e0/Flag_of_the_Northern_Mariana_Islands.svg/2560px-Flag_of_the_Northern_Mariana_Islands.svg.png</t>
  </si>
  <si>
    <t>https://en.wikipedia.org/wiki/Flag_of_the_Northern_Mariana_Islands</t>
  </si>
  <si>
    <t>[MNP]</t>
  </si>
  <si>
    <t xml:space="preserve">1985 </t>
  </si>
  <si>
    <t>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t>
  </si>
  <si>
    <t>English, Maori</t>
  </si>
  <si>
    <t>Palau</t>
  </si>
  <si>
    <t>https://i.ibb.co/v1H7J0V/Palau-Flag.png</t>
  </si>
  <si>
    <t>https://upload.wikimedia.org/wikipedia/commons/thumb/4/48/Flag_of_Palau.svg/2560px-Flag_of_Palau.svg.png</t>
  </si>
  <si>
    <t>https://en.wikipedia.org/wiki/Flag_of_Palau</t>
  </si>
  <si>
    <t>[PAU]</t>
  </si>
  <si>
    <t xml:space="preserve">1981 </t>
  </si>
  <si>
    <t>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t>
  </si>
  <si>
    <t>Papua New Guinea</t>
  </si>
  <si>
    <t>https://i.ibb.co/dGNHyxn/Papua-Flag.png</t>
  </si>
  <si>
    <t>https://upload.wikimedia.org/wikipedia/commons/thumb/e/e3/Flag_of_Papua_New_Guinea.svg/2560px-Flag_of_Papua_New_Guinea.svg.png</t>
  </si>
  <si>
    <t>https://en.wikipedia.org/wiki/Flag_of_Papua_New_Guinea</t>
  </si>
  <si>
    <t>[PNG]</t>
  </si>
  <si>
    <t xml:space="preserve">1971 </t>
  </si>
  <si>
    <t>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t>
  </si>
  <si>
    <t>Pitcairn Islands</t>
  </si>
  <si>
    <t>https://upload.wikimedia.org/wikipedia/commons/thumb/8/88/Flag_of_the_Pitcairn_Islands.svg/383px-Flag_of_the_Pitcairn_Islands.svg.png</t>
  </si>
  <si>
    <t>https://upload.wikimedia.org/wikipedia/commons/thumb/8/88/Flag_of_the_Pitcairn_Islands.svg/2560px-Flag_of_the_Pitcairn_Islands.svg.png</t>
  </si>
  <si>
    <t>https://en.wikipedia.org/wiki/Flag_and_coat_of_arms_of_the_Pitcairn_Islands</t>
  </si>
  <si>
    <t>[PCN]</t>
  </si>
  <si>
    <t>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t>
  </si>
  <si>
    <t>Samoa</t>
  </si>
  <si>
    <t>https://i.ibb.co/tQfV41n/Samoa-Flag.png</t>
  </si>
  <si>
    <t>https://upload.wikimedia.org/wikipedia/commons/thumb/3/31/Flag_of_Samoa.svg/2560px-Flag_of_Samoa.svg.png</t>
  </si>
  <si>
    <t>https://en.wikipedia.org/wiki/Flag_of_Samoa</t>
  </si>
  <si>
    <t>[SMO]</t>
  </si>
  <si>
    <t xml:space="preserve">1949, 1962 </t>
  </si>
  <si>
    <t>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t>
  </si>
  <si>
    <t>English, Fijian, Hindi</t>
  </si>
  <si>
    <t>Solomon Islands</t>
  </si>
  <si>
    <t>https://i.ibb.co/C7T6z7q/Solomon-Islands-Flag.png</t>
  </si>
  <si>
    <t>https://upload.wikimedia.org/wikipedia/commons/thumb/7/74/Flag_of_the_Solomon_Islands.svg/2560px-Flag_of_the_Solomon_Islands.svg.png</t>
  </si>
  <si>
    <t>https://en.wikipedia.org/wiki/Flag_of_Solomon_Islands</t>
  </si>
  <si>
    <t>[SOL]</t>
  </si>
  <si>
    <t xml:space="preserve">1977 </t>
  </si>
  <si>
    <t>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t>
  </si>
  <si>
    <t>Tonga</t>
  </si>
  <si>
    <t>https://i.ibb.co/QMQsXwX/Tonga-Flag.png</t>
  </si>
  <si>
    <t>https://upload.wikimedia.org/wikipedia/commons/thumb/9/9a/Flag_of_Tonga.svg/2560px-Flag_of_Tonga.svg.png</t>
  </si>
  <si>
    <t>https://en.wikipedia.org/wiki/Flag_of_Tonga</t>
  </si>
  <si>
    <t>[TON]</t>
  </si>
  <si>
    <t xml:space="preserve">1875 </t>
  </si>
  <si>
    <t>The red couped cross alludes to Christianity, the religion practised by approximately 97% of the country's population. The white epitomizes purity, while the red evokes the sacrifice of the Blood of Christ, which was shed during the Crucifixion.</t>
  </si>
  <si>
    <t>Tuvalu</t>
  </si>
  <si>
    <t>https://i.ibb.co/RQ3gYR5/Tuvalu-Flag.png</t>
  </si>
  <si>
    <t>https://upload.wikimedia.org/wikipedia/commons/thumb/3/38/Flag_of_Tuvalu.svg/2560px-Flag_of_Tuvalu.svg.png</t>
  </si>
  <si>
    <t>https://en.wikipedia.org/wiki/Flag_of_Tuvalu</t>
  </si>
  <si>
    <t>[TUV]</t>
  </si>
  <si>
    <t xml:space="preserve">1978, 1997 </t>
  </si>
  <si>
    <t>The stars represent the nine islands which comprise Tuvalu; the arrangement is geographically correct, with the east towards the top (i.e. north to the left).</t>
  </si>
  <si>
    <t>Vanuatu</t>
  </si>
  <si>
    <t>https://i.ibb.co/J5QQTYW/Vanuatu-Flag.png</t>
  </si>
  <si>
    <t>https://upload.wikimedia.org/wikipedia/commons/thumb/b/bc/Flag_of_Vanuatu.svg/2560px-Flag_of_Vanuatu.svg.png</t>
  </si>
  <si>
    <t>https://en.wikipedia.org/wiki/Flag_of_Vanuatu</t>
  </si>
  <si>
    <t>[VUT]</t>
  </si>
  <si>
    <t xml:space="preserve">1980 </t>
  </si>
  <si>
    <t>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t>
  </si>
  <si>
    <t>Wallis and Futuna</t>
  </si>
  <si>
    <t>https://upload.wikimedia.org/wikipedia/commons/thumb/d/d2/Flag_of_Wallis_and_Futuna.svg/300px-Flag_of_Wallis_and_Futuna.svg.png</t>
  </si>
  <si>
    <t>https://upload.wikimedia.org/wikipedia/commons/thumb/d/d2/Flag_of_Wallis_and_Futuna.svg/2560px-Flag_of_Wallis_and_Futuna.svg.png</t>
  </si>
  <si>
    <t>https://en.wikipedia.org/wiki/Flag_of_Wallis_and_Futuna</t>
  </si>
  <si>
    <t>[WLF]</t>
  </si>
  <si>
    <t>This flag features a red field with four white isosceles triangles in the middle. The color red symbolizes courage; while the white color represents purity of ideals. The four triangles represents the three native kings of the islands and the French administrator.</t>
  </si>
  <si>
    <t>[ASM] Manu'a Islands</t>
  </si>
  <si>
    <t>https://upload.wikimedia.org/wikipedia/commons/0/04/Manu%27a-flag.gif</t>
  </si>
  <si>
    <t>https://www.crwflags.com/fotw/flags/as-manut.html</t>
  </si>
  <si>
    <t>???</t>
  </si>
  <si>
    <t>The flag of Manu'atele, Manu'a Islands in American Samoa is green with three horizontal yellow bands, tapering off toward the hoist, with yellow ring around a red disk bearing a white chicken; in the upper fly, three four-pointed stars.</t>
  </si>
  <si>
    <t>City</t>
  </si>
  <si>
    <t>[AUS] New South Wales</t>
  </si>
  <si>
    <t>https://upload.wikimedia.org/wikipedia/commons/thumb/0/00/Flag_of_New_South_Wales.svg/320px-Flag_of_New_South_Wales.svg.png</t>
  </si>
  <si>
    <t>https://upload.wikimedia.org/wikipedia/commons/thumb/0/00/Flag_of_New_South_Wales.svg/2560px-Flag_of_New_South_Wales.svg.png</t>
  </si>
  <si>
    <t>https://en.wikipedia.org/wiki/Flag_of_New_South_Wales</t>
  </si>
  <si>
    <t>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t>
  </si>
  <si>
    <t>State</t>
  </si>
  <si>
    <t>[AUS] Queensland</t>
  </si>
  <si>
    <t>https://upload.wikimedia.org/wikipedia/commons/thumb/0/04/Flag_of_Queensland.svg/640px-Flag_of_Queensland.svg.png</t>
  </si>
  <si>
    <t>https://upload.wikimedia.org/wikipedia/commons/thumb/0/04/Flag_of_Queensland.svg/2560px-Flag_of_Queensland.svg.png</t>
  </si>
  <si>
    <t>https://en.wikipedia.org/wiki/Flag_of_Queensland</t>
  </si>
  <si>
    <t xml:space="preserve">The flag contains the Union Jack and the blue background like Australia. The badge contains a Maltese Cross with a Saint Edward's Crown in the center of the cross. </t>
  </si>
  <si>
    <t>[AUS] South Australia</t>
  </si>
  <si>
    <t>https://upload.wikimedia.org/wikipedia/commons/thumb/f/fd/Flag_of_South_Australia.svg/640px-Flag_of_South_Australia.svg.png</t>
  </si>
  <si>
    <t>https://upload.wikimedia.org/wikipedia/commons/thumb/f/fd/Flag_of_South_Australia.svg/2560px-Flag_of_South_Australia.svg.png</t>
  </si>
  <si>
    <t>https://en.wikipedia.org/wiki/Flag_of_South_Australia</t>
  </si>
  <si>
    <t xml:space="preserve">The flag contains the British Blue Ensign and the state badge. The badge contains a piping shrike. </t>
  </si>
  <si>
    <t>English, Norfuk</t>
  </si>
  <si>
    <t>[AUS] Tasmania</t>
  </si>
  <si>
    <t>https://upload.wikimedia.org/wikipedia/commons/thumb/4/46/Flag_of_Tasmania.svg/640px-Flag_of_Tasmania.svg.png</t>
  </si>
  <si>
    <t>https://upload.wikimedia.org/wikipedia/commons/thumb/4/46/Flag_of_Tasmania.svg/2560px-Flag_of_Tasmania.svg.png</t>
  </si>
  <si>
    <t>https://en.wikipedia.org/wiki/Flag_of_Tasmania</t>
  </si>
  <si>
    <t>The flag has the Union Jack and the blue background like Australia. The badge contains a red lion. The red lion is assumed to be a reference to Great Britian</t>
  </si>
  <si>
    <t>English, Niuean</t>
  </si>
  <si>
    <t>[AUS] Victoria</t>
  </si>
  <si>
    <t>https://upload.wikimedia.org/wikipedia/commons/thumb/0/08/Flag_of_Victoria_%28Australia%29.svg/640px-Flag_of_Victoria_%28Australia%29.svg.png</t>
  </si>
  <si>
    <t>https://upload.wikimedia.org/wikipedia/commons/thumb/0/08/Flag_of_Victoria_%28Australia%29.svg/2560px-Flag_of_Victoria_%28Australia%29.svg.png</t>
  </si>
  <si>
    <t>https://en.wikipedia.org/wiki/Flag_of_Victoria_(state)</t>
  </si>
  <si>
    <t>The flag contains the Union Jack and the blue background like Australia's flag. The flag contains a Southern cross and a St Edward's Crown. It is the only Australia state flag that doesn't have the badge on a disk.</t>
  </si>
  <si>
    <t>[AUS] Western Australia</t>
  </si>
  <si>
    <t>https://upload.wikimedia.org/wikipedia/commons/thumb/a/a5/Flag_of_Western_Australia.svg/640px-Flag_of_Western_Australia.svg.png</t>
  </si>
  <si>
    <t>https://upload.wikimedia.org/wikipedia/commons/thumb/a/a5/Flag_of_Western_Australia.svg/2560px-Flag_of_Western_Australia.svg.png</t>
  </si>
  <si>
    <t>https://en.wikipedia.org/wiki/Flag_of_Western_Australia</t>
  </si>
  <si>
    <t>The flag has the Union jack and the blue background like the Australian flag. The swan is the native animal of Western Australia.</t>
  </si>
  <si>
    <t>[CCK] Shire of Cocos Islands</t>
  </si>
  <si>
    <t>https://upload.wikimedia.org/wikipedia/en/3/3e/Cocos_shire_logo.png</t>
  </si>
  <si>
    <t>www</t>
  </si>
  <si>
    <t>https://en.wikipedia.org/wiki/Shire_of_Cocos_(Keeling)_Islands</t>
  </si>
  <si>
    <t>The Shire of Cocos (Keeling) Islands is a local government area which manages local affairs on the Australian external territory of Cocos (Keeling) Islands</t>
  </si>
  <si>
    <t>Government</t>
  </si>
  <si>
    <t>[CXR] Shire of Christmas Island</t>
  </si>
  <si>
    <t>https://upload.wikimedia.org/wikipedia/en/a/a9/CXshirecouncillogo.png</t>
  </si>
  <si>
    <t>https://en.wikipedia.org/wiki/Shire_of_Christmas_Island</t>
  </si>
  <si>
    <t>The Shire of Christmas Island is a local government area encompassing the Australian external territory of Christmas Island. </t>
  </si>
  <si>
    <t>[GUM] Hagatna</t>
  </si>
  <si>
    <t>https://upload.wikimedia.org/wikipedia/commons/thumb/4/4c/Flag_of_Hag%C3%A5t%C3%B1a%2C_Guam.svg/640px-Flag_of_Hag%C3%A5t%C3%B1a%2C_Guam.svg.png</t>
  </si>
  <si>
    <t>https://upload.wikimedia.org/wikipedia/commons/thumb/4/4c/Flag_of_Hag%C3%A5t%C3%B1a%2C_Guam.svg/1280px-Flag_of_Hag%C3%A5t%C3%B1a%2C_Guam.svg.png</t>
  </si>
  <si>
    <t>https://en.m.wikipedia.org/wiki/Hag%C3%A5t%C3%B1a,_Guam</t>
  </si>
  <si>
    <t>1980</t>
  </si>
  <si>
    <t>A white field with a brown vertical band on the left side and the seal of the city over the right side of the field.</t>
  </si>
  <si>
    <t>Village, Capital</t>
  </si>
  <si>
    <t>EQ</t>
  </si>
  <si>
    <t>English, French, Bislama</t>
  </si>
  <si>
    <t>[MHL] Ailuk Atoll</t>
  </si>
  <si>
    <t>https://upload.wikimedia.org/wikipedia/commons/thumb/b/bc/Flag_of_Ailuk_Atoll%2C_Marshall_Islands.svg/1280px-Flag_of_Ailuk_Atoll%2C_Marshall_Islands.svg.png</t>
  </si>
  <si>
    <t>https://en.m.wikipedia.org/wiki/Ailuk_Atoll</t>
  </si>
  <si>
    <t>Four horizontal bands light blue, orange, green, and dark blue each with a white star.</t>
  </si>
  <si>
    <t>Atoll</t>
  </si>
  <si>
    <t>[MHL] Bikini Atoll</t>
  </si>
  <si>
    <t>https://upload.wikimedia.org/wikipedia/commons/thumb/8/89/Flag_of_Bikini_Atoll.svg/640px-Flag_of_Bikini_Atoll.svg.png</t>
  </si>
  <si>
    <t>https://upload.wikimedia.org/wikipedia/commons/thumb/8/89/Flag_of_Bikini_Atoll.svg/2560px-Flag_of_Bikini_Atoll.svg.png</t>
  </si>
  <si>
    <t>https://en.wikipedia.org/wiki/Flag_of_Bikini_Atoll</t>
  </si>
  <si>
    <t>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t>
  </si>
  <si>
    <t>[MHL] Ebon Atoll</t>
  </si>
  <si>
    <t>https://upload.wikimedia.org/wikipedia/commons/thumb/f/f0/Flag_of_the_Ebon_Atoll_%28Unofficial%29.svg/640px-Flag_of_the_Ebon_Atoll_%28Unofficial%29.svg.png</t>
  </si>
  <si>
    <t>https://upload.wikimedia.org/wikipedia/commons/thumb/f/f0/Flag_of_the_Ebon_Atoll_%28Unofficial%29.svg/1280px-Flag_of_the_Ebon_Atoll_%28Unofficial%29.svg.png</t>
  </si>
  <si>
    <t>https://en.m.wikipedia.org/wiki/Flag_of_the_Marshall_Islands</t>
  </si>
  <si>
    <t>A red field with two horizontal white bands under seven white stars.</t>
  </si>
  <si>
    <t>[MHL] Majuro</t>
  </si>
  <si>
    <t>https://upload.wikimedia.org/wikipedia/commons/thumb/0/07/Majuro_Atoll_Flag.svg/640px-Majuro_Atoll_Flag.svg.png</t>
  </si>
  <si>
    <t>https://upload.wikimedia.org/wikipedia/commons/thumb/0/07/Majuro_Atoll_Flag.svg/1280px-Majuro_Atoll_Flag.svg.png</t>
  </si>
  <si>
    <t>https://en.m.wikipedia.org/wiki/Majuro</t>
  </si>
  <si>
    <t>A yellow triangle on the left side containing a white bird surrounded by eleven white stars. The right side of the flag is made of four horizontal bands of blue, orange, white, and blue.</t>
  </si>
  <si>
    <t>Atoll, Capital</t>
  </si>
  <si>
    <t>[MHL] Namdrik Atoll</t>
  </si>
  <si>
    <t>https://upload.wikimedia.org/wikipedia/commons/thumb/0/03/Flag_of_Namdrik_Atoll.svg/640px-Flag_of_Namdrik_Atoll.svg.png</t>
  </si>
  <si>
    <t>https://upload.wikimedia.org/wikipedia/commons/thumb/0/03/Flag_of_Namdrik_Atoll.svg/1280px-Flag_of_Namdrik_Atoll.svg.png</t>
  </si>
  <si>
    <t>https://en.m.wikipedia.org/wiki/Namdrik_Atoll</t>
  </si>
  <si>
    <t>The vertical three stripes of orange , white and orange and charged with green and red emblem in the center.</t>
  </si>
  <si>
    <t>[MHL] Ujae Atoll</t>
  </si>
  <si>
    <t>https://upload.wikimedia.org/wikipedia/commons/thumb/8/83/Ujae_Atoll_Flag.svg/640px-Ujae_Atoll_Flag.svg.png</t>
  </si>
  <si>
    <t>https://upload.wikimedia.org/wikipedia/commons/thumb/8/83/Ujae_Atoll_Flag.svg/1280px-Ujae_Atoll_Flag.svg.png</t>
  </si>
  <si>
    <t>https://en.m.wikipedia.org/wiki/Ujae_Atoll</t>
  </si>
  <si>
    <t>The dark red flag with white two birds hoist and black war dance stick with white feather.\n\nThe red stands for Ujae sunset , white for peace, customs and culture, black for sorry past time, war dance stick for fight for peace and two birds for old states.</t>
  </si>
  <si>
    <t>[MHL] Wotho Atoll</t>
  </si>
  <si>
    <t>https://upload.wikimedia.org/wikipedia/commons/thumb/9/91/Flag_of_Wotho_Atoll%2C_Marshall_Islands.svg/640px-Flag_of_Wotho_Atoll%2C_Marshall_Islands.svg.png</t>
  </si>
  <si>
    <t>https://upload.wikimedia.org/wikipedia/commons/thumb/9/91/Flag_of_Wotho_Atoll%2C_Marshall_Islands.svg/1280px-Flag_of_Wotho_Atoll%2C_Marshall_Islands.svg.png</t>
  </si>
  <si>
    <t>A yellow field with a black canton containing a yellow crescent moon and a yellow star.</t>
  </si>
  <si>
    <t>[MIC] Chuuk</t>
  </si>
  <si>
    <t>https://upload.wikimedia.org/wikipedia/commons/thumb/5/55/Flag_of_Chuuk.svg/640px-Flag_of_Chuuk.svg.png</t>
  </si>
  <si>
    <t>https://upload.wikimedia.org/wikipedia/commons/thumb/5/55/Flag_of_Chuuk.svg/2560px-Flag_of_Chuuk.svg.png</t>
  </si>
  <si>
    <t>https://en.wikipedia.org/wiki/List_of_Micronesian_flags</t>
  </si>
  <si>
    <t>Palm tree on a blue banner surrounded by a ring of stars</t>
  </si>
  <si>
    <t>[MIC] Kosrae</t>
  </si>
  <si>
    <t>https://upload.wikimedia.org/wikipedia/commons/thumb/2/23/Flag_of_Kosrae.svg/640px-Flag_of_Kosrae.svg.png</t>
  </si>
  <si>
    <t>https://upload.wikimedia.org/wikipedia/commons/thumb/2/23/Flag_of_Kosrae.svg/2560px-Flag_of_Kosrae.svg.png</t>
  </si>
  <si>
    <t>Four white stars, the fafa stone (a ceremonial stone) and an olive branch wreath on a blue background.</t>
  </si>
  <si>
    <t>[MIC] Pohnpei</t>
  </si>
  <si>
    <t>https://upload.wikimedia.org/wikipedia/commons/thumb/c/ce/Flag_of_Pohnpei.svg/640px-Flag_of_Pohnpei.svg.png</t>
  </si>
  <si>
    <t>https://upload.wikimedia.org/wikipedia/commons/thumb/c/ce/Flag_of_Pohnpei.svg/2560px-Flag_of_Pohnpei.svg.png</t>
  </si>
  <si>
    <t>A blue flag with a ring of 11 stars, a wreath of coconut leaves, and a cup made from a coconut shell.</t>
  </si>
  <si>
    <t>[MIC] Yap</t>
  </si>
  <si>
    <t>https://upload.wikimedia.org/wikipedia/commons/thumb/2/2c/Flag_of_Yap.svg/640px-Flag_of_Yap.svg.png</t>
  </si>
  <si>
    <t>https://upload.wikimedia.org/wikipedia/commons/thumb/2/2c/Flag_of_Yap.svg/2560px-Flag_of_Yap.svg.png</t>
  </si>
  <si>
    <t xml:space="preserve">Blue flag with a centered polynesian boat. In the very center is a white star. </t>
  </si>
  <si>
    <t>[NCL] Loyalty Islands Province</t>
  </si>
  <si>
    <t>https://upload.wikimedia.org/wikipedia/commons/thumb/8/87/Iles-Loyaut%C3%A9_drapeau.svg/640px-Iles-Loyaut%C3%A9_drapeau.svg.png</t>
  </si>
  <si>
    <t>https://upload.wikimedia.org/wikipedia/commons/thumb/8/87/Iles-Loyaut%C3%A9_drapeau.svg/1280px-Iles-Loyaut%C3%A9_drapeau.svg.png</t>
  </si>
  <si>
    <t>https://en.m.wikipedia.org/wiki/Flags_of_New_Caledonia</t>
  </si>
  <si>
    <t>A yellow disc on a white field defaced with a black flèche faîtière.</t>
  </si>
  <si>
    <t>Province</t>
  </si>
  <si>
    <t>[NCL] North Province</t>
  </si>
  <si>
    <t>https://upload.wikimedia.org/wikipedia/commons/thumb/4/42/Drapeau_Province_Nord_Nouvelle_Cal%C3%A9donie.svg/640px-Drapeau_Province_Nord_Nouvelle_Cal%C3%A9donie.svg.png</t>
  </si>
  <si>
    <t>https://upload.wikimedia.org/wikipedia/commons/thumb/4/42/Drapeau_Province_Nord_Nouvelle_Cal%C3%A9donie.svg/1280px-Drapeau_Province_Nord_Nouvelle_Cal%C3%A9donie.svg.png</t>
  </si>
  <si>
    <t>https://en.m.wikipedia.org/wiki/North_Province,_New_Caledonia</t>
  </si>
  <si>
    <t>A map of the region on a white field defaced with a black flèche faîtière</t>
  </si>
  <si>
    <t>[NCL] South Province</t>
  </si>
  <si>
    <t>https://upload.wikimedia.org/wikipedia/commons/thumb/9/94/Bandera_Province_Sud.svg/640px-Bandera_Province_Sud.svg.png</t>
  </si>
  <si>
    <t>https://upload.wikimedia.org/wikipedia/commons/thumb/9/94/Bandera_Province_Sud.svg/1280px-Bandera_Province_Sud.svg.png</t>
  </si>
  <si>
    <t>https://en.m.wikipedia.org/wiki/South_Province,_New_Caledonia</t>
  </si>
  <si>
    <t>A white field with the province's logo, made of a blue sail with a white-blue-white-red face, placed over two blue waves</t>
  </si>
  <si>
    <t>[NIU] Hakupu</t>
  </si>
  <si>
    <t>https://upload.wikimedia.org/wikipedia/commons/thumb/4/42/Flag_of_Hakupu%2C_Niue.svg/640px-Flag_of_Hakupu%2C_Niue.svg.png</t>
  </si>
  <si>
    <t>https://upload.wikimedia.org/wikipedia/commons/thumb/4/42/Flag_of_Hakupu%2C_Niue.svg/2560px-Flag_of_Hakupu%2C_Niue.svg.png</t>
  </si>
  <si>
    <t>https://www.fotw.info/flags/nu-hak.html</t>
  </si>
  <si>
    <t>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t>
  </si>
  <si>
    <t>Village</t>
  </si>
  <si>
    <t>[NIU] Mutalau</t>
  </si>
  <si>
    <t>https://www.fotw.info/images/n/nu_mutalau.jpg</t>
  </si>
  <si>
    <t>https://www.crwflags.com/fotw/flags/nu.html</t>
  </si>
  <si>
    <t>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t>
  </si>
  <si>
    <t>[NZE] Auckland</t>
  </si>
  <si>
    <t>https://upload.wikimedia.org/wikipedia/commons/thumb/1/1a/Flag_of_Auckland.svg/640px-Flag_of_Auckland.svg.png</t>
  </si>
  <si>
    <t>https://upload.wikimedia.org/wikipedia/commons/thumb/1/1a/Flag_of_Auckland.svg/2560px-Flag_of_Auckland.svg.png</t>
  </si>
  <si>
    <t>https://en.wikipedia.org/wiki/Flag_of_Auckland_City</t>
  </si>
  <si>
    <t>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t>
  </si>
  <si>
    <t>Region, City</t>
  </si>
  <si>
    <t>[NZE] Nelson</t>
  </si>
  <si>
    <t>https://upload.wikimedia.org/wikipedia/commons/thumb/0/09/Nelson_flag.svg/640px-Nelson_flag.svg.png</t>
  </si>
  <si>
    <t>https://upload.wikimedia.org/wikipedia/commons/thumb/0/09/Nelson_flag.svg/2560px-Nelson_flag.svg.png</t>
  </si>
  <si>
    <t>https://en.wikipedia.org/wiki/Flag_of_the_City_of_Nelson</t>
  </si>
  <si>
    <t xml:space="preserve">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t>
  </si>
  <si>
    <t>[NZE] Otago</t>
  </si>
  <si>
    <t>https://upload.wikimedia.org/wikipedia/commons/thumb/4/4c/Flag_of_Otago.svg/640px-Flag_of_Otago.svg.png</t>
  </si>
  <si>
    <t>https://upload.wikimedia.org/wikipedia/commons/thumb/4/4c/Flag_of_Otago.svg/2560px-Flag_of_Otago.svg.png</t>
  </si>
  <si>
    <t>https://en.wikipedia.org/wiki/Otago</t>
  </si>
  <si>
    <t>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t>
  </si>
  <si>
    <t>Region</t>
  </si>
  <si>
    <t>[NZE] Wellington</t>
  </si>
  <si>
    <t>https://upload.wikimedia.org/wikipedia/commons/thumb/0/0d/Flag_of_Wellington_City%2C_New_Zealand.svg/640px-Flag_of_Wellington_City%2C_New_Zealand.svg.png</t>
  </si>
  <si>
    <t>https://upload.wikimedia.org/wikipedia/commons/thumb/0/0d/Flag_of_Wellington_City%2C_New_Zealand.svg/2560px-Flag_of_Wellington_City%2C_New_Zealand.svg.png</t>
  </si>
  <si>
    <t>https://en.wikipedia.org/wiki/Flag_of_Wellington</t>
  </si>
  <si>
    <t>Black symmetric cross on a yellow background with a central circular design of a ship with a dolphin on its sail. The ship is flying three St George's Crosses, representative of the city's English origins</t>
  </si>
  <si>
    <t>[PAU] Aimelik</t>
  </si>
  <si>
    <t>https://upload.wikimedia.org/wikipedia/commons/thumb/3/31/Flag_of_Aimeliik.svg/1024px-Flag_of_Aimeliik.svg.png</t>
  </si>
  <si>
    <t>https://upload.wikimedia.org/wikipedia/commons/thumb/3/31/Flag_of_Aimeliik.svg/2560px-Flag_of_Aimeliik.svg.png</t>
  </si>
  <si>
    <t>https://en.wikipedia.org/wiki/Flags_of_the_states_of_Palau#</t>
  </si>
  <si>
    <t>The five stars represent the five hamlets of Aimeliik. The green stripe represents Aimeliik's rainforest, the black stripe represents the fact that it was not conquered and the blue represents Aimeliik's large fishing area.</t>
  </si>
  <si>
    <t>[PAU] Airai</t>
  </si>
  <si>
    <t>https://upload.wikimedia.org/wikipedia/commons/thumb/d/d8/Flag_of_Airai_State.png/640px-Flag_of_Airai_State.png</t>
  </si>
  <si>
    <t>https://upload.wikimedia.org/wikipedia/commons/d/d8/Flag_of_Airai_State.png</t>
  </si>
  <si>
    <t>The blue background represents the ocean and the white circle represents peace. The six stars stand for the six hamlets of Airai and the six fish for the six chiefs. In the centre is a ti plant</t>
  </si>
  <si>
    <t>[PAU] Angaur</t>
  </si>
  <si>
    <t>https://upload.wikimedia.org/wikipedia/commons/thumb/8/86/Flag_of_Angaur_State.svg/2560px-Flag_of_Angaur_State.svg.png</t>
  </si>
  <si>
    <t>The four stripes stand for the four hamlets of Angaur. In the center is a kelau flower.</t>
  </si>
  <si>
    <t>[·] Antarctica</t>
  </si>
  <si>
    <t>[PAU] Hatohobei</t>
  </si>
  <si>
    <t>https://upload.wikimedia.org/wikipedia/commons/thumb/e/e9/Flag_of_Hatohobei.svg/640px-Flag_of_Hatohobei.svg.png</t>
  </si>
  <si>
    <t>https://upload.wikimedia.org/wikipedia/commons/thumb/e/e9/Flag_of_Hatohobei.svg/2560px-Flag_of_Hatohobei.svg.png</t>
  </si>
  <si>
    <t>The stars represent the three islands that make up the state. The clam shell represents Romohparuh, the first person on Hatohobei, who claimed ownership of the island by burying a clam shell.</t>
  </si>
  <si>
    <t>[PAU] Kayangel</t>
  </si>
  <si>
    <t>https://upload.wikimedia.org/wikipedia/commons/thumb/3/35/Flag_of_Kayangel.svg/2560px-Flag_of_Kayangel.svg.png</t>
  </si>
  <si>
    <t>The flag is blue with a yellow triangle. It features an oar and two hibiscus vines</t>
  </si>
  <si>
    <t>[PAU] Koror</t>
  </si>
  <si>
    <t>https://upload.wikimedia.org/wikipedia/commons/thumb/1/1b/Flag_of_Koror_State.png/640px-Flag_of_Koror_State.png</t>
  </si>
  <si>
    <t>https://upload.wikimedia.org/wikipedia/commons/1/1b/Flag_of_Koror_State.png</t>
  </si>
  <si>
    <t>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t>
  </si>
  <si>
    <t>[PAU] Melekeok</t>
  </si>
  <si>
    <t>https://upload.wikimedia.org/wikipedia/commons/thumb/9/93/Flag_of_Melekeok.svg/640px-Flag_of_Melekeok.svg.png</t>
  </si>
  <si>
    <t>https://upload.wikimedia.org/wikipedia/commons/thumb/9/93/Flag_of_Melekeok.svg/2560px-Flag_of_Melekeok.svg.png</t>
  </si>
  <si>
    <t>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t>
  </si>
  <si>
    <t>GRA</t>
  </si>
  <si>
    <t>[PAU] Ngaraard</t>
  </si>
  <si>
    <t>https://upload.wikimedia.org/wikipedia/commons/thumb/4/45/Flag_of_Ngaraard_State.svg/640px-Flag_of_Ngaraard_State.svg.png</t>
  </si>
  <si>
    <t>https://upload.wikimedia.org/wikipedia/commons/thumb/4/45/Flag_of_Ngaraard_State.svg/2560px-Flag_of_Ngaraard_State.svg.png</t>
  </si>
  <si>
    <t>https://en.wikipedia.org/wiki/Flags_of_the_states_of_Palau</t>
  </si>
  <si>
    <t>The flag consists of a light blue background with a diagonal red line and a yellow star in the middle. The star stands for the unity of Ngaraard State, and the five fingers of the star stand for the five counties or hamlets of Ngaraard</t>
  </si>
  <si>
    <t>[PAU] Ngarchelong</t>
  </si>
  <si>
    <t>https://upload.wikimedia.org/wikipedia/commons/thumb/9/9d/Flag_of_Ngarchelong.svg/640px-Flag_of_Ngarchelong.svg.png</t>
  </si>
  <si>
    <t>https://upload.wikimedia.org/wikipedia/commons/thumb/9/9d/Flag_of_Ngarchelong.svg/1280px-Flag_of_Ngarchelong.svg.png</t>
  </si>
  <si>
    <t>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t>
  </si>
  <si>
    <t>[PCN] Ducie Island</t>
  </si>
  <si>
    <t>https://i.ibb.co/MSJbjXV/Ducie-Island.png</t>
  </si>
  <si>
    <t>https://vexillology.fandom.com/wiki/Flags_of_Islands_of_the_Pitcairn_Islands</t>
  </si>
  <si>
    <t>N/A</t>
  </si>
  <si>
    <t>[PLY] Austral Islands</t>
  </si>
  <si>
    <t>https://upload.wikimedia.org/wikipedia/commons/thumb/2/2e/Flag_of_the_Austral_Islands.svg/1280px-Flag_of_the_Austral_Islands.svg.png</t>
  </si>
  <si>
    <t>https://upload.wikimedia.org/wikipedia/commons/thumb/2/2e/Flag_of_the_Austral_Islands.svg/2560px-Flag_of_the_Austral_Islands.svg.png</t>
  </si>
  <si>
    <t>https://en.wikipedia.org/wiki/Flag_of_the_Austral_Islands</t>
  </si>
  <si>
    <t>1985</t>
  </si>
  <si>
    <t>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t>
  </si>
  <si>
    <t>Archipelago</t>
  </si>
  <si>
    <t>[PLY] Gambier Islands</t>
  </si>
  <si>
    <t>https://upload.wikimedia.org/wikipedia/commons/thumb/f/f7/Flag_of_the_Gambier_Islands.svg/1024px-Flag_of_the_Gambier_Islands.svg.png</t>
  </si>
  <si>
    <t>https://upload.wikimedia.org/wikipedia/commons/thumb/f/f7/Flag_of_the_Gambier_Islands.svg/2560px-Flag_of_the_Gambier_Islands.svg.png</t>
  </si>
  <si>
    <t>https://en.wikipedia.org/wiki/Flag_of_the_Gambier_Islands</t>
  </si>
  <si>
    <t>1837</t>
  </si>
  <si>
    <t>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t>
  </si>
  <si>
    <t>[PLY] Leeward Islands</t>
  </si>
  <si>
    <t>https://upload.wikimedia.org/wikipedia/commons/thumb/e/e0/Flag_of_the_Leeward_Islands.svg/1024px-Flag_of_the_Leeward_Islands.svg.png</t>
  </si>
  <si>
    <t>https://upload.wikimedia.org/wikipedia/commons/thumb/e/e0/Flag_of_the_Leeward_Islands.svg/2560px-Flag_of_the_Leeward_Islands.svg.png</t>
  </si>
  <si>
    <t>https://www.fotw.info/flags/pf-li.html</t>
  </si>
  <si>
    <t>Not available</t>
  </si>
  <si>
    <t>[PLY] Marquesas Islands</t>
  </si>
  <si>
    <t>https://upload.wikimedia.org/wikipedia/commons/thumb/3/3f/Flag_of_Marquesas_Islands.svg/1024px-Flag_of_Marquesas_Islands.svg.png</t>
  </si>
  <si>
    <t>https://upload.wikimedia.org/wikipedia/commons/thumb/3/3f/Flag_of_Marquesas_Islands.svg/2560px-Flag_of_Marquesas_Islands.svg.png</t>
  </si>
  <si>
    <t>https://en.wikipedia.org/wiki/Flag_of_the_Marquesas_Islands</t>
  </si>
  <si>
    <t>1998, 2017</t>
  </si>
  <si>
    <t>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t>
  </si>
  <si>
    <t>[PLY] Tuamotu Archipelago</t>
  </si>
  <si>
    <t>https://upload.wikimedia.org/wikipedia/commons/thumb/d/dc/Flag_of_Tuamotu_Archipelago.svg/640px-Flag_of_Tuamotu_Archipelago.svg.png</t>
  </si>
  <si>
    <t>https://upload.wikimedia.org/wikipedia/commons/thumb/d/dc/Flag_of_Tuamotu_Archipelago.svg/2560px-Flag_of_Tuamotu_Archipelago.svg.png</t>
  </si>
  <si>
    <t>https://vexillology.fandom.com/wiki/Tuamotu_Archipelago</t>
  </si>
  <si>
    <t>The sixteen stars represent the sixteen municipalities forming the archipelago and not its number of islands and atolls. The red and white stripes recall the flag of French Polynesia, whereas the blue stripe recalls the French flag and represents also the sky and the sea.</t>
  </si>
  <si>
    <t>[PNG] Bougainville</t>
  </si>
  <si>
    <t>https://upload.wikimedia.org/wikipedia/commons/thumb/e/e4/Flag_of_Bougainville.svg/640px-Flag_of_Bougainville.svg.png</t>
  </si>
  <si>
    <t>https://upload.wikimedia.org/wikipedia/commons/thumb/e/e4/Flag_of_Bougainville.svg/1280px-Flag_of_Bougainville.svg.png</t>
  </si>
  <si>
    <t>https://en.wikipedia.org/wiki/Flag_of_Bougainville</t>
  </si>
  <si>
    <t>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t>
  </si>
  <si>
    <t>Autonomous Region</t>
  </si>
  <si>
    <t>[PNG] Central Province</t>
  </si>
  <si>
    <t>https://upload.wikimedia.org/wikipedia/commons/8/84/Flag_of_Central_Province%2C_Papua_New_Guinea.svg</t>
  </si>
  <si>
    <t>https://en.wikipedia.org/wiki/Central_Province_(Papua_New_Guinea)</t>
  </si>
  <si>
    <t>Not Available</t>
  </si>
  <si>
    <t>[PNG] Chimbu</t>
  </si>
  <si>
    <t>https://upload.wikimedia.org/wikipedia/commons/e/ea/Flag_of_Chimbu.svg</t>
  </si>
  <si>
    <t>https://en.wikipedia.org/wiki/Chimbu_Province</t>
  </si>
  <si>
    <t>[SOL] Temotu Province</t>
  </si>
  <si>
    <t>https://upload.wikimedia.org/wikipedia/commons/thumb/b/b3/Temotu_province_flag.svg/640px-Temotu_province_flag.svg.png</t>
  </si>
  <si>
    <t>https://upload.wikimedia.org/wikipedia/commons/thumb/b/b3/Temotu_province_flag.svg/2560px-Temotu_province_flag.svg.png</t>
  </si>
  <si>
    <t>The flag is red with the Solomon Islands flag in canton and the two white five-pointed stars (one above the other) in the fly</t>
  </si>
  <si>
    <t>[TUV] Funafuti</t>
  </si>
  <si>
    <t>https://upload.wikimedia.org/wikipedia/commons/thumb/5/5c/Flag_of_Funafuti.svg/648px-Flag_of_Funafuti.svg.png</t>
  </si>
  <si>
    <t>https://en.wikipedia.org/wiki/Funafuti</t>
  </si>
  <si>
    <t xml:space="preserve">??? </t>
  </si>
  <si>
    <t>Funafuti is the capital of the island nation of Tuvalu. More people live in Funafuti than the rest of Tuvalu combined, with it containing approximately 60% of the nation's population.</t>
  </si>
  <si>
    <t>[VUT] Torba Province</t>
  </si>
  <si>
    <t>https://www.crwflags.com/fotw/images/v/vu-tor_p.gif</t>
  </si>
  <si>
    <t>https://en.wikipedia.org/wiki/Torba_Province#/media/File:Flag_of_Torba_Province.png</t>
  </si>
  <si>
    <t>https://en.wikipedia.org/wiki/Torba_Province</t>
  </si>
  <si>
    <t>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t>
  </si>
  <si>
    <t>[WLF] Alo</t>
  </si>
  <si>
    <t>https://upload.wikimedia.org/wikipedia/commons/thumb/f/fa/Flag_of_Alo.svg/640px-Flag_of_Alo.svg.png</t>
  </si>
  <si>
    <t>https://upload.wikimedia.org/wikipedia/commons/thumb/f/fa/Flag_of_Alo.svg/2560px-Flag_of_Alo.svg.png</t>
  </si>
  <si>
    <t>https://www.fotw.info/flags/wf-a.html</t>
  </si>
  <si>
    <t>The Royal standard of Alo represents a palm, upon which are crossed a club and an axe, the weapons who killed Father Chanel.</t>
  </si>
  <si>
    <t>Chiefdom</t>
  </si>
  <si>
    <t>[WLF] Sigave</t>
  </si>
  <si>
    <t>https://upload.wikimedia.org/wikipedia/commons/thumb/8/89/Flag_of_Sigave.svg/640px-Flag_of_Sigave.svg.png</t>
  </si>
  <si>
    <t>https://upload.wikimedia.org/wikipedia/commons/thumb/8/89/Flag_of_Sigave.svg/2560px-Flag_of_Sigave.svg.png</t>
  </si>
  <si>
    <t>https://www.fotw.info/flags/wf-s.html</t>
  </si>
  <si>
    <t>The Royal standard of Sigave represents a palm flanked by two spears. The palm is the symbol of a small braided basket, which contained the remains of teeth and jaws of the founding ancestor of a lineage</t>
  </si>
  <si>
    <t>[WLF] Uvea</t>
  </si>
  <si>
    <t>https://upload.wikimedia.org/wikipedia/commons/thumb/b/b8/Flag_of_Uvea.svg/640px-Flag_of_Uvea.svg.png</t>
  </si>
  <si>
    <t>https://upload.wikimedia.org/wikipedia/commons/thumb/b/b8/Flag_of_Uvea.svg/2560px-Flag_of_Uvea.svg.png</t>
  </si>
  <si>
    <t>https://www.fotw.info/flags/wf-w.html</t>
  </si>
  <si>
    <t>The flag of Uvéa was red with a white cross (similar to the cross of Malta, several shapes of it are known), basically the current unofficial flag of the territory. When the French protectorate was established, the tricolour was added to the canton.</t>
  </si>
  <si>
    <t>[AUS] Australian Capital Territory</t>
  </si>
  <si>
    <t>2b</t>
  </si>
  <si>
    <t>https://upload.wikimedia.org/wikipedia/commons/thumb/8/8c/Flag_of_the_Australian_Capital_Territory.svg/320px-Flag_of_the_Australian_Capital_Territory.svg.png</t>
  </si>
  <si>
    <t>https://upload.wikimedia.org/wikipedia/commons/thumb/8/8c/Flag_of_the_Australian_Capital_Territory.svg/2560px-Flag_of_the_Australian_Capital_Territory.svg.png</t>
  </si>
  <si>
    <t>https://en.wikipedia.org/wiki/Flag_of_the_Australian_Capital_Territory</t>
  </si>
  <si>
    <t>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t>
  </si>
  <si>
    <t>Internal Territory</t>
  </si>
  <si>
    <t>yy</t>
  </si>
  <si>
    <t>[AUS] Northern Territory</t>
  </si>
  <si>
    <t>https://upload.wikimedia.org/wikipedia/commons/thumb/b/b7/Flag_of_the_Northern_Territory.svg/640px-Flag_of_the_Northern_Territory.svg.png</t>
  </si>
  <si>
    <t>https://upload.wikimedia.org/wikipedia/commons/thumb/b/b7/Flag_of_the_Northern_Territory.svg/2560px-Flag_of_the_Northern_Territory.svg.png</t>
  </si>
  <si>
    <t>https://en.wikipedia.org/wiki/Flag_of_the_Northern_Territory</t>
  </si>
  <si>
    <t>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t>
  </si>
  <si>
    <t>[NZE] Chatham Islands</t>
  </si>
  <si>
    <t>https://upload.wikimedia.org/wikipedia/commons/thumb/2/2e/Flag_of_Chatham_Islands.svg/640px-Flag_of_Chatham_Islands.svg.png</t>
  </si>
  <si>
    <t>https://upload.wikimedia.org/wikipedia/commons/thumb/2/2e/Flag_of_Chatham_Islands.svg/2560px-Flag_of_Chatham_Islands.svg.png</t>
  </si>
  <si>
    <t>https://en.wikipedia.org/wiki/Flag_of_the_Chatham_Islands</t>
  </si>
  <si>
    <t>Unofficial. A light blue field showing Chatham Island (main island) in green, party silhouetted against a yellow sun, half risen. On the green island is Te Whanga Lagoon in white, which occupies about 20 percent of the island.</t>
  </si>
  <si>
    <t>Territory</t>
  </si>
  <si>
    <t>[NZE] Stewart Island</t>
  </si>
  <si>
    <t>https://www.crwflags.com/fotw/images/n/nz-sti.gif</t>
  </si>
  <si>
    <t>https://www.crwflags.com/fotw/flags/nz-sti.html</t>
  </si>
  <si>
    <t>The flag is described as being blue, green, red and yellow. It is not very clear in the photo, but would seem to be a semicircular 'rising sun' in the top 2 quarters, red and yellow, over a green island in a blue sea in the lower 2 quarters. The shape of the island and sea is not clear.</t>
  </si>
  <si>
    <t>[NZE] Tokelau</t>
  </si>
  <si>
    <t>https://upload.wikimedia.org/wikipedia/commons/thumb/8/8e/Flag_of_Tokelau.svg/383px-Flag_of_Tokelau.svg.png</t>
  </si>
  <si>
    <t>https://upload.wikimedia.org/wikipedia/commons/thumb/8/8e/Flag_of_Tokelau.svg/2560px-Flag_of_Tokelau.svg.png</t>
  </si>
  <si>
    <t>https://en.wikipedia.org/wiki/Flag_of_Tokelau</t>
  </si>
  <si>
    <t xml:space="preserve">1995 </t>
  </si>
  <si>
    <t>A yellow Tokelauan canoe sailing towards the Southern Cross represented by four white stars on a blue field</t>
  </si>
  <si>
    <t>[AUS] Sydney</t>
  </si>
  <si>
    <t>https://upload.wikimedia.org/wikipedia/commons/thumb/8/84/City_of_Sydney_Flag.svg/640px-City_of_Sydney_Flag.svg.png</t>
  </si>
  <si>
    <t>https://upload.wikimedia.org/wikipedia/commons/thumb/8/84/City_of_Sydney_Flag.svg/2560px-City_of_Sydney_Flag.svg.png</t>
  </si>
  <si>
    <t>https://en.wikipedia.org/wiki/Flag_of_the_City_of_Sydney</t>
  </si>
  <si>
    <t>Horizontal triband of three colours, featuring the coat of arms of Thomas Townshend, Viscount Sydney, James Cook, and Thomas Hughes</t>
  </si>
  <si>
    <t>[AUS] Darwin</t>
  </si>
  <si>
    <t>https://upload.wikimedia.org/wikipedia/commons/thumb/d/df/Flag_of_Darwin.svg/640px-Flag_of_Darwin.svg.png</t>
  </si>
  <si>
    <t>https://upload.wikimedia.org/wikipedia/commons/thumb/d/df/Flag_of_Darwin.svg/2560px-Flag_of_Darwin.svg.png</t>
  </si>
  <si>
    <t>https://en.wikipedia.org/wiki/Darwin,_Northern_Territory</t>
  </si>
  <si>
    <t>2009</t>
  </si>
  <si>
    <t>Green, yellow, red tricolour with coat of arms. According to council policy, Darwin maintains both the coat of arms flag and a logo flag.</t>
  </si>
  <si>
    <t>[AUS] Aboriginal People</t>
  </si>
  <si>
    <t>https://upload.wikimedia.org/wikipedia/commons/thumb/3/3f/Australian_Aboriginal_Flag.svg/640px-Australian_Aboriginal_Flag.svg.png</t>
  </si>
  <si>
    <t>https://upload.wikimedia.org/wikipedia/commons/thumb/3/3f/Australian_Aboriginal_Flag.svg/2560px-Australian_Aboriginal_Flag.svg.png</t>
  </si>
  <si>
    <t>[AUS] Other</t>
  </si>
  <si>
    <t>https://en.wikipedia.org/wiki/Australian_Aboriginal_flag</t>
  </si>
  <si>
    <t xml:space="preserve">The black represented black consciousness, black awareness, black power and being proud of blackness. The other colours of yellow (sun) and red (earth) were sourced from the predominant colours used to decorate pukamani poles. </t>
  </si>
  <si>
    <t>People</t>
  </si>
  <si>
    <t>[AUS] Eureka Flag</t>
  </si>
  <si>
    <t>https://upload.wikimedia.org/wikipedia/commons/thumb/8/84/Eureka_Flag.svg/640px-Eureka_Flag.svg.png</t>
  </si>
  <si>
    <t>https://upload.wikimedia.org/wikipedia/commons/thumb/8/84/Eureka_Flag.svg/2560px-Eureka_Flag.svg.png</t>
  </si>
  <si>
    <t>https://en.wikipedia.org/wiki/Eureka_Flag</t>
  </si>
  <si>
    <t>1854</t>
  </si>
  <si>
    <t>The battle flag of the Eureka Stockade featured the five stars of the constellation Crux Australis in white on a white cross and blue field</t>
  </si>
  <si>
    <t>Historical</t>
  </si>
  <si>
    <t>[AUS] Snake Hill</t>
  </si>
  <si>
    <t>https://upload.wikimedia.org/wikipedia/commons/thumb/f/f0/Flag_of_the_Principality_of_Snake_Hill.svg/640px-Flag_of_the_Principality_of_Snake_Hill.svg.png</t>
  </si>
  <si>
    <t>https://upload.wikimedia.org/wikipedia/commons/thumb/f/f0/Flag_of_the_Principality_of_Snake_Hill.svg/2560px-Flag_of_the_Principality_of_Snake_Hill.svg.png</t>
  </si>
  <si>
    <t>https://en.wikipedia.org/wiki/Principality_of_Snake_Hill</t>
  </si>
  <si>
    <t xml:space="preserve">2003 </t>
  </si>
  <si>
    <t>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t>
  </si>
  <si>
    <t>Micronation</t>
  </si>
  <si>
    <t>[AUS] South Sea Islanders</t>
  </si>
  <si>
    <t>https://upload.wikimedia.org/wikipedia/commons/thumb/2/2a/Australian_South_Sea_Islanders_flag.svg/640px-Australian_South_Sea_Islanders_flag.svg.png</t>
  </si>
  <si>
    <t>https://upload.wikimedia.org/wikipedia/commons/thumb/2/2a/Australian_South_Sea_Islanders_flag.svg/1280px-Australian_South_Sea_Islanders_flag.svg.png</t>
  </si>
  <si>
    <t>https://en.m.wikipedia.org/wiki/South_Sea_Islanders</t>
  </si>
  <si>
    <t>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t>
  </si>
  <si>
    <t>[AUS] Torres Strait Islander</t>
  </si>
  <si>
    <t>https://upload.wikimedia.org/wikipedia/en/thumb/1/1d/Flag_of_the_Torres_Strait_Islanders.svg/640px-Flag_of_the_Torres_Strait_Islanders.svg.png</t>
  </si>
  <si>
    <t>https://upload.wikimedia.org/wikipedia/en/thumb/1/1d/Flag_of_the_Torres_Strait_Islanders.svg/2560px-Flag_of_the_Torres_Strait_Islanders.svg.png</t>
  </si>
  <si>
    <t>https://en.wikipedia.org/wiki/Torres_Strait_Islander_flag</t>
  </si>
  <si>
    <t>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t>
  </si>
  <si>
    <t>[AUS] Brisbane</t>
  </si>
  <si>
    <t>https://upload.wikimedia.org/wikipedia/commons/thumb/d/df/Flag_of_Brisbane.svg/640px-Flag_of_Brisbane.svg.png</t>
  </si>
  <si>
    <t>https://upload.wikimedia.org/wikipedia/commons/thumb/d/df/Flag_of_Brisbane.svg/2560px-Flag_of_Brisbane.svg.png</t>
  </si>
  <si>
    <t>https://en.m.wikipedia.org/wiki/Flag_of_Brisbane</t>
  </si>
  <si>
    <t>1996</t>
  </si>
  <si>
    <t>The two primary colours used are blue and gold, with blue representing the sea and the Brisbane River which flows through the city, and gold representing the sun and the city's warm climate.</t>
  </si>
  <si>
    <t>[AUS] Adelaide</t>
  </si>
  <si>
    <t>https://upload.wikimedia.org/wikipedia/commons/thumb/6/69/Flag_of_Adelaide.svg/640px-Flag_of_Adelaide.svg.png</t>
  </si>
  <si>
    <t>https://upload.wikimedia.org/wikipedia/commons/thumb/6/69/Flag_of_Adelaide.svg/2560px-Flag_of_Adelaide.svg.png</t>
  </si>
  <si>
    <t>https://en.m.wikipedia.org/wiki/Flag_of_Adelaide</t>
  </si>
  <si>
    <t>Navy blue background divided into four quarters by a Saint George's Cross outlined in gold overlain with the Arms of the City of Adelaide. The flag is bordered on three sides by diagonal blue and gold stripes.</t>
  </si>
  <si>
    <t>Spanish, Guaraní</t>
  </si>
  <si>
    <t>[AUS] Hobart</t>
  </si>
  <si>
    <t>https://upload.wikimedia.org/wikipedia/commons/thumb/5/54/City_of_Hobart_Flag.svg/640px-City_of_Hobart_Flag.svg.png</t>
  </si>
  <si>
    <t>https://upload.wikimedia.org/wikipedia/commons/thumb/5/54/City_of_Hobart_Flag.svg/2560px-City_of_Hobart_Flag.svg.png</t>
  </si>
  <si>
    <t>https://en.m.wikipedia.org/wiki/List_of_Australian_flags</t>
  </si>
  <si>
    <t>1953</t>
  </si>
  <si>
    <t>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t>
  </si>
  <si>
    <t>[AUS] Melbourne</t>
  </si>
  <si>
    <t>https://upload.wikimedia.org/wikipedia/commons/thumb/6/6f/Flag_of_Melbourne.svg/640px-Flag_of_Melbourne.svg.png</t>
  </si>
  <si>
    <t>https://upload.wikimedia.org/wikipedia/commons/thumb/6/6f/Flag_of_Melbourne.svg/2560px-Flag_of_Melbourne.svg.png</t>
  </si>
  <si>
    <t>https://en.m.wikipedia.org/wiki/Flag_of_Melbourne</t>
  </si>
  <si>
    <t>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t>
  </si>
  <si>
    <t>[AUS] Perth</t>
  </si>
  <si>
    <t>https://upload.wikimedia.org/wikipedia/commons/thumb/4/43/Flag_of_Perth.svg/640px-Flag_of_Perth.svg.png</t>
  </si>
  <si>
    <t>https://en.wikipedia.org/wiki/City_of_Perth</t>
  </si>
  <si>
    <t>The Saint George's Cross overlaid with the coat of arms of Perth in the centre.</t>
  </si>
  <si>
    <t>[CKI] Cook Islands Federation</t>
  </si>
  <si>
    <t>https://upload.wikimedia.org/wikipedia/commons/thumb/2/26/Flag_of_the_Cook_Islands_Federation.svg/640px-Flag_of_the_Cook_Islands_Federation.svg.png</t>
  </si>
  <si>
    <t>https://upload.wikimedia.org/wikipedia/commons/thumb/2/26/Flag_of_the_Cook_Islands_Federation.svg/1280px-Flag_of_the_Cook_Islands_Federation.svg.png</t>
  </si>
  <si>
    <t>https://en.m.wikipedia.org/wiki/Cook_Islands_Federation</t>
  </si>
  <si>
    <t xml:space="preserve">A horizontal triband of red, white, and red with the British Union Jack in the canton of the flag. The Union Jack has a palm tree superimposed on it. </t>
  </si>
  <si>
    <t>Historical, Colony</t>
  </si>
  <si>
    <t>[CKI] Kingdom of Rarotonga (1858-1888)</t>
  </si>
  <si>
    <t>https://upload.wikimedia.org/wikipedia/commons/thumb/c/c3/Flag_of_Rarotonga_1858-1888.svg/640px-Flag_of_Rarotonga_1858-1888.svg.png</t>
  </si>
  <si>
    <t>https://upload.wikimedia.org/wikipedia/commons/thumb/c/c3/Flag_of_Rarotonga_1858-1888.svg/1280px-Flag_of_Rarotonga_1858-1888.svg.png</t>
  </si>
  <si>
    <t>https://en.m.wikipedia.org/wiki/Kingdom_of_Rarotonga</t>
  </si>
  <si>
    <t>A horizontal triband of red, white, and red with three blue stars on the white band.</t>
  </si>
  <si>
    <t>Historical, Country</t>
  </si>
  <si>
    <t>[CKI] Kingdom of Rarotonga (1888-1893)</t>
  </si>
  <si>
    <t>https://upload.wikimedia.org/wikipedia/commons/thumb/b/b7/Flag_of_Rarotonga_1888-1893.svg/640px-Flag_of_Rarotonga_1888-1893.svg.png</t>
  </si>
  <si>
    <t>https://upload.wikimedia.org/wikipedia/commons/thumb/b/b7/Flag_of_Rarotonga_1888-1893.svg/1280px-Flag_of_Rarotonga_1888-1893.svg.png</t>
  </si>
  <si>
    <t>A horizontal triband of red, white, and red with three blue stars off set on the right side of the white band. There's a British Union Jack in the canton of the flag.</t>
  </si>
  <si>
    <t>Historical, Protectorate</t>
  </si>
  <si>
    <t>[FJI] Confederacy of Independent Kingdoms of Fiji (1865)</t>
  </si>
  <si>
    <t>https://upload.wikimedia.org/wikipedia/commons/thumb/c/cb/Flag_of_the_Confederacy_of_Independent_Kingdoms_of_Fiji.svg/640px-Flag_of_the_Confederacy_of_Independent_Kingdoms_of_Fiji.svg.png</t>
  </si>
  <si>
    <t>https://upload.wikimedia.org/wikipedia/commons/thumb/c/cb/Flag_of_the_Confederacy_of_Independent_Kingdoms_of_Fiji.svg/1280px-Flag_of_the_Confederacy_of_Independent_Kingdoms_of_Fiji.svg.png</t>
  </si>
  <si>
    <t>[FJI] Other</t>
  </si>
  <si>
    <t>https://en.m.wikipedia.org/wiki/Flag_of_Fiji</t>
  </si>
  <si>
    <t>A white eight-pointed star on a dark blue field.</t>
  </si>
  <si>
    <t>[FJI] Confederation of Lau (1869)</t>
  </si>
  <si>
    <t>https://upload.wikimedia.org/wikipedia/commons/thumb/e/ed/Flag_of_the_Kingdom_of_Lau_1869-1871.svg/640px-Flag_of_the_Kingdom_of_Lau_1869-1871.svg.png</t>
  </si>
  <si>
    <t>https://upload.wikimedia.org/wikipedia/commons/thumb/e/ed/Flag_of_the_Kingdom_of_Lau_1869-1871.svg/1280px-Flag_of_the_Kingdom_of_Lau_1869-1871.svg.png</t>
  </si>
  <si>
    <t>A horizontal bicolour of white and red with a red cross in the canton.</t>
  </si>
  <si>
    <t>[FJI] Kingdom of Bau (1867)</t>
  </si>
  <si>
    <t>https://upload.wikimedia.org/wikipedia/commons/thumb/f/fa/Flag_of_the_Kingdom_of_Bau.svg/640px-Flag_of_the_Kingdom_of_Bau.svg.png</t>
  </si>
  <si>
    <t>https://upload.wikimedia.org/wikipedia/commons/thumb/f/fa/Flag_of_the_Kingdom_of_Bau.svg/1280px-Flag_of_the_Kingdom_of_Bau.svg.png</t>
  </si>
  <si>
    <t>A horizontal tricolour of white, blue and red, with a golden sunburst in the centre and a crown in the canton.</t>
  </si>
  <si>
    <t>[FJI] Kingdom of Fiji (1871)</t>
  </si>
  <si>
    <t>https://upload.wikimedia.org/wikipedia/commons/thumb/5/5a/Flag_of_the_Kingdom_of_Fiji_%281871-1874%29.svg/640px-Flag_of_the_Kingdom_of_Fiji_%281871-1874%29.svg.png</t>
  </si>
  <si>
    <t>https://upload.wikimedia.org/wikipedia/commons/thumb/5/5a/Flag_of_the_Kingdom_of_Fiji_%281871-1874%29.svg/1280px-Flag_of_the_Kingdom_of_Fiji_%281871-1874%29.svg.png</t>
  </si>
  <si>
    <t>https://en.m.wikipedia.org/wiki/Kingdom_of_Fiji</t>
  </si>
  <si>
    <t>A blue and white vertical bicolor with a shield in the center containing a dove holding a branch inside as well as a crown above the shield.</t>
  </si>
  <si>
    <t>[KIR] Kingdom of Abemama (1889-1892)</t>
  </si>
  <si>
    <t>https://upload.wikimedia.org/wikipedia/commons/thumb/a/a4/Kingdom_of_Abemama_Flag.svg/640px-Kingdom_of_Abemama_Flag.svg.png</t>
  </si>
  <si>
    <t>https://upload.wikimedia.org/wikipedia/commons/thumb/a/a4/Kingdom_of_Abemama_Flag.svg/1280px-Kingdom_of_Abemama_Flag.svg.png</t>
  </si>
  <si>
    <t>[KIR] Other</t>
  </si>
  <si>
    <t>https://en.m.wikipedia.org/wiki/Flag_of_Kiribati</t>
  </si>
  <si>
    <t>A horizontal tricolor of red,yellow, and green with a black silhouette of a shark on the central band.</t>
  </si>
  <si>
    <t>[MHL] Kwajalein Atoll (Pre 2022)</t>
  </si>
  <si>
    <t>https://upload.wikimedia.org/wikipedia/commons/thumb/a/a4/Kwajalein_Atoll_Flag.svg/640px-Kwajalein_Atoll_Flag.svg.png</t>
  </si>
  <si>
    <t>https://upload.wikimedia.org/wikipedia/commons/thumb/a/a4/Kwajalein_Atoll_Flag.svg/1280px-Kwajalein_Atoll_Flag.svg.png</t>
  </si>
  <si>
    <t>[MHL] Kwajalein Atoll</t>
  </si>
  <si>
    <t>https://en.m.wikipedia.org/wiki/Kwajalein_Atoll</t>
  </si>
  <si>
    <t>A green field with a white flower in the top left corner. Three diagonal bands of blue, white, and orange cross the flag.</t>
  </si>
  <si>
    <t>Atoll, Historical</t>
  </si>
  <si>
    <t>[MIC] Trust Territory of the Pacific Islands (1947-1994)</t>
  </si>
  <si>
    <t>https://upload.wikimedia.org/wikipedia/commons/thumb/4/41/Flag_of_the_Trust_Territory_of_the_Pacific_Islands.svg/640px-Flag_of_the_Trust_Territory_of_the_Pacific_Islands.svg.png</t>
  </si>
  <si>
    <t>[MIC] Other</t>
  </si>
  <si>
    <t>https://en.wikipedia.org/wiki/Flag_of_the_Trust_Territory_of_the_Pacific_Islands</t>
  </si>
  <si>
    <t>A circle of six white stars on a blue background. The six stars represented the six districts: the Marianas, the Marshall Islands, Yap, Chuuk, Pohnpei, and Palau.</t>
  </si>
  <si>
    <t>[MNP] Northern Mariana Islands (1976-1981)</t>
  </si>
  <si>
    <t>https://upload.wikimedia.org/wikipedia/commons/thumb/5/55/Flag_of_the_Northern_Mariana_Islands_%281972%29.svg/640px-Flag_of_the_Northern_Mariana_Islands_%281972%29.svg.png</t>
  </si>
  <si>
    <t>https://upload.wikimedia.org/wikipedia/commons/thumb/5/55/Flag_of_the_Northern_Mariana_Islands_%281972%29.svg/1280px-Flag_of_the_Northern_Mariana_Islands_%281972%29.svg.png</t>
  </si>
  <si>
    <t>[MNP] Other</t>
  </si>
  <si>
    <t>https://en.m.wikipedia.org/wiki/Flag_of_the_Northern_Mariana_Islands</t>
  </si>
  <si>
    <t>A latte stone with a white star superimposed over it, on a blue field.</t>
  </si>
  <si>
    <t>[MNP] Northern Mariana Islands (1976-1989)</t>
  </si>
  <si>
    <t>https://upload.wikimedia.org/wikipedia/commons/thumb/0/04/Flag_of_the_Northern_Mariana_Islands_%281976%E2%80%931989%29.svg/640px-Flag_of_the_Northern_Mariana_Islands_%281976%E2%80%931989%29.svg.png</t>
  </si>
  <si>
    <t>https://upload.wikimedia.org/wikipedia/commons/thumb/0/04/Flag_of_the_Northern_Mariana_Islands_%281976%E2%80%931989%29.svg/1280px-Flag_of_the_Northern_Mariana_Islands_%281976%E2%80%931989%29.svg.png</t>
  </si>
  <si>
    <t>A circle of flowers and plants with a grey latte stone and a white star on a blue field.</t>
  </si>
  <si>
    <t>[NRU] Nauru Pacific Line</t>
  </si>
  <si>
    <t>https://upload.wikimedia.org/wikipedia/commons/thumb/6/62/Flag_of_the_Nauru_Pacific_Line.svg/640px-Flag_of_the_Nauru_Pacific_Line.svg.png</t>
  </si>
  <si>
    <t>https://upload.wikimedia.org/wikipedia/commons/thumb/6/62/Flag_of_the_Nauru_Pacific_Line.svg/2560px-Flag_of_the_Nauru_Pacific_Line.svg.png</t>
  </si>
  <si>
    <t>[NRU] Other</t>
  </si>
  <si>
    <t>https://en.wikipedia.org/wiki/Nauru_Pacific_Line</t>
  </si>
  <si>
    <t>1969</t>
  </si>
  <si>
    <t>The Nauru Pacific Line (NPL) is the national shipping line of the Republic of Nauru</t>
  </si>
  <si>
    <t>Maritime</t>
  </si>
  <si>
    <t>[NZE] Christchurch</t>
  </si>
  <si>
    <t>https://upload.wikimedia.org/wikipedia/commons/thumb/6/62/Christchurch_heraldic_flag.svg/640px-Christchurch_heraldic_flag.svg.png</t>
  </si>
  <si>
    <t>https://upload.wikimedia.org/wikipedia/commons/thumb/6/62/Christchurch_heraldic_flag.svg/2560px-Christchurch_heraldic_flag.svg.png</t>
  </si>
  <si>
    <t>[NZE] Canterbury</t>
  </si>
  <si>
    <t>https://en.wikipedia.org/wiki/Christchurch</t>
  </si>
  <si>
    <t xml:space="preserve">A banner of arms of Christchurch's coat of arms. Chevron Gules a Mitre between a Fleece and a Garbe of the first in base two Bars wavy Azure on a Chief of the last four Lymphads sails furled, also of the first And for the Crest on a Wreath Or and Azure a Kiwi proper </t>
  </si>
  <si>
    <t>[NZE] Napier</t>
  </si>
  <si>
    <t>https://upload.wikimedia.org/wikipedia/commons/thumb/f/f8/Flag_of_Napier_City.svg/640px-Flag_of_Napier_City.svg.png</t>
  </si>
  <si>
    <t>https://upload.wikimedia.org/wikipedia/commons/thumb/f/f8/Flag_of_Napier_City.svg/2560px-Flag_of_Napier_City.svg.png</t>
  </si>
  <si>
    <t>[NZE] Hawke's Bay</t>
  </si>
  <si>
    <t>https://en.wikipedia.org/wiki/Napier,_New_Zealand</t>
  </si>
  <si>
    <t xml:space="preserve">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t>
  </si>
  <si>
    <t>[NZE] Laser Kiwi</t>
  </si>
  <si>
    <t>https://upload.wikimedia.org/wikipedia/en/thumb/f/f5/Fire_the_Lazer.svg/640px-Fire_the_Lazer.svg.png</t>
  </si>
  <si>
    <t>https://upload.wikimedia.org/wikipedia/en/thumb/f/f5/Fire_the_Lazer.svg/2560px-Fire_the_Lazer.svg.png</t>
  </si>
  <si>
    <t>[NZE] Other</t>
  </si>
  <si>
    <t>https://en.wikipedia.org/wiki/Laser_Kiwi_flag</t>
  </si>
  <si>
    <t xml:space="preserve">2015 </t>
  </si>
  <si>
    <t>The Laser Kiwi flag, originally titled Fire the Lazar, was designed in 2015 by Lucy Gray as a proposed flag of New Zealand for the 2015–2016 New Zealand flag referendums. It has since become a social media phenomenon that has created ongoing interest in the design.</t>
  </si>
  <si>
    <t>Unofficial</t>
  </si>
  <si>
    <t>[NZE] National Maori Flag</t>
  </si>
  <si>
    <t>https://upload.wikimedia.org/wikipedia/commons/thumb/3/30/Tino_Rangatiratanga_Maori_sovereignty_movement_flag.svg/640px-Tino_Rangatiratanga_Maori_sovereignty_movement_flag.svg.png</t>
  </si>
  <si>
    <t>https://upload.wikimedia.org/wikipedia/commons/thumb/3/30/Tino_Rangatiratanga_Maori_sovereignty_movement_flag.svg/2560px-Tino_Rangatiratanga_Maori_sovereignty_movement_flag.svg.png</t>
  </si>
  <si>
    <t>https://en.wikipedia.org/wiki/National_Māori_flag</t>
  </si>
  <si>
    <t>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t>
  </si>
  <si>
    <t>[NZE] Tūhoe</t>
  </si>
  <si>
    <t>https://www.fotw.info/images/n/nz_tmmt2.gif</t>
  </si>
  <si>
    <t>https://en.wikipedia.org/wiki/Ng%C4%81i_T%C5%ABhoe</t>
  </si>
  <si>
    <t>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t>
  </si>
  <si>
    <t>Social</t>
  </si>
  <si>
    <t>[NZE] United Tribes of New Zealand (Black)</t>
  </si>
  <si>
    <t>https://upload.wikimedia.org/wikipedia/commons/thumb/8/82/UnitedTribesUnofficial.svg/640px-UnitedTribesUnofficial.svg.png</t>
  </si>
  <si>
    <t>https://upload.wikimedia.org/wikipedia/commons/thumb/8/82/UnitedTribesUnofficial.svg/2560px-UnitedTribesUnofficial.svg.png</t>
  </si>
  <si>
    <t>https://en.wikipedia.org/wiki/Flag_of_the_United_Tribes_of_New_Zealand</t>
  </si>
  <si>
    <t>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t>
  </si>
  <si>
    <t>[NZE] United Tribes of New Zealand (White)</t>
  </si>
  <si>
    <t>https://upload.wikimedia.org/wikipedia/commons/thumb/5/5d/Flag_of_the_United_Tribes_of_New_Zealand.svg/640px-Flag_of_the_United_Tribes_of_New_Zealand.svg.png</t>
  </si>
  <si>
    <t>https://upload.wikimedia.org/wikipedia/commons/thumb/5/5d/Flag_of_the_United_Tribes_of_New_Zealand.svg/2560px-Flag_of_the_United_Tribes_of_New_Zealand.svg.png</t>
  </si>
  <si>
    <t>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t>
  </si>
  <si>
    <t>[SMO] Western Samoa Trust Territory</t>
  </si>
  <si>
    <t>https://upload.wikimedia.org/wikipedia/commons/thumb/6/67/Flag_of_the_Samoa_Trust_Territory.svg/640px-Flag_of_the_Samoa_Trust_Territory.svg.png</t>
  </si>
  <si>
    <t>https://upload.wikimedia.org/wikipedia/commons/thumb/6/67/Flag_of_the_Samoa_Trust_Territory.svg/2560px-Flag_of_the_Samoa_Trust_Territory.svg.png</t>
  </si>
  <si>
    <t>[SMO] Other</t>
  </si>
  <si>
    <t>https://en.wikipedia.org/wiki/Territory_of_Western_Samoa</t>
  </si>
  <si>
    <t>1920</t>
  </si>
  <si>
    <t>A Defaced Blue Ensign with The Badge of Samoa. 1920-1948</t>
  </si>
  <si>
    <t>[TON] Tonga (Naval Ensign)</t>
  </si>
  <si>
    <t>https://upload.wikimedia.org/wikipedia/commons/thumb/8/8d/Naval_Ensign_of_Tonga.svg/2560px-Naval_Ensign_of_Tonga.svg.png</t>
  </si>
  <si>
    <t>[TON] Other</t>
  </si>
  <si>
    <t>https://www.crwflags.com/fotw/flags/to%5E.html</t>
  </si>
  <si>
    <t>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t>
  </si>
  <si>
    <t>Naval Ensign</t>
  </si>
  <si>
    <t>[TUV] Tuvalu (1996-1997)</t>
  </si>
  <si>
    <t>https://upload.wikimedia.org/wikipedia/commons/thumb/d/d3/Flag_of_Tuvalu_%281996%E2%80%931997%29.svg/640px-Flag_of_Tuvalu_%281996%E2%80%931997%29.svg.png</t>
  </si>
  <si>
    <t>https://upload.wikimedia.org/wikipedia/commons/thumb/d/d3/Flag_of_Tuvalu_%281996%E2%80%931997%29.svg/1280px-Flag_of_Tuvalu_%281996%E2%80%931997%29.svg.png</t>
  </si>
  <si>
    <t>[TUV] Other</t>
  </si>
  <si>
    <t>https://en.m.wikipedia.org/wiki/Flag_of_Tuvalu</t>
  </si>
  <si>
    <t>A five banded horizontal flag of red, white, blue, white, and red with the blue band having a white triangle from the left side of the flag containing the coat of arms.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</si>
</sst>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15" x14ac:knownFonts="1">
    <font>
      <sz val="11"/>
      <color theme="1"/>
      <name val="Aptos Narrow"/>
      <family val="2"/>
      <scheme val="minor"/>
    </font>
    <font>
      <sz val="11"/>
      <color theme="1"/>
      <name val="Aptos Narrow"/>
      <family val="2"/>
      <scheme val="minor"/>
    </font>
    <font>
      <b/>
      <sz val="10"/>
      <color rgb="FF990000"/>
      <name val="Aptos Narrow"/>
      <family val="2"/>
      <scheme val="minor"/>
    </font>
    <font>
      <sz val="10"/>
      <color theme="1"/>
      <name val="Aptos Narrow"/>
      <family val="2"/>
      <scheme val="minor"/>
    </font>
    <font>
      <b/>
      <sz val="10"/>
      <color theme="1" tint="0.34998626667073579"/>
      <name val="Aptos Narrow"/>
      <family val="2"/>
      <scheme val="minor"/>
    </font>
    <font>
      <sz val="10"/>
      <color theme="0"/>
      <name val="Aptos Narrow"/>
      <family val="2"/>
      <scheme val="minor"/>
    </font>
    <font>
      <b/>
      <sz val="10"/>
      <color theme="0"/>
      <name val="Aptos Narrow"/>
      <family val="2"/>
      <scheme val="minor"/>
    </font>
    <font>
      <sz val="10"/>
      <name val="Aptos Narrow"/>
      <family val="2"/>
      <scheme val="minor"/>
    </font>
    <font>
      <b/>
      <sz val="10"/>
      <color theme="1"/>
      <name val="Aptos Narrow"/>
      <family val="2"/>
      <scheme val="minor"/>
    </font>
    <font>
      <sz val="11"/>
      <name val="Aptos Narrow"/>
      <family val="2"/>
      <scheme val="minor"/>
    </font>
    <font>
      <u/>
      <sz val="11"/>
      <color theme="10"/>
      <name val="Aptos Narrow"/>
      <family val="2"/>
      <scheme val="minor"/>
    </font>
    <font>
      <u/>
      <sz val="10"/>
      <color theme="10"/>
      <name val="Noto Sans"/>
      <family val="2"/>
    </font>
    <font>
      <u/>
      <sz val="10"/>
      <color theme="10"/>
      <name val="Aptos Narrow"/>
      <family val="2"/>
      <scheme val="minor"/>
    </font>
    <font>
      <sz val="10"/>
      <color theme="1" tint="0.34998626667073579"/>
      <name val="Aptos Narrow"/>
      <family val="2"/>
      <scheme val="minor"/>
    </font>
    <font>
      <b/>
      <sz val="11"/>
      <color theme="0" tint="-0.499984740745262"/>
      <name val="Aptos Narrow"/>
      <family val="2"/>
      <scheme val="minor"/>
    </font>
  </fonts>
  <fills count="30">
    <fill>
      <patternFill patternType="none"/>
    </fill>
    <fill>
      <patternFill patternType="gray125"/>
    </fill>
    <fill>
      <patternFill patternType="solid">
        <fgColor rgb="FFFFCCCC"/>
        <bgColor indexed="64"/>
      </patternFill>
    </fill>
    <fill>
      <patternFill patternType="solid">
        <fgColor theme="0" tint="-4.9989318521683403E-2"/>
        <bgColor indexed="64"/>
      </patternFill>
    </fill>
    <fill>
      <patternFill patternType="solid">
        <fgColor rgb="FF879D03"/>
        <bgColor indexed="64"/>
      </patternFill>
    </fill>
    <fill>
      <patternFill patternType="solid">
        <fgColor theme="6" tint="-0.249977111117893"/>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rgb="FF002060"/>
        <bgColor indexed="64"/>
      </patternFill>
    </fill>
    <fill>
      <patternFill patternType="solid">
        <fgColor theme="5" tint="0.39997558519241921"/>
        <bgColor indexed="64"/>
      </patternFill>
    </fill>
    <fill>
      <patternFill patternType="solid">
        <fgColor rgb="FFC00000"/>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3" tint="0.89999084444715716"/>
        <bgColor indexed="64"/>
      </patternFill>
    </fill>
    <fill>
      <patternFill patternType="solid">
        <fgColor theme="8" tint="0.79998168889431442"/>
        <bgColor indexed="64"/>
      </patternFill>
    </fill>
    <fill>
      <patternFill patternType="solid">
        <fgColor rgb="FFF1F4E0"/>
        <bgColor indexed="64"/>
      </patternFill>
    </fill>
    <fill>
      <patternFill patternType="solid">
        <fgColor rgb="FFD8ECD8"/>
        <bgColor indexed="64"/>
      </patternFill>
    </fill>
    <fill>
      <patternFill patternType="solid">
        <fgColor theme="0"/>
        <bgColor indexed="64"/>
      </patternFill>
    </fill>
    <fill>
      <patternFill patternType="solid">
        <fgColor theme="1"/>
        <bgColor indexed="64"/>
      </patternFill>
    </fill>
    <fill>
      <patternFill patternType="solid">
        <fgColor rgb="FFFFFFCC"/>
        <bgColor indexed="64"/>
      </patternFill>
    </fill>
    <fill>
      <patternFill patternType="solid">
        <fgColor theme="3" tint="0.749992370372631"/>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rgb="FFCFD3E3"/>
        <bgColor indexed="64"/>
      </patternFill>
    </fill>
  </fills>
  <borders count="20">
    <border>
      <left/>
      <right/>
      <top/>
      <bottom/>
      <diagonal/>
    </border>
    <border>
      <left/>
      <right style="medium">
        <color rgb="FF747678"/>
      </right>
      <top style="medium">
        <color rgb="FF747678"/>
      </top>
      <bottom style="medium">
        <color rgb="FF747678"/>
      </bottom>
      <diagonal/>
    </border>
    <border>
      <left/>
      <right style="medium">
        <color indexed="64"/>
      </right>
      <top/>
      <bottom/>
      <diagonal/>
    </border>
    <border>
      <left style="thin">
        <color indexed="64"/>
      </left>
      <right style="medium">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thin">
        <color indexed="64"/>
      </left>
      <right/>
      <top style="medium">
        <color indexed="64"/>
      </top>
      <bottom style="thick">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medium">
        <color rgb="FF747678"/>
      </right>
      <top/>
      <bottom style="medium">
        <color rgb="FFDDDDDD"/>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style="medium">
        <color auto="1"/>
      </right>
      <top style="thin">
        <color indexed="64"/>
      </top>
      <bottom style="thin">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top/>
      <bottom/>
      <diagonal/>
    </border>
  </borders>
  <cellStyleXfs count="5">
    <xf numFmtId="0" fontId="0" fillId="0" borderId="0"/>
    <xf numFmtId="43" fontId="1" fillId="0" borderId="0" applyFont="0" applyFill="0" applyBorder="0" applyAlignment="0" applyProtection="0"/>
    <xf numFmtId="9"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83">
    <xf numFmtId="0" fontId="0" fillId="0" borderId="0" xfId="0"/>
    <xf numFmtId="0" fontId="2" fillId="0" borderId="1" xfId="0" applyFont="1" applyBorder="1" applyAlignment="1">
      <alignment horizontal="center" vertical="center"/>
    </xf>
    <xf numFmtId="0" fontId="2" fillId="0" borderId="0" xfId="0" applyFont="1" applyAlignment="1">
      <alignment horizontal="center" vertical="center"/>
    </xf>
    <xf numFmtId="0" fontId="3" fillId="0" borderId="0" xfId="0" applyFont="1" applyAlignment="1">
      <alignment horizontal="center"/>
    </xf>
    <xf numFmtId="0" fontId="3" fillId="0" borderId="0" xfId="0" applyFont="1" applyAlignment="1">
      <alignment horizontal="left"/>
    </xf>
    <xf numFmtId="0" fontId="3" fillId="2" borderId="0" xfId="0" applyFont="1" applyFill="1" applyAlignment="1">
      <alignment horizontal="left" vertical="center"/>
    </xf>
    <xf numFmtId="0" fontId="3" fillId="0" borderId="0" xfId="0" applyFont="1"/>
    <xf numFmtId="0" fontId="4" fillId="3" borderId="0" xfId="0" applyFont="1" applyFill="1"/>
    <xf numFmtId="3" fontId="5" fillId="4" borderId="0" xfId="1" applyNumberFormat="1" applyFont="1" applyFill="1" applyBorder="1" applyAlignment="1">
      <alignment horizontal="left"/>
    </xf>
    <xf numFmtId="3" fontId="5" fillId="5" borderId="0" xfId="1" applyNumberFormat="1" applyFont="1" applyFill="1" applyBorder="1" applyAlignment="1">
      <alignment horizontal="left"/>
    </xf>
    <xf numFmtId="3" fontId="5" fillId="6" borderId="0" xfId="1" applyNumberFormat="1" applyFont="1" applyFill="1" applyBorder="1" applyAlignment="1">
      <alignment horizontal="left"/>
    </xf>
    <xf numFmtId="49" fontId="6" fillId="7" borderId="0" xfId="1" applyNumberFormat="1" applyFont="1" applyFill="1" applyBorder="1" applyAlignment="1">
      <alignment horizontal="left"/>
    </xf>
    <xf numFmtId="3" fontId="7" fillId="8" borderId="0" xfId="1" applyNumberFormat="1" applyFont="1" applyFill="1" applyBorder="1" applyAlignment="1">
      <alignment horizontal="left"/>
    </xf>
    <xf numFmtId="0" fontId="8" fillId="0" borderId="2" xfId="0" applyFont="1" applyBorder="1" applyAlignment="1">
      <alignment horizontal="center"/>
    </xf>
    <xf numFmtId="0" fontId="6" fillId="9" borderId="3" xfId="0" applyFont="1" applyFill="1" applyBorder="1" applyAlignment="1">
      <alignment horizontal="center"/>
    </xf>
    <xf numFmtId="0" fontId="8" fillId="0" borderId="4" xfId="0" applyFont="1" applyBorder="1"/>
    <xf numFmtId="0" fontId="3" fillId="0" borderId="4" xfId="0" applyFont="1" applyBorder="1"/>
    <xf numFmtId="0" fontId="8" fillId="0" borderId="5" xfId="0" applyFont="1" applyBorder="1"/>
    <xf numFmtId="0" fontId="8" fillId="0" borderId="3" xfId="0" applyFont="1" applyBorder="1" applyAlignment="1">
      <alignment horizontal="center"/>
    </xf>
    <xf numFmtId="0" fontId="8" fillId="10" borderId="3" xfId="0" applyFont="1" applyFill="1" applyBorder="1"/>
    <xf numFmtId="0" fontId="8" fillId="10" borderId="6" xfId="0" applyFont="1" applyFill="1" applyBorder="1"/>
    <xf numFmtId="0" fontId="8" fillId="11" borderId="3" xfId="0" applyFont="1" applyFill="1" applyBorder="1"/>
    <xf numFmtId="0" fontId="8" fillId="0" borderId="6" xfId="0" applyFont="1" applyBorder="1"/>
    <xf numFmtId="0" fontId="8" fillId="12" borderId="6" xfId="0" applyFont="1" applyFill="1" applyBorder="1"/>
    <xf numFmtId="0" fontId="8" fillId="12" borderId="0" xfId="0" applyFont="1" applyFill="1"/>
    <xf numFmtId="0" fontId="6" fillId="9" borderId="5" xfId="0" applyFont="1" applyFill="1" applyBorder="1" applyAlignment="1">
      <alignment horizontal="center"/>
    </xf>
    <xf numFmtId="0" fontId="8" fillId="0" borderId="2" xfId="0" applyFont="1" applyBorder="1"/>
    <xf numFmtId="0" fontId="8" fillId="0" borderId="3" xfId="0" applyFont="1" applyBorder="1"/>
    <xf numFmtId="0" fontId="8" fillId="13" borderId="7" xfId="0" applyFont="1" applyFill="1" applyBorder="1"/>
    <xf numFmtId="0" fontId="8" fillId="13" borderId="6" xfId="0" applyFont="1" applyFill="1" applyBorder="1"/>
    <xf numFmtId="0" fontId="8" fillId="13" borderId="0" xfId="0" applyFont="1" applyFill="1"/>
    <xf numFmtId="16" fontId="5" fillId="14" borderId="0" xfId="1" applyNumberFormat="1" applyFont="1" applyFill="1" applyBorder="1" applyAlignment="1">
      <alignment horizontal="center"/>
    </xf>
    <xf numFmtId="0" fontId="8" fillId="0" borderId="8" xfId="0" applyFont="1" applyBorder="1"/>
    <xf numFmtId="0" fontId="8" fillId="0" borderId="0" xfId="0" applyFont="1"/>
    <xf numFmtId="9" fontId="0" fillId="15" borderId="9" xfId="2" applyFont="1" applyFill="1" applyBorder="1" applyAlignment="1">
      <alignment horizontal="center" vertical="center"/>
    </xf>
    <xf numFmtId="9" fontId="0" fillId="16" borderId="9" xfId="2" applyFont="1" applyFill="1" applyBorder="1" applyAlignment="1">
      <alignment horizontal="center" vertical="center"/>
    </xf>
    <xf numFmtId="0" fontId="8" fillId="0" borderId="10" xfId="0" applyFont="1" applyBorder="1"/>
    <xf numFmtId="9" fontId="9" fillId="15" borderId="9" xfId="2" applyFont="1" applyFill="1" applyBorder="1" applyAlignment="1">
      <alignment horizontal="center" vertical="center"/>
    </xf>
    <xf numFmtId="9" fontId="9" fillId="16" borderId="9" xfId="2" applyFont="1" applyFill="1" applyBorder="1" applyAlignment="1">
      <alignment horizontal="center" vertical="center"/>
    </xf>
    <xf numFmtId="0" fontId="12" fillId="17" borderId="11" xfId="4" applyFont="1" applyFill="1" applyBorder="1" applyAlignment="1">
      <alignment horizontal="left" vertical="center"/>
    </xf>
    <xf numFmtId="0" fontId="12" fillId="0" borderId="12" xfId="4" applyFont="1" applyFill="1" applyBorder="1" applyAlignment="1">
      <alignment horizontal="left" vertical="center"/>
    </xf>
    <xf numFmtId="0" fontId="3" fillId="0" borderId="0" xfId="0" applyFont="1" applyAlignment="1">
      <alignment horizontal="center" vertical="center"/>
    </xf>
    <xf numFmtId="0" fontId="12" fillId="18" borderId="9" xfId="3" applyFont="1" applyFill="1" applyBorder="1" applyAlignment="1">
      <alignment horizontal="left" vertical="center"/>
    </xf>
    <xf numFmtId="0" fontId="12" fillId="19" borderId="9" xfId="3" applyFont="1" applyFill="1" applyBorder="1" applyAlignment="1">
      <alignment horizontal="left" vertical="center"/>
    </xf>
    <xf numFmtId="0" fontId="3" fillId="2" borderId="9" xfId="0" applyFont="1" applyFill="1" applyBorder="1" applyAlignment="1">
      <alignment horizontal="left" vertical="center"/>
    </xf>
    <xf numFmtId="1" fontId="3" fillId="0" borderId="0" xfId="0" applyNumberFormat="1" applyFont="1" applyAlignment="1">
      <alignment horizontal="center" vertical="center"/>
    </xf>
    <xf numFmtId="0" fontId="13" fillId="3" borderId="9" xfId="0" applyFont="1" applyFill="1" applyBorder="1" applyAlignment="1">
      <alignment vertical="center"/>
    </xf>
    <xf numFmtId="0" fontId="3" fillId="0" borderId="9" xfId="0" applyFont="1" applyBorder="1" applyAlignment="1">
      <alignment vertical="center"/>
    </xf>
    <xf numFmtId="0" fontId="3" fillId="0" borderId="0" xfId="0" applyFont="1" applyAlignment="1">
      <alignment vertical="center"/>
    </xf>
    <xf numFmtId="3" fontId="3" fillId="20" borderId="9" xfId="1" applyNumberFormat="1" applyFont="1" applyFill="1" applyBorder="1" applyAlignment="1">
      <alignment horizontal="left" vertical="center"/>
    </xf>
    <xf numFmtId="3" fontId="3" fillId="21" borderId="13" xfId="1" applyNumberFormat="1" applyFont="1" applyFill="1" applyBorder="1" applyAlignment="1">
      <alignment horizontal="left" vertical="center"/>
    </xf>
    <xf numFmtId="3" fontId="3" fillId="16" borderId="13" xfId="1" applyNumberFormat="1" applyFont="1" applyFill="1" applyBorder="1" applyAlignment="1">
      <alignment horizontal="left" vertical="center"/>
    </xf>
    <xf numFmtId="49" fontId="8" fillId="18" borderId="13" xfId="1" applyNumberFormat="1" applyFont="1" applyFill="1" applyBorder="1" applyAlignment="1">
      <alignment horizontal="left" vertical="center"/>
    </xf>
    <xf numFmtId="3" fontId="3" fillId="22" borderId="13" xfId="1" applyNumberFormat="1" applyFont="1" applyFill="1" applyBorder="1" applyAlignment="1">
      <alignment horizontal="left" vertical="center"/>
    </xf>
    <xf numFmtId="0" fontId="3" fillId="0" borderId="13" xfId="0" applyFont="1" applyBorder="1" applyAlignment="1">
      <alignment horizontal="center" vertical="center"/>
    </xf>
    <xf numFmtId="0" fontId="3" fillId="0" borderId="14" xfId="0" applyFont="1" applyBorder="1" applyAlignment="1">
      <alignment horizontal="center" vertical="center"/>
    </xf>
    <xf numFmtId="0" fontId="3" fillId="22" borderId="15" xfId="0" applyFont="1" applyFill="1" applyBorder="1" applyAlignment="1">
      <alignment horizontal="center" vertical="center"/>
    </xf>
    <xf numFmtId="0" fontId="3" fillId="0" borderId="16" xfId="0" applyFont="1" applyBorder="1" applyAlignment="1">
      <alignment vertical="center"/>
    </xf>
    <xf numFmtId="0" fontId="3" fillId="0" borderId="17" xfId="0" applyFont="1" applyBorder="1" applyAlignment="1">
      <alignment vertical="center"/>
    </xf>
    <xf numFmtId="0" fontId="3" fillId="0" borderId="18" xfId="0" applyFont="1" applyBorder="1" applyAlignment="1">
      <alignment vertical="center"/>
    </xf>
    <xf numFmtId="0" fontId="3" fillId="19" borderId="15" xfId="0" applyFont="1" applyFill="1" applyBorder="1" applyAlignment="1">
      <alignment horizontal="center" vertical="center"/>
    </xf>
    <xf numFmtId="0" fontId="3" fillId="0" borderId="19" xfId="0" applyFont="1" applyBorder="1" applyAlignment="1">
      <alignment vertical="center"/>
    </xf>
    <xf numFmtId="0" fontId="3" fillId="3" borderId="9" xfId="0" applyFont="1" applyFill="1" applyBorder="1" applyAlignment="1">
      <alignment vertical="center"/>
    </xf>
    <xf numFmtId="0" fontId="3" fillId="23" borderId="9" xfId="0" applyFont="1" applyFill="1" applyBorder="1" applyAlignment="1">
      <alignment vertical="center"/>
    </xf>
    <xf numFmtId="0" fontId="3" fillId="15" borderId="9" xfId="0" applyFont="1" applyFill="1" applyBorder="1" applyAlignment="1">
      <alignment vertical="center"/>
    </xf>
    <xf numFmtId="0" fontId="3" fillId="13" borderId="9" xfId="0" applyFont="1" applyFill="1" applyBorder="1" applyAlignment="1">
      <alignment vertical="center"/>
    </xf>
    <xf numFmtId="0" fontId="3" fillId="24" borderId="9" xfId="0" applyFont="1" applyFill="1" applyBorder="1" applyAlignment="1">
      <alignment vertical="center"/>
    </xf>
    <xf numFmtId="0" fontId="3" fillId="25" borderId="13" xfId="0" applyFont="1" applyFill="1" applyBorder="1" applyAlignment="1">
      <alignment vertical="center"/>
    </xf>
    <xf numFmtId="0" fontId="3" fillId="15" borderId="0" xfId="0" applyFont="1" applyFill="1" applyAlignment="1">
      <alignment horizontal="center" vertical="center"/>
    </xf>
    <xf numFmtId="0" fontId="12" fillId="0" borderId="11" xfId="4" applyFont="1" applyFill="1" applyBorder="1" applyAlignment="1">
      <alignment horizontal="left" vertical="center"/>
    </xf>
    <xf numFmtId="0" fontId="3" fillId="0" borderId="14" xfId="0" applyFont="1" applyBorder="1" applyAlignment="1">
      <alignment vertical="center"/>
    </xf>
    <xf numFmtId="16" fontId="3" fillId="3" borderId="9" xfId="1" applyNumberFormat="1" applyFont="1" applyFill="1" applyBorder="1" applyAlignment="1">
      <alignment horizontal="center" vertical="center"/>
    </xf>
    <xf numFmtId="0" fontId="3" fillId="26" borderId="9" xfId="0" applyFont="1" applyFill="1" applyBorder="1" applyAlignment="1">
      <alignment vertical="center"/>
    </xf>
    <xf numFmtId="0" fontId="3" fillId="27" borderId="9" xfId="0" applyFont="1" applyFill="1" applyBorder="1" applyAlignment="1">
      <alignment vertical="center"/>
    </xf>
    <xf numFmtId="0" fontId="3" fillId="28" borderId="9" xfId="0" applyFont="1" applyFill="1" applyBorder="1" applyAlignment="1">
      <alignment vertical="center" wrapText="1"/>
    </xf>
    <xf numFmtId="14" fontId="3" fillId="0" borderId="19" xfId="0" applyNumberFormat="1" applyFont="1" applyBorder="1" applyAlignment="1">
      <alignment vertical="center"/>
    </xf>
    <xf numFmtId="14" fontId="3" fillId="0" borderId="0" xfId="0" applyNumberFormat="1" applyFont="1" applyAlignment="1">
      <alignment vertical="center"/>
    </xf>
    <xf numFmtId="9" fontId="14" fillId="0" borderId="9" xfId="2" applyFont="1" applyBorder="1" applyAlignment="1">
      <alignment horizontal="center" vertical="center"/>
    </xf>
    <xf numFmtId="0" fontId="10" fillId="0" borderId="0" xfId="3" applyAlignment="1">
      <alignment vertical="center"/>
    </xf>
    <xf numFmtId="0" fontId="12" fillId="18" borderId="11" xfId="4" applyFont="1" applyFill="1" applyBorder="1" applyAlignment="1">
      <alignment horizontal="left" vertical="center"/>
    </xf>
    <xf numFmtId="0" fontId="12" fillId="29" borderId="11" xfId="4" applyFont="1" applyFill="1" applyBorder="1" applyAlignment="1">
      <alignment horizontal="left" vertical="center"/>
    </xf>
    <xf numFmtId="0" fontId="12" fillId="19" borderId="11" xfId="4" applyFont="1" applyFill="1" applyBorder="1" applyAlignment="1">
      <alignment horizontal="left" vertical="center"/>
    </xf>
    <xf numFmtId="0" fontId="0" fillId="0" borderId="12" xfId="0" applyBorder="1"/>
  </cellXfs>
  <cellStyles count="5">
    <cellStyle name="Comma" xfId="1" builtinId="3"/>
    <cellStyle name="Hyperlink" xfId="3" builtinId="8"/>
    <cellStyle name="Hyperlink 2" xfId="4" xr:uid="{DC29DC8D-7EE6-4E06-BA59-EC25EC98E3FF}"/>
    <cellStyle name="Normal" xfId="0" builtinId="0"/>
    <cellStyle name="Percent" xfId="2" builtinId="5"/>
  </cellStyles>
  <dxfs count="4865">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
      <fill>
        <patternFill>
          <bgColor theme="0" tint="-0.499984740745262"/>
        </patternFill>
      </fill>
    </dxf>
    <dxf>
      <fill>
        <patternFill>
          <bgColor theme="3" tint="0.89996032593768116"/>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9C5700"/>
      </font>
      <fill>
        <patternFill>
          <bgColor rgb="FFFFEB9C"/>
        </patternFill>
      </fill>
    </dxf>
    <dxf>
      <fill>
        <patternFill>
          <bgColor theme="0" tint="-0.49998474074526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ill>
        <patternFill>
          <bgColor theme="0" tint="-0.499984740745262"/>
        </patternFill>
      </fill>
    </dxf>
    <dxf>
      <font>
        <color rgb="FF002060"/>
      </font>
      <fill>
        <patternFill>
          <bgColor theme="8" tint="0.59996337778862885"/>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theme="1"/>
      </font>
      <fill>
        <patternFill patternType="solid">
          <bgColor theme="2" tint="-9.9948118533890809E-2"/>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theme="0" tint="-0.14996795556505021"/>
        </patternFill>
      </fill>
    </dxf>
    <dxf>
      <font>
        <color theme="0"/>
      </font>
      <fill>
        <patternFill>
          <bgColor rgb="FF0070C0"/>
        </patternFill>
      </fill>
    </dxf>
    <dxf>
      <fill>
        <patternFill>
          <bgColor rgb="FFEFE565"/>
        </patternFill>
      </fill>
    </dxf>
    <dxf>
      <font>
        <color theme="0"/>
      </font>
      <fill>
        <patternFill>
          <bgColor theme="5" tint="-0.499984740745262"/>
        </patternFill>
      </fill>
    </dxf>
    <dxf>
      <font>
        <color theme="0"/>
      </font>
      <fill>
        <patternFill>
          <bgColor rgb="FF7030A0"/>
        </patternFill>
      </fill>
    </dxf>
    <dxf>
      <fill>
        <patternFill>
          <bgColor theme="1" tint="0.499984740745262"/>
        </patternFill>
      </fill>
    </dxf>
    <dxf>
      <fill>
        <patternFill>
          <bgColor rgb="FFFF9900"/>
        </patternFill>
      </fill>
    </dxf>
    <dxf>
      <font>
        <color theme="0"/>
      </font>
      <fill>
        <patternFill>
          <bgColor rgb="FFFF99FF"/>
        </patternFill>
      </fill>
    </dxf>
    <dxf>
      <font>
        <color rgb="FF002060"/>
      </font>
      <fill>
        <patternFill>
          <bgColor theme="8" tint="0.59996337778862885"/>
        </patternFill>
      </fill>
    </dxf>
    <dxf>
      <font>
        <color rgb="FF002060"/>
      </font>
      <fill>
        <patternFill>
          <bgColor theme="8" tint="0.59996337778862885"/>
        </patternFill>
      </fill>
    </dxf>
    <dxf>
      <fill>
        <patternFill>
          <bgColor theme="0" tint="-0.499984740745262"/>
        </patternFill>
      </fill>
    </dxf>
    <dxf>
      <font>
        <color rgb="FF002060"/>
      </font>
      <fill>
        <patternFill>
          <bgColor theme="8" tint="0.59996337778862885"/>
        </patternFill>
      </fill>
    </dxf>
    <dxf>
      <font>
        <color theme="1"/>
      </font>
      <fill>
        <patternFill patternType="solid">
          <bgColor theme="2" tint="-9.9948118533890809E-2"/>
        </patternFill>
      </fill>
    </dxf>
    <dxf>
      <font>
        <color rgb="FF002060"/>
      </font>
      <fill>
        <patternFill>
          <bgColor theme="8"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22/10/relationships/richValueRel" Target="richData/richValueRel.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 Id="rId35" Type="http://schemas.microsoft.com/office/2017/06/relationships/rdRichValueTypes" Target="richData/rdRichValueTypes.xml"/><Relationship Id="rId8" Type="http://schemas.openxmlformats.org/officeDocument/2006/relationships/worksheet" Target="worksheets/sheet8.xml"/></Relationships>
</file>

<file path=xl/richData/_rels/richValueRel.xml.rels><?xml version="1.0" encoding="UTF-8" standalone="yes"?>
<Relationships xmlns="http://schemas.openxmlformats.org/package/2006/relationships"><Relationship Id="rId26" Type="http://schemas.openxmlformats.org/officeDocument/2006/relationships/image" Target="../media/image26.png"/><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16" Type="http://schemas.openxmlformats.org/officeDocument/2006/relationships/image" Target="../media/image16.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37" Type="http://schemas.openxmlformats.org/officeDocument/2006/relationships/image" Target="../media/image37.png"/><Relationship Id="rId53" Type="http://schemas.openxmlformats.org/officeDocument/2006/relationships/image" Target="../media/image53.png"/><Relationship Id="rId58" Type="http://schemas.openxmlformats.org/officeDocument/2006/relationships/image" Target="../media/image58.png"/><Relationship Id="rId74" Type="http://schemas.openxmlformats.org/officeDocument/2006/relationships/image" Target="../media/image74.gif"/><Relationship Id="rId79" Type="http://schemas.openxmlformats.org/officeDocument/2006/relationships/image" Target="../media/image79.png"/><Relationship Id="rId102" Type="http://schemas.openxmlformats.org/officeDocument/2006/relationships/image" Target="../media/image102.png"/><Relationship Id="rId5" Type="http://schemas.openxmlformats.org/officeDocument/2006/relationships/image" Target="../media/image5.png"/><Relationship Id="rId90" Type="http://schemas.openxmlformats.org/officeDocument/2006/relationships/image" Target="../media/image90.png"/><Relationship Id="rId95" Type="http://schemas.openxmlformats.org/officeDocument/2006/relationships/image" Target="../media/image95.png"/><Relationship Id="rId22" Type="http://schemas.openxmlformats.org/officeDocument/2006/relationships/image" Target="../media/image22.png"/><Relationship Id="rId27" Type="http://schemas.openxmlformats.org/officeDocument/2006/relationships/image" Target="../media/image27.png"/><Relationship Id="rId43" Type="http://schemas.openxmlformats.org/officeDocument/2006/relationships/image" Target="../media/image43.png"/><Relationship Id="rId48" Type="http://schemas.openxmlformats.org/officeDocument/2006/relationships/image" Target="../media/image48.png"/><Relationship Id="rId64" Type="http://schemas.openxmlformats.org/officeDocument/2006/relationships/image" Target="../media/image64.png"/><Relationship Id="rId69" Type="http://schemas.openxmlformats.org/officeDocument/2006/relationships/image" Target="../media/image69.png"/><Relationship Id="rId113" Type="http://schemas.openxmlformats.org/officeDocument/2006/relationships/image" Target="../media/image113.png"/><Relationship Id="rId118" Type="http://schemas.openxmlformats.org/officeDocument/2006/relationships/image" Target="../media/image118.png"/><Relationship Id="rId80" Type="http://schemas.openxmlformats.org/officeDocument/2006/relationships/image" Target="../media/image80.gif"/><Relationship Id="rId85" Type="http://schemas.openxmlformats.org/officeDocument/2006/relationships/image" Target="../media/image85.png"/><Relationship Id="rId12" Type="http://schemas.openxmlformats.org/officeDocument/2006/relationships/image" Target="../media/image12.png"/><Relationship Id="rId17" Type="http://schemas.openxmlformats.org/officeDocument/2006/relationships/image" Target="../media/image17.png"/><Relationship Id="rId33" Type="http://schemas.openxmlformats.org/officeDocument/2006/relationships/image" Target="../media/image33.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08" Type="http://schemas.openxmlformats.org/officeDocument/2006/relationships/image" Target="../media/image108.png"/><Relationship Id="rId54" Type="http://schemas.openxmlformats.org/officeDocument/2006/relationships/image" Target="../media/image54.png"/><Relationship Id="rId70" Type="http://schemas.openxmlformats.org/officeDocument/2006/relationships/image" Target="../media/image70.png"/><Relationship Id="rId75" Type="http://schemas.openxmlformats.org/officeDocument/2006/relationships/image" Target="../media/image75.png"/><Relationship Id="rId91" Type="http://schemas.openxmlformats.org/officeDocument/2006/relationships/image" Target="../media/image91.png"/><Relationship Id="rId96" Type="http://schemas.openxmlformats.org/officeDocument/2006/relationships/image" Target="../media/image96.png"/><Relationship Id="rId1" Type="http://schemas.openxmlformats.org/officeDocument/2006/relationships/image" Target="../media/image1.png"/><Relationship Id="rId6" Type="http://schemas.openxmlformats.org/officeDocument/2006/relationships/image" Target="../media/image6.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gif"/><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2" Type="http://schemas.openxmlformats.org/officeDocument/2006/relationships/image" Target="../media/image2.gif"/><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61" Type="http://schemas.openxmlformats.org/officeDocument/2006/relationships/image" Target="../media/image61.png"/><Relationship Id="rId82" Type="http://schemas.openxmlformats.org/officeDocument/2006/relationships/image" Target="../media/image82.png"/><Relationship Id="rId19" Type="http://schemas.openxmlformats.org/officeDocument/2006/relationships/image" Target="../media/image19.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116" Type="http://schemas.openxmlformats.org/officeDocument/2006/relationships/image" Target="../media/image116.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18">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 s="0">
    <v>51</v>
    <v>5</v>
  </rv>
  <rv s="0">
    <v>52</v>
    <v>5</v>
  </rv>
  <rv s="0">
    <v>53</v>
    <v>5</v>
  </rv>
  <rv s="0">
    <v>54</v>
    <v>5</v>
  </rv>
  <rv s="0">
    <v>55</v>
    <v>5</v>
  </rv>
  <rv s="0">
    <v>56</v>
    <v>5</v>
  </rv>
  <rv s="0">
    <v>57</v>
    <v>5</v>
  </rv>
  <rv s="0">
    <v>58</v>
    <v>5</v>
  </rv>
  <rv s="0">
    <v>59</v>
    <v>5</v>
  </rv>
  <rv s="0">
    <v>60</v>
    <v>5</v>
  </rv>
  <rv s="0">
    <v>61</v>
    <v>5</v>
  </rv>
  <rv s="0">
    <v>62</v>
    <v>5</v>
  </rv>
  <rv s="0">
    <v>63</v>
    <v>5</v>
  </rv>
  <rv s="0">
    <v>64</v>
    <v>5</v>
  </rv>
  <rv s="0">
    <v>65</v>
    <v>5</v>
  </rv>
  <rv s="0">
    <v>66</v>
    <v>5</v>
  </rv>
  <rv s="0">
    <v>67</v>
    <v>5</v>
  </rv>
  <rv s="0">
    <v>68</v>
    <v>5</v>
  </rv>
  <rv s="0">
    <v>69</v>
    <v>5</v>
  </rv>
  <rv s="0">
    <v>70</v>
    <v>5</v>
  </rv>
  <rv s="0">
    <v>71</v>
    <v>5</v>
  </rv>
  <rv s="0">
    <v>72</v>
    <v>5</v>
  </rv>
  <rv s="0">
    <v>73</v>
    <v>5</v>
  </rv>
  <rv s="0">
    <v>74</v>
    <v>5</v>
  </rv>
  <rv s="0">
    <v>75</v>
    <v>5</v>
  </rv>
  <rv s="0">
    <v>76</v>
    <v>5</v>
  </rv>
  <rv s="0">
    <v>77</v>
    <v>5</v>
  </rv>
  <rv s="0">
    <v>78</v>
    <v>5</v>
  </rv>
  <rv s="0">
    <v>79</v>
    <v>5</v>
  </rv>
  <rv s="0">
    <v>80</v>
    <v>5</v>
  </rv>
  <rv s="0">
    <v>81</v>
    <v>5</v>
  </rv>
  <rv s="0">
    <v>82</v>
    <v>5</v>
  </rv>
  <rv s="0">
    <v>83</v>
    <v>5</v>
  </rv>
  <rv s="0">
    <v>84</v>
    <v>5</v>
  </rv>
  <rv s="0">
    <v>85</v>
    <v>5</v>
  </rv>
  <rv s="0">
    <v>86</v>
    <v>5</v>
  </rv>
  <rv s="0">
    <v>87</v>
    <v>5</v>
  </rv>
  <rv s="0">
    <v>88</v>
    <v>5</v>
  </rv>
  <rv s="0">
    <v>89</v>
    <v>5</v>
  </rv>
  <rv s="0">
    <v>90</v>
    <v>5</v>
  </rv>
  <rv s="0">
    <v>91</v>
    <v>5</v>
  </rv>
  <rv s="0">
    <v>92</v>
    <v>5</v>
  </rv>
  <rv s="0">
    <v>93</v>
    <v>5</v>
  </rv>
  <rv s="0">
    <v>94</v>
    <v>5</v>
  </rv>
  <rv s="0">
    <v>95</v>
    <v>5</v>
  </rv>
  <rv s="0">
    <v>96</v>
    <v>5</v>
  </rv>
  <rv s="0">
    <v>97</v>
    <v>5</v>
  </rv>
  <rv s="0">
    <v>98</v>
    <v>5</v>
  </rv>
  <rv s="0">
    <v>99</v>
    <v>5</v>
  </rv>
  <rv s="0">
    <v>100</v>
    <v>5</v>
  </rv>
  <rv s="0">
    <v>101</v>
    <v>5</v>
  </rv>
  <rv s="0">
    <v>102</v>
    <v>5</v>
  </rv>
  <rv s="0">
    <v>103</v>
    <v>5</v>
  </rv>
  <rv s="0">
    <v>104</v>
    <v>5</v>
  </rv>
  <rv s="0">
    <v>105</v>
    <v>5</v>
  </rv>
  <rv s="0">
    <v>106</v>
    <v>5</v>
  </rv>
  <rv s="0">
    <v>107</v>
    <v>5</v>
  </rv>
  <rv s="0">
    <v>108</v>
    <v>5</v>
  </rv>
  <rv s="0">
    <v>109</v>
    <v>5</v>
  </rv>
  <rv s="0">
    <v>110</v>
    <v>5</v>
  </rv>
  <rv s="0">
    <v>111</v>
    <v>5</v>
  </rv>
  <rv s="0">
    <v>112</v>
    <v>5</v>
  </rv>
  <rv s="0">
    <v>113</v>
    <v>5</v>
  </rv>
  <rv s="0">
    <v>114</v>
    <v>5</v>
  </rv>
  <rv s="0">
    <v>115</v>
    <v>5</v>
  </rv>
  <rv s="0">
    <v>116</v>
    <v>5</v>
  </rv>
  <rv s="0">
    <v>117</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el r:id="rId52"/>
  <rel r:id="rId53"/>
  <rel r:id="rId54"/>
  <rel r:id="rId55"/>
  <rel r:id="rId56"/>
  <rel r:id="rId57"/>
  <rel r:id="rId58"/>
  <rel r:id="rId59"/>
  <rel r:id="rId60"/>
  <rel r:id="rId61"/>
  <rel r:id="rId62"/>
  <rel r:id="rId63"/>
  <rel r:id="rId64"/>
  <rel r:id="rId65"/>
  <rel r:id="rId66"/>
  <rel r:id="rId67"/>
  <rel r:id="rId68"/>
  <rel r:id="rId69"/>
  <rel r:id="rId70"/>
  <rel r:id="rId71"/>
  <rel r:id="rId72"/>
  <rel r:id="rId73"/>
  <rel r:id="rId74"/>
  <rel r:id="rId75"/>
  <rel r:id="rId76"/>
  <rel r:id="rId77"/>
  <rel r:id="rId78"/>
  <rel r:id="rId79"/>
  <rel r:id="rId80"/>
  <rel r:id="rId81"/>
  <rel r:id="rId82"/>
  <rel r:id="rId83"/>
  <rel r:id="rId84"/>
  <rel r:id="rId85"/>
  <rel r:id="rId86"/>
  <rel r:id="rId87"/>
  <rel r:id="rId88"/>
  <rel r:id="rId89"/>
  <rel r:id="rId90"/>
  <rel r:id="rId91"/>
  <rel r:id="rId92"/>
  <rel r:id="rId93"/>
  <rel r:id="rId94"/>
  <rel r:id="rId95"/>
  <rel r:id="rId96"/>
  <rel r:id="rId97"/>
  <rel r:id="rId98"/>
  <rel r:id="rId99"/>
  <rel r:id="rId100"/>
  <rel r:id="rId101"/>
  <rel r:id="rId102"/>
  <rel r:id="rId103"/>
  <rel r:id="rId104"/>
  <rel r:id="rId105"/>
  <rel r:id="rId106"/>
  <rel r:id="rId107"/>
  <rel r:id="rId108"/>
  <rel r:id="rId109"/>
  <rel r:id="rId110"/>
  <rel r:id="rId111"/>
  <rel r:id="rId112"/>
  <rel r:id="rId113"/>
  <rel r:id="rId114"/>
  <rel r:id="rId115"/>
  <rel r:id="rId116"/>
  <rel r:id="rId117"/>
  <rel r:id="rId118"/>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hyperlink" Target="https://en.wikipedia.org/wiki/Flag_of_American_Samoa" TargetMode="External"/><Relationship Id="rId1" Type="http://schemas.openxmlformats.org/officeDocument/2006/relationships/hyperlink" Target="https://upload.wikimedia.org/wikipedia/commons/thumb/8/87/Flag_of_American_Samoa.svg/1200px-Flag_of_American_Samoa.svg.png"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en.wikipedia.org/wiki/Principality_of_Snake_Hill" TargetMode="External"/><Relationship Id="rId2" Type="http://schemas.openxmlformats.org/officeDocument/2006/relationships/hyperlink" Target="https://upload.wikimedia.org/wikipedia/commons/thumb/f/f0/Flag_of_the_Principality_of_Snake_Hill.svg/640px-Flag_of_the_Principality_of_Snake_Hill.svg.png" TargetMode="External"/><Relationship Id="rId1" Type="http://schemas.openxmlformats.org/officeDocument/2006/relationships/hyperlink" Target="https://fbref.com/en/country/AUS/Australia-Football" TargetMode="External"/><Relationship Id="rId4" Type="http://schemas.openxmlformats.org/officeDocument/2006/relationships/hyperlink" Target="https://upload.wikimedia.org/wikipedia/commons/thumb/f/f0/Flag_of_the_Principality_of_Snake_Hill.svg/2560px-Flag_of_the_Principality_of_Snake_Hill.svg.png"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fbref.com/en/country/COK/Cook-Islands-Football"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fbref.com/en/country/FIJ/Fiji-Football"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upload.wikimedia.org/wikipedia/commons/thumb/d/db/Flag_of_French_Polynesia.svg/2560px-Flag_of_French_Polynesia.svg.png" TargetMode="External"/><Relationship Id="rId1" Type="http://schemas.openxmlformats.org/officeDocument/2006/relationships/hyperlink" Target="https://fbref.com/en/country/TAH/Tahiti-Football"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fbref.com/en/country/GUM/Guam-Football" TargetMode="External"/></Relationships>
</file>

<file path=xl/worksheets/_rels/sheet14.xml.rels><?xml version="1.0" encoding="UTF-8" standalone="yes"?>
<Relationships xmlns="http://schemas.openxmlformats.org/package/2006/relationships"><Relationship Id="rId1" Type="http://schemas.openxmlformats.org/officeDocument/2006/relationships/hyperlink" Target="https://fbref.com/en/country/NCL/New-Caledonia-Football" TargetMode="External"/></Relationships>
</file>

<file path=xl/worksheets/_rels/sheet15.xml.rels><?xml version="1.0" encoding="UTF-8" standalone="yes"?>
<Relationships xmlns="http://schemas.openxmlformats.org/package/2006/relationships"><Relationship Id="rId2" Type="http://schemas.openxmlformats.org/officeDocument/2006/relationships/hyperlink" Target="https://upload.wikimedia.org/wikipedia/commons/thumb/8/8e/Flag_of_Tokelau.svg/2560px-Flag_of_Tokelau.svg.png" TargetMode="External"/><Relationship Id="rId1" Type="http://schemas.openxmlformats.org/officeDocument/2006/relationships/hyperlink" Target="https://fbref.com/en/country/NZL/New-Zealand-Football"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en.wikipedia.org/wiki/Flag_of_Niue"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s://upload.wikimedia.org/wikipedia/commons/thumb/e/e0/Flag_of_the_Northern_Mariana_Islands.svg/2560px-Flag_of_the_Northern_Mariana_Islands.svg.png"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https://fbref.com/en/country/PNG/Papua-New-Guinea-Football" TargetMode="External"/></Relationships>
</file>

<file path=xl/worksheets/_rels/sheet21.xml.rels><?xml version="1.0" encoding="UTF-8" standalone="yes"?>
<Relationships xmlns="http://schemas.openxmlformats.org/package/2006/relationships"><Relationship Id="rId3" Type="http://schemas.openxmlformats.org/officeDocument/2006/relationships/hyperlink" Target="https://i.ibb.co/MSJbjXV/Ducie-Island.png" TargetMode="External"/><Relationship Id="rId2" Type="http://schemas.openxmlformats.org/officeDocument/2006/relationships/hyperlink" Target="https://i.ibb.co/MSJbjXV/Ducie-Island.png" TargetMode="External"/><Relationship Id="rId1" Type="http://schemas.openxmlformats.org/officeDocument/2006/relationships/hyperlink" Target="https://upload.wikimedia.org/wikipedia/commons/thumb/8/88/Flag_of_the_Pitcairn_Islands.svg/2560px-Flag_of_the_Pitcairn_Islands.svg.png" TargetMode="External"/></Relationships>
</file>

<file path=xl/worksheets/_rels/sheet22.xml.rels><?xml version="1.0" encoding="UTF-8" standalone="yes"?>
<Relationships xmlns="http://schemas.openxmlformats.org/package/2006/relationships"><Relationship Id="rId2" Type="http://schemas.openxmlformats.org/officeDocument/2006/relationships/hyperlink" Target="https://upload.wikimedia.org/wikipedia/commons/thumb/3/31/Flag_of_Samoa.svg/2560px-Flag_of_Samoa.svg.png" TargetMode="External"/><Relationship Id="rId1" Type="http://schemas.openxmlformats.org/officeDocument/2006/relationships/hyperlink" Target="https://fbref.com/en/country/SAM/Samoa-Football" TargetMode="External"/></Relationships>
</file>

<file path=xl/worksheets/_rels/sheet23.xml.rels><?xml version="1.0" encoding="UTF-8" standalone="yes"?>
<Relationships xmlns="http://schemas.openxmlformats.org/package/2006/relationships"><Relationship Id="rId1" Type="http://schemas.openxmlformats.org/officeDocument/2006/relationships/hyperlink" Target="https://fbref.com/en/country/SOL/Solomon-Islands-Football" TargetMode="External"/></Relationships>
</file>

<file path=xl/worksheets/_rels/sheet24.xml.rels><?xml version="1.0" encoding="UTF-8" standalone="yes"?>
<Relationships xmlns="http://schemas.openxmlformats.org/package/2006/relationships"><Relationship Id="rId3" Type="http://schemas.openxmlformats.org/officeDocument/2006/relationships/hyperlink" Target="https://upload.wikimedia.org/wikipedia/commons/thumb/8/8d/Naval_Ensign_of_Tonga.svg/2560px-Naval_Ensign_of_Tonga.svg.png" TargetMode="External"/><Relationship Id="rId2" Type="http://schemas.openxmlformats.org/officeDocument/2006/relationships/hyperlink" Target="https://upload.wikimedia.org/wikipedia/commons/thumb/8/8d/Naval_Ensign_of_Tonga.svg/2560px-Naval_Ensign_of_Tonga.svg.png" TargetMode="External"/><Relationship Id="rId1" Type="http://schemas.openxmlformats.org/officeDocument/2006/relationships/hyperlink" Target="https://fbref.com/en/country/TGA/Tonga-Football" TargetMode="External"/></Relationships>
</file>

<file path=xl/worksheets/_rels/sheet25.xml.rels><?xml version="1.0" encoding="UTF-8" standalone="yes"?>
<Relationships xmlns="http://schemas.openxmlformats.org/package/2006/relationships"><Relationship Id="rId2" Type="http://schemas.openxmlformats.org/officeDocument/2006/relationships/hyperlink" Target="https://upload.wikimedia.org/wikipedia/commons/thumb/5/5c/Flag_of_Funafuti.svg/648px-Flag_of_Funafuti.svg.png" TargetMode="External"/><Relationship Id="rId1" Type="http://schemas.openxmlformats.org/officeDocument/2006/relationships/hyperlink" Target="https://upload.wikimedia.org/wikipedia/commons/thumb/3/38/Flag_of_Tuvalu.svg/2560px-Flag_of_Tuvalu.svg.png" TargetMode="External"/></Relationships>
</file>

<file path=xl/worksheets/_rels/sheet26.xml.rels><?xml version="1.0" encoding="UTF-8" standalone="yes"?>
<Relationships xmlns="http://schemas.openxmlformats.org/package/2006/relationships"><Relationship Id="rId1" Type="http://schemas.openxmlformats.org/officeDocument/2006/relationships/hyperlink" Target="https://fbref.com/en/country/VAN/Vanuatu-Footbal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FCD618-FA54-4F24-B106-0DBEB044580D}">
  <dimension ref="A1"/>
  <sheetViews>
    <sheetView workbookViewId="0"/>
  </sheetViews>
  <sheetFormatPr defaultRowHeight="14.4" x14ac:dyDescent="0.3"/>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76E2-419C-49AE-B846-305A6474519C}">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163</v>
      </c>
      <c r="B2" s="40" t="e" vm="1">
        <v>#VALUE!</v>
      </c>
      <c r="C2" s="41">
        <v>1</v>
      </c>
      <c r="D2" s="42" t="s">
        <v>164</v>
      </c>
      <c r="E2" s="43" t="s">
        <v>165</v>
      </c>
      <c r="F2" s="44" t="s">
        <v>166</v>
      </c>
      <c r="G2" s="45">
        <f>COUNTIF($A$1:$A$8245,A2)</f>
        <v>1</v>
      </c>
      <c r="H2" s="46"/>
      <c r="I2" s="47" t="s">
        <v>167</v>
      </c>
      <c r="J2" s="48" t="str">
        <f>""</f>
        <v/>
      </c>
      <c r="K2" s="49">
        <v>44273</v>
      </c>
      <c r="L2" s="50">
        <v>11545</v>
      </c>
      <c r="M2" s="50" t="s">
        <v>168</v>
      </c>
      <c r="N2" s="51" t="s">
        <v>169</v>
      </c>
      <c r="O2" s="52" t="s">
        <v>170</v>
      </c>
      <c r="P2" s="53" t="s">
        <v>171</v>
      </c>
      <c r="Q2" s="54">
        <v>2</v>
      </c>
      <c r="R2" s="55" t="s">
        <v>169</v>
      </c>
      <c r="S2" s="56">
        <v>0</v>
      </c>
      <c r="T2" s="57" t="s">
        <v>172</v>
      </c>
      <c r="U2" s="58" t="s">
        <v>173</v>
      </c>
      <c r="V2" s="58" t="s">
        <v>173</v>
      </c>
      <c r="W2" s="58" t="s">
        <v>173</v>
      </c>
      <c r="X2" s="58" t="s">
        <v>173</v>
      </c>
      <c r="Y2" s="58" t="s">
        <v>172</v>
      </c>
      <c r="Z2" s="58" t="s">
        <v>172</v>
      </c>
      <c r="AA2" s="58" t="s">
        <v>173</v>
      </c>
      <c r="AB2" s="58" t="s">
        <v>173</v>
      </c>
      <c r="AC2" s="58" t="s">
        <v>172</v>
      </c>
      <c r="AD2" s="58" t="s">
        <v>173</v>
      </c>
      <c r="AE2" s="58" t="s">
        <v>173</v>
      </c>
      <c r="AF2" s="59" t="s">
        <v>172</v>
      </c>
      <c r="AG2" s="59" t="s">
        <v>173</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0</v>
      </c>
      <c r="AU2" s="59"/>
      <c r="AV2" s="59" t="str">
        <f>IF(LEFT(A2,1)="[",LEFT(A2,5)&amp;AU2&amp;A2,"")</f>
        <v/>
      </c>
      <c r="AW2" s="59" t="str">
        <f>C2&amp;H2&amp;A2</f>
        <v>1American Samoa</v>
      </c>
      <c r="AX2" s="61"/>
      <c r="AY2" s="61" t="s">
        <v>172</v>
      </c>
      <c r="AZ2" s="62"/>
      <c r="BA2" s="62"/>
      <c r="BB2" s="62"/>
      <c r="BC2" s="63"/>
      <c r="BD2" s="64" t="s">
        <v>152</v>
      </c>
      <c r="BE2" s="47"/>
      <c r="BF2" s="64"/>
      <c r="BG2" s="64"/>
      <c r="BH2" s="64"/>
      <c r="BI2" s="64"/>
      <c r="BJ2" s="64"/>
      <c r="BK2" s="47"/>
      <c r="BL2" s="64" t="s">
        <v>155</v>
      </c>
      <c r="BM2" s="64" t="s">
        <v>154</v>
      </c>
      <c r="BN2" s="64" t="s">
        <v>152</v>
      </c>
      <c r="BO2" s="64" t="s">
        <v>159</v>
      </c>
      <c r="BP2" s="64" t="s">
        <v>157</v>
      </c>
      <c r="BQ2" s="64"/>
      <c r="BR2" s="64"/>
      <c r="BS2" s="64"/>
      <c r="BT2" s="64"/>
      <c r="BU2" s="65"/>
      <c r="BV2" s="66" t="s">
        <v>172</v>
      </c>
      <c r="BW2" s="66" t="s">
        <v>174</v>
      </c>
      <c r="BX2" s="47"/>
      <c r="BY2" s="48" t="s">
        <v>173</v>
      </c>
      <c r="CB2" s="6" t="s">
        <v>175</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"American Samoa"</v>
      </c>
      <c r="CU2" s="70" t="str">
        <f>CHAR(34)&amp;"rgn_"&amp;R2&amp;CHAR(34)</f>
        <v>"rgn_Oceania"</v>
      </c>
      <c r="CV2" s="48" t="str">
        <f>CHAR(34)&amp;D2&amp;CHAR(34)</f>
        <v>"https://upload.wikimedia.org/wikipedia/commons/thumb/8/87/Flag_of_American_Samoa.svg/1200px-Flag_of_American_Samoa.svg.png"</v>
      </c>
      <c r="CW2" s="48" t="str">
        <f t="shared" ref="CW2:CZ3" si="0">IF(CH2="y",CHAR(34)&amp;CH$1&amp;CHAR(34)&amp;",","")</f>
        <v/>
      </c>
      <c r="CX2" s="48" t="str">
        <f t="shared" si="0"/>
        <v/>
      </c>
      <c r="CY2" s="48" t="str">
        <f t="shared" si="0"/>
        <v/>
      </c>
      <c r="CZ2" s="48" t="str">
        <f t="shared" si="0"/>
        <v>"5+Colo",</v>
      </c>
      <c r="DA2" s="48" t="str">
        <f>IF(Q2&gt;1,CHAR(34)&amp;"words2"&amp;CHAR(34)&amp;",","")</f>
        <v>"words2",</v>
      </c>
      <c r="DB2" s="48" t="str">
        <f>IF(Q2&gt;2,CHAR(34)&amp;"words3"&amp;CHAR(34)&amp;",","")</f>
        <v/>
      </c>
      <c r="DC2" s="48" t="str">
        <f>IF(Q2=2,CHAR(34)&amp;"exact2"&amp;CHAR(34)&amp;",","")</f>
        <v>"exact2",</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"lets13",</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 t="shared" ref="DW2:DZ3" si="1">IF(CL2="y",CHAR(34)&amp;CL$1&amp;CHAR(34)&amp;",","")</f>
        <v>"NoBand",</v>
      </c>
      <c r="DX2" s="48" t="str">
        <f t="shared" si="1"/>
        <v/>
      </c>
      <c r="DY2" s="48" t="str">
        <f t="shared" si="1"/>
        <v/>
      </c>
      <c r="DZ2" s="48" t="str">
        <f t="shared" si="1"/>
        <v/>
      </c>
      <c r="EA2" s="48" t="str">
        <f t="shared" ref="EA2:EE3" si="2">IF(T2="y",CHAR(34)&amp;T$1&amp;CHAR(34)&amp;",","")</f>
        <v>"Diagon",</v>
      </c>
      <c r="EB2" s="48" t="str">
        <f t="shared" si="2"/>
        <v/>
      </c>
      <c r="EC2" s="48" t="str">
        <f t="shared" si="2"/>
        <v/>
      </c>
      <c r="ED2" s="48" t="str">
        <f t="shared" si="2"/>
        <v/>
      </c>
      <c r="EE2" s="48" t="str">
        <f t="shared" si="2"/>
        <v/>
      </c>
      <c r="EF2" s="48" t="str">
        <f>IF(AND(Y2&lt;&gt;"n",Y2&lt;&gt;""),CHAR(34)&amp;Y$1&amp;CHAR(34)&amp;",","")</f>
        <v>"Animal",</v>
      </c>
      <c r="EG2" s="48" t="str">
        <f t="shared" ref="EG2:EZ3" si="3">IF(Z2="y",CHAR(34)&amp;Z$1&amp;CHAR(34)&amp;",","")</f>
        <v>"Bird",</v>
      </c>
      <c r="EH2" s="48" t="str">
        <f t="shared" si="3"/>
        <v/>
      </c>
      <c r="EI2" s="48" t="str">
        <f t="shared" si="3"/>
        <v/>
      </c>
      <c r="EJ2" s="48" t="str">
        <f t="shared" si="3"/>
        <v>"Weapon",</v>
      </c>
      <c r="EK2" s="48" t="str">
        <f t="shared" si="3"/>
        <v/>
      </c>
      <c r="EL2" s="48" t="str">
        <f t="shared" si="3"/>
        <v/>
      </c>
      <c r="EM2" s="48" t="str">
        <f t="shared" si="3"/>
        <v>"Trside",</v>
      </c>
      <c r="EN2" s="48" t="str">
        <f t="shared" si="3"/>
        <v/>
      </c>
      <c r="EO2" s="48" t="str">
        <f t="shared" si="3"/>
        <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3" si="4">IF(CQ2="y",CHAR(34)&amp;CQ$1&amp;CHAR(34)&amp;",","")</f>
        <v/>
      </c>
      <c r="GM2" s="48" t="str">
        <f t="shared" si="4"/>
        <v/>
      </c>
      <c r="GN2" s="48" t="str">
        <f t="shared" si="4"/>
        <v/>
      </c>
      <c r="GP2" s="48" t="str">
        <f>CHAR(34)&amp;AU2&amp;CHAR(34)</f>
        <v>""</v>
      </c>
      <c r="GS2" s="48" t="str">
        <f>SUBSTITUTE("["&amp;_xlfn.CONCAT(CW2:GN2)&amp;"]",",]","]")</f>
        <v>["5+Colo","words2","exact2","lets13","startA","year19","NoBand","Diagon","Animal","Bird","Weapon","Trside","ntWHYE","NO_GRE","NO_BLA","myrBLU","island","englis","NoStar"]</v>
      </c>
      <c r="GT2" s="48" t="str">
        <f t="shared" ref="GT2:HB3" si="5">IF(BL2&lt;&gt;"",CHAR(34)&amp;"cl_"&amp;BL2&amp;CHAR(34)&amp;",","")</f>
        <v>"cl_YEL",</v>
      </c>
      <c r="GU2" s="48" t="str">
        <f t="shared" si="5"/>
        <v>"cl_RED",</v>
      </c>
      <c r="GV2" s="48" t="str">
        <f t="shared" si="5"/>
        <v>"cl_BLU",</v>
      </c>
      <c r="GW2" s="48" t="str">
        <f t="shared" si="5"/>
        <v>"cl_WHI",</v>
      </c>
      <c r="GX2" s="48" t="str">
        <f t="shared" si="5"/>
        <v>"cl_BRO",</v>
      </c>
      <c r="GY2" s="48" t="str">
        <f t="shared" si="5"/>
        <v/>
      </c>
      <c r="GZ2" s="48" t="str">
        <f t="shared" si="5"/>
        <v/>
      </c>
      <c r="HA2" s="48" t="str">
        <f t="shared" si="5"/>
        <v/>
      </c>
      <c r="HB2" s="48" t="str">
        <f t="shared" si="5"/>
        <v/>
      </c>
      <c r="HC2" s="48" t="str">
        <f>SUBSTITUTE("["&amp;_xlfn.CONCAT(GT2:HB2)&amp;"]",",]","]")</f>
        <v>["cl_YEL","cl_RED","cl_BLU","cl_WHI","cl_BRO"]</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links: "https://en.wikipedia.org/wiki/Flag_of_American_Samoa"},</v>
      </c>
      <c r="HG2" s="73" t="str">
        <f>"{couname:"&amp;CT2&amp;(IF(HK2&lt;&gt;"",",subtype:"&amp;CHAR(34)&amp;HK2&amp;CHAR(34),""))&amp;",year:"&amp;HJ2&amp;",region:"&amp;CU2&amp;",Colors:"&amp;HC2&amp;",Items:"&amp;GS2&amp;",Flag:"&amp;CV2&amp;",HDFlag:"&amp;CHAR(34)&amp;E2&amp;CHAR(34)&amp;",type:"&amp;GP2&amp;", describe: "&amp;HI2&amp;", links: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links: "https://en.wikipedia.org/wiki/Flag_of_American_Samoa"},</v>
      </c>
      <c r="HH2" s="48" t="str">
        <f>IF(P2&lt;&gt;"",CHAR(34)&amp;"\n"&amp;P2&amp;CHAR(34),CHAR(34)&amp;CHAR(34))</f>
        <v>"\nThe colors used epitomize the traditional colors of the United States and Samoa. The bald eagle and the blue, white and red colors symbolize the country's ties to the United States. The eagle holds a staff and a war club, two traditional symbols of the Samoan chiefs."</v>
      </c>
      <c r="HI2" s="48" t="str">
        <f>IF(J2=0,CHAR(34)&amp;CHAR(34),HH2)</f>
        <v>"\nThe colors used epitomize the traditional colors of the United States and Samoa. The bald eagle and the blue, white and red colors symbolize the country's ties to the United States. The eagle holds a staff and a war club, two traditional symbols of the Samoan chiefs."</v>
      </c>
      <c r="HJ2" s="48" t="str">
        <f>CHAR(34)&amp;O2&amp;CHAR(34)</f>
        <v>"1960 "</v>
      </c>
      <c r="HL2" s="48" t="str">
        <f>CHAR(34)&amp;I2&amp;CHAR(34)</f>
        <v>"https://en.wikipedia.org/wiki/Flag_of_American_Samoa"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 "links": "https://en.wikipedia.org/wiki/Flag_of_American_Samoa"},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{"couname":"American Samoa","year":"1960 ","region":"rgn_Oceania","Colors":["cl_YEL","cl_RED","cl_BLU","cl_WHI","cl_BRO"],"Items":["5+Colo","words2","exact2","lets13","startA","year19","NoBand","Diagon","Animal","Bird","Weapon","Trside","ntWHYE","NO_GRE","NO_BLA","myrBLU","island","englis","NoStar"],"Flag":"https://upload.wikimedia.org/wikipedia/commons/thumb/8/87/Flag_of_American_Samoa.svg/1200px-Flag_of_American_Samoa.svg.png","HDFlag":"https://upload.wikimedia.org/wikipedia/commons/thumb/8/87/Flag_of_American_Samoa.svg/2560px-Flag_of_American_Samoa.svg.png","type":"", "describe": "\nThe colors used epitomize the traditional colors of the United States and Samoa. The bald eagle and the blue, white and red colors symbolize the country's ties to the United States. The eagle holds a staff and a war club, two traditional symbols of the Samoan chiefs.", "isnew": ".", "links": "https://en.wikipedia.org/wiki/Flag_of_American_Samoa"},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v>0</v>
      </c>
      <c r="ID2" s="77">
        <v>0.52</v>
      </c>
      <c r="IE2" s="77">
        <v>0.12</v>
      </c>
      <c r="IF2" s="77">
        <v>0.34</v>
      </c>
      <c r="IG2" s="77">
        <v>0.01</v>
      </c>
      <c r="IH2" s="77">
        <v>0</v>
      </c>
      <c r="II2" s="77">
        <v>0</v>
      </c>
      <c r="IJ2" s="77">
        <v>0</v>
      </c>
      <c r="IK2" s="77">
        <v>0</v>
      </c>
      <c r="IL2" s="48">
        <f>SUM(IC2:IK2)</f>
        <v>0.99</v>
      </c>
      <c r="IM2" s="45">
        <f>COUNTIF(IC2:IK2,"&gt;0")-CG2</f>
        <v>-1</v>
      </c>
      <c r="IN2" s="78" t="str">
        <f>"http://mkweb.bcgsc.ca/color-summarizer/?url="&amp;D2&amp;"&amp;precision=low&amp;num_clusters="&amp;CG2&amp;"&amp;text=1"</f>
        <v>http://mkweb.bcgsc.ca/color-summarizer/?url=https://upload.wikimedia.org/wikipedia/commons/thumb/8/87/Flag_of_American_Samoa.svg/1200px-Flag_of_American_Samoa.svg.png&amp;precision=low&amp;num_clusters=5&amp;text=1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{"url":"http://mkweb.bcgsc.ca/color-summarizer/?url=https://upload.wikimedia.org/wikipedia/commons/thumb/8/87/Flag_of_American_Samoa.svg/1200px-Flag_of_American_Samoa.svg.png&amp;precision=low&amp;num_clusters=5&amp;text=1","name":"American Samoa"},</v>
      </c>
      <c r="IY2" s="48">
        <v>6</v>
      </c>
    </row>
    <row r="3" spans="1:259" s="48" customFormat="1" ht="38.4" customHeight="1" thickBot="1" x14ac:dyDescent="0.35">
      <c r="A3" s="79" t="s">
        <v>352</v>
      </c>
      <c r="B3" s="40" t="e" vm="2">
        <v>#VALUE!</v>
      </c>
      <c r="C3" s="41">
        <v>2</v>
      </c>
      <c r="D3" s="42" t="s">
        <v>353</v>
      </c>
      <c r="E3" s="43" t="s">
        <v>353</v>
      </c>
      <c r="F3" s="44" t="s">
        <v>166</v>
      </c>
      <c r="G3" s="45">
        <f>COUNTIF($A$1:$A$8245,A3)</f>
        <v>1</v>
      </c>
      <c r="H3" s="46"/>
      <c r="I3" s="47" t="s">
        <v>354</v>
      </c>
      <c r="J3" s="48" t="str">
        <f>""</f>
        <v/>
      </c>
      <c r="K3" s="49"/>
      <c r="L3" s="50"/>
      <c r="M3" s="50"/>
      <c r="N3" s="51" t="s">
        <v>169</v>
      </c>
      <c r="O3" s="52" t="s">
        <v>355</v>
      </c>
      <c r="P3" s="53" t="s">
        <v>356</v>
      </c>
      <c r="Q3" s="54">
        <v>2</v>
      </c>
      <c r="R3" s="55" t="s">
        <v>169</v>
      </c>
      <c r="S3" s="56">
        <v>0</v>
      </c>
      <c r="T3" s="57" t="s">
        <v>173</v>
      </c>
      <c r="U3" s="58" t="s">
        <v>173</v>
      </c>
      <c r="V3" s="58" t="s">
        <v>172</v>
      </c>
      <c r="W3" s="58" t="s">
        <v>173</v>
      </c>
      <c r="X3" s="58" t="s">
        <v>172</v>
      </c>
      <c r="Y3" s="58" t="s">
        <v>172</v>
      </c>
      <c r="Z3" s="58" t="s">
        <v>172</v>
      </c>
      <c r="AA3" s="58" t="s">
        <v>173</v>
      </c>
      <c r="AB3" s="58" t="s">
        <v>173</v>
      </c>
      <c r="AC3" s="58" t="s">
        <v>173</v>
      </c>
      <c r="AD3" s="58" t="s">
        <v>173</v>
      </c>
      <c r="AE3" s="58" t="s">
        <v>173</v>
      </c>
      <c r="AF3" s="59" t="s">
        <v>173</v>
      </c>
      <c r="AG3" s="59" t="s">
        <v>173</v>
      </c>
      <c r="AH3" s="59" t="s">
        <v>173</v>
      </c>
      <c r="AI3" s="59" t="s">
        <v>173</v>
      </c>
      <c r="AJ3" s="59" t="s">
        <v>173</v>
      </c>
      <c r="AK3" s="59" t="s">
        <v>173</v>
      </c>
      <c r="AL3" s="59" t="s">
        <v>173</v>
      </c>
      <c r="AM3" s="59" t="s">
        <v>173</v>
      </c>
      <c r="AN3" s="59" t="s">
        <v>173</v>
      </c>
      <c r="AO3" s="59" t="s">
        <v>173</v>
      </c>
      <c r="AP3" s="59" t="s">
        <v>173</v>
      </c>
      <c r="AQ3" s="59" t="s">
        <v>173</v>
      </c>
      <c r="AR3" s="59" t="s">
        <v>173</v>
      </c>
      <c r="AS3" s="59" t="s">
        <v>173</v>
      </c>
      <c r="AT3" s="60">
        <v>3</v>
      </c>
      <c r="AU3" s="59" t="s">
        <v>357</v>
      </c>
      <c r="AV3" s="59" t="str">
        <f>IF(LEFT(A3,1)="[",LEFT(A3,5)&amp;AU3&amp;A3,"")</f>
        <v>[ASM]City[ASM] Manu'a Islands</v>
      </c>
      <c r="AW3" s="59" t="str">
        <f>C3&amp;H3&amp;A3</f>
        <v>2[ASM] Manu'a Islands</v>
      </c>
      <c r="AX3" s="61"/>
      <c r="AY3" s="61"/>
      <c r="AZ3" s="62" t="s">
        <v>192</v>
      </c>
      <c r="BA3" s="62" t="s">
        <v>192</v>
      </c>
      <c r="BB3" s="62"/>
      <c r="BC3" s="63"/>
      <c r="BD3" s="64" t="s">
        <v>159</v>
      </c>
      <c r="BE3" s="47"/>
      <c r="BF3" s="64" t="s">
        <v>192</v>
      </c>
      <c r="BG3" s="64" t="s">
        <v>192</v>
      </c>
      <c r="BH3" s="64" t="s">
        <v>192</v>
      </c>
      <c r="BI3" s="64"/>
      <c r="BJ3" s="64"/>
      <c r="BK3" s="47"/>
      <c r="BL3" s="64" t="s">
        <v>151</v>
      </c>
      <c r="BM3" s="64" t="s">
        <v>192</v>
      </c>
      <c r="BN3" s="64" t="s">
        <v>192</v>
      </c>
      <c r="BO3" s="64" t="s">
        <v>192</v>
      </c>
      <c r="BP3" s="64" t="s">
        <v>155</v>
      </c>
      <c r="BQ3" s="64" t="s">
        <v>192</v>
      </c>
      <c r="BR3" s="64" t="s">
        <v>192</v>
      </c>
      <c r="BS3" s="64" t="s">
        <v>192</v>
      </c>
      <c r="BT3" s="64" t="s">
        <v>159</v>
      </c>
      <c r="BU3" s="65"/>
      <c r="BV3" s="66"/>
      <c r="BW3" s="66">
        <v>0</v>
      </c>
      <c r="BX3" s="47"/>
      <c r="CB3" s="6"/>
      <c r="CC3" s="6"/>
      <c r="CD3" s="67">
        <v>0</v>
      </c>
      <c r="CE3" s="67">
        <v>1</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n</v>
      </c>
      <c r="CQ3" s="59" t="str">
        <f>IF(AT3=1,"y","n")</f>
        <v>n</v>
      </c>
      <c r="CR3" s="59" t="str">
        <f>IF(AT3=2,"y","n")</f>
        <v>n</v>
      </c>
      <c r="CS3" s="59" t="str">
        <f>IF(AT3&gt;=3,"y","n")</f>
        <v>y</v>
      </c>
      <c r="CT3" s="69" t="str">
        <f>CHAR(34)&amp;A3&amp;CHAR(34)</f>
        <v>"[ASM] Manu'a Islands"</v>
      </c>
      <c r="CU3" s="70" t="str">
        <f>CHAR(34)&amp;"rgn_"&amp;R3&amp;CHAR(34)</f>
        <v>"rgn_Oceania"</v>
      </c>
      <c r="CV3" s="48" t="str">
        <f>CHAR(34)&amp;D3&amp;CHAR(34)</f>
        <v>"https://upload.wikimedia.org/wikipedia/commons/0/04/Manu%27a-flag.gif"</v>
      </c>
      <c r="CW3" s="48" t="str">
        <f t="shared" si="0"/>
        <v/>
      </c>
      <c r="CX3" s="48" t="str">
        <f t="shared" si="0"/>
        <v>"3Color",</v>
      </c>
      <c r="CY3" s="48" t="str">
        <f t="shared" si="0"/>
        <v/>
      </c>
      <c r="CZ3" s="48" t="str">
        <f t="shared" si="0"/>
        <v/>
      </c>
      <c r="DA3" s="48" t="str">
        <f>IF(Q3&gt;1,CHAR(34)&amp;"words2"&amp;CHAR(34)&amp;",","")</f>
        <v>"words2",</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"lets13",</v>
      </c>
      <c r="DE3" s="48" t="str">
        <f>CHAR(34)&amp;"start"&amp;IFERROR(LEFT(SUBSTITUTE(A3,"["&amp;MID(A3,FIND("[",A3)+1,FIND("]",A3)-FIND("[",A3)-1)&amp;"] ",""),1),LEFT(A3,1))&amp;CHAR(34)&amp;","</f>
        <v>"startM",</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"LAELHI",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W3" s="48" t="str">
        <f t="shared" si="1"/>
        <v>"NoBand",</v>
      </c>
      <c r="DX3" s="48" t="str">
        <f t="shared" si="1"/>
        <v/>
      </c>
      <c r="DY3" s="48" t="str">
        <f t="shared" si="1"/>
        <v/>
      </c>
      <c r="DZ3" s="48" t="str">
        <f t="shared" si="1"/>
        <v/>
      </c>
      <c r="EA3" s="48" t="str">
        <f t="shared" si="2"/>
        <v/>
      </c>
      <c r="EB3" s="48" t="str">
        <f t="shared" si="2"/>
        <v/>
      </c>
      <c r="EC3" s="48" t="str">
        <f t="shared" si="2"/>
        <v>"Horizo",</v>
      </c>
      <c r="ED3" s="48" t="str">
        <f t="shared" si="2"/>
        <v/>
      </c>
      <c r="EE3" s="48" t="str">
        <f t="shared" si="2"/>
        <v>"Circle",</v>
      </c>
      <c r="EF3" s="48" t="str">
        <f>IF(AND(Y3&lt;&gt;"n",Y3&lt;&gt;""),CHAR(34)&amp;Y$1&amp;CHAR(34)&amp;",","")</f>
        <v>"Animal",</v>
      </c>
      <c r="EG3" s="48" t="str">
        <f t="shared" si="3"/>
        <v>"Bird",</v>
      </c>
      <c r="EH3" s="48" t="str">
        <f t="shared" si="3"/>
        <v/>
      </c>
      <c r="EI3" s="48" t="str">
        <f t="shared" si="3"/>
        <v/>
      </c>
      <c r="EJ3" s="48" t="str">
        <f t="shared" si="3"/>
        <v/>
      </c>
      <c r="EK3" s="48" t="str">
        <f t="shared" si="3"/>
        <v/>
      </c>
      <c r="EL3" s="48" t="str">
        <f t="shared" si="3"/>
        <v/>
      </c>
      <c r="EM3" s="48" t="str">
        <f t="shared" si="3"/>
        <v/>
      </c>
      <c r="EN3" s="48" t="str">
        <f t="shared" si="3"/>
        <v/>
      </c>
      <c r="EO3" s="48" t="str">
        <f t="shared" si="3"/>
        <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IF(AT3&gt;0,CHAR(34)&amp;"sta"&amp;AZ3&amp;CHAR(34)&amp;",","")</f>
        <v>"sta",</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"BLRENO",</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 t="shared" ref="GE3" si="6">IFERROR(IF(SEARCH("Dutch",CB3)&gt;0,CHAR(34)&amp;"dutchs"&amp;CHAR(34)&amp;",",""),"")</f>
        <v/>
      </c>
      <c r="GF3" s="48" t="str">
        <f>IFERROR(IF(SEARCH("Historical",AU3)&gt;0,CHAR(34)&amp;"histor"&amp;CHAR(34)&amp;",",""),"")</f>
        <v/>
      </c>
      <c r="GG3" s="48" t="str">
        <f t="shared" ref="GG3" si="7">IF(BU3="y",CHAR(34)&amp;"unjack"&amp;CHAR(34)&amp;",","")</f>
        <v/>
      </c>
      <c r="GH3" s="48" t="str">
        <f t="shared" ref="GH3" si="8">IF(CD3=1,CHAR(34)&amp;"southc"&amp;CHAR(34)&amp;",","")</f>
        <v/>
      </c>
      <c r="GI3" s="48" t="str">
        <f t="shared" ref="GI3" si="9">IF(CE3=1,CHAR(34)&amp;"hasmap"&amp;CHAR(34)&amp;",","")</f>
        <v>"hasmap",</v>
      </c>
      <c r="GJ3" s="48" t="str">
        <f>IF(CP3="y",CHAR(34)&amp;CP$1&amp;CHAR(34)&amp;",","")</f>
        <v/>
      </c>
      <c r="GK3" s="48" t="str">
        <f>IF(GJ3="",CHAR(34)&amp;"HasSta"&amp;CHAR(34)&amp;",","")</f>
        <v>"HasSta",</v>
      </c>
      <c r="GL3" s="48" t="str">
        <f t="shared" si="4"/>
        <v/>
      </c>
      <c r="GM3" s="48" t="str">
        <f t="shared" si="4"/>
        <v/>
      </c>
      <c r="GN3" s="48" t="str">
        <f t="shared" si="4"/>
        <v>"3+Star",</v>
      </c>
      <c r="GP3" s="48" t="str">
        <f>CHAR(34)&amp;AU3&amp;CHAR(34)</f>
        <v>"City"</v>
      </c>
      <c r="GS3" s="48" t="str">
        <f>SUBSTITUTE("["&amp;_xlfn.CONCAT(CW3:GN3)&amp;"]",",]","]")</f>
        <v>["3Color","words2","lets13","startM","LAELHI","allhor","NoBand","Horizo","Circle","Animal","Bird","sta","NO_BLU","NO_RED","NO_GRE","BLRENO","myrWHI","hasmap","HasSta","3+Star"]</v>
      </c>
      <c r="GT3" s="48" t="str">
        <f t="shared" si="5"/>
        <v>"cl_BLA",</v>
      </c>
      <c r="GU3" s="48" t="str">
        <f t="shared" si="5"/>
        <v/>
      </c>
      <c r="GV3" s="48" t="str">
        <f t="shared" si="5"/>
        <v/>
      </c>
      <c r="GW3" s="48" t="str">
        <f t="shared" si="5"/>
        <v/>
      </c>
      <c r="GX3" s="48" t="str">
        <f t="shared" si="5"/>
        <v>"cl_YEL",</v>
      </c>
      <c r="GY3" s="48" t="str">
        <f t="shared" si="5"/>
        <v/>
      </c>
      <c r="GZ3" s="48" t="str">
        <f t="shared" si="5"/>
        <v/>
      </c>
      <c r="HA3" s="48" t="str">
        <f t="shared" si="5"/>
        <v/>
      </c>
      <c r="HB3" s="48" t="str">
        <f t="shared" si="5"/>
        <v>"cl_WHI",</v>
      </c>
      <c r="HC3" s="48" t="str">
        <f>SUBSTITUTE("["&amp;_xlfn.CONCAT(GT3:HB3)&amp;"]",",]","]")</f>
        <v>["cl_BLA","cl_YEL","cl_WHI"]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links: "https://www.crwflags.com/fotw/flags/as-manut.html"},</v>
      </c>
      <c r="HG3" s="73" t="str">
        <f>"{couname:"&amp;CT3&amp;(IF(HK3&lt;&gt;"",",subtype:"&amp;CHAR(34)&amp;HK3&amp;CHAR(34),""))&amp;",year:"&amp;HJ3&amp;",region:"&amp;CU3&amp;",Colors:"&amp;HC3&amp;",Items:"&amp;GS3&amp;",Flag:"&amp;CV3&amp;",HDFlag:"&amp;CHAR(34)&amp;E3&amp;CHAR(34)&amp;",type:"&amp;GP3&amp;", describe: "&amp;HI3&amp;", links: "&amp;HL3&amp;"},"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links: "https://www.crwflags.com/fotw/flags/as-manut.html"},</v>
      </c>
      <c r="HH3" s="48" t="str">
        <f>IF(P3&lt;&gt;"",CHAR(34)&amp;"\n"&amp;P3&amp;CHAR(34),CHAR(34)&amp;CHAR(34))</f>
        <v>"\nThe flag of Manu'atele, Manu'a Islands in American Samoa is green with three horizontal yellow bands, tapering off toward the hoist, with yellow ring around a red disk bearing a white chicken; in the upper fly, three four-pointed stars."</v>
      </c>
      <c r="HI3" s="48" t="str">
        <f>IF(J3=0,CHAR(34)&amp;CHAR(34),HH3)</f>
        <v>"\nThe flag of Manu'atele, Manu'a Islands in American Samoa is green with three horizontal yellow bands, tapering off toward the hoist, with yellow ring around a red disk bearing a white chicken; in the upper fly, three four-pointed stars."</v>
      </c>
      <c r="HJ3" s="48" t="str">
        <f>CHAR(34)&amp;O3&amp;CHAR(34)</f>
        <v>"???"</v>
      </c>
      <c r="HL3" s="48" t="str">
        <f>CHAR(34)&amp;I3&amp;CHAR(34)</f>
        <v>"https://www.crwflags.com/fotw/flags/as-manut.html"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 "links": "https://www.crwflags.com/fotw/flags/as-manut.html"},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{"couname":"[ASM] Manu'a Islands","year":"???","region":"rgn_Oceania","Colors":["cl_BLA","cl_YEL","cl_WHI"],"Items":["3Color","words2","lets13","startM","LAELHI","allhor","NoBand","Horizo","Circle","Animal","Bird","sta","NO_BLU","NO_RED","NO_GRE","BLRENO","myrWHI","hasmap","HasSta","3+Star"],"Flag":"https://upload.wikimedia.org/wikipedia/commons/0/04/Manu%27a-flag.gif","HDFlag":"https://upload.wikimedia.org/wikipedia/commons/0/04/Manu%27a-flag.gif","type":"City", "describe": "\nThe flag of Manu'atele, Manu'a Islands in American Samoa is green with three horizontal yellow bands, tapering off toward the hoist, with yellow ring around a red disk bearing a white chicken; in the upper fly, three four-pointed stars.", "isnew": ".", "links": "https://www.crwflags.com/fotw/flags/as-manut.html"},</v>
      </c>
      <c r="HO3" s="75">
        <v>45610</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http://mkweb.bcgsc.ca/color-summarizer/?url=https://upload.wikimedia.org/wikipedia/commons/0/04/Manu%27a-flag.gif&amp;precision=low&amp;num_clusters=3&amp;text=1</v>
      </c>
      <c r="IO3" s="48" t="str">
        <f>IF(HP3&lt;&gt;"",CHAR(34)&amp;"black"&amp;CHAR(34),"")</f>
        <v>"black"</v>
      </c>
      <c r="IP3" s="48" t="str">
        <f>IF(HQ3&lt;&gt;"",CHAR(34)&amp;"blue"&amp;CHAR(34),"")</f>
        <v/>
      </c>
      <c r="IQ3" s="48" t="str">
        <f>IF(HR3&lt;&gt;"",CHAR(34)&amp;"green"&amp;CHAR(34),"")</f>
        <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{"url":"http://mkweb.bcgsc.ca/color-summarizer/?url=https://upload.wikimedia.org/wikipedia/commons/0/04/Manu%27a-flag.gif&amp;precision=low&amp;num_clusters=3&amp;text=1","name":"[ASM] Manu'a Islands"},</v>
      </c>
      <c r="IY3" s="48">
        <v>1354</v>
      </c>
    </row>
  </sheetData>
  <conditionalFormatting sqref="H1 CW1:GS1 IA1:IB1">
    <cfRule type="cellIs" dxfId="4864" priority="107" operator="greaterThan">
      <formula>0</formula>
    </cfRule>
  </conditionalFormatting>
  <conditionalFormatting sqref="H1">
    <cfRule type="cellIs" dxfId="4863" priority="73" stopIfTrue="1" operator="notEqual">
      <formula>""</formula>
    </cfRule>
  </conditionalFormatting>
  <conditionalFormatting sqref="T1:BK1">
    <cfRule type="cellIs" dxfId="4862" priority="110" operator="greaterThan">
      <formula>0</formula>
    </cfRule>
  </conditionalFormatting>
  <conditionalFormatting sqref="BV1:BW1">
    <cfRule type="cellIs" dxfId="4861" priority="109" operator="equal">
      <formula>"nc"</formula>
    </cfRule>
  </conditionalFormatting>
  <conditionalFormatting sqref="HF1:HG1">
    <cfRule type="cellIs" dxfId="4860" priority="111" operator="greaterThan">
      <formula>0</formula>
    </cfRule>
  </conditionalFormatting>
  <conditionalFormatting sqref="HK1">
    <cfRule type="cellIs" dxfId="4859" priority="108" operator="greaterThan">
      <formula>0</formula>
    </cfRule>
  </conditionalFormatting>
  <conditionalFormatting sqref="HP1:HX1">
    <cfRule type="cellIs" dxfId="4858" priority="85" operator="equal">
      <formula>"PIN"</formula>
    </cfRule>
    <cfRule type="cellIs" dxfId="4857" priority="86" operator="equal">
      <formula>"ORA"</formula>
    </cfRule>
    <cfRule type="cellIs" dxfId="4856" priority="87" operator="equal">
      <formula>"GRA"</formula>
    </cfRule>
    <cfRule type="cellIs" dxfId="4855" priority="88" operator="equal">
      <formula>"PUR"</formula>
    </cfRule>
    <cfRule type="cellIs" dxfId="4854" priority="89" operator="equal">
      <formula>"BRO"</formula>
    </cfRule>
    <cfRule type="cellIs" dxfId="4853" priority="90" operator="equal">
      <formula>"YEL"</formula>
    </cfRule>
    <cfRule type="cellIs" dxfId="4852" priority="91" operator="equal">
      <formula>"BLU"</formula>
    </cfRule>
    <cfRule type="cellIs" dxfId="4851" priority="92" operator="equal">
      <formula>"WHI"</formula>
    </cfRule>
    <cfRule type="cellIs" dxfId="4850" priority="93" operator="equal">
      <formula>"GRE"</formula>
    </cfRule>
    <cfRule type="cellIs" dxfId="4849" priority="94" operator="equal">
      <formula>"RED"</formula>
    </cfRule>
    <cfRule type="cellIs" dxfId="4848" priority="95" operator="equal">
      <formula>"BLA"</formula>
    </cfRule>
  </conditionalFormatting>
  <conditionalFormatting sqref="IC1:IK1">
    <cfRule type="cellIs" dxfId="4847" priority="96" operator="equal">
      <formula>"PIN"</formula>
    </cfRule>
    <cfRule type="cellIs" dxfId="4846" priority="97" operator="equal">
      <formula>"ORA"</formula>
    </cfRule>
    <cfRule type="cellIs" dxfId="4845" priority="98" operator="equal">
      <formula>"GRA"</formula>
    </cfRule>
    <cfRule type="cellIs" dxfId="4844" priority="99" operator="equal">
      <formula>"PUR"</formula>
    </cfRule>
    <cfRule type="cellIs" dxfId="4843" priority="100" operator="equal">
      <formula>"BRO"</formula>
    </cfRule>
    <cfRule type="cellIs" dxfId="4842" priority="101" operator="equal">
      <formula>"YEL"</formula>
    </cfRule>
    <cfRule type="cellIs" dxfId="4841" priority="102" operator="equal">
      <formula>"BLU"</formula>
    </cfRule>
    <cfRule type="cellIs" dxfId="4840" priority="103" operator="equal">
      <formula>"WHI"</formula>
    </cfRule>
    <cfRule type="cellIs" dxfId="4839" priority="104" operator="equal">
      <formula>"GRE"</formula>
    </cfRule>
    <cfRule type="cellIs" dxfId="4838" priority="105" operator="equal">
      <formula>"RED"</formula>
    </cfRule>
    <cfRule type="cellIs" dxfId="4837" priority="106" operator="equal">
      <formula>"BLA"</formula>
    </cfRule>
  </conditionalFormatting>
  <conditionalFormatting sqref="IO1:IW1">
    <cfRule type="cellIs" dxfId="4836" priority="74" operator="equal">
      <formula>"PIN"</formula>
    </cfRule>
    <cfRule type="cellIs" dxfId="4835" priority="75" operator="equal">
      <formula>"ORA"</formula>
    </cfRule>
    <cfRule type="cellIs" dxfId="4834" priority="76" operator="equal">
      <formula>"GRA"</formula>
    </cfRule>
    <cfRule type="cellIs" dxfId="4833" priority="77" operator="equal">
      <formula>"PUR"</formula>
    </cfRule>
    <cfRule type="cellIs" dxfId="4832" priority="78" operator="equal">
      <formula>"BRO"</formula>
    </cfRule>
    <cfRule type="cellIs" dxfId="4831" priority="79" operator="equal">
      <formula>"YEL"</formula>
    </cfRule>
    <cfRule type="cellIs" dxfId="4830" priority="80" operator="equal">
      <formula>"BLU"</formula>
    </cfRule>
    <cfRule type="cellIs" dxfId="4829" priority="81" operator="equal">
      <formula>"WHI"</formula>
    </cfRule>
    <cfRule type="cellIs" dxfId="4828" priority="82" operator="equal">
      <formula>"GRE"</formula>
    </cfRule>
    <cfRule type="cellIs" dxfId="4827" priority="83" operator="equal">
      <formula>"RED"</formula>
    </cfRule>
    <cfRule type="cellIs" dxfId="4826" priority="84" operator="equal">
      <formula>"BLA"</formula>
    </cfRule>
  </conditionalFormatting>
  <conditionalFormatting sqref="H2">
    <cfRule type="cellIs" dxfId="4825" priority="41" stopIfTrue="1" operator="notEqual">
      <formula>""</formula>
    </cfRule>
  </conditionalFormatting>
  <conditionalFormatting sqref="R2 CU2">
    <cfRule type="cellIs" dxfId="4824" priority="43" operator="greaterThan">
      <formula>0</formula>
    </cfRule>
  </conditionalFormatting>
  <conditionalFormatting sqref="T2:AS2 CH2:CS2">
    <cfRule type="cellIs" dxfId="4823" priority="38" stopIfTrue="1" operator="equal">
      <formula>"n"</formula>
    </cfRule>
    <cfRule type="cellIs" dxfId="4822" priority="39" stopIfTrue="1" operator="equal">
      <formula>"y"</formula>
    </cfRule>
    <cfRule type="cellIs" dxfId="4821" priority="40" operator="greaterThan">
      <formula>0</formula>
    </cfRule>
  </conditionalFormatting>
  <conditionalFormatting sqref="AZ2:BB2">
    <cfRule type="expression" dxfId="4820" priority="37">
      <formula>$AT2=0</formula>
    </cfRule>
  </conditionalFormatting>
  <conditionalFormatting sqref="AZ2:BU2">
    <cfRule type="cellIs" dxfId="4819" priority="46" operator="equal">
      <formula>"PIN"</formula>
    </cfRule>
    <cfRule type="cellIs" dxfId="4818" priority="47" operator="equal">
      <formula>"ORA"</formula>
    </cfRule>
    <cfRule type="cellIs" dxfId="4817" priority="48" operator="equal">
      <formula>"GRA"</formula>
    </cfRule>
    <cfRule type="cellIs" dxfId="4816" priority="49" operator="equal">
      <formula>"PUR"</formula>
    </cfRule>
    <cfRule type="cellIs" dxfId="4815" priority="50" operator="equal">
      <formula>"BRO"</formula>
    </cfRule>
    <cfRule type="cellIs" dxfId="4814" priority="51" operator="equal">
      <formula>"YEL"</formula>
    </cfRule>
    <cfRule type="cellIs" dxfId="4813" priority="52" operator="equal">
      <formula>"BLU"</formula>
    </cfRule>
    <cfRule type="cellIs" dxfId="4812" priority="53" operator="equal">
      <formula>"WHI"</formula>
    </cfRule>
    <cfRule type="cellIs" dxfId="4811" priority="54" operator="equal">
      <formula>"GRE"</formula>
    </cfRule>
    <cfRule type="cellIs" dxfId="4810" priority="55" operator="equal">
      <formula>"RED"</formula>
    </cfRule>
    <cfRule type="cellIs" dxfId="4809" priority="56" operator="equal">
      <formula>"BLA"</formula>
    </cfRule>
  </conditionalFormatting>
  <conditionalFormatting sqref="BV2">
    <cfRule type="cellIs" dxfId="4808" priority="68" operator="equal">
      <formula>"nc"</formula>
    </cfRule>
  </conditionalFormatting>
  <conditionalFormatting sqref="BX2:CA2 CD2:CF2">
    <cfRule type="cellIs" dxfId="4807" priority="42" operator="equal">
      <formula>"y"</formula>
    </cfRule>
    <cfRule type="cellIs" dxfId="4806" priority="57" operator="equal">
      <formula>"PIN"</formula>
    </cfRule>
    <cfRule type="cellIs" dxfId="4805" priority="58" operator="equal">
      <formula>"ORA"</formula>
    </cfRule>
    <cfRule type="cellIs" dxfId="4804" priority="59" operator="equal">
      <formula>"GRA"</formula>
    </cfRule>
    <cfRule type="cellIs" dxfId="4803" priority="60" operator="equal">
      <formula>"PUR"</formula>
    </cfRule>
    <cfRule type="cellIs" dxfId="4802" priority="61" operator="equal">
      <formula>"BRO"</formula>
    </cfRule>
    <cfRule type="cellIs" dxfId="4801" priority="62" operator="equal">
      <formula>"YEL"</formula>
    </cfRule>
    <cfRule type="cellIs" dxfId="4800" priority="63" operator="equal">
      <formula>"BLU"</formula>
    </cfRule>
    <cfRule type="cellIs" dxfId="4799" priority="64" operator="equal">
      <formula>"WHI"</formula>
    </cfRule>
    <cfRule type="cellIs" dxfId="4798" priority="65" operator="equal">
      <formula>"GRE"</formula>
    </cfRule>
    <cfRule type="cellIs" dxfId="4797" priority="66" operator="equal">
      <formula>"RED"</formula>
    </cfRule>
    <cfRule type="cellIs" dxfId="4796" priority="67" operator="equal">
      <formula>"BLA"</formula>
    </cfRule>
  </conditionalFormatting>
  <conditionalFormatting sqref="BZ2:CA2 CD2:CF2">
    <cfRule type="cellIs" dxfId="4795" priority="44" operator="greaterThan">
      <formula>0</formula>
    </cfRule>
  </conditionalFormatting>
  <conditionalFormatting sqref="IC2:IK2">
    <cfRule type="expression" dxfId="4794" priority="45">
      <formula>$IL2&gt;0</formula>
    </cfRule>
  </conditionalFormatting>
  <conditionalFormatting sqref="J2">
    <cfRule type="colorScale" priority="69">
      <colorScale>
        <cfvo type="min"/>
        <cfvo type="percentile" val="50"/>
        <cfvo type="max"/>
        <color rgb="FFF8696B"/>
        <color rgb="FFFFEB84"/>
        <color rgb="FF63BE7B"/>
      </colorScale>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H3">
    <cfRule type="cellIs" dxfId="3018" priority="6" stopIfTrue="1" operator="notEqual">
      <formula>""</formula>
    </cfRule>
  </conditionalFormatting>
  <conditionalFormatting sqref="R3 CU3">
    <cfRule type="cellIs" dxfId="3017" priority="8" operator="greaterThan">
      <formula>0</formula>
    </cfRule>
  </conditionalFormatting>
  <conditionalFormatting sqref="T3:AS3 CH3:CS3">
    <cfRule type="cellIs" dxfId="3016" priority="3" stopIfTrue="1" operator="equal">
      <formula>"n"</formula>
    </cfRule>
    <cfRule type="cellIs" dxfId="3015" priority="4" stopIfTrue="1" operator="equal">
      <formula>"y"</formula>
    </cfRule>
    <cfRule type="cellIs" dxfId="3014" priority="5" operator="greaterThan">
      <formula>0</formula>
    </cfRule>
  </conditionalFormatting>
  <conditionalFormatting sqref="AZ3:BB3">
    <cfRule type="expression" dxfId="3013" priority="2">
      <formula>$AT3=0</formula>
    </cfRule>
  </conditionalFormatting>
  <conditionalFormatting sqref="AZ3:BU3">
    <cfRule type="cellIs" dxfId="3012" priority="11" operator="equal">
      <formula>"PIN"</formula>
    </cfRule>
    <cfRule type="cellIs" dxfId="3011" priority="12" operator="equal">
      <formula>"ORA"</formula>
    </cfRule>
    <cfRule type="cellIs" dxfId="3010" priority="13" operator="equal">
      <formula>"GRA"</formula>
    </cfRule>
    <cfRule type="cellIs" dxfId="3009" priority="14" operator="equal">
      <formula>"PUR"</formula>
    </cfRule>
    <cfRule type="cellIs" dxfId="3008" priority="15" operator="equal">
      <formula>"BRO"</formula>
    </cfRule>
    <cfRule type="cellIs" dxfId="3007" priority="16" operator="equal">
      <formula>"YEL"</formula>
    </cfRule>
    <cfRule type="cellIs" dxfId="3006" priority="17" operator="equal">
      <formula>"BLU"</formula>
    </cfRule>
    <cfRule type="cellIs" dxfId="3005" priority="18" operator="equal">
      <formula>"WHI"</formula>
    </cfRule>
    <cfRule type="cellIs" dxfId="3004" priority="19" operator="equal">
      <formula>"GRE"</formula>
    </cfRule>
    <cfRule type="cellIs" dxfId="3003" priority="20" operator="equal">
      <formula>"RED"</formula>
    </cfRule>
    <cfRule type="cellIs" dxfId="3002" priority="21" operator="equal">
      <formula>"BLA"</formula>
    </cfRule>
  </conditionalFormatting>
  <conditionalFormatting sqref="BV3:BW3">
    <cfRule type="cellIs" dxfId="3001" priority="33" operator="equal">
      <formula>"nc"</formula>
    </cfRule>
  </conditionalFormatting>
  <conditionalFormatting sqref="BX3:CA3 CD3:CF3">
    <cfRule type="cellIs" dxfId="3000" priority="7" operator="equal">
      <formula>"y"</formula>
    </cfRule>
    <cfRule type="cellIs" dxfId="2999" priority="22" operator="equal">
      <formula>"PIN"</formula>
    </cfRule>
    <cfRule type="cellIs" dxfId="2998" priority="23" operator="equal">
      <formula>"ORA"</formula>
    </cfRule>
    <cfRule type="cellIs" dxfId="2997" priority="24" operator="equal">
      <formula>"GRA"</formula>
    </cfRule>
    <cfRule type="cellIs" dxfId="2996" priority="25" operator="equal">
      <formula>"PUR"</formula>
    </cfRule>
    <cfRule type="cellIs" dxfId="2995" priority="26" operator="equal">
      <formula>"BRO"</formula>
    </cfRule>
    <cfRule type="cellIs" dxfId="2994" priority="27" operator="equal">
      <formula>"YEL"</formula>
    </cfRule>
    <cfRule type="cellIs" dxfId="2993" priority="28" operator="equal">
      <formula>"BLU"</formula>
    </cfRule>
    <cfRule type="cellIs" dxfId="2992" priority="29" operator="equal">
      <formula>"WHI"</formula>
    </cfRule>
    <cfRule type="cellIs" dxfId="2991" priority="30" operator="equal">
      <formula>"GRE"</formula>
    </cfRule>
    <cfRule type="cellIs" dxfId="2990" priority="31" operator="equal">
      <formula>"RED"</formula>
    </cfRule>
    <cfRule type="cellIs" dxfId="2989" priority="32" operator="equal">
      <formula>"BLA"</formula>
    </cfRule>
  </conditionalFormatting>
  <conditionalFormatting sqref="BZ3:CA3 CD3:CF3">
    <cfRule type="cellIs" dxfId="2988" priority="9" operator="greaterThan">
      <formula>0</formula>
    </cfRule>
  </conditionalFormatting>
  <conditionalFormatting sqref="IC3:IK3">
    <cfRule type="expression" dxfId="2987" priority="10">
      <formula>$IL3&gt;0</formula>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conditionalFormatting sqref="J3">
    <cfRule type="colorScale" priority="1">
      <colorScale>
        <cfvo type="min"/>
        <cfvo type="percentile" val="50"/>
        <cfvo type="max"/>
        <color rgb="FFF8696B"/>
        <color rgb="FFFFEB84"/>
        <color rgb="FF63BE7B"/>
      </colorScale>
    </cfRule>
  </conditionalFormatting>
  <hyperlinks>
    <hyperlink ref="D2" r:id="rId1" xr:uid="{7032075E-5277-4F9D-A2B5-8A5E784B54B4}"/>
    <hyperlink ref="I2" r:id="rId2" xr:uid="{41BFD3B2-A876-4D0E-8E83-F0D69A05463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A4F21-7265-4257-B9EE-F06326614A92}">
  <dimension ref="A1:IY22"/>
  <sheetViews>
    <sheetView zoomScale="70" zoomScaleNormal="70" workbookViewId="0">
      <selection activeCell="A22" sqref="A22:XFD22"/>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176</v>
      </c>
      <c r="B2" s="40" t="e" vm="3">
        <v>#VALUE!</v>
      </c>
      <c r="C2" s="41">
        <v>1</v>
      </c>
      <c r="D2" s="42" t="s">
        <v>177</v>
      </c>
      <c r="E2" s="43" t="s">
        <v>178</v>
      </c>
      <c r="F2" s="44" t="s">
        <v>166</v>
      </c>
      <c r="G2" s="45">
        <f>COUNTIF($A$1:$A$8359,A2)</f>
        <v>1</v>
      </c>
      <c r="H2" s="46"/>
      <c r="I2" s="47" t="s">
        <v>179</v>
      </c>
      <c r="J2" s="48" t="str">
        <f>""</f>
        <v/>
      </c>
      <c r="K2" s="49">
        <v>26010000</v>
      </c>
      <c r="L2" s="50">
        <v>6600000</v>
      </c>
      <c r="M2" s="50" t="s">
        <v>180</v>
      </c>
      <c r="N2" s="51" t="s">
        <v>169</v>
      </c>
      <c r="O2" s="52" t="s">
        <v>181</v>
      </c>
      <c r="P2" s="53" t="s">
        <v>182</v>
      </c>
      <c r="Q2" s="54">
        <v>1</v>
      </c>
      <c r="R2" s="55" t="s">
        <v>169</v>
      </c>
      <c r="S2" s="56">
        <v>0</v>
      </c>
      <c r="T2" s="57" t="s">
        <v>173</v>
      </c>
      <c r="U2" s="58" t="s">
        <v>172</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6</v>
      </c>
      <c r="AU2" s="59"/>
      <c r="AV2" s="59" t="str">
        <f>IF(LEFT(A2,1)="[",LEFT(A2,5)&amp;AU2&amp;A2,"")</f>
        <v/>
      </c>
      <c r="AW2" s="59" t="str">
        <f>C2&amp;H2&amp;A2</f>
        <v>1Australia</v>
      </c>
      <c r="AX2" s="61" t="str">
        <f>_xlfn.TEXTJOIN(";",TRUE,AU2:AW2)</f>
        <v>1Australia</v>
      </c>
      <c r="AY2" s="61"/>
      <c r="AZ2" s="62" t="s">
        <v>159</v>
      </c>
      <c r="BA2" s="62"/>
      <c r="BB2" s="62"/>
      <c r="BC2" s="63"/>
      <c r="BD2" s="64" t="s">
        <v>152</v>
      </c>
      <c r="BE2" s="47"/>
      <c r="BF2" s="64"/>
      <c r="BG2" s="64"/>
      <c r="BH2" s="64"/>
      <c r="BI2" s="64"/>
      <c r="BJ2" s="64"/>
      <c r="BK2" s="47"/>
      <c r="BL2" s="64" t="s">
        <v>154</v>
      </c>
      <c r="BM2" s="64" t="s">
        <v>159</v>
      </c>
      <c r="BN2" s="64" t="s">
        <v>152</v>
      </c>
      <c r="BO2" s="64"/>
      <c r="BP2" s="64"/>
      <c r="BQ2" s="64"/>
      <c r="BR2" s="64"/>
      <c r="BS2" s="64"/>
      <c r="BT2" s="64"/>
      <c r="BU2" s="65" t="s">
        <v>172</v>
      </c>
      <c r="BV2" s="66" t="s">
        <v>183</v>
      </c>
      <c r="BW2" s="66" t="s">
        <v>174</v>
      </c>
      <c r="BX2" s="47"/>
      <c r="CB2" s="6" t="s">
        <v>136</v>
      </c>
      <c r="CC2" s="6"/>
      <c r="CD2" s="67">
        <v>1</v>
      </c>
      <c r="CE2" s="67">
        <v>0</v>
      </c>
      <c r="CF2" s="67" t="e">
        <v>#REF!</v>
      </c>
      <c r="CG2" s="68" cm="1">
        <f t="array" ref="CG2">SUMPRODUCT(--(LEN(TRIM(BL2:BT2))&gt;0))</f>
        <v>3</v>
      </c>
      <c r="CH2" s="59" t="str">
        <f t="shared" ref="CH2" si="0">IF(CG2=2,"y","n")</f>
        <v>n</v>
      </c>
      <c r="CI2" s="59" t="str">
        <f t="shared" ref="CI2" si="1">IF(CG2=3,"y","n")</f>
        <v>y</v>
      </c>
      <c r="CJ2" s="59" t="str">
        <f t="shared" ref="CJ2" si="2">IF(CG2=4,"y","n")</f>
        <v>n</v>
      </c>
      <c r="CK2" s="59" t="str">
        <f t="shared" ref="CK2" si="3">IF(CG2&gt;4,"y","n")</f>
        <v>n</v>
      </c>
      <c r="CL2" s="59" t="str">
        <f t="shared" ref="CL2" si="4">IF(S2=0,"y","n")</f>
        <v>y</v>
      </c>
      <c r="CM2" s="59" t="str">
        <f t="shared" ref="CM2" si="5">IF(S2=2,"y","n")</f>
        <v>n</v>
      </c>
      <c r="CN2" s="59" t="str">
        <f t="shared" ref="CN2" si="6">IF(S2=3,"y","n")</f>
        <v>n</v>
      </c>
      <c r="CO2" s="59" t="str">
        <f t="shared" ref="CO2" si="7">IF(S2&gt;=4,"y","n")</f>
        <v>n</v>
      </c>
      <c r="CP2" s="59" t="str">
        <f t="shared" ref="CP2" si="8">IF(AT2=0,"y","n")</f>
        <v>n</v>
      </c>
      <c r="CQ2" s="59" t="str">
        <f t="shared" ref="CQ2" si="9">IF(AT2=1,"y","n")</f>
        <v>n</v>
      </c>
      <c r="CR2" s="59" t="str">
        <f t="shared" ref="CR2" si="10">IF(AT2=2,"y","n")</f>
        <v>n</v>
      </c>
      <c r="CS2" s="59" t="str">
        <f t="shared" ref="CS2" si="11">IF(AT2&gt;=3,"y","n")</f>
        <v>y</v>
      </c>
      <c r="CT2" s="69" t="str">
        <f t="shared" ref="CT2" si="12">CHAR(34)&amp;A2&amp;CHAR(34)</f>
        <v>"Australia"</v>
      </c>
      <c r="CU2" s="70" t="str">
        <f t="shared" ref="CU2" si="13">CHAR(34)&amp;"rgn_"&amp;R2&amp;CHAR(34)</f>
        <v>"rgn_Oceania"</v>
      </c>
      <c r="CV2" s="48" t="str">
        <f t="shared" ref="CV2" si="14">CHAR(34)&amp;D2&amp;CHAR(34)</f>
        <v>"https://i.ibb.co/cJ1kzCd/Australia-Flag.png"</v>
      </c>
      <c r="CW2" s="48" t="str">
        <f t="shared" ref="CW2:CZ4" si="15">IF(CH2="y",CHAR(34)&amp;CH$1&amp;CHAR(34)&amp;",","")</f>
        <v/>
      </c>
      <c r="CX2" s="48" t="str">
        <f t="shared" si="15"/>
        <v>"3Color",</v>
      </c>
      <c r="CY2" s="48" t="str">
        <f t="shared" si="15"/>
        <v/>
      </c>
      <c r="CZ2" s="48" t="str">
        <f t="shared" si="15"/>
        <v/>
      </c>
      <c r="DA2" s="48" t="str">
        <f t="shared" ref="DA2" si="16">IF(Q2&gt;1,CHAR(34)&amp;"words2"&amp;CHAR(34)&amp;",","")</f>
        <v/>
      </c>
      <c r="DB2" s="48" t="str">
        <f t="shared" ref="DB2"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"lets09",</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"startA",</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"LUEDHI",</v>
      </c>
      <c r="DN2" s="48" t="str">
        <f t="shared" ref="DN2" si="28">IF(AND(ISNUMBER(SEARCH("18", O2)), ISERROR(SEARCH("1918", O2)), ISERROR(SEARCH("2018", O2))), CHAR(34) &amp; "year18" &amp; CHAR(34) &amp; ",", "")</f>
        <v/>
      </c>
      <c r="DO2" s="48" t="str">
        <f t="shared" ref="DO2" si="29">IF(AND(ISNUMBER(SEARCH("19", O2)), ISERROR(SEARCH("1819", O2)),  ISERROR(SEARCH("1219", O2)),ISERROR(SEARCH("1119", O2)),ISERROR(SEARCH("1190", O2)),ISERROR(SEARCH("2019", O2))), CHAR(34) &amp; "year19" &amp; CHAR(34) &amp; ",", "")</f>
        <v>"year19",</v>
      </c>
      <c r="DP2" s="6" t="str">
        <f t="shared" ref="DP2" si="30">IF(AND(ISNUMBER(SEARCH("20", O2)), ISERROR(SEARCH("1920", O2))), CHAR(34)&amp;"year00"&amp;CHAR(34)&amp;",", "")</f>
        <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"smallc",</v>
      </c>
      <c r="DW2" s="48" t="str">
        <f t="shared" ref="DW2:DZ4" si="37">IF(CL2="y",CHAR(34)&amp;CL$1&amp;CHAR(34)&amp;",","")</f>
        <v>"NoBand",</v>
      </c>
      <c r="DX2" s="48" t="str">
        <f t="shared" si="37"/>
        <v/>
      </c>
      <c r="DY2" s="48" t="str">
        <f t="shared" si="37"/>
        <v/>
      </c>
      <c r="DZ2" s="48" t="str">
        <f t="shared" si="37"/>
        <v/>
      </c>
      <c r="EA2" s="48" t="str">
        <f t="shared" ref="EA2:EE4" si="38">IF(T2="y",CHAR(34)&amp;T$1&amp;CHAR(34)&amp;",","")</f>
        <v/>
      </c>
      <c r="EB2" s="48" t="str">
        <f t="shared" si="38"/>
        <v>"Crosse",</v>
      </c>
      <c r="EC2" s="48" t="str">
        <f t="shared" si="38"/>
        <v/>
      </c>
      <c r="ED2" s="48" t="str">
        <f t="shared" si="38"/>
        <v/>
      </c>
      <c r="EE2" s="48" t="str">
        <f t="shared" si="38"/>
        <v/>
      </c>
      <c r="EF2" s="48" t="str">
        <f t="shared" ref="EF2" si="39">IF(AND(Y2&lt;&gt;"n",Y2&lt;&gt;""),CHAR(34)&amp;Y$1&amp;CHAR(34)&amp;",","")</f>
        <v/>
      </c>
      <c r="EG2" s="48" t="str">
        <f t="shared" ref="EG2:EZ14"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
      </c>
      <c r="EP2" s="48" t="str">
        <f t="shared" si="40"/>
        <v>"Canton",</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"staWHI",</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
      </c>
      <c r="FH2" s="48" t="str">
        <f t="shared" ref="FH2" si="48">IF(COUNTIF(BL2:BS2,"GRE")=0,CHAR(34)&amp;"NO_GRE"&amp;CHAR(34)&amp;",", "")</f>
        <v>"NO_GRE",</v>
      </c>
      <c r="FI2" s="48" t="str">
        <f t="shared" ref="FI2" si="49">IF(COUNTIF(BL2:BT2,"YEL")=0,CHAR(34)&amp;"NO_YEL"&amp;CHAR(34)&amp;",", "")</f>
        <v>"NO_YEL",</v>
      </c>
      <c r="FJ2" s="48" t="str">
        <f t="shared" ref="FJ2" si="50">IF(COUNTIF(BL2:BT2,"BLA")=0,CHAR(34)&amp;"NO_BLA"&amp;CHAR(34)&amp;",", "")</f>
        <v>"NO_BLA",</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"englis",</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5" si="71">IFERROR(IF(SEARCH("Dutch",CB2)&gt;0,CHAR(34)&amp;"dutchs"&amp;CHAR(34)&amp;",",""),"")</f>
        <v/>
      </c>
      <c r="GF2" s="48" t="str">
        <f>IFERROR(IF(SEARCH("Histor",AU2)&gt;0,CHAR(34)&amp;"histor"&amp;CHAR(34)&amp;",",""),"")</f>
        <v/>
      </c>
      <c r="GG2" s="48" t="str">
        <f t="shared" ref="GG2:GG5" si="72">IF(BU2="y",CHAR(34)&amp;"unjack"&amp;CHAR(34)&amp;",","")</f>
        <v>"unjack",</v>
      </c>
      <c r="GH2" s="48" t="str">
        <f t="shared" ref="GH2:GH5" si="73">IF(CD2=1,CHAR(34)&amp;"southc"&amp;CHAR(34)&amp;",","")</f>
        <v>"southc",</v>
      </c>
      <c r="GI2" s="48" t="str">
        <f t="shared" ref="GI2:GI5" si="74">IF(CE2=1,CHAR(34)&amp;"hasmap"&amp;CHAR(34)&amp;",","")</f>
        <v/>
      </c>
      <c r="GJ2" s="48" t="str">
        <f t="shared" ref="GJ2" si="75">IF(CP2="y",CHAR(34)&amp;CP$1&amp;CHAR(34)&amp;",","")</f>
        <v/>
      </c>
      <c r="GK2" s="48" t="str">
        <f t="shared" ref="GK2" si="76">IF(GJ2="",CHAR(34)&amp;"HasSta"&amp;CHAR(34)&amp;",","")</f>
        <v>"HasSta",</v>
      </c>
      <c r="GL2" s="48" t="str">
        <f t="shared" ref="GL2:GN4" si="77">IF(CQ2="y",CHAR(34)&amp;CQ$1&amp;CHAR(34)&amp;",","")</f>
        <v/>
      </c>
      <c r="GM2" s="48" t="str">
        <f t="shared" si="77"/>
        <v/>
      </c>
      <c r="GN2" s="48" t="str">
        <f t="shared" si="77"/>
        <v>"3+Star",</v>
      </c>
      <c r="GP2" s="48" t="str">
        <f t="shared" ref="GP2" si="78">CHAR(34)&amp;AU2&amp;CHAR(34)</f>
        <v>""</v>
      </c>
      <c r="GS2" s="48" t="str">
        <f t="shared" ref="GS2" si="79">SUBSTITUTE("["&amp;_xlfn.CONCAT(CW2:GN2)&amp;"]",",]","]")</f>
        <v>["3Color","lets09","startA","LUEDHI","year19","smallc","NoBand","Crosse","Canton","staWHI","NO_GRE","NO_YEL","NO_BLA","myrBLU","englis","unjack","southc","HasSta","3+Star"]</v>
      </c>
      <c r="GT2" s="48" t="str">
        <f t="shared" ref="GT2:HB17" si="80">IF(BL2&lt;&gt;"",CHAR(34)&amp;"cl_"&amp;BL2&amp;CHAR(34)&amp;",","")</f>
        <v>"cl_RED",</v>
      </c>
      <c r="GU2" s="48" t="str">
        <f t="shared" si="80"/>
        <v>"cl_WHI",</v>
      </c>
      <c r="GV2" s="48" t="str">
        <f t="shared" si="80"/>
        <v>"cl_BLU",</v>
      </c>
      <c r="GW2" s="48" t="str">
        <f t="shared" si="80"/>
        <v/>
      </c>
      <c r="GX2" s="48" t="str">
        <f t="shared" si="80"/>
        <v/>
      </c>
      <c r="GY2" s="48" t="str">
        <f t="shared" si="80"/>
        <v/>
      </c>
      <c r="GZ2" s="48" t="str">
        <f t="shared" si="80"/>
        <v/>
      </c>
      <c r="HA2" s="48" t="str">
        <f t="shared" si="80"/>
        <v/>
      </c>
      <c r="HB2" s="48" t="str">
        <f t="shared" si="80"/>
        <v/>
      </c>
      <c r="HC2" s="48" t="str">
        <f t="shared" ref="HC2" si="81">SUBSTITUTE("["&amp;_xlfn.CONCAT(GT2:HB2)&amp;"]",",]","]")</f>
        <v>["cl_RED","cl_WHI","cl_BLU"]</v>
      </c>
      <c r="HE2" s="71"/>
      <c r="HF2" s="72" t="str">
        <f t="shared" ref="HF2" si="82">"{couname:"&amp;CT2&amp;(IF(HK2&lt;&gt;"",",subtype:"&amp;CHAR(34)&amp;HK2&amp;CHAR(34),""))&amp;",year:"&amp;HJ2&amp;",region:"&amp;CU2&amp;",Colors:"&amp;HC2&amp;",Items:"&amp;GS2&amp;",Flag:"&amp;CV2&amp;",HDFlag:"&amp;CHAR(34)&amp;E2&amp;CHAR(34)&amp;",type:"&amp;GP2&amp;", describe: "&amp;HH2&amp;", isnew:"&amp;CHAR(34)&amp;F2&amp;CHAR(34)&amp;", links: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links: "https://en.wikipedia.org/wiki/Flag_of_Australia"},</v>
      </c>
      <c r="HG2" s="73" t="str">
        <f t="shared" ref="HG2" si="83">"{couname:"&amp;CT2&amp;(IF(HK2&lt;&gt;"",",subtype:"&amp;CHAR(34)&amp;HK2&amp;CHAR(34),""))&amp;",year:"&amp;HJ2&amp;",region:"&amp;CU2&amp;",Colors:"&amp;HC2&amp;",Items:"&amp;GS2&amp;",Flag:"&amp;CV2&amp;",HDFlag:"&amp;CHAR(34)&amp;E2&amp;CHAR(34)&amp;",type:"&amp;GP2&amp;", describe: "&amp;HI2&amp;", links: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links: "https://en.wikipedia.org/wiki/Flag_of_Australia"},</v>
      </c>
      <c r="HH2" s="48" t="str">
        <f t="shared" ref="HH2" si="84">IF(P2&lt;&gt;"",CHAR(34)&amp;"\n"&amp;P2&amp;CHAR(34),CHAR(34)&amp;CHAR(34))</f>
        <v>"\nThe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v>
      </c>
      <c r="HI2" s="48" t="str">
        <f t="shared" ref="HI2" si="85">IF(J2=0,CHAR(34)&amp;CHAR(34),HH2)</f>
        <v>"\nThe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v>
      </c>
      <c r="HJ2" s="48" t="str">
        <f t="shared" ref="HJ2" si="86">CHAR(34)&amp;O2&amp;CHAR(34)</f>
        <v>"1903, 1908. 1970 "</v>
      </c>
      <c r="HL2" s="48" t="str">
        <f t="shared" ref="HL2" si="87">CHAR(34)&amp;I2&amp;CHAR(34)</f>
        <v>"https://en.wikipedia.org/wiki/Flag_of_Australia"</v>
      </c>
      <c r="HM2" s="72" t="str">
        <f t="shared" ref="HM2"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 "links": "https://en.wikipedia.org/wiki/Flag_of_Australia"},</v>
      </c>
      <c r="HN2" s="74" t="str">
        <f t="shared" ref="HN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{"couname":"Australia","year":"1903, 1908. 1970 ","region":"rgn_Oceania","Colors":["cl_RED","cl_WHI","cl_BLU"],"Items":["3Color","lets09","startA","LUEDHI","year19","smallc","NoBand","Crosse","Canton","staWHI","NO_GRE","NO_YEL","NO_BLA","myrBLU","englis","unjack","southc","HasSta","3+Star"],"Flag":"https://i.ibb.co/cJ1kzCd/Australia-Flag.png","HDFlag":"https://upload.wikimedia.org/wikipedia/en/thumb/b/b9/Flag_of_Australia.svg/2560px-Flag_of_Australia.svg.png","type":"", "describe": "\nThe Commonwealth Star is the emblem of Australian Federation. Six points represent the states and the seventh all the federal territories which together constitute the nation, the Commonwealth of Australia. The constellation of the Southern Cross indicates our geographical location in the southern hemisphere. This constellation of  stars relate to the various indigenous legends and reminds of the rich Aboriginal and Torres Strait heritage.", "isnew": ".", "links": "https://en.wikipedia.org/wiki/Flag_of_Australia"},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t="s">
        <v>173</v>
      </c>
      <c r="IC2" s="77"/>
      <c r="ID2" s="77"/>
      <c r="IE2" s="77"/>
      <c r="IF2" s="77"/>
      <c r="IG2" s="77"/>
      <c r="IH2" s="77"/>
      <c r="II2" s="77"/>
      <c r="IJ2" s="77"/>
      <c r="IK2" s="77"/>
      <c r="IL2" s="48">
        <f t="shared" ref="IL2" si="90">SUM(IC2:IK2)</f>
        <v>0</v>
      </c>
      <c r="IM2" s="45">
        <f t="shared" ref="IM2" si="91">COUNTIF(IC2:IK2,"&gt;0")-CG2</f>
        <v>-3</v>
      </c>
      <c r="IN2" s="78" t="str">
        <f t="shared" ref="IN2" si="92">"http://mkweb.bcgsc.ca/color-summarizer/?url="&amp;D2&amp;"&amp;precision=low&amp;num_clusters="&amp;CG2&amp;"&amp;text=1"</f>
        <v>http://mkweb.bcgsc.ca/color-summarizer/?url=https://i.ibb.co/cJ1kzCd/Australia-Flag.png&amp;precision=low&amp;num_clusters=3&amp;text=1</v>
      </c>
      <c r="IO2" s="48" t="str">
        <f t="shared" ref="IO2" si="93">IF(HP2&lt;&gt;"",CHAR(34)&amp;"black"&amp;CHAR(34),"")</f>
        <v/>
      </c>
      <c r="IP2" s="48" t="str">
        <f t="shared" ref="IP2" si="94">IF(HQ2&lt;&gt;"",CHAR(34)&amp;"blue"&amp;CHAR(34),"")</f>
        <v>"blue"</v>
      </c>
      <c r="IQ2" s="48" t="str">
        <f t="shared" ref="IQ2" si="95">IF(HR2&lt;&gt;"",CHAR(34)&amp;"green"&amp;CHAR(34),"")</f>
        <v/>
      </c>
      <c r="IR2" s="48" t="str">
        <f t="shared" ref="IR2" si="96">IF(HS2&lt;&gt;"",CHAR(34)&amp;"red"&amp;CHAR(34),"")</f>
        <v>"red"</v>
      </c>
      <c r="IS2" s="48" t="str">
        <f t="shared" ref="IS2" si="97">IF(HT2&lt;&gt;"",CHAR(34)&amp;"yellow"&amp;CHAR(34),"")</f>
        <v/>
      </c>
      <c r="IT2" s="48" t="str">
        <f t="shared" ref="IT2" si="98">IF(HU2&lt;&gt;"",CHAR(34)&amp;"orange"&amp;CHAR(34),"")</f>
        <v/>
      </c>
      <c r="IU2" s="48" t="str">
        <f t="shared" ref="IU2" si="99">IF(HV2&lt;&gt;"",CHAR(34)&amp;"brown"&amp;CHAR(34),"")</f>
        <v/>
      </c>
      <c r="IV2" s="48" t="str">
        <f t="shared" ref="IV2" si="100">IF(HW2&lt;&gt;"",CHAR(34)&amp;"purple"&amp;CHAR(34),"")</f>
        <v/>
      </c>
      <c r="IW2" s="48" t="str">
        <f t="shared" ref="IW2" si="101">IF(HX2&lt;&gt;"",CHAR(34)&amp;"white"&amp;CHAR(34),"")</f>
        <v>"white"</v>
      </c>
      <c r="IX2" s="48" t="str">
        <f t="shared" ref="IX2" si="102">"{"&amp;CHAR(34)&amp;"url"&amp;CHAR(34)&amp;":"&amp;CHAR(34)&amp;IN2&amp;CHAR(34)&amp;","&amp;CHAR(34)&amp;"name"&amp;CHAR(34)&amp;":"&amp;CHAR(34)&amp;A2&amp;CHAR(34)&amp;"},"</f>
        <v>{"url":"http://mkweb.bcgsc.ca/color-summarizer/?url=https://i.ibb.co/cJ1kzCd/Australia-Flag.png&amp;precision=low&amp;num_clusters=3&amp;text=1","name":"Australia"},</v>
      </c>
      <c r="IY2" s="48">
        <v>14</v>
      </c>
    </row>
    <row r="3" spans="1:259" s="48" customFormat="1" ht="38.4" customHeight="1" thickBot="1" x14ac:dyDescent="0.35">
      <c r="A3" s="79" t="s">
        <v>358</v>
      </c>
      <c r="B3" s="40" t="e" vm="4">
        <v>#VALUE!</v>
      </c>
      <c r="C3" s="41">
        <v>2</v>
      </c>
      <c r="D3" s="42" t="s">
        <v>359</v>
      </c>
      <c r="E3" s="43" t="s">
        <v>360</v>
      </c>
      <c r="F3" s="44" t="s">
        <v>166</v>
      </c>
      <c r="G3" s="45">
        <f>COUNTIF($A$1:$A$8359,A3)</f>
        <v>1</v>
      </c>
      <c r="H3" s="46"/>
      <c r="I3" s="47" t="s">
        <v>361</v>
      </c>
      <c r="J3" s="48" t="str">
        <f>""</f>
        <v/>
      </c>
      <c r="K3" s="49"/>
      <c r="L3" s="50"/>
      <c r="M3" s="50"/>
      <c r="N3" s="51" t="s">
        <v>169</v>
      </c>
      <c r="O3" s="52">
        <v>1876</v>
      </c>
      <c r="P3" s="53" t="s">
        <v>362</v>
      </c>
      <c r="Q3" s="54">
        <v>3</v>
      </c>
      <c r="R3" s="55" t="s">
        <v>169</v>
      </c>
      <c r="S3" s="56">
        <v>0</v>
      </c>
      <c r="T3" s="57" t="s">
        <v>173</v>
      </c>
      <c r="U3" s="58" t="s">
        <v>172</v>
      </c>
      <c r="V3" s="58" t="s">
        <v>173</v>
      </c>
      <c r="W3" s="58" t="s">
        <v>173</v>
      </c>
      <c r="X3" s="58" t="s">
        <v>172</v>
      </c>
      <c r="Y3" s="58" t="s">
        <v>172</v>
      </c>
      <c r="Z3" s="58" t="s">
        <v>173</v>
      </c>
      <c r="AA3" s="58" t="s">
        <v>173</v>
      </c>
      <c r="AB3" s="58" t="s">
        <v>173</v>
      </c>
      <c r="AC3" s="58" t="s">
        <v>173</v>
      </c>
      <c r="AD3" s="58" t="s">
        <v>173</v>
      </c>
      <c r="AE3" s="58" t="s">
        <v>173</v>
      </c>
      <c r="AF3" s="59" t="s">
        <v>173</v>
      </c>
      <c r="AG3" s="59" t="s">
        <v>173</v>
      </c>
      <c r="AH3" s="59" t="s">
        <v>173</v>
      </c>
      <c r="AI3" s="59" t="s">
        <v>172</v>
      </c>
      <c r="AJ3" s="59" t="s">
        <v>173</v>
      </c>
      <c r="AK3" s="59" t="s">
        <v>173</v>
      </c>
      <c r="AL3" s="59" t="s">
        <v>173</v>
      </c>
      <c r="AM3" s="59" t="s">
        <v>173</v>
      </c>
      <c r="AN3" s="59" t="s">
        <v>173</v>
      </c>
      <c r="AO3" s="59" t="s">
        <v>173</v>
      </c>
      <c r="AP3" s="59" t="s">
        <v>173</v>
      </c>
      <c r="AQ3" s="59" t="s">
        <v>173</v>
      </c>
      <c r="AR3" s="59" t="s">
        <v>173</v>
      </c>
      <c r="AS3" s="59" t="s">
        <v>173</v>
      </c>
      <c r="AT3" s="60">
        <v>4</v>
      </c>
      <c r="AU3" s="59" t="s">
        <v>363</v>
      </c>
      <c r="AV3" s="59" t="str">
        <f>IF(LEFT(A3,1)="[",LEFT(A3,5)&amp;AU3&amp;A3,"")</f>
        <v>[AUS]State[AUS] New South Wales</v>
      </c>
      <c r="AW3" s="59" t="str">
        <f>C3&amp;H3&amp;A3</f>
        <v>2[AUS] New South Wales</v>
      </c>
      <c r="AX3" s="61"/>
      <c r="AY3" s="61"/>
      <c r="AZ3" s="62" t="s">
        <v>192</v>
      </c>
      <c r="BA3" s="62" t="s">
        <v>192</v>
      </c>
      <c r="BB3" s="62"/>
      <c r="BC3" s="63"/>
      <c r="BD3" s="64" t="s">
        <v>159</v>
      </c>
      <c r="BE3" s="47"/>
      <c r="BF3" s="64" t="s">
        <v>192</v>
      </c>
      <c r="BG3" s="64" t="s">
        <v>192</v>
      </c>
      <c r="BH3" s="64" t="s">
        <v>192</v>
      </c>
      <c r="BI3" s="64"/>
      <c r="BJ3" s="64"/>
      <c r="BK3" s="47"/>
      <c r="BL3" s="64" t="s">
        <v>151</v>
      </c>
      <c r="BM3" s="64" t="s">
        <v>152</v>
      </c>
      <c r="BN3" s="64" t="s">
        <v>192</v>
      </c>
      <c r="BO3" s="64" t="s">
        <v>192</v>
      </c>
      <c r="BP3" s="64" t="s">
        <v>192</v>
      </c>
      <c r="BQ3" s="64" t="s">
        <v>192</v>
      </c>
      <c r="BR3" s="64" t="s">
        <v>192</v>
      </c>
      <c r="BS3" s="64" t="s">
        <v>192</v>
      </c>
      <c r="BT3" s="64" t="s">
        <v>159</v>
      </c>
      <c r="BU3" s="65"/>
      <c r="BV3" s="66"/>
      <c r="BW3" s="66">
        <v>0</v>
      </c>
      <c r="BX3" s="47"/>
      <c r="CB3" s="6"/>
      <c r="CC3" s="6"/>
      <c r="CD3" s="67">
        <v>0</v>
      </c>
      <c r="CE3" s="67">
        <v>1</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n</v>
      </c>
      <c r="CQ3" s="59" t="str">
        <f>IF(AT3=1,"y","n")</f>
        <v>n</v>
      </c>
      <c r="CR3" s="59" t="str">
        <f>IF(AT3=2,"y","n")</f>
        <v>n</v>
      </c>
      <c r="CS3" s="59" t="str">
        <f>IF(AT3&gt;=3,"y","n")</f>
        <v>y</v>
      </c>
      <c r="CT3" s="69" t="str">
        <f>CHAR(34)&amp;A3&amp;CHAR(34)</f>
        <v>"[AUS] New South Wales"</v>
      </c>
      <c r="CU3" s="70" t="str">
        <f>CHAR(34)&amp;"rgn_"&amp;R3&amp;CHAR(34)</f>
        <v>"rgn_Oceania"</v>
      </c>
      <c r="CV3" s="48" t="str">
        <f>CHAR(34)&amp;D3&amp;CHAR(34)</f>
        <v>"https://upload.wikimedia.org/wikipedia/commons/thumb/0/00/Flag_of_New_South_Wales.svg/320px-Flag_of_New_South_Wales.svg.png"</v>
      </c>
      <c r="CW3" s="48" t="str">
        <f t="shared" si="15"/>
        <v/>
      </c>
      <c r="CX3" s="48" t="str">
        <f t="shared" si="15"/>
        <v>"3Color",</v>
      </c>
      <c r="CY3" s="48" t="str">
        <f t="shared" si="15"/>
        <v/>
      </c>
      <c r="CZ3" s="48" t="str">
        <f t="shared" si="15"/>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"lets13",</v>
      </c>
      <c r="DE3" s="48" t="str">
        <f>CHAR(34)&amp;"start"&amp;IFERROR(LEFT(SUBSTITUTE(A3,"["&amp;MID(A3,FIND("[",A3)+1,FIND("]",A3)-FIND("[",A3)-1)&amp;"] ",""),1),LEFT(A3,1))&amp;CHAR(34)&amp;","</f>
        <v>"startN",</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"LALUHI",</v>
      </c>
      <c r="DN3" s="48" t="str">
        <f>IF(AND(ISNUMBER(SEARCH("18", O3)), ISERROR(SEARCH("1918", O3)), ISERROR(SEARCH("2018", O3))), CHAR(34) &amp; "year18" &amp; CHAR(34) &amp; ",", "")</f>
        <v>"year18",</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 t="shared" si="37"/>
        <v>"NoBand",</v>
      </c>
      <c r="DX3" s="48" t="str">
        <f t="shared" si="37"/>
        <v/>
      </c>
      <c r="DY3" s="48" t="str">
        <f t="shared" si="37"/>
        <v/>
      </c>
      <c r="DZ3" s="48" t="str">
        <f t="shared" si="37"/>
        <v/>
      </c>
      <c r="EA3" s="48" t="str">
        <f t="shared" si="38"/>
        <v/>
      </c>
      <c r="EB3" s="48" t="str">
        <f t="shared" si="38"/>
        <v>"Crosse",</v>
      </c>
      <c r="EC3" s="48" t="str">
        <f t="shared" si="38"/>
        <v/>
      </c>
      <c r="ED3" s="48" t="str">
        <f t="shared" si="38"/>
        <v/>
      </c>
      <c r="EE3" s="48" t="str">
        <f t="shared" si="38"/>
        <v>"Circle",</v>
      </c>
      <c r="EF3" s="48" t="str">
        <f>IF(AND(Y3&lt;&gt;"n",Y3&lt;&gt;""),CHAR(34)&amp;Y$1&amp;CHAR(34)&amp;",","")</f>
        <v>"Animal",</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
      </c>
      <c r="EO3" s="48" t="str">
        <f t="shared" si="40"/>
        <v/>
      </c>
      <c r="EP3" s="48" t="str">
        <f t="shared" si="40"/>
        <v>"Canton",</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IF(AT3&gt;0,CHAR(34)&amp;"sta"&amp;AZ3&amp;CHAR(34)&amp;",","")</f>
        <v>"sta",</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"NO_RED",</v>
      </c>
      <c r="FH3" s="48" t="str">
        <f>IF(COUNTIF(BL3:BS3,"GRE")=0,CHAR(34)&amp;"NO_GRE"&amp;CHAR(34)&amp;",", "")</f>
        <v>"NO_GRE",</v>
      </c>
      <c r="FI3" s="48" t="str">
        <f>IF(COUNTIF(BL3:BT3,"YEL")=0,CHAR(34)&amp;"NO_YEL"&amp;CHAR(34)&amp;",", "")</f>
        <v>"NO_YEL",</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"myrWHI",</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 t="shared" si="71"/>
        <v/>
      </c>
      <c r="GF3" s="48" t="str">
        <f>IFERROR(IF(SEARCH("Historical",AU3)&gt;0,CHAR(34)&amp;"histor"&amp;CHAR(34)&amp;",",""),"")</f>
        <v/>
      </c>
      <c r="GG3" s="48" t="str">
        <f t="shared" si="72"/>
        <v/>
      </c>
      <c r="GH3" s="48" t="str">
        <f t="shared" si="73"/>
        <v/>
      </c>
      <c r="GI3" s="48" t="str">
        <f t="shared" si="74"/>
        <v>"hasmap",</v>
      </c>
      <c r="GJ3" s="48" t="str">
        <f>IF(CP3="y",CHAR(34)&amp;CP$1&amp;CHAR(34)&amp;",","")</f>
        <v/>
      </c>
      <c r="GK3" s="48" t="str">
        <f>IF(GJ3="",CHAR(34)&amp;"HasSta"&amp;CHAR(34)&amp;",","")</f>
        <v>"HasSta",</v>
      </c>
      <c r="GL3" s="48" t="str">
        <f t="shared" si="77"/>
        <v/>
      </c>
      <c r="GM3" s="48" t="str">
        <f t="shared" si="77"/>
        <v/>
      </c>
      <c r="GN3" s="48" t="str">
        <f t="shared" si="77"/>
        <v>"3+Star",</v>
      </c>
      <c r="GP3" s="48" t="str">
        <f>CHAR(34)&amp;AU3&amp;CHAR(34)</f>
        <v>"State"</v>
      </c>
      <c r="GS3" s="48" t="str">
        <f>SUBSTITUTE("["&amp;_xlfn.CONCAT(CW3:GN3)&amp;"]",",]","]")</f>
        <v>["3Color","words2","words3","lets13","startN","with_w","LALUHI","year18","NoBand","Crosse","Circle","Animal","Canton","sta","NO_RED","NO_GRE","NO_YEL","myrWHI","hasmap","HasSta","3+Star"]</v>
      </c>
      <c r="GT3" s="48" t="str">
        <f t="shared" si="80"/>
        <v>"cl_BLA",</v>
      </c>
      <c r="GU3" s="48" t="str">
        <f t="shared" si="80"/>
        <v>"cl_BLU",</v>
      </c>
      <c r="GV3" s="48" t="str">
        <f t="shared" si="80"/>
        <v/>
      </c>
      <c r="GW3" s="48" t="str">
        <f t="shared" si="80"/>
        <v/>
      </c>
      <c r="GX3" s="48" t="str">
        <f t="shared" si="80"/>
        <v/>
      </c>
      <c r="GY3" s="48" t="str">
        <f t="shared" si="80"/>
        <v/>
      </c>
      <c r="GZ3" s="48" t="str">
        <f t="shared" si="80"/>
        <v/>
      </c>
      <c r="HA3" s="48" t="str">
        <f t="shared" si="80"/>
        <v/>
      </c>
      <c r="HB3" s="48" t="str">
        <f t="shared" si="80"/>
        <v>"cl_WHI",</v>
      </c>
      <c r="HC3" s="48" t="str">
        <f>SUBSTITUTE("["&amp;_xlfn.CONCAT(GT3:HB3)&amp;"]",",]","]")</f>
        <v>["cl_BLA","cl_BLU","cl_WHI"]</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links: "https://en.wikipedia.org/wiki/Flag_of_New_South_Wales"},</v>
      </c>
      <c r="HG3" s="73" t="str">
        <f>"{couname:"&amp;CT3&amp;(IF(HK3&lt;&gt;"",",subtype:"&amp;CHAR(34)&amp;HK3&amp;CHAR(34),""))&amp;",year:"&amp;HJ3&amp;",region:"&amp;CU3&amp;",Colors:"&amp;HC3&amp;",Items:"&amp;GS3&amp;",Flag:"&amp;CV3&amp;",HDFlag:"&amp;CHAR(34)&amp;E3&amp;CHAR(34)&amp;",type:"&amp;GP3&amp;", describe: "&amp;HI3&amp;", links: "&amp;HL3&amp;"},"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links: "https://en.wikipedia.org/wiki/Flag_of_New_South_Wales"},</v>
      </c>
      <c r="HH3" s="48" t="str">
        <f>IF(P3&lt;&gt;"",CHAR(34)&amp;"\n"&amp;P3&amp;CHAR(34),CHAR(34)&amp;CHAR(34))</f>
        <v>"\nAs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v>
      </c>
      <c r="HI3" s="48" t="str">
        <f>IF(J3=0,CHAR(34)&amp;CHAR(34),HH3)</f>
        <v>"\nAs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v>
      </c>
      <c r="HJ3" s="48" t="str">
        <f>CHAR(34)&amp;O3&amp;CHAR(34)</f>
        <v>"1876"</v>
      </c>
      <c r="HL3" s="48" t="str">
        <f>CHAR(34)&amp;I3&amp;CHAR(34)</f>
        <v>"https://en.wikipedia.org/wiki/Flag_of_New_South_Wales"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 "links": "https://en.wikipedia.org/wiki/Flag_of_New_South_Wales"},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{"couname":"[AUS] New South Wales","year":"1876","region":"rgn_Oceania","Colors":["cl_BLA","cl_BLU","cl_WHI"],"Items":["3Color","words2","words3","lets13","startN","with_w","LALUHI","year18","NoBand","Crosse","Circle","Animal","Canton","sta","NO_RED","NO_GRE","NO_YEL","myrWHI","hasmap","HasSta","3+Star"],"Flag":"https://upload.wikimedia.org/wikipedia/commons/thumb/0/00/Flag_of_New_South_Wales.svg/320px-Flag_of_New_South_Wales.svg.png","HDFlag":"https://upload.wikimedia.org/wikipedia/commons/thumb/0/00/Flag_of_New_South_Wales.svg/2560px-Flag_of_New_South_Wales.svg.png","type":"State", "describe": "\nAs a variant of the Blue Ensign, the Union Jack is displayed in the canton. The St George's Cross, the Southern Cross and the 'Lion in the South' are displayed in the Badge of New South Wales on the flag. The St George's Cross is used on the ensign of the British Royal Navy, with a golden, 8-pointed star placed on each arm of the cross. This symbolises the maritime origins of New South Wales, with seafarers relying upon the Southern Cross to navigate the seas, and the role of the navy in protecting the State.\n\nThe 'Lion in the South' is taken from the three golden lions on a red field on the arms of England, and symbolises both the sovereignty of New South Wales and the offspring of an old country. It represent the origins of the founders of the Colony of New South Wales as well as the independence of their succeeding generations.", "isnew": ".", "links": "https://en.wikipedia.org/wiki/Flag_of_New_South_Wales"},</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http://mkweb.bcgsc.ca/color-summarizer/?url=https://upload.wikimedia.org/wikipedia/commons/thumb/0/00/Flag_of_New_South_Wales.svg/320px-Flag_of_New_South_Wales.svg.png&amp;precision=low&amp;num_clusters=3&amp;text=1</v>
      </c>
      <c r="IO3" s="48" t="str">
        <f>IF(HP3&lt;&gt;"",CHAR(34)&amp;"black"&amp;CHAR(34),"")</f>
        <v>"black"</v>
      </c>
      <c r="IP3" s="48" t="str">
        <f>IF(HQ3&lt;&gt;"",CHAR(34)&amp;"blue"&amp;CHAR(34),"")</f>
        <v>"blue"</v>
      </c>
      <c r="IQ3" s="48" t="str">
        <f>IF(HR3&lt;&gt;"",CHAR(34)&amp;"green"&amp;CHAR(34),"")</f>
        <v/>
      </c>
      <c r="IR3" s="48" t="str">
        <f>IF(HS3&lt;&gt;"",CHAR(34)&amp;"red"&amp;CHAR(34),"")</f>
        <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{"url":"http://mkweb.bcgsc.ca/color-summarizer/?url=https://upload.wikimedia.org/wikipedia/commons/thumb/0/00/Flag_of_New_South_Wales.svg/320px-Flag_of_New_South_Wales.svg.png&amp;precision=low&amp;num_clusters=3&amp;text=1","name":"[AUS] New South Wales"},</v>
      </c>
      <c r="IY3" s="48">
        <v>1355</v>
      </c>
    </row>
    <row r="4" spans="1:259" s="48" customFormat="1" ht="38.4" customHeight="1" thickBot="1" x14ac:dyDescent="0.35">
      <c r="A4" s="79" t="s">
        <v>364</v>
      </c>
      <c r="B4" s="40" t="e" vm="5">
        <v>#VALUE!</v>
      </c>
      <c r="C4" s="41">
        <v>2</v>
      </c>
      <c r="D4" s="42" t="s">
        <v>365</v>
      </c>
      <c r="E4" s="43" t="s">
        <v>366</v>
      </c>
      <c r="F4" s="44" t="s">
        <v>166</v>
      </c>
      <c r="G4" s="45">
        <f>COUNTIF($A$1:$A$8359,A4)</f>
        <v>1</v>
      </c>
      <c r="H4" s="46"/>
      <c r="I4" s="47" t="s">
        <v>367</v>
      </c>
      <c r="J4" s="48" t="str">
        <f>""</f>
        <v/>
      </c>
      <c r="K4" s="49"/>
      <c r="L4" s="50"/>
      <c r="M4" s="50"/>
      <c r="N4" s="51" t="s">
        <v>169</v>
      </c>
      <c r="O4" s="52">
        <v>1876</v>
      </c>
      <c r="P4" s="53" t="s">
        <v>368</v>
      </c>
      <c r="Q4" s="54">
        <v>1</v>
      </c>
      <c r="R4" s="55" t="s">
        <v>169</v>
      </c>
      <c r="S4" s="56">
        <v>0</v>
      </c>
      <c r="T4" s="57" t="s">
        <v>173</v>
      </c>
      <c r="U4" s="58" t="s">
        <v>172</v>
      </c>
      <c r="V4" s="58" t="s">
        <v>173</v>
      </c>
      <c r="W4" s="58" t="s">
        <v>173</v>
      </c>
      <c r="X4" s="58" t="s">
        <v>172</v>
      </c>
      <c r="Y4" s="58" t="s">
        <v>173</v>
      </c>
      <c r="Z4" s="58" t="s">
        <v>172</v>
      </c>
      <c r="AA4" s="58" t="s">
        <v>173</v>
      </c>
      <c r="AB4" s="58" t="s">
        <v>173</v>
      </c>
      <c r="AC4" s="58" t="s">
        <v>173</v>
      </c>
      <c r="AD4" s="58" t="s">
        <v>173</v>
      </c>
      <c r="AE4" s="58" t="s">
        <v>173</v>
      </c>
      <c r="AF4" s="59" t="s">
        <v>173</v>
      </c>
      <c r="AG4" s="59" t="s">
        <v>173</v>
      </c>
      <c r="AH4" s="59" t="s">
        <v>173</v>
      </c>
      <c r="AI4" s="59" t="s">
        <v>172</v>
      </c>
      <c r="AJ4" s="59" t="s">
        <v>173</v>
      </c>
      <c r="AK4" s="59" t="s">
        <v>173</v>
      </c>
      <c r="AL4" s="59" t="s">
        <v>173</v>
      </c>
      <c r="AM4" s="59" t="s">
        <v>173</v>
      </c>
      <c r="AN4" s="59" t="s">
        <v>173</v>
      </c>
      <c r="AO4" s="59" t="s">
        <v>173</v>
      </c>
      <c r="AP4" s="59" t="s">
        <v>173</v>
      </c>
      <c r="AQ4" s="59" t="s">
        <v>172</v>
      </c>
      <c r="AR4" s="59" t="s">
        <v>173</v>
      </c>
      <c r="AS4" s="59" t="s">
        <v>173</v>
      </c>
      <c r="AT4" s="60">
        <v>0</v>
      </c>
      <c r="AU4" s="59" t="s">
        <v>363</v>
      </c>
      <c r="AV4" s="59" t="str">
        <f>IF(LEFT(A4,1)="[",LEFT(A4,5)&amp;AU4&amp;A4,"")</f>
        <v>[AUS]State[AUS] Queensland</v>
      </c>
      <c r="AW4" s="59" t="str">
        <f>C4&amp;H4&amp;A4</f>
        <v>2[AUS] Queensland</v>
      </c>
      <c r="AX4" s="61"/>
      <c r="AY4" s="61"/>
      <c r="AZ4" s="62" t="s">
        <v>192</v>
      </c>
      <c r="BA4" s="62" t="s">
        <v>192</v>
      </c>
      <c r="BB4" s="62"/>
      <c r="BC4" s="63"/>
      <c r="BD4" s="64" t="s">
        <v>159</v>
      </c>
      <c r="BE4" s="47"/>
      <c r="BF4" s="64" t="s">
        <v>192</v>
      </c>
      <c r="BG4" s="64" t="s">
        <v>192</v>
      </c>
      <c r="BH4" s="64" t="s">
        <v>192</v>
      </c>
      <c r="BI4" s="64"/>
      <c r="BJ4" s="64"/>
      <c r="BK4" s="47"/>
      <c r="BL4" s="64" t="s">
        <v>192</v>
      </c>
      <c r="BM4" s="64" t="s">
        <v>152</v>
      </c>
      <c r="BN4" s="64" t="s">
        <v>192</v>
      </c>
      <c r="BO4" s="64" t="s">
        <v>154</v>
      </c>
      <c r="BP4" s="64" t="s">
        <v>192</v>
      </c>
      <c r="BQ4" s="64" t="s">
        <v>192</v>
      </c>
      <c r="BR4" s="64" t="s">
        <v>192</v>
      </c>
      <c r="BS4" s="64" t="s">
        <v>192</v>
      </c>
      <c r="BT4" s="64" t="s">
        <v>159</v>
      </c>
      <c r="BU4" s="65"/>
      <c r="BV4" s="66"/>
      <c r="BW4" s="66">
        <v>0</v>
      </c>
      <c r="BX4" s="47"/>
      <c r="CB4" s="6"/>
      <c r="CC4" s="6"/>
      <c r="CD4" s="67">
        <v>0</v>
      </c>
      <c r="CE4" s="67">
        <v>0</v>
      </c>
      <c r="CF4" s="67" t="e">
        <v>#REF!</v>
      </c>
      <c r="CG4" s="68" cm="1">
        <f t="array" ref="CG4">SUMPRODUCT(--(LEN(TRIM(BL4:BT4))&gt;0))</f>
        <v>3</v>
      </c>
      <c r="CH4" s="59" t="str">
        <f>IF(CG4=2,"y","n")</f>
        <v>n</v>
      </c>
      <c r="CI4" s="59" t="str">
        <f>IF(CG4=3,"y","n")</f>
        <v>y</v>
      </c>
      <c r="CJ4" s="59" t="str">
        <f>IF(CG4=4,"y","n")</f>
        <v>n</v>
      </c>
      <c r="CK4" s="59" t="str">
        <f>IF(CG4&gt;4,"y","n")</f>
        <v>n</v>
      </c>
      <c r="CL4" s="59" t="str">
        <f>IF(S4=0,"y","n")</f>
        <v>y</v>
      </c>
      <c r="CM4" s="59" t="str">
        <f>IF(S4=2,"y","n")</f>
        <v>n</v>
      </c>
      <c r="CN4" s="59" t="str">
        <f>IF(S4=3,"y","n")</f>
        <v>n</v>
      </c>
      <c r="CO4" s="59" t="str">
        <f>IF(S4&gt;=4,"y","n")</f>
        <v>n</v>
      </c>
      <c r="CP4" s="59" t="str">
        <f>IF(AT4=0,"y","n")</f>
        <v>y</v>
      </c>
      <c r="CQ4" s="59" t="str">
        <f>IF(AT4=1,"y","n")</f>
        <v>n</v>
      </c>
      <c r="CR4" s="59" t="str">
        <f>IF(AT4=2,"y","n")</f>
        <v>n</v>
      </c>
      <c r="CS4" s="59" t="str">
        <f>IF(AT4&gt;=3,"y","n")</f>
        <v>n</v>
      </c>
      <c r="CT4" s="69" t="str">
        <f>CHAR(34)&amp;A4&amp;CHAR(34)</f>
        <v>"[AUS] Queensland"</v>
      </c>
      <c r="CU4" s="70" t="str">
        <f>CHAR(34)&amp;"rgn_"&amp;R4&amp;CHAR(34)</f>
        <v>"rgn_Oceania"</v>
      </c>
      <c r="CV4" s="48" t="str">
        <f>CHAR(34)&amp;D4&amp;CHAR(34)</f>
        <v>"https://upload.wikimedia.org/wikipedia/commons/thumb/0/04/Flag_of_Queensland.svg/640px-Flag_of_Queensland.svg.png"</v>
      </c>
      <c r="CW4" s="48" t="str">
        <f t="shared" si="15"/>
        <v/>
      </c>
      <c r="CX4" s="48" t="str">
        <f t="shared" si="15"/>
        <v>"3Color",</v>
      </c>
      <c r="CY4" s="48" t="str">
        <f t="shared" si="15"/>
        <v/>
      </c>
      <c r="CZ4" s="48" t="str">
        <f t="shared" si="15"/>
        <v/>
      </c>
      <c r="DA4" s="48" t="str">
        <f>IF(Q4&gt;1,CHAR(34)&amp;"words2"&amp;CHAR(34)&amp;",","")</f>
        <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"lets10",</v>
      </c>
      <c r="DE4" s="48" t="str">
        <f>CHAR(34)&amp;"start"&amp;IFERROR(LEFT(SUBSTITUTE(A4,"["&amp;MID(A4,FIND("[",A4)+1,FIND("]",A4)-FIND("[",A4)-1)&amp;"] ",""),1),LEFT(A4,1))&amp;CHAR(34)&amp;","</f>
        <v>"startQ",</v>
      </c>
      <c r="DF4" s="48" t="str">
        <f>IFERROR(IF(SEARCH("tan",A4)&gt;0,CHAR(34)&amp;"withtn"&amp;CHAR(34)&amp;",",""),"")</f>
        <v/>
      </c>
      <c r="DG4" s="48" t="str">
        <f>IFERROR(IF(SEARCH("q",A4)&gt;0,CHAR(34)&amp;"with_q"&amp;CHAR(34)&amp;",",""),"")</f>
        <v>"with_q",</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"LUEDHI",</v>
      </c>
      <c r="DN4" s="48" t="str">
        <f>IF(AND(ISNUMBER(SEARCH("18", O4)), ISERROR(SEARCH("1918", O4)), ISERROR(SEARCH("2018", O4))), CHAR(34) &amp; "year18" &amp; CHAR(34) &amp; ",", "")</f>
        <v>"year18",</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
      </c>
      <c r="DU4" s="6" t="str">
        <f>IF(BY4="y",IF(AND(W4="n",V4="n"),CHAR(34)&amp;"alldia"&amp;CHAR(34)&amp;",",""),"")</f>
        <v/>
      </c>
      <c r="DW4" s="48" t="str">
        <f t="shared" si="37"/>
        <v>"NoBand",</v>
      </c>
      <c r="DX4" s="48" t="str">
        <f t="shared" si="37"/>
        <v/>
      </c>
      <c r="DY4" s="48" t="str">
        <f t="shared" si="37"/>
        <v/>
      </c>
      <c r="DZ4" s="48" t="str">
        <f t="shared" si="37"/>
        <v/>
      </c>
      <c r="EA4" s="48" t="str">
        <f t="shared" si="38"/>
        <v/>
      </c>
      <c r="EB4" s="48" t="str">
        <f t="shared" si="38"/>
        <v>"Crosse",</v>
      </c>
      <c r="EC4" s="48" t="str">
        <f t="shared" si="38"/>
        <v/>
      </c>
      <c r="ED4" s="48" t="str">
        <f t="shared" si="38"/>
        <v/>
      </c>
      <c r="EE4" s="48" t="str">
        <f t="shared" si="38"/>
        <v>"Circle",</v>
      </c>
      <c r="EF4" s="48" t="str">
        <f>IF(AND(Y4&lt;&gt;"n",Y4&lt;&gt;""),CHAR(34)&amp;Y$1&amp;CHAR(34)&amp;",","")</f>
        <v/>
      </c>
      <c r="EG4" s="48" t="str">
        <f t="shared" si="40"/>
        <v>"Bird",</v>
      </c>
      <c r="EH4" s="48" t="str">
        <f t="shared" si="40"/>
        <v/>
      </c>
      <c r="EI4" s="48" t="str">
        <f t="shared" si="40"/>
        <v/>
      </c>
      <c r="EJ4" s="48" t="str">
        <f t="shared" si="40"/>
        <v/>
      </c>
      <c r="EK4" s="48" t="str">
        <f t="shared" si="40"/>
        <v/>
      </c>
      <c r="EL4" s="48" t="str">
        <f t="shared" si="40"/>
        <v/>
      </c>
      <c r="EM4" s="48" t="str">
        <f t="shared" si="40"/>
        <v/>
      </c>
      <c r="EN4" s="48" t="str">
        <f t="shared" si="40"/>
        <v/>
      </c>
      <c r="EO4" s="48" t="str">
        <f t="shared" si="40"/>
        <v/>
      </c>
      <c r="EP4" s="48" t="str">
        <f t="shared" si="40"/>
        <v>"Canton",</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"Crowns",</v>
      </c>
      <c r="EY4" s="48" t="str">
        <f t="shared" si="40"/>
        <v/>
      </c>
      <c r="EZ4" s="48" t="str">
        <f t="shared" si="40"/>
        <v/>
      </c>
      <c r="FA4" s="48" t="str">
        <f>IF(AT4&gt;0,CHAR(34)&amp;"sta"&amp;AZ4&amp;CHAR(34)&amp;",","")</f>
        <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"myrWHI",</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 t="shared" si="71"/>
        <v/>
      </c>
      <c r="GF4" s="48" t="str">
        <f>IFERROR(IF(SEARCH("Historical",AU4)&gt;0,CHAR(34)&amp;"histor"&amp;CHAR(34)&amp;",",""),"")</f>
        <v/>
      </c>
      <c r="GG4" s="48" t="str">
        <f t="shared" si="72"/>
        <v/>
      </c>
      <c r="GH4" s="48" t="str">
        <f t="shared" si="73"/>
        <v/>
      </c>
      <c r="GI4" s="48" t="str">
        <f t="shared" si="74"/>
        <v/>
      </c>
      <c r="GJ4" s="48" t="str">
        <f>IF(CP4="y",CHAR(34)&amp;CP$1&amp;CHAR(34)&amp;",","")</f>
        <v>"NoStar",</v>
      </c>
      <c r="GK4" s="48" t="str">
        <f>IF(GJ4="",CHAR(34)&amp;"HasSta"&amp;CHAR(34)&amp;",","")</f>
        <v/>
      </c>
      <c r="GL4" s="48" t="str">
        <f t="shared" si="77"/>
        <v/>
      </c>
      <c r="GM4" s="48" t="str">
        <f t="shared" si="77"/>
        <v/>
      </c>
      <c r="GN4" s="48" t="str">
        <f t="shared" si="77"/>
        <v/>
      </c>
      <c r="GP4" s="48" t="str">
        <f>CHAR(34)&amp;AU4&amp;CHAR(34)</f>
        <v>"State"</v>
      </c>
      <c r="GS4" s="48" t="str">
        <f>SUBSTITUTE("["&amp;_xlfn.CONCAT(CW4:GN4)&amp;"]",",]","]")</f>
        <v>["3Color","lets10","startQ","with_q","LUEDHI","year18","NoBand","Crosse","Circle","Bird","Canton","Crowns","NO_GRE","NO_YEL","NO_BLA","myrWHI","NoStar"]</v>
      </c>
      <c r="GT4" s="48" t="str">
        <f t="shared" si="80"/>
        <v/>
      </c>
      <c r="GU4" s="48" t="str">
        <f t="shared" si="80"/>
        <v>"cl_BLU",</v>
      </c>
      <c r="GV4" s="48" t="str">
        <f t="shared" si="80"/>
        <v/>
      </c>
      <c r="GW4" s="48" t="str">
        <f t="shared" si="80"/>
        <v>"cl_RED",</v>
      </c>
      <c r="GX4" s="48" t="str">
        <f t="shared" si="80"/>
        <v/>
      </c>
      <c r="GY4" s="48" t="str">
        <f t="shared" si="80"/>
        <v/>
      </c>
      <c r="GZ4" s="48" t="str">
        <f t="shared" si="80"/>
        <v/>
      </c>
      <c r="HA4" s="48" t="str">
        <f t="shared" si="80"/>
        <v/>
      </c>
      <c r="HB4" s="48" t="str">
        <f t="shared" si="80"/>
        <v>"cl_WHI",</v>
      </c>
      <c r="HC4" s="48" t="str">
        <f>SUBSTITUTE("["&amp;_xlfn.CONCAT(GT4:HB4)&amp;"]",",]","]")</f>
        <v>["cl_BLU","cl_RED","cl_WHI"]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links: "https://en.wikipedia.org/wiki/Flag_of_Queensland"},</v>
      </c>
      <c r="HG4" s="73" t="str">
        <f>"{couname:"&amp;CT4&amp;(IF(HK4&lt;&gt;"",",subtype:"&amp;CHAR(34)&amp;HK4&amp;CHAR(34),""))&amp;",year:"&amp;HJ4&amp;",region:"&amp;CU4&amp;",Colors:"&amp;HC4&amp;",Items:"&amp;GS4&amp;",Flag:"&amp;CV4&amp;",HDFlag:"&amp;CHAR(34)&amp;E4&amp;CHAR(34)&amp;",type:"&amp;GP4&amp;", describe: "&amp;HI4&amp;", links: "&amp;HL4&amp;"},"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links: "https://en.wikipedia.org/wiki/Flag_of_Queensland"},</v>
      </c>
      <c r="HH4" s="48" t="str">
        <f>IF(P4&lt;&gt;"",CHAR(34)&amp;"\n"&amp;P4&amp;CHAR(34),CHAR(34)&amp;CHAR(34))</f>
        <v>"\nThe flag contains the Union Jack and the blue background like Australia. The badge contains a Maltese Cross with a Saint Edward's Crown in the center of the cross. "</v>
      </c>
      <c r="HI4" s="48" t="str">
        <f>IF(J4=0,CHAR(34)&amp;CHAR(34),HH4)</f>
        <v>"\nThe flag contains the Union Jack and the blue background like Australia. The badge contains a Maltese Cross with a Saint Edward's Crown in the center of the cross. "</v>
      </c>
      <c r="HJ4" s="48" t="str">
        <f>CHAR(34)&amp;O4&amp;CHAR(34)</f>
        <v>"1876"</v>
      </c>
      <c r="HL4" s="48" t="str">
        <f>CHAR(34)&amp;I4&amp;CHAR(34)</f>
        <v>"https://en.wikipedia.org/wiki/Flag_of_Queensland"</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 "links": "https://en.wikipedia.org/wiki/Flag_of_Queensland"},</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{"couname":"[AUS] Queensland","year":"1876","region":"rgn_Oceania","Colors":["cl_BLU","cl_RED","cl_WHI"],"Items":["3Color","lets10","startQ","with_q","LUEDHI","year18","NoBand","Crosse","Circle","Bird","Canton","Crowns","NO_GRE","NO_YEL","NO_BLA","myrWHI","NoStar"],"Flag":"https://upload.wikimedia.org/wikipedia/commons/thumb/0/04/Flag_of_Queensland.svg/640px-Flag_of_Queensland.svg.png","HDFlag":"https://upload.wikimedia.org/wikipedia/commons/thumb/0/04/Flag_of_Queensland.svg/2560px-Flag_of_Queensland.svg.png","type":"State", "describe": "\nThe flag contains the Union Jack and the blue background like Australia. The badge contains a Maltese Cross with a Saint Edward's Crown in the center of the cross. ", "isnew": ".", "links": "https://en.wikipedia.org/wiki/Flag_of_Queensland"},</v>
      </c>
      <c r="HO4" s="75">
        <v>45610</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-3</v>
      </c>
      <c r="IN4" s="78" t="str">
        <f>"http://mkweb.bcgsc.ca/color-summarizer/?url="&amp;D4&amp;"&amp;precision=low&amp;num_clusters="&amp;CG4&amp;"&amp;text=1"</f>
        <v>http://mkweb.bcgsc.ca/color-summarizer/?url=https://upload.wikimedia.org/wikipedia/commons/thumb/0/04/Flag_of_Queensland.svg/640px-Flag_of_Queensland.svg.png&amp;precision=low&amp;num_clusters=3&amp;text=1</v>
      </c>
      <c r="IO4" s="48" t="str">
        <f>IF(HP4&lt;&gt;"",CHAR(34)&amp;"black"&amp;CHAR(34),"")</f>
        <v/>
      </c>
      <c r="IP4" s="48" t="str">
        <f>IF(HQ4&lt;&gt;"",CHAR(34)&amp;"blue"&amp;CHAR(34),"")</f>
        <v>"blue"</v>
      </c>
      <c r="IQ4" s="48" t="str">
        <f>IF(HR4&lt;&gt;"",CHAR(34)&amp;"green"&amp;CHAR(34),"")</f>
        <v/>
      </c>
      <c r="IR4" s="48" t="str">
        <f>IF(HS4&lt;&gt;"",CHAR(34)&amp;"red"&amp;CHAR(34),"")</f>
        <v>"red"</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{"url":"http://mkweb.bcgsc.ca/color-summarizer/?url=https://upload.wikimedia.org/wikipedia/commons/thumb/0/04/Flag_of_Queensland.svg/640px-Flag_of_Queensland.svg.png&amp;precision=low&amp;num_clusters=3&amp;text=1","name":"[AUS] Queensland"},</v>
      </c>
      <c r="IY4" s="48">
        <v>1356</v>
      </c>
    </row>
    <row r="5" spans="1:259" s="48" customFormat="1" ht="38.4" customHeight="1" thickBot="1" x14ac:dyDescent="0.35">
      <c r="A5" s="79" t="s">
        <v>369</v>
      </c>
      <c r="B5" s="40" t="e" vm="6">
        <v>#VALUE!</v>
      </c>
      <c r="C5" s="41">
        <v>2</v>
      </c>
      <c r="D5" s="42" t="s">
        <v>370</v>
      </c>
      <c r="E5" s="43" t="s">
        <v>371</v>
      </c>
      <c r="F5" s="44" t="s">
        <v>166</v>
      </c>
      <c r="G5" s="45">
        <f>COUNTIF($A$1:$A$8359,A5)</f>
        <v>1</v>
      </c>
      <c r="H5" s="46"/>
      <c r="I5" s="47" t="s">
        <v>372</v>
      </c>
      <c r="J5" s="48" t="str">
        <f>""</f>
        <v/>
      </c>
      <c r="K5" s="49"/>
      <c r="L5" s="50"/>
      <c r="M5" s="50"/>
      <c r="N5" s="51" t="s">
        <v>169</v>
      </c>
      <c r="O5" s="52">
        <v>1904</v>
      </c>
      <c r="P5" s="53" t="s">
        <v>373</v>
      </c>
      <c r="Q5" s="54">
        <v>2</v>
      </c>
      <c r="R5" s="55" t="s">
        <v>169</v>
      </c>
      <c r="S5" s="56">
        <v>0</v>
      </c>
      <c r="T5" s="57" t="s">
        <v>173</v>
      </c>
      <c r="U5" s="58" t="s">
        <v>172</v>
      </c>
      <c r="V5" s="58" t="s">
        <v>173</v>
      </c>
      <c r="W5" s="58" t="s">
        <v>173</v>
      </c>
      <c r="X5" s="58" t="s">
        <v>172</v>
      </c>
      <c r="Y5" s="58" t="s">
        <v>172</v>
      </c>
      <c r="Z5" s="58" t="s">
        <v>173</v>
      </c>
      <c r="AA5" s="58" t="s">
        <v>173</v>
      </c>
      <c r="AB5" s="58" t="s">
        <v>173</v>
      </c>
      <c r="AC5" s="58" t="s">
        <v>173</v>
      </c>
      <c r="AD5" s="58" t="s">
        <v>173</v>
      </c>
      <c r="AE5" s="58" t="s">
        <v>173</v>
      </c>
      <c r="AF5" s="59" t="s">
        <v>173</v>
      </c>
      <c r="AG5" s="59" t="s">
        <v>173</v>
      </c>
      <c r="AH5" s="59" t="s">
        <v>173</v>
      </c>
      <c r="AI5" s="59" t="s">
        <v>172</v>
      </c>
      <c r="AJ5" s="59" t="s">
        <v>173</v>
      </c>
      <c r="AK5" s="59" t="s">
        <v>173</v>
      </c>
      <c r="AL5" s="59" t="s">
        <v>173</v>
      </c>
      <c r="AM5" s="59" t="s">
        <v>173</v>
      </c>
      <c r="AN5" s="59" t="s">
        <v>173</v>
      </c>
      <c r="AO5" s="59" t="s">
        <v>173</v>
      </c>
      <c r="AP5" s="59" t="s">
        <v>173</v>
      </c>
      <c r="AQ5" s="59" t="s">
        <v>173</v>
      </c>
      <c r="AR5" s="59" t="s">
        <v>173</v>
      </c>
      <c r="AS5" s="59" t="s">
        <v>173</v>
      </c>
      <c r="AT5" s="60">
        <v>0</v>
      </c>
      <c r="AU5" s="59" t="s">
        <v>363</v>
      </c>
      <c r="AV5" s="59" t="str">
        <f>IF(LEFT(A5,1)="[",LEFT(A5,5)&amp;AU5&amp;A5,"")</f>
        <v>[AUS]State[AUS] South Australia</v>
      </c>
      <c r="AW5" s="59" t="str">
        <f>C5&amp;H5&amp;A5</f>
        <v>2[AUS] South Australia</v>
      </c>
      <c r="AX5" s="61" t="str">
        <f>_xlfn.TEXTJOIN(";",TRUE,AU5:AW5)</f>
        <v>State;[AUS]State[AUS] South Australia;2[AUS] South Australia</v>
      </c>
      <c r="AY5" s="61" t="s">
        <v>172</v>
      </c>
      <c r="AZ5" s="62"/>
      <c r="BA5" s="62"/>
      <c r="BB5" s="62"/>
      <c r="BC5" s="63"/>
      <c r="BD5" s="64" t="s">
        <v>153</v>
      </c>
      <c r="BE5" s="47"/>
      <c r="BF5" s="64" t="s">
        <v>153</v>
      </c>
      <c r="BG5" s="64" t="s">
        <v>159</v>
      </c>
      <c r="BH5" s="64" t="s">
        <v>153</v>
      </c>
      <c r="BI5" s="64"/>
      <c r="BJ5" s="64"/>
      <c r="BK5" s="47"/>
      <c r="BL5" s="64" t="s">
        <v>153</v>
      </c>
      <c r="BM5" s="64" t="s">
        <v>159</v>
      </c>
      <c r="BN5" s="64"/>
      <c r="BO5" s="64"/>
      <c r="BP5" s="64"/>
      <c r="BQ5" s="64"/>
      <c r="BR5" s="64"/>
      <c r="BS5" s="64"/>
      <c r="BT5" s="64"/>
      <c r="BU5" s="65"/>
      <c r="BV5" s="66" t="s">
        <v>183</v>
      </c>
      <c r="BW5" s="66">
        <v>0</v>
      </c>
      <c r="BX5" s="47"/>
      <c r="CB5" s="6" t="s">
        <v>374</v>
      </c>
      <c r="CC5" s="6"/>
      <c r="CD5" s="67">
        <v>0</v>
      </c>
      <c r="CE5" s="67">
        <v>0</v>
      </c>
      <c r="CF5" s="67" t="e">
        <v>#REF!</v>
      </c>
      <c r="CG5" s="68" cm="1">
        <f t="array" ref="CG5">SUMPRODUCT(--(LEN(TRIM(BL5:BT5))&gt;0))</f>
        <v>2</v>
      </c>
      <c r="CH5" s="59" t="str">
        <f>IF(CG5=2,"y","n")</f>
        <v>y</v>
      </c>
      <c r="CI5" s="59" t="str">
        <f>IF(CG5=3,"y","n")</f>
        <v>n</v>
      </c>
      <c r="CJ5" s="59" t="str">
        <f>IF(CG5=4,"y","n")</f>
        <v>n</v>
      </c>
      <c r="CK5" s="59" t="str">
        <f>IF(CG5&gt;4,"y","n")</f>
        <v>n</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"[AUS] South Australia"</v>
      </c>
      <c r="CU5" s="70" t="str">
        <f>CHAR(34)&amp;"rgn_"&amp;R5&amp;CHAR(34)</f>
        <v>"rgn_Oceania"</v>
      </c>
      <c r="CV5" s="48" t="str">
        <f>CHAR(34)&amp;D5&amp;CHAR(34)</f>
        <v>"https://upload.wikimedia.org/wikipedia/commons/thumb/f/fd/Flag_of_South_Australia.svg/640px-Flag_of_South_Australia.svg.png"</v>
      </c>
      <c r="CW5" s="48" t="str">
        <f>IF(CH5="y",CHAR(34)&amp;CH$1&amp;CHAR(34)&amp;",","")</f>
        <v>"2Color",</v>
      </c>
      <c r="CX5" s="48" t="str">
        <f>IF(CI5="y",CHAR(34)&amp;CI$1&amp;CHAR(34)&amp;",","")</f>
        <v/>
      </c>
      <c r="CY5" s="48" t="str">
        <f>IF(CJ5="y",CHAR(34)&amp;CJ$1&amp;CHAR(34)&amp;",","")</f>
        <v/>
      </c>
      <c r="CZ5" s="48" t="str">
        <f>IF(CK5="y",CHAR(34)&amp;CK$1&amp;CHAR(34)&amp;",","")</f>
        <v/>
      </c>
      <c r="DA5" s="48" t="str">
        <f>IF(Q5&gt;1,CHAR(34)&amp;"words2"&amp;CHAR(34)&amp;",","")</f>
        <v>"words2",</v>
      </c>
      <c r="DB5" s="48" t="str">
        <f>IF(Q5&gt;2,CHAR(34)&amp;"words3"&amp;CHAR(34)&amp;",","")</f>
        <v/>
      </c>
      <c r="DC5" s="48" t="str">
        <f>IF(Q5=2,CHAR(34)&amp;"exact2"&amp;CHAR(34)&amp;",","")</f>
        <v>"exact2",</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"lets14",</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"startS",</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"GREWHI",</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"year19",</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V5" s="48" t="str">
        <f>IF(IA5&lt;&gt;"",(IF(IA5="y",CHAR(34)&amp;"largec"&amp;CHAR(34)&amp;",",CHAR(34)&amp;"smallc"&amp;CHAR(34)&amp;",")),"")</f>
        <v/>
      </c>
      <c r="DW5" s="48" t="str">
        <f>IF(CL5="y",CHAR(34)&amp;CL$1&amp;CHAR(34)&amp;",","")</f>
        <v>"NoBand",</v>
      </c>
      <c r="DX5" s="48" t="str">
        <f>IF(CM5="y",CHAR(34)&amp;CM$1&amp;CHAR(34)&amp;",","")</f>
        <v/>
      </c>
      <c r="DY5" s="48" t="str">
        <f>IF(CN5="y",CHAR(34)&amp;CN$1&amp;CHAR(34)&amp;",","")</f>
        <v/>
      </c>
      <c r="DZ5" s="48" t="str">
        <f>IF(CO5="y",CHAR(34)&amp;CO$1&amp;CHAR(34)&amp;",","")</f>
        <v/>
      </c>
      <c r="EA5" s="48" t="str">
        <f>IF(T5="y",CHAR(34)&amp;T$1&amp;CHAR(34)&amp;",","")</f>
        <v/>
      </c>
      <c r="EB5" s="48" t="str">
        <f>IF(U5="y",CHAR(34)&amp;U$1&amp;CHAR(34)&amp;",","")</f>
        <v>"Crosse",</v>
      </c>
      <c r="EC5" s="48" t="str">
        <f>IF(V5="y",CHAR(34)&amp;V$1&amp;CHAR(34)&amp;",","")</f>
        <v/>
      </c>
      <c r="ED5" s="48" t="str">
        <f>IF(W5="y",CHAR(34)&amp;W$1&amp;CHAR(34)&amp;",","")</f>
        <v/>
      </c>
      <c r="EE5" s="48" t="str">
        <f>IF(X5="y",CHAR(34)&amp;X$1&amp;CHAR(34)&amp;",","")</f>
        <v>"Circle",</v>
      </c>
      <c r="EF5" s="48" t="str">
        <f>IF(AND(Y5&lt;&gt;"n",Y5&lt;&gt;""),CHAR(34)&amp;Y$1&amp;CHAR(34)&amp;",","")</f>
        <v>"Animal",</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
      </c>
      <c r="EO5" s="48" t="str">
        <f t="shared" si="40"/>
        <v/>
      </c>
      <c r="EP5" s="48" t="str">
        <f t="shared" si="40"/>
        <v>"Canton",</v>
      </c>
      <c r="EQ5" s="48" t="str">
        <f t="shared" si="40"/>
        <v/>
      </c>
      <c r="ER5" s="48" t="str">
        <f t="shared" si="40"/>
        <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"NO_BLU",</v>
      </c>
      <c r="FF5" s="48" t="str">
        <f>IF(COUNTIF(BL5:BT5,"WHI")=0,CHAR(34)&amp;"NO_WHI"&amp;CHAR(34)&amp;",", "")</f>
        <v/>
      </c>
      <c r="FG5" s="48" t="str">
        <f>IF(COUNTIF(BL5:BT5,"RED")=0,CHAR(34)&amp;"NO_RED"&amp;CHAR(34)&amp;",", "")</f>
        <v>"NO_RED",</v>
      </c>
      <c r="FH5" s="48" t="str">
        <f>IF(COUNTIF(BL5:BS5,"GRE")=0,CHAR(34)&amp;"NO_GRE"&amp;CHAR(34)&amp;",", "")</f>
        <v/>
      </c>
      <c r="FI5" s="48" t="str">
        <f>IF(COUNTIF(BL5:BT5,"YEL")=0,CHAR(34)&amp;"NO_YEL"&amp;CHAR(34)&amp;",", "")</f>
        <v>"NO_YEL",</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"BLRENO",</v>
      </c>
      <c r="FP5" s="48" t="str">
        <f>IF(AND(FF5&lt;&gt;"",FF5&lt;&gt;""),CHAR(34)&amp;"WHRENO"&amp;CHAR(34)&amp;",","")</f>
        <v/>
      </c>
      <c r="FQ5" s="48" t="str">
        <f>IF(LEN(BF5)=3,CHAR(34)&amp;"001"&amp;BF5&amp;CHAR(34)&amp;",","")</f>
        <v>"001GRE",</v>
      </c>
      <c r="FR5" s="48" t="str">
        <f>IF(LEN(BG5)=3,CHAR(34)&amp;"002"&amp;BG5&amp;CHAR(34)&amp;",","")</f>
        <v>"002WHI",</v>
      </c>
      <c r="FS5" s="48" t="str">
        <f>IF(LEN(BH5)=3,CHAR(34)&amp;"003"&amp;BH5&amp;CHAR(34)&amp;",","")</f>
        <v>"003GRE",</v>
      </c>
      <c r="FT5" s="48" t="str">
        <f>CHAR(34)&amp;"myr"&amp;BD5&amp;CHAR(34)&amp;","</f>
        <v>"myrGRE",</v>
      </c>
      <c r="FU5" s="48" t="str">
        <f>IF(AY5="y",CHAR(34)&amp;"island"&amp;CHAR(34)&amp;",","")</f>
        <v>"island",</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"englis",</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 t="shared" si="71"/>
        <v/>
      </c>
      <c r="GF5" s="48" t="str">
        <f>IFERROR(IF(SEARCH("Histor",AU5)&gt;0,CHAR(34)&amp;"histor"&amp;CHAR(34)&amp;",",""),"")</f>
        <v/>
      </c>
      <c r="GG5" s="48" t="str">
        <f t="shared" si="72"/>
        <v/>
      </c>
      <c r="GH5" s="48" t="str">
        <f t="shared" si="73"/>
        <v/>
      </c>
      <c r="GI5" s="48" t="str">
        <f t="shared" si="74"/>
        <v/>
      </c>
      <c r="GJ5" s="48" t="str">
        <f>IF(CP5="y",CHAR(34)&amp;CP$1&amp;CHAR(34)&amp;",","")</f>
        <v>"NoStar",</v>
      </c>
      <c r="GK5" s="48" t="str">
        <f>IF(GJ5="",CHAR(34)&amp;"HasSta"&amp;CHAR(34)&amp;",","")</f>
        <v/>
      </c>
      <c r="GL5" s="48" t="str">
        <f>IF(CQ5="y",CHAR(34)&amp;CQ$1&amp;CHAR(34)&amp;",","")</f>
        <v/>
      </c>
      <c r="GM5" s="48" t="str">
        <f>IF(CR5="y",CHAR(34)&amp;CR$1&amp;CHAR(34)&amp;",","")</f>
        <v/>
      </c>
      <c r="GN5" s="48" t="str">
        <f>IF(CS5="y",CHAR(34)&amp;CS$1&amp;CHAR(34)&amp;",","")</f>
        <v/>
      </c>
      <c r="GP5" s="48" t="str">
        <f>CHAR(34)&amp;AU5&amp;CHAR(34)</f>
        <v>"State"</v>
      </c>
      <c r="GS5" s="48" t="str">
        <f>SUBSTITUTE("["&amp;_xlfn.CONCAT(CW5:GN5)&amp;"]",",]","]")</f>
        <v>["2Color","words2","exact2","lets14","startS","GREWHI","year19","NoBand","Crosse","Circle","Animal","Canton","NO_BLU","NO_RED","NO_YEL","NO_BLA","BLRENO","001GRE","002WHI","003GRE","myrGRE","island","englis","NoStar"]</v>
      </c>
      <c r="GT5" s="48" t="str">
        <f t="shared" si="80"/>
        <v>"cl_GRE",</v>
      </c>
      <c r="GU5" s="48" t="str">
        <f t="shared" si="80"/>
        <v>"cl_WHI",</v>
      </c>
      <c r="GV5" s="48" t="str">
        <f t="shared" si="80"/>
        <v/>
      </c>
      <c r="GW5" s="48" t="str">
        <f t="shared" si="80"/>
        <v/>
      </c>
      <c r="GX5" s="48" t="str">
        <f t="shared" si="80"/>
        <v/>
      </c>
      <c r="GY5" s="48" t="str">
        <f t="shared" si="80"/>
        <v/>
      </c>
      <c r="GZ5" s="48" t="str">
        <f t="shared" si="80"/>
        <v/>
      </c>
      <c r="HA5" s="48" t="str">
        <f t="shared" si="80"/>
        <v/>
      </c>
      <c r="HB5" s="48" t="str">
        <f t="shared" si="80"/>
        <v/>
      </c>
      <c r="HC5" s="48" t="str">
        <f>SUBSTITUTE("["&amp;_xlfn.CONCAT(GT5:HB5)&amp;"]",",]","]")</f>
        <v>["cl_GRE","cl_WHI"]</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links: "https://en.wikipedia.org/wiki/Flag_of_South_Australia"},</v>
      </c>
      <c r="HG5" s="73" t="str">
        <f>"{couname:"&amp;CT5&amp;(IF(HK5&lt;&gt;"",",subtype:"&amp;CHAR(34)&amp;HK5&amp;CHAR(34),""))&amp;",year:"&amp;HJ5&amp;",region:"&amp;CU5&amp;",Colors:"&amp;HC5&amp;",Items:"&amp;GS5&amp;",Flag:"&amp;CV5&amp;",HDFlag:"&amp;CHAR(34)&amp;E5&amp;CHAR(34)&amp;",type:"&amp;GP5&amp;", describe: "&amp;HI5&amp;", links: "&amp;HL5&amp;"},"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links: "https://en.wikipedia.org/wiki/Flag_of_South_Australia"},</v>
      </c>
      <c r="HH5" s="48" t="str">
        <f>IF(P5&lt;&gt;"",CHAR(34)&amp;"\n"&amp;P5&amp;CHAR(34),CHAR(34)&amp;CHAR(34))</f>
        <v>"\nThe flag contains the British Blue Ensign and the state badge. The badge contains a piping shrike. "</v>
      </c>
      <c r="HI5" s="48" t="str">
        <f>IF(J5=0,CHAR(34)&amp;CHAR(34),HH5)</f>
        <v>"\nThe flag contains the British Blue Ensign and the state badge. The badge contains a piping shrike. "</v>
      </c>
      <c r="HJ5" s="48" t="str">
        <f>CHAR(34)&amp;O5&amp;CHAR(34)</f>
        <v>"1904"</v>
      </c>
      <c r="HL5" s="48" t="str">
        <f>CHAR(34)&amp;I5&amp;CHAR(34)</f>
        <v>"https://en.wikipedia.org/wiki/Flag_of_South_Australia"</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 "links": "https://en.wikipedia.org/wiki/Flag_of_South_Australia"},</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{"couname":"[AUS] South Australia","year":"1904","region":"rgn_Oceania","Colors":["cl_GRE","cl_WHI"],"Items":["2Color","words2","exact2","lets14","startS","GREWHI","year19","NoBand","Crosse","Circle","Animal","Canton","NO_BLU","NO_RED","NO_YEL","NO_BLA","BLRENO","001GRE","002WHI","003GRE","myrGRE","island","englis","NoStar"],"Flag":"https://upload.wikimedia.org/wikipedia/commons/thumb/f/fd/Flag_of_South_Australia.svg/640px-Flag_of_South_Australia.svg.png","HDFlag":"https://upload.wikimedia.org/wikipedia/commons/thumb/f/fd/Flag_of_South_Australia.svg/2560px-Flag_of_South_Australia.svg.png","type":"State", "describe": "\nThe flag contains the British Blue Ensign and the state badge. The badge contains a piping shrike. ", "isnew": ".", "links": "https://en.wikipedia.org/wiki/Flag_of_South_Australia"},</v>
      </c>
      <c r="HO5" s="75"/>
      <c r="HP5" s="48" t="str" cm="1">
        <f t="array" ref="HP5">IF(_xlfn.TEXTJOIN(", ", TRUE, IF(ISNUMBER(SEARCH("BLA", BL5:BT5)), COLUMN(BL5:BT5) - COLUMN(BL5) + 1, ""))&lt;&gt;"","BLA","")</f>
        <v/>
      </c>
      <c r="HQ5" s="48" t="str" cm="1">
        <f t="array" ref="HQ5">IF(_xlfn.TEXTJOIN(", ", TRUE, IF(ISNUMBER(SEARCH("BLU", BL5:BT5)), COLUMN(BL5:BT5) - COLUMN(BL5) + 1, ""))&lt;&gt;"","BLU","")</f>
        <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SUM(IC5:IK5)</f>
        <v>0</v>
      </c>
      <c r="IM5" s="45">
        <f>COUNTIF(IC5:IK5,"&gt;0")-CG5</f>
        <v>-2</v>
      </c>
      <c r="IN5" s="78" t="str">
        <f>"http://mkweb.bcgsc.ca/color-summarizer/?url="&amp;D5&amp;"&amp;precision=low&amp;num_clusters="&amp;CG5&amp;"&amp;text=1"</f>
        <v>http://mkweb.bcgsc.ca/color-summarizer/?url=https://upload.wikimedia.org/wikipedia/commons/thumb/f/fd/Flag_of_South_Australia.svg/640px-Flag_of_South_Australia.svg.png&amp;precision=low&amp;num_clusters=2&amp;text=1</v>
      </c>
      <c r="IO5" s="48" t="str">
        <f>IF(HP5&lt;&gt;"",CHAR(34)&amp;"black"&amp;CHAR(34),"")</f>
        <v/>
      </c>
      <c r="IP5" s="48" t="str">
        <f>IF(HQ5&lt;&gt;"",CHAR(34)&amp;"blue"&amp;CHAR(34),"")</f>
        <v/>
      </c>
      <c r="IQ5" s="48" t="str">
        <f>IF(HR5&lt;&gt;"",CHAR(34)&amp;"green"&amp;CHAR(34),"")</f>
        <v>"green"</v>
      </c>
      <c r="IR5" s="48" t="str">
        <f>IF(HS5&lt;&gt;"",CHAR(34)&amp;"red"&amp;CHAR(34),"")</f>
        <v/>
      </c>
      <c r="IS5" s="48" t="str">
        <f>IF(HT5&lt;&gt;"",CHAR(34)&amp;"yellow"&amp;CHAR(34),"")</f>
        <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{"url":"http://mkweb.bcgsc.ca/color-summarizer/?url=https://upload.wikimedia.org/wikipedia/commons/thumb/f/fd/Flag_of_South_Australia.svg/640px-Flag_of_South_Australia.svg.png&amp;precision=low&amp;num_clusters=2&amp;text=1","name":"[AUS] South Australia"},</v>
      </c>
      <c r="IY5" s="48">
        <v>158</v>
      </c>
    </row>
    <row r="6" spans="1:259" s="48" customFormat="1" ht="38.4" customHeight="1" thickBot="1" x14ac:dyDescent="0.35">
      <c r="A6" s="79" t="s">
        <v>375</v>
      </c>
      <c r="B6" s="40" t="e" vm="7">
        <v>#VALUE!</v>
      </c>
      <c r="C6" s="41">
        <v>2</v>
      </c>
      <c r="D6" s="42" t="s">
        <v>376</v>
      </c>
      <c r="E6" s="43" t="s">
        <v>377</v>
      </c>
      <c r="F6" s="44" t="s">
        <v>166</v>
      </c>
      <c r="G6" s="45">
        <f>COUNTIF($A$1:$A$8359,A6)</f>
        <v>1</v>
      </c>
      <c r="H6" s="46"/>
      <c r="I6" s="47" t="s">
        <v>378</v>
      </c>
      <c r="J6" s="48" t="str">
        <f>""</f>
        <v/>
      </c>
      <c r="K6" s="49"/>
      <c r="L6" s="50"/>
      <c r="M6" s="50"/>
      <c r="N6" s="51" t="s">
        <v>169</v>
      </c>
      <c r="O6" s="52">
        <v>1876</v>
      </c>
      <c r="P6" s="53" t="s">
        <v>379</v>
      </c>
      <c r="Q6" s="54">
        <v>1</v>
      </c>
      <c r="R6" s="55" t="s">
        <v>169</v>
      </c>
      <c r="S6" s="56">
        <v>0</v>
      </c>
      <c r="T6" s="57" t="s">
        <v>173</v>
      </c>
      <c r="U6" s="58" t="s">
        <v>172</v>
      </c>
      <c r="V6" s="58" t="s">
        <v>173</v>
      </c>
      <c r="W6" s="58" t="s">
        <v>173</v>
      </c>
      <c r="X6" s="58" t="s">
        <v>172</v>
      </c>
      <c r="Y6" s="58" t="s">
        <v>172</v>
      </c>
      <c r="Z6" s="58" t="s">
        <v>173</v>
      </c>
      <c r="AA6" s="58" t="s">
        <v>173</v>
      </c>
      <c r="AB6" s="58" t="s">
        <v>173</v>
      </c>
      <c r="AC6" s="58" t="s">
        <v>173</v>
      </c>
      <c r="AD6" s="58" t="s">
        <v>173</v>
      </c>
      <c r="AE6" s="58" t="s">
        <v>173</v>
      </c>
      <c r="AF6" s="59" t="s">
        <v>173</v>
      </c>
      <c r="AG6" s="59" t="s">
        <v>173</v>
      </c>
      <c r="AH6" s="59" t="s">
        <v>173</v>
      </c>
      <c r="AI6" s="59" t="s">
        <v>172</v>
      </c>
      <c r="AJ6" s="59" t="s">
        <v>173</v>
      </c>
      <c r="AK6" s="59" t="s">
        <v>173</v>
      </c>
      <c r="AL6" s="59" t="s">
        <v>173</v>
      </c>
      <c r="AM6" s="59" t="s">
        <v>173</v>
      </c>
      <c r="AN6" s="59" t="s">
        <v>173</v>
      </c>
      <c r="AO6" s="59" t="s">
        <v>173</v>
      </c>
      <c r="AP6" s="59" t="s">
        <v>173</v>
      </c>
      <c r="AQ6" s="59" t="s">
        <v>173</v>
      </c>
      <c r="AR6" s="59" t="s">
        <v>173</v>
      </c>
      <c r="AS6" s="59" t="s">
        <v>173</v>
      </c>
      <c r="AT6" s="60">
        <v>0</v>
      </c>
      <c r="AU6" s="59" t="s">
        <v>363</v>
      </c>
      <c r="AV6" s="59" t="str">
        <f>IF(LEFT(A6,1)="[",LEFT(A6,5)&amp;AU6&amp;A6,"")</f>
        <v>[AUS]State[AUS] Tasmania</v>
      </c>
      <c r="AW6" s="59" t="str">
        <f>C6&amp;H6&amp;A6</f>
        <v>2[AUS] Tasmania</v>
      </c>
      <c r="AX6" s="61"/>
      <c r="AY6" s="61" t="s">
        <v>172</v>
      </c>
      <c r="AZ6" s="62" t="s">
        <v>155</v>
      </c>
      <c r="BA6" s="62"/>
      <c r="BB6" s="62"/>
      <c r="BC6" s="63"/>
      <c r="BD6" s="64" t="s">
        <v>155</v>
      </c>
      <c r="BE6" s="47"/>
      <c r="BF6" s="64"/>
      <c r="BG6" s="64"/>
      <c r="BH6" s="64"/>
      <c r="BI6" s="64"/>
      <c r="BJ6" s="64"/>
      <c r="BK6" s="47"/>
      <c r="BL6" s="64" t="s">
        <v>155</v>
      </c>
      <c r="BM6" s="64" t="s">
        <v>154</v>
      </c>
      <c r="BN6" s="64" t="s">
        <v>152</v>
      </c>
      <c r="BO6" s="64" t="s">
        <v>159</v>
      </c>
      <c r="BP6" s="64"/>
      <c r="BQ6" s="64"/>
      <c r="BR6" s="64"/>
      <c r="BS6" s="64"/>
      <c r="BT6" s="64"/>
      <c r="BU6" s="65" t="s">
        <v>172</v>
      </c>
      <c r="BV6" s="66" t="s">
        <v>173</v>
      </c>
      <c r="BW6" s="66" t="s">
        <v>174</v>
      </c>
      <c r="BX6" s="47"/>
      <c r="CB6" s="6" t="s">
        <v>380</v>
      </c>
      <c r="CC6" s="6"/>
      <c r="CD6" s="67">
        <v>1</v>
      </c>
      <c r="CE6" s="67">
        <v>0</v>
      </c>
      <c r="CF6" s="67" t="e">
        <v>#REF!</v>
      </c>
      <c r="CG6" s="68" cm="1">
        <f t="array" ref="CG6">SUMPRODUCT(--(LEN(TRIM(BL6:BT6))&gt;0))</f>
        <v>4</v>
      </c>
      <c r="CH6" s="59" t="str">
        <f>IF(CG6=2,"y","n")</f>
        <v>n</v>
      </c>
      <c r="CI6" s="59" t="str">
        <f>IF(CG6=3,"y","n")</f>
        <v>n</v>
      </c>
      <c r="CJ6" s="59" t="str">
        <f>IF(CG6=4,"y","n")</f>
        <v>y</v>
      </c>
      <c r="CK6" s="59" t="str">
        <f>IF(CG6&gt;4,"y","n")</f>
        <v>n</v>
      </c>
      <c r="CL6" s="59" t="str">
        <f>IF(S6=0,"y","n")</f>
        <v>y</v>
      </c>
      <c r="CM6" s="59" t="str">
        <f>IF(S6=2,"y","n")</f>
        <v>n</v>
      </c>
      <c r="CN6" s="59" t="str">
        <f>IF(S6=3,"y","n")</f>
        <v>n</v>
      </c>
      <c r="CO6" s="59" t="str">
        <f>IF(S6&gt;=4,"y","n")</f>
        <v>n</v>
      </c>
      <c r="CP6" s="59" t="str">
        <f>IF(AT6=0,"y","n")</f>
        <v>y</v>
      </c>
      <c r="CQ6" s="59" t="str">
        <f>IF(AT6=1,"y","n")</f>
        <v>n</v>
      </c>
      <c r="CR6" s="59" t="str">
        <f>IF(AT6=2,"y","n")</f>
        <v>n</v>
      </c>
      <c r="CS6" s="59" t="str">
        <f>IF(AT6&gt;=3,"y","n")</f>
        <v>n</v>
      </c>
      <c r="CT6" s="69" t="str">
        <f>CHAR(34)&amp;A6&amp;CHAR(34)</f>
        <v>"[AUS] Tasmania"</v>
      </c>
      <c r="CU6" s="70" t="str">
        <f>CHAR(34)&amp;"rgn_"&amp;R6&amp;CHAR(34)</f>
        <v>"rgn_Oceania"</v>
      </c>
      <c r="CV6" s="48" t="str">
        <f>CHAR(34)&amp;D6&amp;CHAR(34)</f>
        <v>"https://upload.wikimedia.org/wikipedia/commons/thumb/4/46/Flag_of_Tasmania.svg/640px-Flag_of_Tasmania.svg.png"</v>
      </c>
      <c r="CW6" s="48" t="str">
        <f t="shared" ref="CW6:CZ21" si="103">IF(CH6="y",CHAR(34)&amp;CH$1&amp;CHAR(34)&amp;",","")</f>
        <v/>
      </c>
      <c r="CX6" s="48" t="str">
        <f t="shared" si="103"/>
        <v/>
      </c>
      <c r="CY6" s="48" t="str">
        <f t="shared" si="103"/>
        <v>"4Color",</v>
      </c>
      <c r="CZ6" s="48" t="str">
        <f t="shared" si="103"/>
        <v/>
      </c>
      <c r="DA6" s="48" t="str">
        <f>IF(Q6&gt;1,CHAR(34)&amp;"words2"&amp;CHAR(34)&amp;",","")</f>
        <v/>
      </c>
      <c r="DB6" s="48" t="str">
        <f>IF(Q6&gt;2,CHAR(34)&amp;"words3"&amp;CHAR(34)&amp;",","")</f>
        <v/>
      </c>
      <c r="DC6" s="48" t="str">
        <f>IF(Q6=2,CHAR(34)&amp;"exact2"&amp;CHAR(34)&amp;",","")</f>
        <v/>
      </c>
      <c r="DD6" s="48" t="str">
        <f>IF(LEN(CHAR(34)&amp;"lets"&amp;LEN(SUBSTITUTE(SUBSTITUTE(IFERROR(TRIM(SUBSTITUTE(SUBSTITUTE(SUBSTITUTE(IFERROR(TRIM(SUBSTITUTE(A6,MID(A6,FIND("(",A6),FIND(")",A6)-FIND("(",A6)+1),"")),A6),"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",""),"-",""))&amp;CHAR(34)&amp;",")=9,CHAR(34)&amp;"lets"&amp;LEN(SUBSTITUTE(SUBSTITUTE(IFERROR(TRIM(SUBSTITUTE(SUBSTITUTE(SUBSTITUTE(IFERROR(TRIM(SUBSTITUTE(A6,MID(A6,FIND("(",A6),FIND(")",A6)-FIND("(",A6)+1),"")),A6),"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",""),"-",""))&amp;CHAR(34)&amp;",",CHAR(34)&amp;"lets0"&amp;LEN(SUBSTITUTE(SUBSTITUTE(IFERROR(TRIM(SUBSTITUTE(SUBSTITUTE(SUBSTITUTE(IFERROR(TRIM(SUBSTITUTE(A6,MID(A6,FIND("(",A6),FIND(")",A6)-FIND("(",A6)+1),"")),A6)," ",""),"-",""),MID(SUBSTITUTE(SUBSTITUTE(IFERROR(TRIM(SUBSTITUTE(A6,MID(A6,FIND("(",A6),FIND(")",A6)-FIND("(",A6)+1),"")),A6)," ",""),"-",""),FIND("[",SUBSTITUTE(SUBSTITUTE(IFERROR(TRIM(SUBSTITUTE(A6,MID(A6,FIND("(",A6),FIND(")",A6)-FIND("(",A6)+1),"")),A6)," ",""),"-","")),FIND("]",SUBSTITUTE(SUBSTITUTE(IFERROR(TRIM(SUBSTITUTE(A6,MID(A6,FIND("(",A6),FIND(")",A6)-FIND("(",A6)+1),"")),A6)," ",""),"-",""))-FIND("[",SUBSTITUTE(SUBSTITUTE(IFERROR(TRIM(SUBSTITUTE(A6,MID(A6,FIND("(",A6),FIND(")",A6)-FIND("(",A6)+1),"")),A6)," ",""),"-",""))+1),"")),SUBSTITUTE(SUBSTITUTE(IFERROR(TRIM(SUBSTITUTE(A6,MID(A6,FIND("(",A6),FIND(")",A6)-FIND("(",A6)+1),"")),A6)," ",""),"-",""))," ",""),"-",""))&amp;CHAR(34)&amp;",")</f>
        <v>"lets08",</v>
      </c>
      <c r="DE6" s="48" t="str">
        <f>IFERROR(CHAR(34)&amp;"start"&amp;LEFT(TRIM(SUBSTITUTE(SUBSTITUTE(TRIM(SUBSTITUTE(SUBSTITUTE(A6, MID(A6, FIND("[", A6), FIND("]", A6) - FIND("[", A6) + 1), ""), "  ", " ")), MID(TRIM(SUBSTITUTE(SUBSTITUTE(A6, MID(A6, FIND("[", A6), FIND("]", A6) - FIND("[", A6) + 1), ""), "  ", " ")), FIND("[", TRIM(SUBSTITUTE(SUBSTITUTE(A6, MID(A6, FIND("[", A6), FIND("]", A6) - FIND("[", A6) + 1), ""), "  ", " "))), FIND("]", TRIM(SUBSTITUTE(SUBSTITUTE(A6, MID(A6, FIND("[", A6), FIND("]", A6) - FIND("[", A6) + 1), ""), "  ", " "))) - FIND("[", TRIM(SUBSTITUTE(SUBSTITUTE(A6, MID(A6, FIND("[", A6), FIND("]", A6) - FIND("[", A6) + 1), ""), "  ", " "))) + 1), ""), "  ", " ")),1)&amp;CHAR(34)&amp;",",CHAR(34)&amp;"start"&amp;IFERROR(LEFT(SUBSTITUTE(A6,"["&amp;MID(A6,FIND("[",A6)+1,FIND("]",A6)-FIND("[",A6)-1)&amp;"] ",""),1),LEFT(A6,1))&amp;CHAR(34)&amp;",")</f>
        <v>"startT",</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
      </c>
      <c r="DN6" s="48" t="str">
        <f>IF(AND(ISNUMBER(SEARCH("18", O6)), ISERROR(SEARCH("1918", O6)), ISERROR(SEARCH("2018", O6))), CHAR(34) &amp; "year18" &amp; CHAR(34) &amp; ",", "")</f>
        <v>"year18",</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
      </c>
      <c r="DU6" s="6" t="str">
        <f>IF(BY6="y",IF(AND(W6="n",V6="n"),CHAR(34)&amp;"alldia"&amp;CHAR(34)&amp;",",""),"")</f>
        <v/>
      </c>
      <c r="DV6" s="48" t="str">
        <f>IF(IA6&lt;&gt;"",(IF(IA6="y",CHAR(34)&amp;"largec"&amp;CHAR(34)&amp;",",CHAR(34)&amp;"smallc"&amp;CHAR(34)&amp;",")),"")</f>
        <v>"smallc",</v>
      </c>
      <c r="DW6" s="48" t="str">
        <f t="shared" ref="DW6:DZ21" si="104">IF(CL6="y",CHAR(34)&amp;CL$1&amp;CHAR(34)&amp;",","")</f>
        <v>"NoBand",</v>
      </c>
      <c r="DX6" s="48" t="str">
        <f t="shared" si="104"/>
        <v/>
      </c>
      <c r="DY6" s="48" t="str">
        <f t="shared" si="104"/>
        <v/>
      </c>
      <c r="DZ6" s="48" t="str">
        <f t="shared" si="104"/>
        <v/>
      </c>
      <c r="EA6" s="48" t="str">
        <f t="shared" ref="EA6:EE21" si="105">IF(T6="y",CHAR(34)&amp;T$1&amp;CHAR(34)&amp;",","")</f>
        <v/>
      </c>
      <c r="EB6" s="48" t="str">
        <f t="shared" si="105"/>
        <v>"Crosse",</v>
      </c>
      <c r="EC6" s="48" t="str">
        <f t="shared" si="105"/>
        <v/>
      </c>
      <c r="ED6" s="48" t="str">
        <f t="shared" si="105"/>
        <v/>
      </c>
      <c r="EE6" s="48" t="str">
        <f t="shared" si="105"/>
        <v>"Circle",</v>
      </c>
      <c r="EF6" s="48" t="str">
        <f>IF(AND(Y6&lt;&gt;"n",Y6&lt;&gt;""),CHAR(34)&amp;Y$1&amp;CHAR(34)&amp;",","")</f>
        <v>"Animal",</v>
      </c>
      <c r="EG6" s="48" t="str">
        <f t="shared" si="40"/>
        <v/>
      </c>
      <c r="EH6" s="48" t="str">
        <f t="shared" si="40"/>
        <v/>
      </c>
      <c r="EI6" s="48" t="str">
        <f t="shared" si="40"/>
        <v/>
      </c>
      <c r="EJ6" s="48" t="str">
        <f t="shared" si="40"/>
        <v/>
      </c>
      <c r="EK6" s="48" t="str">
        <f t="shared" si="40"/>
        <v/>
      </c>
      <c r="EL6" s="48" t="str">
        <f t="shared" si="40"/>
        <v/>
      </c>
      <c r="EM6" s="48" t="str">
        <f t="shared" si="40"/>
        <v/>
      </c>
      <c r="EN6" s="48" t="str">
        <f t="shared" si="40"/>
        <v/>
      </c>
      <c r="EO6" s="48" t="str">
        <f t="shared" si="40"/>
        <v/>
      </c>
      <c r="EP6" s="48" t="str">
        <f t="shared" si="40"/>
        <v>"Canton",</v>
      </c>
      <c r="EQ6" s="48" t="str">
        <f t="shared" si="40"/>
        <v/>
      </c>
      <c r="ER6" s="48" t="str">
        <f t="shared" si="40"/>
        <v/>
      </c>
      <c r="ES6" s="48" t="str">
        <f t="shared" si="40"/>
        <v/>
      </c>
      <c r="ET6" s="48" t="str">
        <f t="shared" si="40"/>
        <v/>
      </c>
      <c r="EU6" s="48" t="str">
        <f t="shared" si="40"/>
        <v/>
      </c>
      <c r="EV6" s="48" t="str">
        <f t="shared" si="40"/>
        <v/>
      </c>
      <c r="EW6" s="48" t="str">
        <f t="shared" si="40"/>
        <v/>
      </c>
      <c r="EX6" s="48" t="str">
        <f t="shared" si="40"/>
        <v/>
      </c>
      <c r="EY6" s="48" t="str">
        <f t="shared" si="40"/>
        <v/>
      </c>
      <c r="EZ6" s="48" t="str">
        <f t="shared" si="40"/>
        <v/>
      </c>
      <c r="FA6" s="48" t="str">
        <f>IF(AT6&gt;0,CHAR(34)&amp;"sta"&amp;AZ6&amp;CHAR(34)&amp;",","")</f>
        <v/>
      </c>
      <c r="FB6" s="48" t="str">
        <f>IF(AND(AT6&gt;0,BA6&lt;&gt;""),CHAR(34)&amp;"sta"&amp;BA6&amp;CHAR(34)&amp;",","")</f>
        <v/>
      </c>
      <c r="FC6" s="48" t="str">
        <f>IF(AND(AT6&gt;0,BB6&lt;&gt;""),CHAR(34)&amp;"sta"&amp;BB6&amp;CHAR(34)&amp;",","")</f>
        <v/>
      </c>
      <c r="FD6" s="48" t="str">
        <f>IF(BV6="n",CHAR(34)&amp;"tcWHYE"&amp;CHAR(34)&amp;",",IF(BV6="y",CHAR(34)&amp;FD$1&amp;CHAR(34)&amp;",",""))</f>
        <v>"tcWHYE",</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"NO_GRE",</v>
      </c>
      <c r="FI6" s="48" t="str">
        <f>IF(COUNTIF(BL6:BT6,"YEL")=0,CHAR(34)&amp;"NO_YEL"&amp;CHAR(34)&amp;",", "")</f>
        <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
      </c>
      <c r="FR6" s="48" t="str">
        <f>IF(LEN(BG6)=3,CHAR(34)&amp;"002"&amp;BG6&amp;CHAR(34)&amp;",","")</f>
        <v/>
      </c>
      <c r="FS6" s="48" t="str">
        <f>IF(LEN(BH6)=3,CHAR(34)&amp;"003"&amp;BH6&amp;CHAR(34)&amp;",","")</f>
        <v/>
      </c>
      <c r="FT6" s="48" t="str">
        <f>CHAR(34)&amp;"myr"&amp;BD6&amp;CHAR(34)&amp;","</f>
        <v>"myrYEL",</v>
      </c>
      <c r="FU6" s="48" t="str">
        <f>IF(AY6="y",CHAR(34)&amp;"island"&amp;CHAR(34)&amp;",","")</f>
        <v>"island",</v>
      </c>
      <c r="FV6" s="48" t="str">
        <f>IF(BZ6="y",CHAR(34)&amp;"landlo"&amp;CHAR(34)&amp;",","")</f>
        <v/>
      </c>
      <c r="FW6" s="48" t="str">
        <f>IF(CA6="y",CHAR(34)&amp;"eunion"&amp;CHAR(34)&amp;",","")</f>
        <v/>
      </c>
      <c r="FX6" s="48" t="str">
        <f>SUBSTITUTE(IFERROR(SEARCH("[",A6),IFERROR(IF(AND(CA6&lt;&gt;"y",SEARCH("Europe",R6)&gt;0),CHAR(34)&amp;"noeuni"&amp;CHAR(34)&amp;",",""),"")),"1","")</f>
        <v/>
      </c>
      <c r="FY6" s="48" t="str">
        <f>IFERROR(IF(SEARCH("Arabic",CB6)&gt;0,CHAR(34)&amp;"arabic"&amp;CHAR(34)&amp;",",""),"")</f>
        <v/>
      </c>
      <c r="FZ6" s="48" t="str">
        <f>IFERROR(IF(SEARCH("English",CB6)&gt;0,CHAR(34)&amp;"englis"&amp;CHAR(34)&amp;",",""),"")</f>
        <v>"englis",</v>
      </c>
      <c r="GA6" s="48" t="str">
        <f>IFERROR(IF(SEARCH("French",CB6)&gt;0,CHAR(34)&amp;"french"&amp;CHAR(34)&amp;",",""),"")</f>
        <v/>
      </c>
      <c r="GB6" s="48" t="str">
        <f>IFERROR(IF(SEARCH("Spanish",CB6)&gt;0,CHAR(34)&amp;"spanis"&amp;CHAR(34)&amp;",",""),"")</f>
        <v/>
      </c>
      <c r="GC6" s="48" t="str">
        <f>IFERROR(IF(SEARCH("Portuguese",CB6)&gt;0,CHAR(34)&amp;"portug"&amp;CHAR(34)&amp;",",""),"")</f>
        <v/>
      </c>
      <c r="GD6" s="48" t="str">
        <f>IFERROR(IF(SEARCH("German",CB6)&gt;0,CHAR(34)&amp;"german"&amp;CHAR(34)&amp;",",""),"")</f>
        <v/>
      </c>
      <c r="GE6" s="48" t="str">
        <f>IFERROR(IF(SEARCH("Dutch",CB6)&gt;0,CHAR(34)&amp;"dutchs"&amp;CHAR(34)&amp;",",""),"")</f>
        <v/>
      </c>
      <c r="GF6" s="48" t="str">
        <f>IFERROR(IF(SEARCH("Histor",AU6)&gt;0,CHAR(34)&amp;"histor"&amp;CHAR(34)&amp;",",""),"")</f>
        <v/>
      </c>
      <c r="GG6" s="48" t="str">
        <f>IF(BU6="y",CHAR(34)&amp;"unjack"&amp;CHAR(34)&amp;",","")</f>
        <v>"unjack",</v>
      </c>
      <c r="GH6" s="48" t="str">
        <f>IF(CD6=1,CHAR(34)&amp;"southc"&amp;CHAR(34)&amp;",","")</f>
        <v>"southc",</v>
      </c>
      <c r="GI6" s="48" t="str">
        <f>IF(CE6=1,CHAR(34)&amp;"hasmap"&amp;CHAR(34)&amp;",","")</f>
        <v/>
      </c>
      <c r="GJ6" s="48" t="str">
        <f>IF(CP6="y",CHAR(34)&amp;CP$1&amp;CHAR(34)&amp;",","")</f>
        <v>"NoStar",</v>
      </c>
      <c r="GK6" s="48" t="str">
        <f>IF(GJ6="",CHAR(34)&amp;"HasSta"&amp;CHAR(34)&amp;",","")</f>
        <v/>
      </c>
      <c r="GL6" s="48" t="str">
        <f t="shared" ref="GL6:GN21" si="106">IF(CQ6="y",CHAR(34)&amp;CQ$1&amp;CHAR(34)&amp;",","")</f>
        <v/>
      </c>
      <c r="GM6" s="48" t="str">
        <f t="shared" si="106"/>
        <v/>
      </c>
      <c r="GN6" s="48" t="str">
        <f t="shared" si="106"/>
        <v/>
      </c>
      <c r="GP6" s="48" t="str">
        <f>CHAR(34)&amp;AU6&amp;CHAR(34)</f>
        <v>"State"</v>
      </c>
      <c r="GS6" s="48" t="str">
        <f>SUBSTITUTE("["&amp;_xlfn.CONCAT(CW6:GN6)&amp;"]",",]","]")</f>
        <v>["4Color","lets08","startT","year18","smallc","NoBand","Crosse","Circle","Animal","Canton","tcWHYE","NO_GRE","NO_BLA","myrYEL","island","englis","unjack","southc","NoStar"]</v>
      </c>
      <c r="GT6" s="48" t="str">
        <f t="shared" si="80"/>
        <v>"cl_YEL",</v>
      </c>
      <c r="GU6" s="48" t="str">
        <f t="shared" si="80"/>
        <v>"cl_RED",</v>
      </c>
      <c r="GV6" s="48" t="str">
        <f t="shared" si="80"/>
        <v>"cl_BLU",</v>
      </c>
      <c r="GW6" s="48" t="str">
        <f t="shared" si="80"/>
        <v>"cl_WHI",</v>
      </c>
      <c r="GX6" s="48" t="str">
        <f t="shared" si="80"/>
        <v/>
      </c>
      <c r="GY6" s="48" t="str">
        <f t="shared" si="80"/>
        <v/>
      </c>
      <c r="GZ6" s="48" t="str">
        <f t="shared" si="80"/>
        <v/>
      </c>
      <c r="HA6" s="48" t="str">
        <f t="shared" si="80"/>
        <v/>
      </c>
      <c r="HB6" s="48" t="str">
        <f t="shared" si="80"/>
        <v/>
      </c>
      <c r="HC6" s="48" t="str">
        <f>SUBSTITUTE("["&amp;_xlfn.CONCAT(GT6:HB6)&amp;"]",",]","]")</f>
        <v>["cl_YEL","cl_RED","cl_BLU","cl_WHI"]</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links: "https://en.wikipedia.org/wiki/Flag_of_Tasmania"},</v>
      </c>
      <c r="HG6" s="73" t="str">
        <f>"{couname:"&amp;CT6&amp;(IF(HK6&lt;&gt;"",",subtype:"&amp;CHAR(34)&amp;HK6&amp;CHAR(34),""))&amp;",year:"&amp;HJ6&amp;",region:"&amp;CU6&amp;",Colors:"&amp;HC6&amp;",Items:"&amp;GS6&amp;",Flag:"&amp;CV6&amp;",HDFlag:"&amp;CHAR(34)&amp;E6&amp;CHAR(34)&amp;",type:"&amp;GP6&amp;", describe: "&amp;HI6&amp;", links: "&amp;HL6&amp;"},"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links: "https://en.wikipedia.org/wiki/Flag_of_Tasmania"},</v>
      </c>
      <c r="HH6" s="48" t="str">
        <f>IF(P6&lt;&gt;"",CHAR(34)&amp;"\n"&amp;P6&amp;CHAR(34),CHAR(34)&amp;CHAR(34))</f>
        <v>"\nThe flag has the Union Jack and the blue background like Australia. The badge contains a red lion. The red lion is assumed to be a reference to Great Britian"</v>
      </c>
      <c r="HI6" s="48" t="str">
        <f>IF(J6=0,CHAR(34)&amp;CHAR(34),HH6)</f>
        <v>"\nThe flag has the Union Jack and the blue background like Australia. The badge contains a red lion. The red lion is assumed to be a reference to Great Britian"</v>
      </c>
      <c r="HJ6" s="48" t="str">
        <f>CHAR(34)&amp;O6&amp;CHAR(34)</f>
        <v>"1876"</v>
      </c>
      <c r="HL6" s="48" t="str">
        <f>CHAR(34)&amp;I6&amp;CHAR(34)</f>
        <v>"https://en.wikipedia.org/wiki/Flag_of_Tasmania"</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 "links": "https://en.wikipedia.org/wiki/Flag_of_Tasmania"},</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{"couname":"[AUS] Tasmania","year":"1876","region":"rgn_Oceania","Colors":["cl_YEL","cl_RED","cl_BLU","cl_WHI"],"Items":["4Color","lets08","startT","year18","smallc","NoBand","Crosse","Circle","Animal","Canton","tcWHYE","NO_GRE","NO_BLA","myrYEL","island","englis","unjack","southc","NoStar"],"Flag":"https://upload.wikimedia.org/wikipedia/commons/thumb/4/46/Flag_of_Tasmania.svg/640px-Flag_of_Tasmania.svg.png","HDFlag":"https://upload.wikimedia.org/wikipedia/commons/thumb/4/46/Flag_of_Tasmania.svg/2560px-Flag_of_Tasmania.svg.png","type":"State", "describe": "\nThe flag has the Union Jack and the blue background like Australia. The badge contains a red lion. The red lion is assumed to be a reference to Great Britian", "isnew": ".", "links": "https://en.wikipedia.org/wiki/Flag_of_Tasmania"},</v>
      </c>
      <c r="HO6" s="75"/>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t="s">
        <v>173</v>
      </c>
      <c r="IB6" s="6" t="s">
        <v>173</v>
      </c>
      <c r="IC6" s="77"/>
      <c r="ID6" s="77"/>
      <c r="IE6" s="77"/>
      <c r="IF6" s="77"/>
      <c r="IG6" s="77"/>
      <c r="IH6" s="77"/>
      <c r="II6" s="77"/>
      <c r="IJ6" s="77"/>
      <c r="IK6" s="77"/>
      <c r="IL6" s="48">
        <f>SUM(IC6:IK6)</f>
        <v>0</v>
      </c>
      <c r="IM6" s="45">
        <f>COUNTIF(IC6:IK6,"&gt;0")-CG6</f>
        <v>-4</v>
      </c>
      <c r="IN6" s="78" t="str">
        <f>"http://mkweb.bcgsc.ca/color-summarizer/?url="&amp;D6&amp;"&amp;precision=low&amp;num_clusters="&amp;CG6&amp;"&amp;text=1"</f>
        <v>http://mkweb.bcgsc.ca/color-summarizer/?url=https://upload.wikimedia.org/wikipedia/commons/thumb/4/46/Flag_of_Tasmania.svg/640px-Flag_of_Tasmania.svg.png&amp;precision=low&amp;num_clusters=4&amp;text=1</v>
      </c>
      <c r="IO6" s="48" t="str">
        <f>IF(HP6&lt;&gt;"",CHAR(34)&amp;"black"&amp;CHAR(34),"")</f>
        <v/>
      </c>
      <c r="IP6" s="48" t="str">
        <f>IF(HQ6&lt;&gt;"",CHAR(34)&amp;"blue"&amp;CHAR(34),"")</f>
        <v>"blue"</v>
      </c>
      <c r="IQ6" s="48" t="str">
        <f>IF(HR6&lt;&gt;"",CHAR(34)&amp;"green"&amp;CHAR(34),"")</f>
        <v/>
      </c>
      <c r="IR6" s="48" t="str">
        <f>IF(HS6&lt;&gt;"",CHAR(34)&amp;"red"&amp;CHAR(34),"")</f>
        <v>"red"</v>
      </c>
      <c r="IS6" s="48" t="str">
        <f>IF(HT6&lt;&gt;"",CHAR(34)&amp;"yellow"&amp;CHAR(34),"")</f>
        <v>"yellow"</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{"url":"http://mkweb.bcgsc.ca/color-summarizer/?url=https://upload.wikimedia.org/wikipedia/commons/thumb/4/46/Flag_of_Tasmania.svg/640px-Flag_of_Tasmania.svg.png&amp;precision=low&amp;num_clusters=4&amp;text=1","name":"[AUS] Tasmania"},</v>
      </c>
      <c r="IY6" s="48">
        <v>157</v>
      </c>
    </row>
    <row r="7" spans="1:259" s="48" customFormat="1" ht="38.4" customHeight="1" thickBot="1" x14ac:dyDescent="0.35">
      <c r="A7" s="79" t="s">
        <v>381</v>
      </c>
      <c r="B7" s="40" t="e" vm="8">
        <v>#VALUE!</v>
      </c>
      <c r="C7" s="41">
        <v>2</v>
      </c>
      <c r="D7" s="42" t="s">
        <v>382</v>
      </c>
      <c r="E7" s="43" t="s">
        <v>383</v>
      </c>
      <c r="F7" s="44" t="s">
        <v>166</v>
      </c>
      <c r="G7" s="45">
        <f>COUNTIF($A$1:$A$8359,A7)</f>
        <v>1</v>
      </c>
      <c r="H7" s="46"/>
      <c r="I7" s="47" t="s">
        <v>384</v>
      </c>
      <c r="J7" s="48" t="str">
        <f>""</f>
        <v/>
      </c>
      <c r="K7" s="49"/>
      <c r="L7" s="50"/>
      <c r="M7" s="50"/>
      <c r="N7" s="51" t="s">
        <v>169</v>
      </c>
      <c r="O7" s="52">
        <v>1870</v>
      </c>
      <c r="P7" s="53" t="s">
        <v>385</v>
      </c>
      <c r="Q7" s="54">
        <v>1</v>
      </c>
      <c r="R7" s="55" t="s">
        <v>169</v>
      </c>
      <c r="S7" s="56">
        <v>0</v>
      </c>
      <c r="T7" s="57" t="s">
        <v>173</v>
      </c>
      <c r="U7" s="58" t="s">
        <v>172</v>
      </c>
      <c r="V7" s="58" t="s">
        <v>173</v>
      </c>
      <c r="W7" s="58" t="s">
        <v>173</v>
      </c>
      <c r="X7" s="58" t="s">
        <v>173</v>
      </c>
      <c r="Y7" s="58" t="s">
        <v>173</v>
      </c>
      <c r="Z7" s="58" t="s">
        <v>172</v>
      </c>
      <c r="AA7" s="58" t="s">
        <v>173</v>
      </c>
      <c r="AB7" s="58" t="s">
        <v>173</v>
      </c>
      <c r="AC7" s="58" t="s">
        <v>173</v>
      </c>
      <c r="AD7" s="58" t="s">
        <v>173</v>
      </c>
      <c r="AE7" s="58" t="s">
        <v>173</v>
      </c>
      <c r="AF7" s="59" t="s">
        <v>173</v>
      </c>
      <c r="AG7" s="59" t="s">
        <v>173</v>
      </c>
      <c r="AH7" s="59" t="s">
        <v>173</v>
      </c>
      <c r="AI7" s="59" t="s">
        <v>172</v>
      </c>
      <c r="AJ7" s="59" t="s">
        <v>173</v>
      </c>
      <c r="AK7" s="59" t="s">
        <v>173</v>
      </c>
      <c r="AL7" s="59" t="s">
        <v>173</v>
      </c>
      <c r="AM7" s="59" t="s">
        <v>173</v>
      </c>
      <c r="AN7" s="59" t="s">
        <v>173</v>
      </c>
      <c r="AO7" s="59" t="s">
        <v>173</v>
      </c>
      <c r="AP7" s="59" t="s">
        <v>173</v>
      </c>
      <c r="AQ7" s="59" t="s">
        <v>172</v>
      </c>
      <c r="AR7" s="59" t="s">
        <v>173</v>
      </c>
      <c r="AS7" s="59" t="s">
        <v>173</v>
      </c>
      <c r="AT7" s="60">
        <v>5</v>
      </c>
      <c r="AU7" s="59" t="s">
        <v>363</v>
      </c>
      <c r="AV7" s="59" t="str">
        <f>IF(LEFT(A7,1)="[",LEFT(A7,5)&amp;AU7&amp;A7,"")</f>
        <v>[AUS]State[AUS] Victoria</v>
      </c>
      <c r="AW7" s="59" t="str">
        <f>C7&amp;H7&amp;A7</f>
        <v>2[AUS] Victoria</v>
      </c>
      <c r="AX7" s="61"/>
      <c r="AY7" s="61"/>
      <c r="AZ7" s="62" t="s">
        <v>151</v>
      </c>
      <c r="BA7" s="62"/>
      <c r="BB7" s="62"/>
      <c r="BC7" s="63"/>
      <c r="BD7" s="64" t="s">
        <v>159</v>
      </c>
      <c r="BE7" s="47"/>
      <c r="BF7" s="64" t="s">
        <v>159</v>
      </c>
      <c r="BG7" s="64" t="s">
        <v>151</v>
      </c>
      <c r="BH7" s="64" t="s">
        <v>159</v>
      </c>
      <c r="BI7" s="64"/>
      <c r="BJ7" s="64"/>
      <c r="BK7" s="47"/>
      <c r="BL7" s="64" t="s">
        <v>159</v>
      </c>
      <c r="BM7" s="64" t="s">
        <v>151</v>
      </c>
      <c r="BN7" s="64"/>
      <c r="BO7" s="64"/>
      <c r="BP7" s="64"/>
      <c r="BQ7" s="64"/>
      <c r="BR7" s="64"/>
      <c r="BS7" s="64"/>
      <c r="BT7" s="64"/>
      <c r="BU7" s="65"/>
      <c r="BV7" s="66"/>
      <c r="BW7" s="66">
        <v>0</v>
      </c>
      <c r="BX7" s="47"/>
      <c r="CB7" s="6"/>
      <c r="CC7" s="6"/>
      <c r="CD7" s="67">
        <v>0</v>
      </c>
      <c r="CE7" s="67">
        <v>0</v>
      </c>
      <c r="CF7" s="67" t="e">
        <v>#REF!</v>
      </c>
      <c r="CG7" s="68" cm="1">
        <f t="array" ref="CG7">SUMPRODUCT(--(LEN(TRIM(BL7:BT7))&gt;0))</f>
        <v>2</v>
      </c>
      <c r="CH7" s="59" t="str">
        <f>IF(CG7=2,"y","n")</f>
        <v>y</v>
      </c>
      <c r="CI7" s="59" t="str">
        <f>IF(CG7=3,"y","n")</f>
        <v>n</v>
      </c>
      <c r="CJ7" s="59" t="str">
        <f>IF(CG7=4,"y","n")</f>
        <v>n</v>
      </c>
      <c r="CK7" s="59" t="str">
        <f>IF(CG7&gt;4,"y","n")</f>
        <v>n</v>
      </c>
      <c r="CL7" s="59" t="str">
        <f>IF(S7=0,"y","n")</f>
        <v>y</v>
      </c>
      <c r="CM7" s="59" t="str">
        <f>IF(S7=2,"y","n")</f>
        <v>n</v>
      </c>
      <c r="CN7" s="59" t="str">
        <f>IF(S7=3,"y","n")</f>
        <v>n</v>
      </c>
      <c r="CO7" s="59" t="str">
        <f>IF(S7&gt;=4,"y","n")</f>
        <v>n</v>
      </c>
      <c r="CP7" s="59" t="str">
        <f>IF(AT7=0,"y","n")</f>
        <v>n</v>
      </c>
      <c r="CQ7" s="59" t="str">
        <f>IF(AT7=1,"y","n")</f>
        <v>n</v>
      </c>
      <c r="CR7" s="59" t="str">
        <f>IF(AT7=2,"y","n")</f>
        <v>n</v>
      </c>
      <c r="CS7" s="59" t="str">
        <f>IF(AT7&gt;=3,"y","n")</f>
        <v>y</v>
      </c>
      <c r="CT7" s="69" t="str">
        <f>CHAR(34)&amp;A7&amp;CHAR(34)</f>
        <v>"[AUS] Victoria"</v>
      </c>
      <c r="CU7" s="70" t="str">
        <f>CHAR(34)&amp;"rgn_"&amp;R7&amp;CHAR(34)</f>
        <v>"rgn_Oceania"</v>
      </c>
      <c r="CV7" s="48" t="str">
        <f>CHAR(34)&amp;D7&amp;CHAR(34)</f>
        <v>"https://upload.wikimedia.org/wikipedia/commons/thumb/0/08/Flag_of_Victoria_%28Australia%29.svg/640px-Flag_of_Victoria_%28Australia%29.svg.png"</v>
      </c>
      <c r="CW7" s="48" t="str">
        <f t="shared" si="103"/>
        <v>"2Color",</v>
      </c>
      <c r="CX7" s="48" t="str">
        <f t="shared" si="103"/>
        <v/>
      </c>
      <c r="CY7" s="48" t="str">
        <f t="shared" si="103"/>
        <v/>
      </c>
      <c r="CZ7" s="48" t="str">
        <f t="shared" si="103"/>
        <v/>
      </c>
      <c r="DA7" s="48" t="str">
        <f>IF(Q7&gt;1,CHAR(34)&amp;"words2"&amp;CHAR(34)&amp;",","")</f>
        <v/>
      </c>
      <c r="DB7" s="48" t="str">
        <f>IF(Q7&gt;2,CHAR(34)&amp;"words3"&amp;CHAR(34)&amp;",","")</f>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"lets08",</v>
      </c>
      <c r="DE7" s="48" t="str">
        <f>CHAR(34)&amp;"start"&amp;IFERROR(LEFT(SUBSTITUTE(A7,"["&amp;MID(A7,FIND("[",A7)+1,FIND("]",A7)-FIND("[",A7)-1)&amp;"] ",""),1),LEFT(A7,1))&amp;CHAR(34)&amp;","</f>
        <v>"startV",</v>
      </c>
      <c r="DF7" s="48" t="str">
        <f>IFERROR(IF(SEARCH("tan",A7)&gt;0,CHAR(34)&amp;"withtn"&amp;CHAR(34)&amp;",",""),"")</f>
        <v/>
      </c>
      <c r="DG7" s="48" t="str">
        <f>IFERROR(IF(SEARCH("q",A7)&gt;0,CHAR(34)&amp;"with_q"&amp;CHAR(34)&amp;",",""),"")</f>
        <v/>
      </c>
      <c r="DH7" s="48" t="str">
        <f>IFERROR(IF(SEARCH("v",A7)&gt;0,CHAR(34)&amp;"with_v"&amp;CHAR(34)&amp;",",""),"")</f>
        <v>"with_v",</v>
      </c>
      <c r="DI7" s="48" t="str">
        <f>IFERROR(IF(SEARCH("w",A7)&gt;0,CHAR(34)&amp;"with_w"&amp;CHAR(34)&amp;",",""),"")</f>
        <v/>
      </c>
      <c r="DJ7" s="48" t="str">
        <f>IFERROR(IF(SEARCH("y",A7)&gt;0,CHAR(34)&amp;"with_y"&amp;CHAR(34)&amp;",",""),"")</f>
        <v/>
      </c>
      <c r="DK7" s="48" t="str">
        <f>IFERROR(IF(SEARCH("z",A7)&gt;0,CHAR(34)&amp;"with_z"&amp;CHAR(34)&amp;",",""),"")</f>
        <v/>
      </c>
      <c r="DL7" s="48" t="str">
        <f>IF(CG7=2, CHAR(34) &amp; _xlfn.TEXTJOIN("", TRUE, _xlfn._xlws.SORT(HP7:HX7)) &amp; CHAR(34) &amp; ",", "")</f>
        <v>"BLAWHI",</v>
      </c>
      <c r="DM7" s="48" t="str" cm="1">
        <f t="array" ref="DM7">IF(CG7=3,CHAR(34) &amp; _xlfn.TEXTJOIN("", TRUE, RIGHT(HP7:HX7, 2)) &amp; CHAR(34) &amp; ",", "")</f>
        <v/>
      </c>
      <c r="DN7" s="48" t="str">
        <f>IF(AND(ISNUMBER(SEARCH("18", O7)), ISERROR(SEARCH("1918", O7)), ISERROR(SEARCH("2018", O7))), CHAR(34) &amp; "year18" &amp; CHAR(34) &amp; ",", "")</f>
        <v>"year18",</v>
      </c>
      <c r="DO7" s="48" t="str">
        <f>IF(AND(ISNUMBER(SEARCH("19", O7)), ISERROR(SEARCH("1819", O7)),  ISERROR(SEARCH("1219", O7)),ISERROR(SEARCH("1119", O7)),ISERROR(SEARCH("1190", O7)),ISERROR(SEARCH("2019", O7))), CHAR(34) &amp; "year19" &amp; CHAR(34) &amp; ",", "")</f>
        <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
      </c>
      <c r="DU7" s="6" t="str">
        <f>IF(BY7="y",IF(AND(W7="n",V7="n"),CHAR(34)&amp;"alldia"&amp;CHAR(34)&amp;",",""),"")</f>
        <v/>
      </c>
      <c r="DW7" s="48" t="str">
        <f t="shared" si="104"/>
        <v>"NoBand",</v>
      </c>
      <c r="DX7" s="48" t="str">
        <f t="shared" si="104"/>
        <v/>
      </c>
      <c r="DY7" s="48" t="str">
        <f t="shared" si="104"/>
        <v/>
      </c>
      <c r="DZ7" s="48" t="str">
        <f t="shared" si="104"/>
        <v/>
      </c>
      <c r="EA7" s="48" t="str">
        <f t="shared" si="105"/>
        <v/>
      </c>
      <c r="EB7" s="48" t="str">
        <f t="shared" si="105"/>
        <v>"Crosse",</v>
      </c>
      <c r="EC7" s="48" t="str">
        <f t="shared" si="105"/>
        <v/>
      </c>
      <c r="ED7" s="48" t="str">
        <f t="shared" si="105"/>
        <v/>
      </c>
      <c r="EE7" s="48" t="str">
        <f t="shared" si="105"/>
        <v/>
      </c>
      <c r="EF7" s="48" t="str">
        <f>IF(AND(Y7&lt;&gt;"n",Y7&lt;&gt;""),CHAR(34)&amp;Y$1&amp;CHAR(34)&amp;",","")</f>
        <v/>
      </c>
      <c r="EG7" s="48" t="str">
        <f t="shared" si="40"/>
        <v>"Bird",</v>
      </c>
      <c r="EH7" s="48" t="str">
        <f t="shared" si="40"/>
        <v/>
      </c>
      <c r="EI7" s="48" t="str">
        <f t="shared" si="40"/>
        <v/>
      </c>
      <c r="EJ7" s="48" t="str">
        <f t="shared" si="40"/>
        <v/>
      </c>
      <c r="EK7" s="48" t="str">
        <f t="shared" si="40"/>
        <v/>
      </c>
      <c r="EL7" s="48" t="str">
        <f t="shared" si="40"/>
        <v/>
      </c>
      <c r="EM7" s="48" t="str">
        <f t="shared" si="40"/>
        <v/>
      </c>
      <c r="EN7" s="48" t="str">
        <f t="shared" si="40"/>
        <v/>
      </c>
      <c r="EO7" s="48" t="str">
        <f t="shared" si="40"/>
        <v/>
      </c>
      <c r="EP7" s="48" t="str">
        <f t="shared" si="40"/>
        <v>"Canton",</v>
      </c>
      <c r="EQ7" s="48" t="str">
        <f t="shared" si="40"/>
        <v/>
      </c>
      <c r="ER7" s="48" t="str">
        <f t="shared" si="40"/>
        <v/>
      </c>
      <c r="ES7" s="48" t="str">
        <f t="shared" si="40"/>
        <v/>
      </c>
      <c r="ET7" s="48" t="str">
        <f t="shared" si="40"/>
        <v/>
      </c>
      <c r="EU7" s="48" t="str">
        <f t="shared" si="40"/>
        <v/>
      </c>
      <c r="EV7" s="48" t="str">
        <f t="shared" si="40"/>
        <v/>
      </c>
      <c r="EW7" s="48" t="str">
        <f t="shared" si="40"/>
        <v/>
      </c>
      <c r="EX7" s="48" t="str">
        <f t="shared" si="40"/>
        <v>"Crowns",</v>
      </c>
      <c r="EY7" s="48" t="str">
        <f t="shared" si="40"/>
        <v/>
      </c>
      <c r="EZ7" s="48" t="str">
        <f t="shared" si="40"/>
        <v/>
      </c>
      <c r="FA7" s="48" t="str">
        <f>IF(AT7&gt;0,CHAR(34)&amp;"sta"&amp;AZ7&amp;CHAR(34)&amp;",","")</f>
        <v>"staBLA",</v>
      </c>
      <c r="FB7" s="48" t="str">
        <f>IF(AND(AT7&gt;0,BA7&lt;&gt;""),CHAR(34)&amp;"sta"&amp;BA7&amp;CHAR(34)&amp;",","")</f>
        <v/>
      </c>
      <c r="FD7" s="48" t="str">
        <f>IF(BV7="n",CHAR(34)&amp;"tcWHYE"&amp;CHAR(34)&amp;",",IF(BV7="y",CHAR(34)&amp;FD$1&amp;CHAR(34)&amp;",",""))</f>
        <v/>
      </c>
      <c r="FE7" s="48" t="str">
        <f>IF(COUNTIF(BL7:BT7,"BLU")=0,CHAR(34)&amp;"NO_BLU"&amp;CHAR(34)&amp;",", "")</f>
        <v>"NO_BLU",</v>
      </c>
      <c r="FF7" s="48" t="str">
        <f>IF(COUNTIF(BL7:BT7,"WHI")=0,CHAR(34)&amp;"NO_WHI"&amp;CHAR(34)&amp;",", "")</f>
        <v/>
      </c>
      <c r="FG7" s="48" t="str">
        <f>IF(COUNTIF(BL7:BT7,"RED")=0,CHAR(34)&amp;"NO_RED"&amp;CHAR(34)&amp;",", "")</f>
        <v>"NO_RED",</v>
      </c>
      <c r="FH7" s="48" t="str">
        <f>IF(COUNTIF(BL7:BS7,"GRE")=0,CHAR(34)&amp;"NO_GRE"&amp;CHAR(34)&amp;",", "")</f>
        <v>"NO_GRE",</v>
      </c>
      <c r="FI7" s="48" t="str">
        <f>IF(COUNTIF(BL7:BT7,"YEL")=0,CHAR(34)&amp;"NO_YEL"&amp;CHAR(34)&amp;",", "")</f>
        <v>"NO_YEL",</v>
      </c>
      <c r="FJ7" s="48" t="str">
        <f>IF(COUNTIF(BL7:BT7,"BLA")=0,CHAR(34)&amp;"NO_BLA"&amp;CHAR(34)&amp;",", "")</f>
        <v/>
      </c>
      <c r="FK7" s="48" t="str">
        <f>IF(AND(FH7&lt;&gt;"",FF7&lt;&gt;""),CHAR(34)&amp;"WHGRNO"&amp;CHAR(34)&amp;",","")</f>
        <v/>
      </c>
      <c r="FL7" s="48" t="str">
        <f>IF(AND(FI7&lt;&gt;"",FF7&lt;&gt;""),CHAR(34)&amp;"WHYENO"&amp;CHAR(34)&amp;",","")</f>
        <v/>
      </c>
      <c r="FM7" s="48" t="str">
        <f>IF(AND(FJ7&lt;&gt;"",FF7&lt;&gt;""),CHAR(34)&amp;"BAWHNO"&amp;CHAR(34)&amp;",","")</f>
        <v/>
      </c>
      <c r="FN7" s="48" t="str">
        <f>IF(AND(FE7&lt;&gt;"",FF7&lt;&gt;""),CHAR(34)&amp;"BLWHNO"&amp;CHAR(34)&amp;",","")</f>
        <v/>
      </c>
      <c r="FO7" s="48" t="str">
        <f>IF(AND(FE7&lt;&gt;"",FG7&lt;&gt;""),CHAR(34)&amp;"BLRENO"&amp;CHAR(34)&amp;",","")</f>
        <v>"BLRENO",</v>
      </c>
      <c r="FP7" s="48" t="str">
        <f>IF(AND(FF7&lt;&gt;"",FF7&lt;&gt;""),CHAR(34)&amp;"WHRENO"&amp;CHAR(34)&amp;",","")</f>
        <v/>
      </c>
      <c r="FQ7" s="48" t="str">
        <f>IF(LEN(BF7)=3,CHAR(34)&amp;"001"&amp;BF7&amp;CHAR(34)&amp;",","")</f>
        <v>"001WHI",</v>
      </c>
      <c r="FR7" s="48" t="str">
        <f>IF(LEN(BG7)=3,CHAR(34)&amp;"002"&amp;BG7&amp;CHAR(34)&amp;",","")</f>
        <v>"002BLA",</v>
      </c>
      <c r="FS7" s="48" t="str">
        <f>IF(LEN(BH7)=3,CHAR(34)&amp;"003"&amp;BH7&amp;CHAR(34)&amp;",","")</f>
        <v>"003WHI",</v>
      </c>
      <c r="FT7" s="48" t="str">
        <f>CHAR(34)&amp;"myr"&amp;BD7&amp;CHAR(34)&amp;","</f>
        <v>"myrWHI",</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
      </c>
      <c r="GK7" s="48" t="str">
        <f>IF(GJ7="",CHAR(34)&amp;"HasSta"&amp;CHAR(34)&amp;",","")</f>
        <v>"HasSta",</v>
      </c>
      <c r="GL7" s="48" t="str">
        <f t="shared" si="106"/>
        <v/>
      </c>
      <c r="GM7" s="48" t="str">
        <f t="shared" si="106"/>
        <v/>
      </c>
      <c r="GN7" s="48" t="str">
        <f t="shared" si="106"/>
        <v>"3+Star",</v>
      </c>
      <c r="GP7" s="48" t="str">
        <f>CHAR(34)&amp;AU7&amp;CHAR(34)</f>
        <v>"State"</v>
      </c>
      <c r="GS7" s="48" t="str">
        <f>SUBSTITUTE("["&amp;_xlfn.CONCAT(CW7:GN7)&amp;"]",",]","]")</f>
        <v>["2Color","lets08","startV","with_v","BLAWHI","year18","NoBand","Crosse","Bird","Canton","Crowns","staBLA","NO_BLU","NO_RED","NO_GRE","NO_YEL","BLRENO","001WHI","002BLA","003WHI","myrWHI","HasSta","3+Star"]</v>
      </c>
      <c r="GT7" s="48" t="str">
        <f t="shared" si="80"/>
        <v>"cl_WHI",</v>
      </c>
      <c r="GU7" s="48" t="str">
        <f t="shared" si="80"/>
        <v>"cl_BLA",</v>
      </c>
      <c r="GV7" s="48" t="str">
        <f t="shared" si="80"/>
        <v/>
      </c>
      <c r="GW7" s="48" t="str">
        <f t="shared" si="80"/>
        <v/>
      </c>
      <c r="GX7" s="48" t="str">
        <f t="shared" si="80"/>
        <v/>
      </c>
      <c r="GY7" s="48" t="str">
        <f t="shared" si="80"/>
        <v/>
      </c>
      <c r="GZ7" s="48" t="str">
        <f t="shared" si="80"/>
        <v/>
      </c>
      <c r="HA7" s="48" t="str">
        <f t="shared" si="80"/>
        <v/>
      </c>
      <c r="HB7" s="48" t="str">
        <f t="shared" si="80"/>
        <v/>
      </c>
      <c r="HC7" s="48" t="str">
        <f>SUBSTITUTE("["&amp;_xlfn.CONCAT(GT7:HB7)&amp;"]",",]","]")</f>
        <v>["cl_WHI","cl_BLA"]</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links: "https://en.wikipedia.org/wiki/Flag_of_Victoria_(state)"},</v>
      </c>
      <c r="HG7" s="73" t="str">
        <f>"{couname:"&amp;CT7&amp;(IF(HK7&lt;&gt;"",",subtype:"&amp;CHAR(34)&amp;HK7&amp;CHAR(34),""))&amp;",year:"&amp;HJ7&amp;",region:"&amp;CU7&amp;",Colors:"&amp;HC7&amp;",Items:"&amp;GS7&amp;",Flag:"&amp;CV7&amp;",HDFlag:"&amp;CHAR(34)&amp;E7&amp;CHAR(34)&amp;",type:"&amp;GP7&amp;", describe: "&amp;HI7&amp;", links: "&amp;HL7&amp;"},"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links: "https://en.wikipedia.org/wiki/Flag_of_Victoria_(state)"},</v>
      </c>
      <c r="HH7" s="48" t="str">
        <f>IF(P7&lt;&gt;"",CHAR(34)&amp;"\n"&amp;P7&amp;CHAR(34),CHAR(34)&amp;CHAR(34))</f>
        <v>"\nThe flag contains the Union Jack and the blue background like Australia's flag. The flag contains a Southern cross and a St Edward's Crown. It is the only Australia state flag that doesn't have the badge on a disk."</v>
      </c>
      <c r="HI7" s="48" t="str">
        <f>IF(J7=0,CHAR(34)&amp;CHAR(34),HH7)</f>
        <v>"\nThe flag contains the Union Jack and the blue background like Australia's flag. The flag contains a Southern cross and a St Edward's Crown. It is the only Australia state flag that doesn't have the badge on a disk."</v>
      </c>
      <c r="HJ7" s="48" t="str">
        <f>CHAR(34)&amp;O7&amp;CHAR(34)</f>
        <v>"1870"</v>
      </c>
      <c r="HL7" s="48" t="str">
        <f>CHAR(34)&amp;I7&amp;CHAR(34)</f>
        <v>"https://en.wikipedia.org/wiki/Flag_of_Victoria_(state)"</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 "links": "https://en.wikipedia.org/wiki/Flag_of_Victoria_(state)"},</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{"couname":"[AUS] Victoria","year":"1870","region":"rgn_Oceania","Colors":["cl_WHI","cl_BLA"],"Items":["2Color","lets08","startV","with_v","BLAWHI","year18","NoBand","Crosse","Bird","Canton","Crowns","staBLA","NO_BLU","NO_RED","NO_GRE","NO_YEL","BLRENO","001WHI","002BLA","003WHI","myrWHI","HasSta","3+Star"],"Flag":"https://upload.wikimedia.org/wikipedia/commons/thumb/0/08/Flag_of_Victoria_%28Australia%29.svg/640px-Flag_of_Victoria_%28Australia%29.svg.png","HDFlag":"https://upload.wikimedia.org/wikipedia/commons/thumb/0/08/Flag_of_Victoria_%28Australia%29.svg/2560px-Flag_of_Victoria_%28Australia%29.svg.png","type":"State", "describe": "\nThe flag contains the Union Jack and the blue background like Australia's flag. The flag contains a Southern cross and a St Edward's Crown. It is the only Australia state flag that doesn't have the badge on a disk.", "isnew": ".", "links": "https://en.wikipedia.org/wiki/Flag_of_Victoria_(state)"},</v>
      </c>
      <c r="HO7" s="75">
        <v>45653</v>
      </c>
      <c r="HP7" s="48" t="str" cm="1">
        <f t="array" ref="HP7">IF(_xlfn.TEXTJOIN(", ", TRUE, IF(ISNUMBER(SEARCH("BLA", BL7:BT7)), COLUMN(BL7:BT7) - COLUMN(BL7) + 1, ""))&lt;&gt;"","BLA","")</f>
        <v>BLA</v>
      </c>
      <c r="HQ7" s="48" t="str" cm="1">
        <f t="array" ref="HQ7">IF(_xlfn.TEXTJOIN(", ", TRUE, IF(ISNUMBER(SEARCH("BLU", BL7:BT7)), COLUMN(BL7:BT7) - COLUMN(BL7) + 1, ""))&lt;&gt;"","BLU","")</f>
        <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M7" s="45">
        <f>COUNTIF(IC7:IK7,"&gt;0")-CG7</f>
        <v>-2</v>
      </c>
      <c r="IN7" s="78" t="str">
        <f>"http://mkweb.bcgsc.ca/color-summarizer/?url="&amp;D7&amp;"&amp;precision=low&amp;num_clusters="&amp;CG7&amp;"&amp;text=1"</f>
        <v>http://mkweb.bcgsc.ca/color-summarizer/?url=https://upload.wikimedia.org/wikipedia/commons/thumb/0/08/Flag_of_Victoria_%28Australia%29.svg/640px-Flag_of_Victoria_%28Australia%29.svg.png&amp;precision=low&amp;num_clusters=2&amp;text=1</v>
      </c>
      <c r="IO7" s="48" t="str">
        <f>IF(HP7&lt;&gt;"",CHAR(34)&amp;"black"&amp;CHAR(34),"")</f>
        <v>"black"</v>
      </c>
      <c r="IP7" s="48" t="str">
        <f>IF(HQ7&lt;&gt;"",CHAR(34)&amp;"blue"&amp;CHAR(34),"")</f>
        <v/>
      </c>
      <c r="IQ7" s="48" t="str">
        <f>IF(HR7&lt;&gt;"",CHAR(34)&amp;"green"&amp;CHAR(34),"")</f>
        <v/>
      </c>
      <c r="IR7" s="48" t="str">
        <f>IF(HS7&lt;&gt;"",CHAR(34)&amp;"red"&amp;CHAR(34),"")</f>
        <v/>
      </c>
      <c r="IS7" s="48" t="str">
        <f>IF(HT7&lt;&gt;"",CHAR(34)&amp;"yellow"&amp;CHAR(34),"")</f>
        <v/>
      </c>
      <c r="IT7" s="48" t="str">
        <f>IF(HU7&lt;&gt;"",CHAR(34)&amp;"orange"&amp;CHAR(34),"")</f>
        <v/>
      </c>
      <c r="IU7" s="48" t="str">
        <f>IF(HV7&lt;&gt;"",CHAR(34)&amp;"brown"&amp;CHAR(34),"")</f>
        <v/>
      </c>
      <c r="IV7" s="48" t="str">
        <f>IF(HW7&lt;&gt;"",CHAR(34)&amp;"purple"&amp;CHAR(34),"")</f>
        <v/>
      </c>
      <c r="IW7" s="48" t="str">
        <f>IF(HX7&lt;&gt;"",CHAR(34)&amp;"white"&amp;CHAR(34),"")</f>
        <v>"white"</v>
      </c>
      <c r="IX7" s="48" t="str">
        <f>"{"&amp;CHAR(34)&amp;"url"&amp;CHAR(34)&amp;":"&amp;CHAR(34)&amp;IN7&amp;CHAR(34)&amp;","&amp;CHAR(34)&amp;"name"&amp;CHAR(34)&amp;":"&amp;CHAR(34)&amp;A7&amp;CHAR(34)&amp;"},"</f>
        <v>{"url":"http://mkweb.bcgsc.ca/color-summarizer/?url=https://upload.wikimedia.org/wikipedia/commons/thumb/0/08/Flag_of_Victoria_%28Australia%29.svg/640px-Flag_of_Victoria_%28Australia%29.svg.png&amp;precision=low&amp;num_clusters=2&amp;text=1","name":"[AUS] Victoria"},</v>
      </c>
      <c r="IY7" s="48">
        <v>1503</v>
      </c>
    </row>
    <row r="8" spans="1:259" s="48" customFormat="1" ht="38.4" customHeight="1" thickBot="1" x14ac:dyDescent="0.35">
      <c r="A8" s="79" t="s">
        <v>386</v>
      </c>
      <c r="B8" s="40" t="e" vm="9">
        <v>#VALUE!</v>
      </c>
      <c r="C8" s="41">
        <v>2</v>
      </c>
      <c r="D8" s="42" t="s">
        <v>387</v>
      </c>
      <c r="E8" s="43" t="s">
        <v>388</v>
      </c>
      <c r="F8" s="44" t="s">
        <v>166</v>
      </c>
      <c r="G8" s="45">
        <f>COUNTIF($A$1:$A$8359,A8)</f>
        <v>1</v>
      </c>
      <c r="H8" s="46"/>
      <c r="I8" s="47" t="s">
        <v>389</v>
      </c>
      <c r="J8" s="48" t="str">
        <f>""</f>
        <v/>
      </c>
      <c r="K8" s="49"/>
      <c r="L8" s="50"/>
      <c r="M8" s="50"/>
      <c r="N8" s="51" t="s">
        <v>169</v>
      </c>
      <c r="O8" s="52">
        <v>1953</v>
      </c>
      <c r="P8" s="53" t="s">
        <v>390</v>
      </c>
      <c r="Q8" s="54">
        <v>2</v>
      </c>
      <c r="R8" s="55" t="s">
        <v>169</v>
      </c>
      <c r="S8" s="56">
        <v>0</v>
      </c>
      <c r="T8" s="57" t="s">
        <v>173</v>
      </c>
      <c r="U8" s="58" t="s">
        <v>172</v>
      </c>
      <c r="V8" s="58" t="s">
        <v>173</v>
      </c>
      <c r="W8" s="58" t="s">
        <v>173</v>
      </c>
      <c r="X8" s="58" t="s">
        <v>172</v>
      </c>
      <c r="Y8" s="58" t="s">
        <v>172</v>
      </c>
      <c r="Z8" s="58" t="s">
        <v>173</v>
      </c>
      <c r="AA8" s="58" t="s">
        <v>173</v>
      </c>
      <c r="AB8" s="58" t="s">
        <v>173</v>
      </c>
      <c r="AC8" s="58" t="s">
        <v>173</v>
      </c>
      <c r="AD8" s="58" t="s">
        <v>173</v>
      </c>
      <c r="AE8" s="58" t="s">
        <v>173</v>
      </c>
      <c r="AF8" s="59" t="s">
        <v>173</v>
      </c>
      <c r="AG8" s="59" t="s">
        <v>173</v>
      </c>
      <c r="AH8" s="59" t="s">
        <v>173</v>
      </c>
      <c r="AI8" s="59" t="s">
        <v>172</v>
      </c>
      <c r="AJ8" s="59" t="s">
        <v>173</v>
      </c>
      <c r="AK8" s="59" t="s">
        <v>173</v>
      </c>
      <c r="AL8" s="59" t="s">
        <v>173</v>
      </c>
      <c r="AM8" s="59" t="s">
        <v>173</v>
      </c>
      <c r="AN8" s="59" t="s">
        <v>173</v>
      </c>
      <c r="AO8" s="59" t="s">
        <v>173</v>
      </c>
      <c r="AP8" s="59" t="s">
        <v>173</v>
      </c>
      <c r="AQ8" s="59" t="s">
        <v>173</v>
      </c>
      <c r="AR8" s="59" t="s">
        <v>173</v>
      </c>
      <c r="AS8" s="59" t="s">
        <v>173</v>
      </c>
      <c r="AT8" s="60">
        <v>0</v>
      </c>
      <c r="AU8" s="59" t="s">
        <v>363</v>
      </c>
      <c r="AV8" s="59" t="str">
        <f>IF(LEFT(A8,1)="[",LEFT(A8,5)&amp;AU8&amp;A8,"")</f>
        <v>[AUS]State[AUS] Western Australia</v>
      </c>
      <c r="AW8" s="59" t="str">
        <f>C8&amp;H8&amp;A8</f>
        <v>2[AUS] Western Australia</v>
      </c>
      <c r="AX8" s="61"/>
      <c r="AY8" s="61"/>
      <c r="AZ8" s="62" t="s">
        <v>154</v>
      </c>
      <c r="BA8" s="62" t="s">
        <v>155</v>
      </c>
      <c r="BB8" s="62"/>
      <c r="BC8" s="63"/>
      <c r="BD8" s="64" t="s">
        <v>152</v>
      </c>
      <c r="BE8" s="47"/>
      <c r="BF8" s="64"/>
      <c r="BG8" s="64"/>
      <c r="BH8" s="64"/>
      <c r="BI8" s="64"/>
      <c r="BJ8" s="64"/>
      <c r="BK8" s="47"/>
      <c r="BL8" s="64" t="s">
        <v>152</v>
      </c>
      <c r="BM8" s="64" t="s">
        <v>155</v>
      </c>
      <c r="BN8" s="64" t="s">
        <v>159</v>
      </c>
      <c r="BO8" s="64" t="s">
        <v>154</v>
      </c>
      <c r="BP8" s="64" t="s">
        <v>157</v>
      </c>
      <c r="BQ8" s="64"/>
      <c r="BR8" s="64"/>
      <c r="BS8" s="64"/>
      <c r="BT8" s="64"/>
      <c r="BU8" s="65"/>
      <c r="BV8" s="66"/>
      <c r="BW8" s="66">
        <v>0</v>
      </c>
      <c r="BX8" s="47"/>
      <c r="CB8" s="6"/>
      <c r="CC8" s="6"/>
      <c r="CD8" s="67">
        <v>0</v>
      </c>
      <c r="CE8" s="67">
        <v>0</v>
      </c>
      <c r="CF8" s="67" t="e">
        <v>#REF!</v>
      </c>
      <c r="CG8" s="68" cm="1">
        <f t="array" ref="CG8">SUMPRODUCT(--(LEN(TRIM(BL8:BT8))&gt;0))</f>
        <v>5</v>
      </c>
      <c r="CH8" s="59" t="str">
        <f>IF(CG8=2,"y","n")</f>
        <v>n</v>
      </c>
      <c r="CI8" s="59" t="str">
        <f>IF(CG8=3,"y","n")</f>
        <v>n</v>
      </c>
      <c r="CJ8" s="59" t="str">
        <f>IF(CG8=4,"y","n")</f>
        <v>n</v>
      </c>
      <c r="CK8" s="59" t="str">
        <f>IF(CG8&gt;4,"y","n")</f>
        <v>y</v>
      </c>
      <c r="CL8" s="59" t="str">
        <f>IF(S8=0,"y","n")</f>
        <v>y</v>
      </c>
      <c r="CM8" s="59" t="str">
        <f>IF(S8=2,"y","n")</f>
        <v>n</v>
      </c>
      <c r="CN8" s="59" t="str">
        <f>IF(S8=3,"y","n")</f>
        <v>n</v>
      </c>
      <c r="CO8" s="59" t="str">
        <f>IF(S8&gt;=4,"y","n")</f>
        <v>n</v>
      </c>
      <c r="CP8" s="59" t="str">
        <f>IF(AT8=0,"y","n")</f>
        <v>y</v>
      </c>
      <c r="CQ8" s="59" t="str">
        <f>IF(AT8=1,"y","n")</f>
        <v>n</v>
      </c>
      <c r="CR8" s="59" t="str">
        <f>IF(AT8=2,"y","n")</f>
        <v>n</v>
      </c>
      <c r="CS8" s="59" t="str">
        <f>IF(AT8&gt;=3,"y","n")</f>
        <v>n</v>
      </c>
      <c r="CT8" s="69" t="str">
        <f>CHAR(34)&amp;A8&amp;CHAR(34)</f>
        <v>"[AUS] Western Australia"</v>
      </c>
      <c r="CU8" s="70" t="str">
        <f>CHAR(34)&amp;"rgn_"&amp;R8&amp;CHAR(34)</f>
        <v>"rgn_Oceania"</v>
      </c>
      <c r="CV8" s="48" t="str">
        <f>CHAR(34)&amp;D8&amp;CHAR(34)</f>
        <v>"https://upload.wikimedia.org/wikipedia/commons/thumb/a/a5/Flag_of_Western_Australia.svg/640px-Flag_of_Western_Australia.svg.png"</v>
      </c>
      <c r="CW8" s="48" t="str">
        <f t="shared" si="103"/>
        <v/>
      </c>
      <c r="CX8" s="48" t="str">
        <f t="shared" si="103"/>
        <v/>
      </c>
      <c r="CY8" s="48" t="str">
        <f t="shared" si="103"/>
        <v/>
      </c>
      <c r="CZ8" s="48" t="str">
        <f t="shared" si="103"/>
        <v>"5+Colo",</v>
      </c>
      <c r="DA8" s="48" t="str">
        <f>IF(Q8&gt;1,CHAR(34)&amp;"words2"&amp;CHAR(34)&amp;",","")</f>
        <v>"words2",</v>
      </c>
      <c r="DB8" s="48" t="str">
        <f>IF(Q8&gt;2,CHAR(34)&amp;"words3"&amp;CHAR(34)&amp;",","")</f>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"lets16",</v>
      </c>
      <c r="DE8" s="48" t="str">
        <f>CHAR(34)&amp;"start"&amp;IFERROR(LEFT(SUBSTITUTE(A8,"["&amp;MID(A8,FIND("[",A8)+1,FIND("]",A8)-FIND("[",A8)-1)&amp;"] ",""),1),LEFT(A8,1))&amp;CHAR(34)&amp;","</f>
        <v>"startW",</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"with_w",</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
      </c>
      <c r="DU8" s="6" t="str">
        <f>IF(BY8="y",IF(AND(W8="n",V8="n"),CHAR(34)&amp;"alldia"&amp;CHAR(34)&amp;",",""),"")</f>
        <v/>
      </c>
      <c r="DW8" s="48" t="str">
        <f t="shared" si="104"/>
        <v>"NoBand",</v>
      </c>
      <c r="DX8" s="48" t="str">
        <f t="shared" si="104"/>
        <v/>
      </c>
      <c r="DY8" s="48" t="str">
        <f t="shared" si="104"/>
        <v/>
      </c>
      <c r="DZ8" s="48" t="str">
        <f t="shared" si="104"/>
        <v/>
      </c>
      <c r="EA8" s="48" t="str">
        <f t="shared" si="105"/>
        <v/>
      </c>
      <c r="EB8" s="48" t="str">
        <f t="shared" si="105"/>
        <v>"Crosse",</v>
      </c>
      <c r="EC8" s="48" t="str">
        <f t="shared" si="105"/>
        <v/>
      </c>
      <c r="ED8" s="48" t="str">
        <f t="shared" si="105"/>
        <v/>
      </c>
      <c r="EE8" s="48" t="str">
        <f t="shared" si="105"/>
        <v>"Circle",</v>
      </c>
      <c r="EF8" s="48" t="str">
        <f>IF(AND(Y8&lt;&gt;"n",Y8&lt;&gt;""),CHAR(34)&amp;Y$1&amp;CHAR(34)&amp;",","")</f>
        <v>"Animal",</v>
      </c>
      <c r="EG8" s="48" t="str">
        <f t="shared" si="40"/>
        <v/>
      </c>
      <c r="EH8" s="48" t="str">
        <f t="shared" si="40"/>
        <v/>
      </c>
      <c r="EI8" s="48" t="str">
        <f t="shared" si="40"/>
        <v/>
      </c>
      <c r="EJ8" s="48" t="str">
        <f t="shared" si="40"/>
        <v/>
      </c>
      <c r="EK8" s="48" t="str">
        <f t="shared" si="40"/>
        <v/>
      </c>
      <c r="EL8" s="48" t="str">
        <f t="shared" si="40"/>
        <v/>
      </c>
      <c r="EM8" s="48" t="str">
        <f t="shared" si="40"/>
        <v/>
      </c>
      <c r="EN8" s="48" t="str">
        <f t="shared" si="40"/>
        <v/>
      </c>
      <c r="EO8" s="48" t="str">
        <f t="shared" si="40"/>
        <v/>
      </c>
      <c r="EP8" s="48" t="str">
        <f t="shared" si="40"/>
        <v>"Canton",</v>
      </c>
      <c r="EQ8" s="48" t="str">
        <f t="shared" si="40"/>
        <v/>
      </c>
      <c r="ER8" s="48" t="str">
        <f t="shared" si="40"/>
        <v/>
      </c>
      <c r="ES8" s="48" t="str">
        <f t="shared" si="40"/>
        <v/>
      </c>
      <c r="ET8" s="48" t="str">
        <f t="shared" si="40"/>
        <v/>
      </c>
      <c r="EU8" s="48" t="str">
        <f t="shared" si="40"/>
        <v/>
      </c>
      <c r="EV8" s="48" t="str">
        <f t="shared" si="40"/>
        <v/>
      </c>
      <c r="EW8" s="48" t="str">
        <f t="shared" si="40"/>
        <v/>
      </c>
      <c r="EX8" s="48" t="str">
        <f t="shared" si="40"/>
        <v/>
      </c>
      <c r="EY8" s="48" t="str">
        <f t="shared" si="40"/>
        <v/>
      </c>
      <c r="EZ8" s="48" t="str">
        <f t="shared" si="40"/>
        <v/>
      </c>
      <c r="FA8" s="48" t="str">
        <f>IF(AT8&gt;0,CHAR(34)&amp;"sta"&amp;AZ8&amp;CHAR(34)&amp;",","")</f>
        <v/>
      </c>
      <c r="FB8" s="48" t="str">
        <f>IF(AND(AT8&gt;0,BA8&lt;&gt;""),CHAR(34)&amp;"sta"&amp;BA8&amp;CHAR(34)&amp;",","")</f>
        <v/>
      </c>
      <c r="FD8" s="48" t="str">
        <f>IF(BV8="n",CHAR(34)&amp;"tcWHYE"&amp;CHAR(34)&amp;",",IF(BV8="y",CHAR(34)&amp;FD$1&amp;CHAR(34)&amp;",",""))</f>
        <v/>
      </c>
      <c r="FE8" s="48" t="str">
        <f>IF(COUNTIF(BL8:BT8,"BLU")=0,CHAR(34)&amp;"NO_BLU"&amp;CHAR(34)&amp;",", "")</f>
        <v/>
      </c>
      <c r="FF8" s="48" t="str">
        <f>IF(COUNTIF(BL8:BT8,"WHI")=0,CHAR(34)&amp;"NO_WHI"&amp;CHAR(34)&amp;",", "")</f>
        <v/>
      </c>
      <c r="FG8" s="48" t="str">
        <f>IF(COUNTIF(BL8:BT8,"RED")=0,CHAR(34)&amp;"NO_RED"&amp;CHAR(34)&amp;",", "")</f>
        <v/>
      </c>
      <c r="FH8" s="48" t="str">
        <f>IF(COUNTIF(BL8:BS8,"GRE")=0,CHAR(34)&amp;"NO_GRE"&amp;CHAR(34)&amp;",", "")</f>
        <v>"NO_GRE",</v>
      </c>
      <c r="FI8" s="48" t="str">
        <f>IF(COUNTIF(BL8:BT8,"YEL")=0,CHAR(34)&amp;"NO_YEL"&amp;CHAR(34)&amp;",", "")</f>
        <v/>
      </c>
      <c r="FJ8" s="48" t="str">
        <f>IF(COUNTIF(BL8:BT8,"BLA")=0,CHAR(34)&amp;"NO_BLA"&amp;CHAR(34)&amp;",", "")</f>
        <v>"NO_BLA",</v>
      </c>
      <c r="FK8" s="48" t="str">
        <f>IF(AND(FH8&lt;&gt;"",FF8&lt;&gt;""),CHAR(34)&amp;"WHGRNO"&amp;CHAR(34)&amp;",","")</f>
        <v/>
      </c>
      <c r="FL8" s="48" t="str">
        <f>IF(AND(FI8&lt;&gt;"",FF8&lt;&gt;""),CHAR(34)&amp;"WHYENO"&amp;CHAR(34)&amp;",","")</f>
        <v/>
      </c>
      <c r="FM8" s="48" t="str">
        <f>IF(AND(FJ8&lt;&gt;"",FF8&lt;&gt;""),CHAR(34)&amp;"BAWHNO"&amp;CHAR(34)&amp;",","")</f>
        <v/>
      </c>
      <c r="FN8" s="48" t="str">
        <f>IF(AND(FE8&lt;&gt;"",FF8&lt;&gt;""),CHAR(34)&amp;"BLWHNO"&amp;CHAR(34)&amp;",","")</f>
        <v/>
      </c>
      <c r="FO8" s="48" t="str">
        <f>IF(AND(FE8&lt;&gt;"",FG8&lt;&gt;""),CHAR(34)&amp;"BLRENO"&amp;CHAR(34)&amp;",","")</f>
        <v/>
      </c>
      <c r="FP8" s="48" t="str">
        <f>IF(AND(FF8&lt;&gt;"",FF8&lt;&gt;""),CHAR(34)&amp;"WHRENO"&amp;CHAR(34)&amp;",","")</f>
        <v/>
      </c>
      <c r="FQ8" s="48" t="str">
        <f>IF(LEN(BF8)=3,CHAR(34)&amp;"001"&amp;BF8&amp;CHAR(34)&amp;",","")</f>
        <v/>
      </c>
      <c r="FR8" s="48" t="str">
        <f>IF(LEN(BG8)=3,CHAR(34)&amp;"002"&amp;BG8&amp;CHAR(34)&amp;",","")</f>
        <v/>
      </c>
      <c r="FS8" s="48" t="str">
        <f>IF(LEN(BH8)=3,CHAR(34)&amp;"003"&amp;BH8&amp;CHAR(34)&amp;",","")</f>
        <v/>
      </c>
      <c r="FT8" s="48" t="str">
        <f>CHAR(34)&amp;"myr"&amp;BD8&amp;CHAR(34)&amp;","</f>
        <v>"myrBLU",</v>
      </c>
      <c r="FU8" s="48" t="str">
        <f>IF(AY8="y",CHAR(34)&amp;"island"&amp;CHAR(34)&amp;",","")</f>
        <v/>
      </c>
      <c r="FV8" s="48" t="str">
        <f>IF(BZ8="y",CHAR(34)&amp;"landlo"&amp;CHAR(34)&amp;",","")</f>
        <v/>
      </c>
      <c r="FW8" s="48" t="str">
        <f>IF(CA8="y",CHAR(34)&amp;"eunion"&amp;CHAR(34)&amp;",","")</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 t="shared" si="106"/>
        <v/>
      </c>
      <c r="GM8" s="48" t="str">
        <f t="shared" si="106"/>
        <v/>
      </c>
      <c r="GN8" s="48" t="str">
        <f t="shared" si="106"/>
        <v/>
      </c>
      <c r="GP8" s="48" t="str">
        <f>CHAR(34)&amp;AU8&amp;CHAR(34)</f>
        <v>"State"</v>
      </c>
      <c r="GS8" s="48" t="str">
        <f>SUBSTITUTE("["&amp;_xlfn.CONCAT(CW8:GN8)&amp;"]",",]","]")</f>
        <v>["5+Colo","words2","lets16","startW","with_w","year19","NoBand","Crosse","Circle","Animal","Canton","NO_GRE","NO_BLA","myrBLU","NoStar"]</v>
      </c>
      <c r="GT8" s="48" t="str">
        <f t="shared" si="80"/>
        <v>"cl_BLU",</v>
      </c>
      <c r="GU8" s="48" t="str">
        <f t="shared" si="80"/>
        <v>"cl_YEL",</v>
      </c>
      <c r="GV8" s="48" t="str">
        <f t="shared" si="80"/>
        <v>"cl_WHI",</v>
      </c>
      <c r="GW8" s="48" t="str">
        <f t="shared" si="80"/>
        <v>"cl_RED",</v>
      </c>
      <c r="GX8" s="48" t="str">
        <f t="shared" si="80"/>
        <v>"cl_BRO",</v>
      </c>
      <c r="GY8" s="48" t="str">
        <f t="shared" si="80"/>
        <v/>
      </c>
      <c r="GZ8" s="48" t="str">
        <f t="shared" si="80"/>
        <v/>
      </c>
      <c r="HA8" s="48" t="str">
        <f t="shared" si="80"/>
        <v/>
      </c>
      <c r="HB8" s="48" t="str">
        <f t="shared" si="80"/>
        <v/>
      </c>
      <c r="HC8" s="48" t="str">
        <f>SUBSTITUTE("["&amp;_xlfn.CONCAT(GT8:HB8)&amp;"]",",]","]")</f>
        <v>["cl_BLU","cl_YEL","cl_WHI","cl_RED","cl_BRO"]</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links: "https://en.wikipedia.org/wiki/Flag_of_Western_Australia"},</v>
      </c>
      <c r="HG8" s="73" t="str">
        <f>"{couname:"&amp;CT8&amp;(IF(HK8&lt;&gt;"",",subtype:"&amp;CHAR(34)&amp;HK8&amp;CHAR(34),""))&amp;",year:"&amp;HJ8&amp;",region:"&amp;CU8&amp;",Colors:"&amp;HC8&amp;",Items:"&amp;GS8&amp;",Flag:"&amp;CV8&amp;",HDFlag:"&amp;CHAR(34)&amp;E8&amp;CHAR(34)&amp;",type:"&amp;GP8&amp;", describe: "&amp;HI8&amp;", links: "&amp;HL8&amp;"},"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links: "https://en.wikipedia.org/wiki/Flag_of_Western_Australia"},</v>
      </c>
      <c r="HH8" s="48" t="str">
        <f>IF(P8&lt;&gt;"",CHAR(34)&amp;"\n"&amp;P8&amp;CHAR(34),CHAR(34)&amp;CHAR(34))</f>
        <v>"\nThe flag has the Union jack and the blue background like the Australian flag. The swan is the native animal of Western Australia."</v>
      </c>
      <c r="HI8" s="48" t="str">
        <f>IF(J8=0,CHAR(34)&amp;CHAR(34),HH8)</f>
        <v>"\nThe flag has the Union jack and the blue background like the Australian flag. The swan is the native animal of Western Australia."</v>
      </c>
      <c r="HJ8" s="48" t="str">
        <f>CHAR(34)&amp;O8&amp;CHAR(34)</f>
        <v>"1953"</v>
      </c>
      <c r="HL8" s="48" t="str">
        <f>CHAR(34)&amp;I8&amp;CHAR(34)</f>
        <v>"https://en.wikipedia.org/wiki/Flag_of_Western_Australia"</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 "links": "https://en.wikipedia.org/wiki/Flag_of_Western_Australia"},</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{"couname":"[AUS] Western Australia","year":"1953","region":"rgn_Oceania","Colors":["cl_BLU","cl_YEL","cl_WHI","cl_RED","cl_BRO"],"Items":["5+Colo","words2","lets16","startW","with_w","year19","NoBand","Crosse","Circle","Animal","Canton","NO_GRE","NO_BLA","myrBLU","NoStar"],"Flag":"https://upload.wikimedia.org/wikipedia/commons/thumb/a/a5/Flag_of_Western_Australia.svg/640px-Flag_of_Western_Australia.svg.png","HDFlag":"https://upload.wikimedia.org/wikipedia/commons/thumb/a/a5/Flag_of_Western_Australia.svg/2560px-Flag_of_Western_Australia.svg.png","type":"State", "describe": "\nThe flag has the Union jack and the blue background like the Australian flag. The swan is the native animal of Western Australia.", "isnew": ".", "links": "https://en.wikipedia.org/wiki/Flag_of_Western_Australia"},</v>
      </c>
      <c r="HO8" s="75">
        <v>45653</v>
      </c>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BRO</v>
      </c>
      <c r="HW8" s="48" t="str" cm="1">
        <f t="array" ref="HW8">IF(_xlfn.TEXTJOIN(", ", TRUE, IF(ISNUMBER(SEARCH("PUR", BL8:BT8)), COLUMN(BL8:BT8) - COLUMN(BL8) + 1, ""))&lt;&gt;"","PUR","")</f>
        <v/>
      </c>
      <c r="HX8" s="48" t="str" cm="1">
        <f t="array" ref="HX8">IF(_xlfn.TEXTJOIN(", ", TRUE, IF(ISNUMBER(SEARCH("WHI", BL8:BT8)), COLUMN(BL8:BT8) - COLUMN(BL8) + 1, ""))&lt;&gt;"","WHI","")</f>
        <v>WHI</v>
      </c>
      <c r="HY8" s="76"/>
      <c r="HZ8" s="76"/>
      <c r="IA8" s="6"/>
      <c r="IB8" s="6"/>
      <c r="IC8" s="77"/>
      <c r="ID8" s="77"/>
      <c r="IE8" s="77"/>
      <c r="IF8" s="77"/>
      <c r="IG8" s="77"/>
      <c r="IH8" s="77"/>
      <c r="II8" s="77"/>
      <c r="IJ8" s="77"/>
      <c r="IK8" s="77"/>
      <c r="IM8" s="45">
        <f>COUNTIF(IC8:IK8,"&gt;0")-CG8</f>
        <v>-5</v>
      </c>
      <c r="IN8" s="78" t="str">
        <f>"http://mkweb.bcgsc.ca/color-summarizer/?url="&amp;D8&amp;"&amp;precision=low&amp;num_clusters="&amp;CG8&amp;"&amp;text=1"</f>
        <v>http://mkweb.bcgsc.ca/color-summarizer/?url=https://upload.wikimedia.org/wikipedia/commons/thumb/a/a5/Flag_of_Western_Australia.svg/640px-Flag_of_Western_Australia.svg.png&amp;precision=low&amp;num_clusters=5&amp;text=1</v>
      </c>
      <c r="IO8" s="48" t="str">
        <f>IF(HP8&lt;&gt;"",CHAR(34)&amp;"black"&amp;CHAR(34),"")</f>
        <v/>
      </c>
      <c r="IP8" s="48" t="str">
        <f>IF(HQ8&lt;&gt;"",CHAR(34)&amp;"blue"&amp;CHAR(34),"")</f>
        <v>"blue"</v>
      </c>
      <c r="IQ8" s="48" t="str">
        <f>IF(HR8&lt;&gt;"",CHAR(34)&amp;"green"&amp;CHAR(34),"")</f>
        <v/>
      </c>
      <c r="IR8" s="48" t="str">
        <f>IF(HS8&lt;&gt;"",CHAR(34)&amp;"red"&amp;CHAR(34),"")</f>
        <v>"red"</v>
      </c>
      <c r="IS8" s="48" t="str">
        <f>IF(HT8&lt;&gt;"",CHAR(34)&amp;"yellow"&amp;CHAR(34),"")</f>
        <v>"yellow"</v>
      </c>
      <c r="IT8" s="48" t="str">
        <f>IF(HU8&lt;&gt;"",CHAR(34)&amp;"orange"&amp;CHAR(34),"")</f>
        <v/>
      </c>
      <c r="IU8" s="48" t="str">
        <f>IF(HV8&lt;&gt;"",CHAR(34)&amp;"brown"&amp;CHAR(34),"")</f>
        <v>"brown"</v>
      </c>
      <c r="IV8" s="48" t="str">
        <f>IF(HW8&lt;&gt;"",CHAR(34)&amp;"purple"&amp;CHAR(34),"")</f>
        <v/>
      </c>
      <c r="IW8" s="48" t="str">
        <f>IF(HX8&lt;&gt;"",CHAR(34)&amp;"white"&amp;CHAR(34),"")</f>
        <v>"white"</v>
      </c>
      <c r="IX8" s="48" t="str">
        <f>"{"&amp;CHAR(34)&amp;"url"&amp;CHAR(34)&amp;":"&amp;CHAR(34)&amp;IN8&amp;CHAR(34)&amp;","&amp;CHAR(34)&amp;"name"&amp;CHAR(34)&amp;":"&amp;CHAR(34)&amp;A8&amp;CHAR(34)&amp;"},"</f>
        <v>{"url":"http://mkweb.bcgsc.ca/color-summarizer/?url=https://upload.wikimedia.org/wikipedia/commons/thumb/a/a5/Flag_of_Western_Australia.svg/640px-Flag_of_Western_Australia.svg.png&amp;precision=low&amp;num_clusters=5&amp;text=1","name":"[AUS] Western Australia"},</v>
      </c>
      <c r="IY8" s="48">
        <v>1503</v>
      </c>
    </row>
    <row r="9" spans="1:259" s="48" customFormat="1" ht="38.4" customHeight="1" thickBot="1" x14ac:dyDescent="0.35">
      <c r="A9" s="80" t="s">
        <v>624</v>
      </c>
      <c r="B9" s="40" t="e" vm="10">
        <v>#VALUE!</v>
      </c>
      <c r="C9" s="41" t="s">
        <v>625</v>
      </c>
      <c r="D9" s="42" t="s">
        <v>626</v>
      </c>
      <c r="E9" s="43" t="s">
        <v>627</v>
      </c>
      <c r="F9" s="44" t="s">
        <v>166</v>
      </c>
      <c r="G9" s="45">
        <f>COUNTIF($A$1:$A$8359,A9)</f>
        <v>1</v>
      </c>
      <c r="H9" s="46"/>
      <c r="I9" s="47" t="s">
        <v>628</v>
      </c>
      <c r="J9" s="48" t="str">
        <f>""</f>
        <v/>
      </c>
      <c r="K9" s="49"/>
      <c r="L9" s="50"/>
      <c r="M9" s="50"/>
      <c r="N9" s="51" t="s">
        <v>169</v>
      </c>
      <c r="O9" s="52">
        <v>1993</v>
      </c>
      <c r="P9" s="53" t="s">
        <v>629</v>
      </c>
      <c r="Q9" s="54">
        <v>3</v>
      </c>
      <c r="R9" s="55" t="s">
        <v>169</v>
      </c>
      <c r="S9" s="56">
        <v>2</v>
      </c>
      <c r="T9" s="57" t="s">
        <v>173</v>
      </c>
      <c r="U9" s="58" t="s">
        <v>172</v>
      </c>
      <c r="V9" s="58" t="s">
        <v>173</v>
      </c>
      <c r="W9" s="58" t="s">
        <v>172</v>
      </c>
      <c r="X9" s="58" t="s">
        <v>173</v>
      </c>
      <c r="Y9" s="58" t="s">
        <v>172</v>
      </c>
      <c r="Z9" s="58" t="s">
        <v>172</v>
      </c>
      <c r="AA9" s="58" t="s">
        <v>172</v>
      </c>
      <c r="AB9" s="58" t="s">
        <v>173</v>
      </c>
      <c r="AC9" s="58" t="s">
        <v>172</v>
      </c>
      <c r="AD9" s="58" t="s">
        <v>173</v>
      </c>
      <c r="AE9" s="58" t="s">
        <v>173</v>
      </c>
      <c r="AF9" s="59" t="s">
        <v>173</v>
      </c>
      <c r="AG9" s="59" t="s">
        <v>173</v>
      </c>
      <c r="AH9" s="59" t="s">
        <v>173</v>
      </c>
      <c r="AI9" s="59" t="s">
        <v>173</v>
      </c>
      <c r="AJ9" s="59" t="s">
        <v>173</v>
      </c>
      <c r="AK9" s="59" t="s">
        <v>173</v>
      </c>
      <c r="AL9" s="59" t="s">
        <v>173</v>
      </c>
      <c r="AM9" s="59" t="s">
        <v>173</v>
      </c>
      <c r="AN9" s="59" t="s">
        <v>173</v>
      </c>
      <c r="AO9" s="59" t="s">
        <v>172</v>
      </c>
      <c r="AP9" s="59" t="s">
        <v>173</v>
      </c>
      <c r="AQ9" s="59" t="s">
        <v>172</v>
      </c>
      <c r="AR9" s="59" t="s">
        <v>173</v>
      </c>
      <c r="AS9" s="59" t="s">
        <v>173</v>
      </c>
      <c r="AT9" s="60">
        <v>5</v>
      </c>
      <c r="AU9" s="59" t="s">
        <v>630</v>
      </c>
      <c r="AV9" s="59" t="str">
        <f>IF(LEFT(A9,1)="[",LEFT(A9,5)&amp;AU9&amp;A9,"")</f>
        <v>[AUS]Internal Territory[AUS] Australian Capital Territory</v>
      </c>
      <c r="AW9" s="59" t="str">
        <f>C9&amp;H9&amp;A9</f>
        <v>2b[AUS] Australian Capital Territory</v>
      </c>
      <c r="AX9" s="61" t="str">
        <f>_xlfn.TEXTJOIN(";",TRUE,AU9:AW9)</f>
        <v>Internal Territory;[AUS]Internal Territory[AUS] Australian Capital Territory;2b[AUS] Australian Capital Territory</v>
      </c>
      <c r="AY9" s="61"/>
      <c r="AZ9" s="62"/>
      <c r="BA9" s="62"/>
      <c r="BB9" s="62"/>
      <c r="BC9" s="63"/>
      <c r="BD9" s="64" t="s">
        <v>155</v>
      </c>
      <c r="BE9" s="47"/>
      <c r="BF9" s="64" t="s">
        <v>155</v>
      </c>
      <c r="BG9" s="64" t="s">
        <v>152</v>
      </c>
      <c r="BH9" s="64" t="s">
        <v>154</v>
      </c>
      <c r="BI9" s="64"/>
      <c r="BJ9" s="64"/>
      <c r="BK9" s="47"/>
      <c r="BL9" s="64" t="s">
        <v>155</v>
      </c>
      <c r="BM9" s="64" t="s">
        <v>154</v>
      </c>
      <c r="BN9" s="64" t="s">
        <v>152</v>
      </c>
      <c r="BO9" s="64" t="s">
        <v>157</v>
      </c>
      <c r="BP9" s="64" t="s">
        <v>159</v>
      </c>
      <c r="BQ9" s="64" t="s">
        <v>153</v>
      </c>
      <c r="BR9" s="64" t="s">
        <v>538</v>
      </c>
      <c r="BS9" s="64"/>
      <c r="BT9" s="64"/>
      <c r="BU9" s="65"/>
      <c r="BV9" s="66" t="s">
        <v>172</v>
      </c>
      <c r="BW9" s="66" t="s">
        <v>631</v>
      </c>
      <c r="BX9" s="47"/>
      <c r="CB9" s="6" t="s">
        <v>138</v>
      </c>
      <c r="CC9" s="6"/>
      <c r="CD9" s="67">
        <v>0</v>
      </c>
      <c r="CE9" s="67">
        <v>0</v>
      </c>
      <c r="CF9" s="67" t="e">
        <v>#REF!</v>
      </c>
      <c r="CG9" s="68" cm="1">
        <f t="array" ref="CG9">SUMPRODUCT(--(LEN(TRIM(BL9:BT9))&gt;0))</f>
        <v>7</v>
      </c>
      <c r="CH9" s="59" t="str">
        <f>IF(CG9=2,"y","n")</f>
        <v>n</v>
      </c>
      <c r="CI9" s="59" t="str">
        <f>IF(CG9=3,"y","n")</f>
        <v>n</v>
      </c>
      <c r="CJ9" s="59" t="str">
        <f>IF(CG9=4,"y","n")</f>
        <v>n</v>
      </c>
      <c r="CK9" s="59" t="str">
        <f>IF(CG9&gt;4,"y","n")</f>
        <v>y</v>
      </c>
      <c r="CL9" s="59" t="str">
        <f>IF(S9=0,"y","n")</f>
        <v>n</v>
      </c>
      <c r="CM9" s="59" t="str">
        <f>IF(S9=2,"y","n")</f>
        <v>y</v>
      </c>
      <c r="CN9" s="59" t="str">
        <f>IF(S9=3,"y","n")</f>
        <v>n</v>
      </c>
      <c r="CO9" s="59" t="str">
        <f>IF(S9&gt;=4,"y","n")</f>
        <v>n</v>
      </c>
      <c r="CP9" s="59" t="str">
        <f>IF(AT9=0,"y","n")</f>
        <v>n</v>
      </c>
      <c r="CQ9" s="59" t="str">
        <f>IF(AT9=1,"y","n")</f>
        <v>n</v>
      </c>
      <c r="CR9" s="59" t="str">
        <f>IF(AT9=2,"y","n")</f>
        <v>n</v>
      </c>
      <c r="CS9" s="59" t="str">
        <f>IF(AT9&gt;=3,"y","n")</f>
        <v>y</v>
      </c>
      <c r="CT9" s="69" t="str">
        <f>CHAR(34)&amp;A9&amp;CHAR(34)</f>
        <v>"[AUS] Australian Capital Territory"</v>
      </c>
      <c r="CU9" s="70" t="str">
        <f>CHAR(34)&amp;"rgn_"&amp;R9&amp;CHAR(34)</f>
        <v>"rgn_Oceania"</v>
      </c>
      <c r="CV9" s="48" t="str">
        <f>CHAR(34)&amp;D9&amp;CHAR(34)</f>
        <v>"https://upload.wikimedia.org/wikipedia/commons/thumb/8/8c/Flag_of_the_Australian_Capital_Territory.svg/320px-Flag_of_the_Australian_Capital_Territory.svg.png"</v>
      </c>
      <c r="CW9" s="48" t="str">
        <f t="shared" si="103"/>
        <v/>
      </c>
      <c r="CX9" s="48" t="str">
        <f t="shared" si="103"/>
        <v/>
      </c>
      <c r="CY9" s="48" t="str">
        <f t="shared" si="103"/>
        <v/>
      </c>
      <c r="CZ9" s="48" t="str">
        <f t="shared" si="103"/>
        <v>"5+Colo",</v>
      </c>
      <c r="DA9" s="48" t="str">
        <f>IF(Q9&gt;1,CHAR(34)&amp;"words2"&amp;CHAR(34)&amp;",","")</f>
        <v>"words2",</v>
      </c>
      <c r="DB9" s="48" t="str">
        <f>IF(Q9&gt;2,CHAR(34)&amp;"words3"&amp;CHAR(34)&amp;",","")</f>
        <v>"words3",</v>
      </c>
      <c r="DC9" s="48" t="str">
        <f>IF(Q9=2,CHAR(34)&amp;"exact2"&amp;CHAR(34)&amp;",","")</f>
        <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"lets26",</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"startA",</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
      </c>
      <c r="DJ9" s="48" t="str">
        <f>IFERROR(IF(SEARCH("y",A9)&gt;0,CHAR(34)&amp;"with_y"&amp;CHAR(34)&amp;",",""),"")</f>
        <v>"with_y",</v>
      </c>
      <c r="DK9" s="48" t="str">
        <f>IFERROR(IF(SEARCH("z",A9)&gt;0,CHAR(34)&amp;"with_z"&amp;CHAR(34)&amp;",",""),"")</f>
        <v/>
      </c>
      <c r="DL9" s="48" t="str">
        <f>IF(CG9=2, CHAR(34) &amp; _xlfn.TEXTJOIN("", TRUE, _xlfn._xlws.SORT(HP9:HX9)) &amp; CHAR(34) &amp; ",", "")</f>
        <v/>
      </c>
      <c r="DM9" s="48" t="str" cm="1">
        <f t="array" ref="DM9">IF(CG9=3,CHAR(34) &amp; _xlfn.TEXTJOIN("", TRUE, RIGHT(HP9:HX9, 2)) &amp; CHAR(34) &amp; ",", "")</f>
        <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"year19",</v>
      </c>
      <c r="DP9" s="6" t="str">
        <f>IF(AND(ISNUMBER(SEARCH("20", O9)), ISERROR(SEARCH("1920", O9))), CHAR(34)&amp;"year00"&amp;CHAR(34)&amp;",", "")</f>
        <v/>
      </c>
      <c r="DQ9" s="6" t="str">
        <f>IF(CC9="y",CHAR(34)&amp;"soviet"&amp;CHAR(34)&amp;",","")</f>
        <v/>
      </c>
      <c r="DR9" s="6" t="str">
        <f>IF(BY9="y",CHAR(34)&amp;"dgband"&amp;CHAR(34)&amp;",","")</f>
        <v/>
      </c>
      <c r="DS9" s="6" t="str">
        <f>IF(W9="y",IF(AND(V9="n",BY9&lt;&gt;"y"),CHAR(34)&amp;"allver"&amp;CHAR(34)&amp;",",""),"")</f>
        <v>"allver",</v>
      </c>
      <c r="DT9" s="6" t="str">
        <f>IF(V9="y",IF(AND(W9="n",BY9&lt;&gt;"y"),CHAR(34)&amp;"allhor"&amp;CHAR(34)&amp;",",""),"")</f>
        <v/>
      </c>
      <c r="DU9" s="6" t="str">
        <f>IF(BY9="y",IF(AND(W9="n",V9="n"),CHAR(34)&amp;"alldia"&amp;CHAR(34)&amp;",",""),"")</f>
        <v/>
      </c>
      <c r="DV9" s="48" t="str">
        <f>IF(IA9&lt;&gt;"",(IF(IA9="y",CHAR(34)&amp;"largec"&amp;CHAR(34)&amp;",",CHAR(34)&amp;"smallc"&amp;CHAR(34)&amp;",")),"")</f>
        <v/>
      </c>
      <c r="DW9" s="48" t="str">
        <f t="shared" si="104"/>
        <v/>
      </c>
      <c r="DX9" s="48" t="str">
        <f t="shared" si="104"/>
        <v>"2Bands",</v>
      </c>
      <c r="DY9" s="48" t="str">
        <f t="shared" si="104"/>
        <v/>
      </c>
      <c r="DZ9" s="48" t="str">
        <f t="shared" si="104"/>
        <v/>
      </c>
      <c r="EA9" s="48" t="str">
        <f t="shared" si="105"/>
        <v/>
      </c>
      <c r="EB9" s="48" t="str">
        <f t="shared" si="105"/>
        <v>"Crosse",</v>
      </c>
      <c r="EC9" s="48" t="str">
        <f t="shared" si="105"/>
        <v/>
      </c>
      <c r="ED9" s="48" t="str">
        <f t="shared" si="105"/>
        <v>"Vertic",</v>
      </c>
      <c r="EE9" s="48" t="str">
        <f t="shared" si="105"/>
        <v/>
      </c>
      <c r="EF9" s="48" t="str">
        <f>IF(AND(Y9&lt;&gt;"n",Y9&lt;&gt;""),CHAR(34)&amp;Y$1&amp;CHAR(34)&amp;",","")</f>
        <v>"Animal",</v>
      </c>
      <c r="EG9" s="48" t="str">
        <f t="shared" si="40"/>
        <v>"Bird",</v>
      </c>
      <c r="EH9" s="48" t="str">
        <f t="shared" si="40"/>
        <v>"Plants",</v>
      </c>
      <c r="EI9" s="48" t="str">
        <f t="shared" si="40"/>
        <v/>
      </c>
      <c r="EJ9" s="48" t="str">
        <f t="shared" si="40"/>
        <v>"Weapon",</v>
      </c>
      <c r="EK9" s="48" t="str">
        <f t="shared" si="40"/>
        <v/>
      </c>
      <c r="EL9" s="48" t="str">
        <f t="shared" si="40"/>
        <v/>
      </c>
      <c r="EM9" s="48" t="str">
        <f t="shared" si="40"/>
        <v/>
      </c>
      <c r="EN9" s="48" t="str">
        <f t="shared" si="40"/>
        <v/>
      </c>
      <c r="EO9" s="48" t="str">
        <f t="shared" si="40"/>
        <v/>
      </c>
      <c r="EP9" s="48" t="str">
        <f t="shared" si="40"/>
        <v/>
      </c>
      <c r="EQ9" s="48" t="str">
        <f t="shared" si="40"/>
        <v/>
      </c>
      <c r="ER9" s="48" t="str">
        <f t="shared" si="40"/>
        <v/>
      </c>
      <c r="ES9" s="48" t="str">
        <f t="shared" si="40"/>
        <v/>
      </c>
      <c r="ET9" s="48" t="str">
        <f t="shared" si="40"/>
        <v/>
      </c>
      <c r="EU9" s="48" t="str">
        <f t="shared" si="40"/>
        <v/>
      </c>
      <c r="EV9" s="48" t="str">
        <f t="shared" si="40"/>
        <v>"Builds",</v>
      </c>
      <c r="EW9" s="48" t="str">
        <f t="shared" si="40"/>
        <v/>
      </c>
      <c r="EX9" s="48" t="str">
        <f t="shared" si="40"/>
        <v>"Crowns",</v>
      </c>
      <c r="EY9" s="48" t="str">
        <f t="shared" si="40"/>
        <v/>
      </c>
      <c r="EZ9" s="48" t="str">
        <f t="shared" si="40"/>
        <v/>
      </c>
      <c r="FA9" s="48" t="str">
        <f>IF(AT9&gt;0,CHAR(34)&amp;"sta"&amp;AZ9&amp;CHAR(34)&amp;",","")</f>
        <v>"sta",</v>
      </c>
      <c r="FB9" s="48" t="str">
        <f>IF(AND(AT9&gt;0,BA9&lt;&gt;""),CHAR(34)&amp;"sta"&amp;BA9&amp;CHAR(34)&amp;",","")</f>
        <v/>
      </c>
      <c r="FC9" s="48" t="str">
        <f>IF(AND(AT9&gt;0,BB9&lt;&gt;""),CHAR(34)&amp;"sta"&amp;BB9&amp;CHAR(34)&amp;",","")</f>
        <v/>
      </c>
      <c r="FD9" s="48" t="str">
        <f>IF(BV9="n",CHAR(34)&amp;"tcWHYE"&amp;CHAR(34)&amp;",",IF(BV9="y",CHAR(34)&amp;FD$1&amp;CHAR(34)&amp;",",""))</f>
        <v>"ntWHYE",</v>
      </c>
      <c r="FE9" s="48" t="str">
        <f>IF(COUNTIF(BL9:BT9,"BLU")=0,CHAR(34)&amp;"NO_BLU"&amp;CHAR(34)&amp;",", "")</f>
        <v/>
      </c>
      <c r="FF9" s="48" t="str">
        <f>IF(COUNTIF(BL9:BT9,"WHI")=0,CHAR(34)&amp;"NO_WHI"&amp;CHAR(34)&amp;",", "")</f>
        <v/>
      </c>
      <c r="FG9" s="48" t="str">
        <f>IF(COUNTIF(BL9:BT9,"RED")=0,CHAR(34)&amp;"NO_RED"&amp;CHAR(34)&amp;",", "")</f>
        <v/>
      </c>
      <c r="FH9" s="48" t="str">
        <f>IF(COUNTIF(BL9:BS9,"GRE")=0,CHAR(34)&amp;"NO_GRE"&amp;CHAR(34)&amp;",", "")</f>
        <v/>
      </c>
      <c r="FI9" s="48" t="str">
        <f>IF(COUNTIF(BL9:BT9,"YEL")=0,CHAR(34)&amp;"NO_YEL"&amp;CHAR(34)&amp;",", "")</f>
        <v/>
      </c>
      <c r="FJ9" s="48" t="str">
        <f>IF(COUNTIF(BL9:BT9,"BLA")=0,CHAR(34)&amp;"NO_BLA"&amp;CHAR(34)&amp;",", "")</f>
        <v>"NO_BLA",</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"001YEL",</v>
      </c>
      <c r="FR9" s="48" t="str">
        <f>IF(LEN(BG9)=3,CHAR(34)&amp;"002"&amp;BG9&amp;CHAR(34)&amp;",","")</f>
        <v>"002BLU",</v>
      </c>
      <c r="FS9" s="48" t="str">
        <f>IF(LEN(BH9)=3,CHAR(34)&amp;"003"&amp;BH9&amp;CHAR(34)&amp;",","")</f>
        <v>"003RED",</v>
      </c>
      <c r="FT9" s="48" t="str">
        <f>CHAR(34)&amp;"myr"&amp;BD9&amp;CHAR(34)&amp;","</f>
        <v>"myrYEL",</v>
      </c>
      <c r="FU9" s="48" t="str">
        <f>IF(AY9="y",CHAR(34)&amp;"island"&amp;CHAR(34)&amp;",","")</f>
        <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"spanis",</v>
      </c>
      <c r="GC9" s="48" t="str">
        <f>IFERROR(IF(SEARCH("Portuguese",CB9)&gt;0,CHAR(34)&amp;"portug"&amp;CHAR(34)&amp;",",""),"")</f>
        <v/>
      </c>
      <c r="GD9" s="48" t="str">
        <f>IFERROR(IF(SEARCH("German",CB9)&gt;0,CHAR(34)&amp;"german"&amp;CHAR(34)&amp;",",""),"")</f>
        <v/>
      </c>
      <c r="GE9" s="48" t="str">
        <f>IFERROR(IF(SEARCH("Dutch",CB9)&gt;0,CHAR(34)&amp;"dutchs"&amp;CHAR(34)&amp;",",""),"")</f>
        <v/>
      </c>
      <c r="GF9" s="48" t="str">
        <f>IFERROR(IF(SEARCH("Histor",AU9)&gt;0,CHAR(34)&amp;"histor"&amp;CHAR(34)&amp;",",""),"")</f>
        <v/>
      </c>
      <c r="GG9" s="48" t="str">
        <f>IF(BU9="y",CHAR(34)&amp;"unjack"&amp;CHAR(34)&amp;",","")</f>
        <v/>
      </c>
      <c r="GH9" s="48" t="str">
        <f>IF(CD9=1,CHAR(34)&amp;"southc"&amp;CHAR(34)&amp;",","")</f>
        <v/>
      </c>
      <c r="GI9" s="48" t="str">
        <f>IF(CE9=1,CHAR(34)&amp;"hasmap"&amp;CHAR(34)&amp;",","")</f>
        <v/>
      </c>
      <c r="GJ9" s="48" t="str">
        <f>IF(CP9="y",CHAR(34)&amp;CP$1&amp;CHAR(34)&amp;",","")</f>
        <v/>
      </c>
      <c r="GK9" s="48" t="str">
        <f>IF(GJ9="",CHAR(34)&amp;"HasSta"&amp;CHAR(34)&amp;",","")</f>
        <v>"HasSta",</v>
      </c>
      <c r="GL9" s="48" t="str">
        <f t="shared" si="106"/>
        <v/>
      </c>
      <c r="GM9" s="48" t="str">
        <f t="shared" si="106"/>
        <v/>
      </c>
      <c r="GN9" s="48" t="str">
        <f t="shared" si="106"/>
        <v>"3+Star",</v>
      </c>
      <c r="GP9" s="48" t="str">
        <f>CHAR(34)&amp;AU9&amp;CHAR(34)</f>
        <v>"Internal Territory"</v>
      </c>
      <c r="GS9" s="48" t="str">
        <f>SUBSTITUTE("["&amp;_xlfn.CONCAT(CW9:GN9)&amp;"]",",]","]")</f>
        <v>["5+Colo","words2","words3","lets26","startA","with_y","year19","allver","2Bands","Crosse","Vertic","Animal","Bird","Plants","Weapon","Builds","Crowns","sta","ntWHYE","NO_BLA","001YEL","002BLU","003RED","myrYEL","spanis","HasSta","3+Star"]</v>
      </c>
      <c r="GT9" s="48" t="str">
        <f t="shared" si="80"/>
        <v>"cl_YEL",</v>
      </c>
      <c r="GU9" s="48" t="str">
        <f t="shared" si="80"/>
        <v>"cl_RED",</v>
      </c>
      <c r="GV9" s="48" t="str">
        <f t="shared" si="80"/>
        <v>"cl_BLU",</v>
      </c>
      <c r="GW9" s="48" t="str">
        <f t="shared" si="80"/>
        <v>"cl_BRO",</v>
      </c>
      <c r="GX9" s="48" t="str">
        <f t="shared" si="80"/>
        <v>"cl_WHI",</v>
      </c>
      <c r="GY9" s="48" t="str">
        <f t="shared" si="80"/>
        <v>"cl_GRE",</v>
      </c>
      <c r="GZ9" s="48" t="str">
        <f t="shared" si="80"/>
        <v>"cl_GRA",</v>
      </c>
      <c r="HA9" s="48" t="str">
        <f t="shared" si="80"/>
        <v/>
      </c>
      <c r="HB9" s="48" t="str">
        <f t="shared" si="80"/>
        <v/>
      </c>
      <c r="HC9" s="48" t="str">
        <f>SUBSTITUTE("["&amp;_xlfn.CONCAT(GT9:HB9)&amp;"]",",]","]")</f>
        <v>["cl_YEL","cl_RED","cl_BLU","cl_BRO","cl_WHI","cl_GRE","cl_GRA"]</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links: "https://en.wikipedia.org/wiki/Flag_of_the_Australian_Capital_Territory"},</v>
      </c>
      <c r="HG9" s="73" t="str">
        <f>"{couname:"&amp;CT9&amp;(IF(HK9&lt;&gt;"",",subtype:"&amp;CHAR(34)&amp;HK9&amp;CHAR(34),""))&amp;",year:"&amp;HJ9&amp;",region:"&amp;CU9&amp;",Colors:"&amp;HC9&amp;",Items:"&amp;GS9&amp;",Flag:"&amp;CV9&amp;",HDFlag:"&amp;CHAR(34)&amp;E9&amp;CHAR(34)&amp;",type:"&amp;GP9&amp;", describe: "&amp;HI9&amp;", links: "&amp;HL9&amp;"},"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links: "https://en.wikipedia.org/wiki/Flag_of_the_Australian_Capital_Territory"},</v>
      </c>
      <c r="HH9" s="48" t="str">
        <f>IF(P9&lt;&gt;"",CHAR(34)&amp;"\n"&amp;P9&amp;CHAR(34),CHAR(34)&amp;CHAR(34))</f>
        <v>"\nThe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v>
      </c>
      <c r="HI9" s="48" t="str">
        <f>IF(J9=0,CHAR(34)&amp;CHAR(34),HH9)</f>
        <v>"\nThe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v>
      </c>
      <c r="HJ9" s="48" t="str">
        <f>CHAR(34)&amp;O9&amp;CHAR(34)</f>
        <v>"1993"</v>
      </c>
      <c r="HL9" s="48" t="str">
        <f>CHAR(34)&amp;I9&amp;CHAR(34)</f>
        <v>"https://en.wikipedia.org/wiki/Flag_of_the_Australian_Capital_Territory"</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 "links": "https://en.wikipedia.org/wiki/Flag_of_the_Australian_Capital_Territory"},</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{"couname":"[AUS] Australian Capital Territory","year":"1993","region":"rgn_Oceania","Colors":["cl_YEL","cl_RED","cl_BLU","cl_BRO","cl_WHI","cl_GRE","cl_GRA"],"Items":["5+Colo","words2","words3","lets26","startA","with_y","year19","allver","2Bands","Crosse","Vertic","Animal","Bird","Plants","Weapon","Builds","Crowns","sta","ntWHYE","NO_BLA","001YEL","002BLU","003RED","myrYEL","spanis","HasSta","3+Star"],"Flag":"https://upload.wikimedia.org/wikipedia/commons/thumb/8/8c/Flag_of_the_Australian_Capital_Territory.svg/320px-Flag_of_the_Australian_Capital_Territory.svg.png","HDFlag":"https://upload.wikimedia.org/wikipedia/commons/thumb/8/8c/Flag_of_the_Australian_Capital_Territory.svg/2560px-Flag_of_the_Australian_Capital_Territory.svg.png","type":"Internal Territory", "describe": "\nThe flag uses the Canberra city colours of blue and gold (which also happen to be the heraldic colours of Australia). The Southern Cross appears as five white stars on a blue panel at the hoist, whilst in the centre of the goldfield in the fly is the modified Coat of arms of the city of Canberra. The flag was designed by Ivo Ostyn.", "isnew": ".", "links": "https://en.wikipedia.org/wiki/Flag_of_the_Australian_Capital_Territory"},</v>
      </c>
      <c r="HO9" s="75"/>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BRO</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COUNTIF(IC9:IK9,"&gt;0")-CG9</f>
        <v>-7</v>
      </c>
      <c r="IN9" s="78" t="str">
        <f>"http://mkweb.bcgsc.ca/color-summarizer/?url="&amp;D9&amp;"&amp;precision=low&amp;num_clusters="&amp;CG9&amp;"&amp;text=1"</f>
        <v>http://mkweb.bcgsc.ca/color-summarizer/?url=https://upload.wikimedia.org/wikipedia/commons/thumb/8/8c/Flag_of_the_Australian_Capital_Territory.svg/320px-Flag_of_the_Australian_Capital_Territory.svg.png&amp;precision=low&amp;num_clusters=7&amp;text=1</v>
      </c>
      <c r="IO9" s="48" t="str">
        <f>IF(HP9&lt;&gt;"",CHAR(34)&amp;"black"&amp;CHAR(34),"")</f>
        <v/>
      </c>
      <c r="IP9" s="48" t="str">
        <f>IF(HQ9&lt;&gt;"",CHAR(34)&amp;"blue"&amp;CHAR(34),"")</f>
        <v>"blue"</v>
      </c>
      <c r="IQ9" s="48" t="str">
        <f>IF(HR9&lt;&gt;"",CHAR(34)&amp;"green"&amp;CHAR(34),"")</f>
        <v>"green"</v>
      </c>
      <c r="IR9" s="48" t="str">
        <f>IF(HS9&lt;&gt;"",CHAR(34)&amp;"red"&amp;CHAR(34),"")</f>
        <v>"red"</v>
      </c>
      <c r="IS9" s="48" t="str">
        <f>IF(HT9&lt;&gt;"",CHAR(34)&amp;"yellow"&amp;CHAR(34),"")</f>
        <v>"yellow"</v>
      </c>
      <c r="IT9" s="48" t="str">
        <f>IF(HU9&lt;&gt;"",CHAR(34)&amp;"orange"&amp;CHAR(34),"")</f>
        <v/>
      </c>
      <c r="IU9" s="48" t="str">
        <f>IF(HV9&lt;&gt;"",CHAR(34)&amp;"brown"&amp;CHAR(34),"")</f>
        <v>"brown"</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{"url":"http://mkweb.bcgsc.ca/color-summarizer/?url=https://upload.wikimedia.org/wikipedia/commons/thumb/8/8c/Flag_of_the_Australian_Capital_Territory.svg/320px-Flag_of_the_Australian_Capital_Territory.svg.png&amp;precision=low&amp;num_clusters=7&amp;text=1","name":"[AUS] Australian Capital Territory"},</v>
      </c>
      <c r="IY9" s="48">
        <v>64</v>
      </c>
    </row>
    <row r="10" spans="1:259" s="48" customFormat="1" ht="38.4" customHeight="1" thickBot="1" x14ac:dyDescent="0.35">
      <c r="A10" s="80" t="s">
        <v>632</v>
      </c>
      <c r="B10" s="40" t="e" vm="11">
        <v>#VALUE!</v>
      </c>
      <c r="C10" s="41" t="s">
        <v>625</v>
      </c>
      <c r="D10" s="42" t="s">
        <v>633</v>
      </c>
      <c r="E10" s="43" t="s">
        <v>634</v>
      </c>
      <c r="F10" s="44" t="s">
        <v>166</v>
      </c>
      <c r="G10" s="45">
        <f>COUNTIF($A$1:$A$8359,A10)</f>
        <v>1</v>
      </c>
      <c r="H10" s="46"/>
      <c r="I10" s="47" t="s">
        <v>635</v>
      </c>
      <c r="J10" s="48" t="str">
        <f>""</f>
        <v/>
      </c>
      <c r="K10" s="49"/>
      <c r="L10" s="50"/>
      <c r="M10" s="50"/>
      <c r="N10" s="51" t="s">
        <v>169</v>
      </c>
      <c r="O10" s="52">
        <v>1978</v>
      </c>
      <c r="P10" s="53" t="s">
        <v>636</v>
      </c>
      <c r="Q10" s="54">
        <v>2</v>
      </c>
      <c r="R10" s="55" t="s">
        <v>169</v>
      </c>
      <c r="S10" s="56">
        <v>2</v>
      </c>
      <c r="T10" s="57" t="s">
        <v>173</v>
      </c>
      <c r="U10" s="58" t="s">
        <v>173</v>
      </c>
      <c r="V10" s="58" t="s">
        <v>173</v>
      </c>
      <c r="W10" s="58" t="s">
        <v>172</v>
      </c>
      <c r="X10" s="58" t="s">
        <v>173</v>
      </c>
      <c r="Y10" s="58" t="s">
        <v>173</v>
      </c>
      <c r="Z10" s="58" t="s">
        <v>173</v>
      </c>
      <c r="AA10" s="58" t="s">
        <v>172</v>
      </c>
      <c r="AB10" s="58" t="s">
        <v>173</v>
      </c>
      <c r="AC10" s="58" t="s">
        <v>173</v>
      </c>
      <c r="AD10" s="58" t="s">
        <v>173</v>
      </c>
      <c r="AE10" s="58" t="s">
        <v>173</v>
      </c>
      <c r="AF10" s="59" t="s">
        <v>173</v>
      </c>
      <c r="AG10" s="59" t="s">
        <v>173</v>
      </c>
      <c r="AH10" s="59" t="s">
        <v>173</v>
      </c>
      <c r="AI10" s="59" t="s">
        <v>173</v>
      </c>
      <c r="AJ10" s="59" t="s">
        <v>173</v>
      </c>
      <c r="AK10" s="59" t="s">
        <v>173</v>
      </c>
      <c r="AL10" s="59" t="s">
        <v>173</v>
      </c>
      <c r="AM10" s="59" t="s">
        <v>173</v>
      </c>
      <c r="AN10" s="59" t="s">
        <v>173</v>
      </c>
      <c r="AO10" s="59" t="s">
        <v>173</v>
      </c>
      <c r="AP10" s="59" t="s">
        <v>173</v>
      </c>
      <c r="AQ10" s="59" t="s">
        <v>173</v>
      </c>
      <c r="AR10" s="59" t="s">
        <v>173</v>
      </c>
      <c r="AS10" s="59" t="s">
        <v>173</v>
      </c>
      <c r="AT10" s="60">
        <v>5</v>
      </c>
      <c r="AU10" s="59" t="s">
        <v>630</v>
      </c>
      <c r="AV10" s="59" t="str">
        <f>IF(LEFT(A10,1)="[",LEFT(A10,5)&amp;AU10&amp;A10,"")</f>
        <v>[AUS]Internal Territory[AUS] Northern Territory</v>
      </c>
      <c r="AW10" s="59" t="str">
        <f>C10&amp;H10&amp;A10</f>
        <v>2b[AUS] Northern Territory</v>
      </c>
      <c r="AX10" s="61"/>
      <c r="AY10" s="61"/>
      <c r="AZ10" s="62" t="s">
        <v>192</v>
      </c>
      <c r="BA10" s="62" t="s">
        <v>192</v>
      </c>
      <c r="BB10" s="62"/>
      <c r="BC10" s="63"/>
      <c r="BD10" s="64" t="s">
        <v>408</v>
      </c>
      <c r="BE10" s="47"/>
      <c r="BF10" s="64" t="s">
        <v>154</v>
      </c>
      <c r="BG10" s="64" t="s">
        <v>192</v>
      </c>
      <c r="BH10" s="64" t="s">
        <v>155</v>
      </c>
      <c r="BI10" s="64"/>
      <c r="BJ10" s="64"/>
      <c r="BK10" s="47"/>
      <c r="BL10" s="64" t="s">
        <v>192</v>
      </c>
      <c r="BM10" s="64" t="s">
        <v>192</v>
      </c>
      <c r="BN10" s="64" t="s">
        <v>192</v>
      </c>
      <c r="BO10" s="64" t="s">
        <v>154</v>
      </c>
      <c r="BP10" s="64" t="s">
        <v>155</v>
      </c>
      <c r="BQ10" s="64" t="s">
        <v>192</v>
      </c>
      <c r="BR10" s="64" t="s">
        <v>192</v>
      </c>
      <c r="BS10" s="64" t="s">
        <v>192</v>
      </c>
      <c r="BT10" s="64" t="s">
        <v>192</v>
      </c>
      <c r="BU10" s="65"/>
      <c r="BV10" s="66"/>
      <c r="BW10" s="66">
        <v>0</v>
      </c>
      <c r="BX10" s="47"/>
      <c r="CB10" s="6"/>
      <c r="CC10" s="6"/>
      <c r="CD10" s="67">
        <v>0</v>
      </c>
      <c r="CE10" s="67">
        <v>0</v>
      </c>
      <c r="CF10" s="67" t="e">
        <v>#REF!</v>
      </c>
      <c r="CG10" s="68" cm="1">
        <f t="array" ref="CG10">SUMPRODUCT(--(LEN(TRIM(BL10:BT10))&gt;0))</f>
        <v>2</v>
      </c>
      <c r="CH10" s="59" t="str">
        <f>IF(CG10=2,"y","n")</f>
        <v>y</v>
      </c>
      <c r="CI10" s="59" t="str">
        <f>IF(CG10=3,"y","n")</f>
        <v>n</v>
      </c>
      <c r="CJ10" s="59" t="str">
        <f>IF(CG10=4,"y","n")</f>
        <v>n</v>
      </c>
      <c r="CK10" s="59" t="str">
        <f>IF(CG10&gt;4,"y","n")</f>
        <v>n</v>
      </c>
      <c r="CL10" s="59" t="str">
        <f>IF(S10=0,"y","n")</f>
        <v>n</v>
      </c>
      <c r="CM10" s="59" t="str">
        <f>IF(S10=2,"y","n")</f>
        <v>y</v>
      </c>
      <c r="CN10" s="59" t="str">
        <f>IF(S10=3,"y","n")</f>
        <v>n</v>
      </c>
      <c r="CO10" s="59" t="str">
        <f>IF(S10&gt;=4,"y","n")</f>
        <v>n</v>
      </c>
      <c r="CP10" s="59" t="str">
        <f>IF(AT10=0,"y","n")</f>
        <v>n</v>
      </c>
      <c r="CQ10" s="59" t="str">
        <f>IF(AT10=1,"y","n")</f>
        <v>n</v>
      </c>
      <c r="CR10" s="59" t="str">
        <f>IF(AT10=2,"y","n")</f>
        <v>n</v>
      </c>
      <c r="CS10" s="59" t="str">
        <f>IF(AT10&gt;=3,"y","n")</f>
        <v>y</v>
      </c>
      <c r="CT10" s="69" t="str">
        <f>CHAR(34)&amp;A10&amp;CHAR(34)</f>
        <v>"[AUS] Northern Territory"</v>
      </c>
      <c r="CU10" s="70" t="str">
        <f>CHAR(34)&amp;"rgn_"&amp;R10&amp;CHAR(34)</f>
        <v>"rgn_Oceania"</v>
      </c>
      <c r="CV10" s="48" t="str">
        <f>CHAR(34)&amp;D10&amp;CHAR(34)</f>
        <v>"https://upload.wikimedia.org/wikipedia/commons/thumb/b/b7/Flag_of_the_Northern_Territory.svg/640px-Flag_of_the_Northern_Territory.svg.png"</v>
      </c>
      <c r="CW10" s="48" t="str">
        <f t="shared" si="103"/>
        <v>"2Color",</v>
      </c>
      <c r="CX10" s="48" t="str">
        <f t="shared" si="103"/>
        <v/>
      </c>
      <c r="CY10" s="48" t="str">
        <f t="shared" si="103"/>
        <v/>
      </c>
      <c r="CZ10" s="48" t="str">
        <f t="shared" si="103"/>
        <v/>
      </c>
      <c r="DA10" s="48" t="str">
        <f>IF(Q10&gt;1,CHAR(34)&amp;"words2"&amp;CHAR(34)&amp;",","")</f>
        <v>"words2",</v>
      </c>
      <c r="DB10" s="48" t="str">
        <f>IF(Q10&gt;2,CHAR(34)&amp;"words3"&amp;CHAR(34)&amp;",","")</f>
        <v/>
      </c>
      <c r="DD10" s="48"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"lets17",</v>
      </c>
      <c r="DE10" s="48" t="str">
        <f>CHAR(34)&amp;"start"&amp;IFERROR(LEFT(SUBSTITUTE(A10,"["&amp;MID(A10,FIND("[",A10)+1,FIND("]",A10)-FIND("[",A10)-1)&amp;"] ",""),1),LEFT(A10,1))&amp;CHAR(34)&amp;","</f>
        <v>"startN",</v>
      </c>
      <c r="DF10" s="48" t="str">
        <f>IFERROR(IF(SEARCH("tan",A10)&gt;0,CHAR(34)&amp;"withtn"&amp;CHAR(34)&amp;",",""),"")</f>
        <v/>
      </c>
      <c r="DG10" s="48" t="str">
        <f>IFERROR(IF(SEARCH("q",A10)&gt;0,CHAR(34)&amp;"with_q"&amp;CHAR(34)&amp;",",""),"")</f>
        <v/>
      </c>
      <c r="DH10" s="48" t="str">
        <f>IFERROR(IF(SEARCH("v",A10)&gt;0,CHAR(34)&amp;"with_v"&amp;CHAR(34)&amp;",",""),"")</f>
        <v/>
      </c>
      <c r="DI10" s="48" t="str">
        <f>IFERROR(IF(SEARCH("w",A10)&gt;0,CHAR(34)&amp;"with_w"&amp;CHAR(34)&amp;",",""),"")</f>
        <v/>
      </c>
      <c r="DJ10" s="48" t="str">
        <f>IFERROR(IF(SEARCH("y",A10)&gt;0,CHAR(34)&amp;"with_y"&amp;CHAR(34)&amp;",",""),"")</f>
        <v>"with_y",</v>
      </c>
      <c r="DK10" s="48" t="str">
        <f>IFERROR(IF(SEARCH("z",A10)&gt;0,CHAR(34)&amp;"with_z"&amp;CHAR(34)&amp;",",""),"")</f>
        <v/>
      </c>
      <c r="DL10" s="48" t="str">
        <f>IF(CG10=2, CHAR(34) &amp; _xlfn.TEXTJOIN("", TRUE, _xlfn._xlws.SORT(HP10:HX10)) &amp; CHAR(34) &amp; ",", "")</f>
        <v>"REDYEL",</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"year19",</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"allver",</v>
      </c>
      <c r="DT10" s="6" t="str">
        <f>IF(V10="y",IF(AND(W10="n",BY10&lt;&gt;"y"),CHAR(34)&amp;"allhor"&amp;CHAR(34)&amp;",",""),"")</f>
        <v/>
      </c>
      <c r="DU10" s="6" t="str">
        <f>IF(BY10="y",IF(AND(W10="n",V10="n"),CHAR(34)&amp;"alldia"&amp;CHAR(34)&amp;",",""),"")</f>
        <v/>
      </c>
      <c r="DW10" s="48" t="str">
        <f t="shared" si="104"/>
        <v/>
      </c>
      <c r="DX10" s="48" t="str">
        <f t="shared" si="104"/>
        <v>"2Bands",</v>
      </c>
      <c r="DY10" s="48" t="str">
        <f t="shared" si="104"/>
        <v/>
      </c>
      <c r="DZ10" s="48" t="str">
        <f t="shared" si="104"/>
        <v/>
      </c>
      <c r="EA10" s="48" t="str">
        <f t="shared" si="105"/>
        <v/>
      </c>
      <c r="EB10" s="48" t="str">
        <f t="shared" si="105"/>
        <v/>
      </c>
      <c r="EC10" s="48" t="str">
        <f t="shared" si="105"/>
        <v/>
      </c>
      <c r="ED10" s="48" t="str">
        <f t="shared" si="105"/>
        <v>"Vertic",</v>
      </c>
      <c r="EE10" s="48" t="str">
        <f t="shared" si="105"/>
        <v/>
      </c>
      <c r="EF10" s="48" t="str">
        <f>IF(AND(Y10&lt;&gt;"n",Y10&lt;&gt;""),CHAR(34)&amp;Y$1&amp;CHAR(34)&amp;",","")</f>
        <v/>
      </c>
      <c r="EG10" s="48" t="str">
        <f t="shared" si="40"/>
        <v/>
      </c>
      <c r="EH10" s="48" t="str">
        <f t="shared" si="40"/>
        <v>"Plants",</v>
      </c>
      <c r="EI10" s="48" t="str">
        <f t="shared" si="40"/>
        <v/>
      </c>
      <c r="EJ10" s="48" t="str">
        <f t="shared" si="40"/>
        <v/>
      </c>
      <c r="EK10" s="48" t="str">
        <f t="shared" si="40"/>
        <v/>
      </c>
      <c r="EL10" s="48" t="str">
        <f t="shared" si="40"/>
        <v/>
      </c>
      <c r="EM10" s="48" t="str">
        <f t="shared" si="40"/>
        <v/>
      </c>
      <c r="EN10" s="48" t="str">
        <f t="shared" si="40"/>
        <v/>
      </c>
      <c r="EO10" s="48" t="str">
        <f t="shared" si="40"/>
        <v/>
      </c>
      <c r="EP10" s="48" t="str">
        <f t="shared" si="40"/>
        <v/>
      </c>
      <c r="EQ10" s="48" t="str">
        <f t="shared" si="40"/>
        <v/>
      </c>
      <c r="ER10" s="48" t="str">
        <f t="shared" si="40"/>
        <v/>
      </c>
      <c r="ES10" s="48" t="str">
        <f t="shared" si="40"/>
        <v/>
      </c>
      <c r="ET10" s="48" t="str">
        <f t="shared" si="40"/>
        <v/>
      </c>
      <c r="EU10" s="48" t="str">
        <f t="shared" si="40"/>
        <v/>
      </c>
      <c r="EV10" s="48" t="str">
        <f t="shared" si="40"/>
        <v/>
      </c>
      <c r="EW10" s="48" t="str">
        <f t="shared" si="40"/>
        <v/>
      </c>
      <c r="EX10" s="48" t="str">
        <f t="shared" si="40"/>
        <v/>
      </c>
      <c r="EY10" s="48" t="str">
        <f t="shared" si="40"/>
        <v/>
      </c>
      <c r="EZ10" s="48" t="str">
        <f t="shared" si="40"/>
        <v/>
      </c>
      <c r="FA10" s="48" t="str">
        <f>IF(AT10&gt;0,CHAR(34)&amp;"sta"&amp;AZ10&amp;CHAR(34)&amp;",","")</f>
        <v>"sta",</v>
      </c>
      <c r="FB10" s="48" t="str">
        <f>IF(AND(AT10&gt;0,BA10&lt;&gt;""),CHAR(34)&amp;"sta"&amp;BA10&amp;CHAR(34)&amp;",","")</f>
        <v/>
      </c>
      <c r="FD10" s="48" t="str">
        <f>IF(BV10="n",CHAR(34)&amp;"tcWHYE"&amp;CHAR(34)&amp;",",IF(BV10="y",CHAR(34)&amp;FD$1&amp;CHAR(34)&amp;",",""))</f>
        <v/>
      </c>
      <c r="FE10" s="48" t="str">
        <f>IF(COUNTIF(BL10:BT10,"BLU")=0,CHAR(34)&amp;"NO_BLU"&amp;CHAR(34)&amp;",", "")</f>
        <v>"NO_BLU",</v>
      </c>
      <c r="FF10" s="48" t="str">
        <f>IF(COUNTIF(BL10:BT10,"WHI")=0,CHAR(34)&amp;"NO_WHI"&amp;CHAR(34)&amp;",", "")</f>
        <v>"NO_WHI",</v>
      </c>
      <c r="FG10" s="48" t="str">
        <f>IF(COUNTIF(BL10:BT10,"RED")=0,CHAR(34)&amp;"NO_RED"&amp;CHAR(34)&amp;",", "")</f>
        <v/>
      </c>
      <c r="FH10" s="48" t="str">
        <f>IF(COUNTIF(BL10:BS10,"GRE")=0,CHAR(34)&amp;"NO_GRE"&amp;CHAR(34)&amp;",", "")</f>
        <v>"NO_GRE",</v>
      </c>
      <c r="FI10" s="48" t="str">
        <f>IF(COUNTIF(BL10:BT10,"YEL")=0,CHAR(34)&amp;"NO_YEL"&amp;CHAR(34)&amp;",", "")</f>
        <v/>
      </c>
      <c r="FJ10" s="48" t="str">
        <f>IF(COUNTIF(BL10:BT10,"BLA")=0,CHAR(34)&amp;"NO_BLA"&amp;CHAR(34)&amp;",", "")</f>
        <v>"NO_BLA",</v>
      </c>
      <c r="FK10" s="48" t="str">
        <f>IF(AND(FH10&lt;&gt;"",FF10&lt;&gt;""),CHAR(34)&amp;"WHGRNO"&amp;CHAR(34)&amp;",","")</f>
        <v>"WHGRNO",</v>
      </c>
      <c r="FL10" s="48" t="str">
        <f>IF(AND(FI10&lt;&gt;"",FF10&lt;&gt;""),CHAR(34)&amp;"WHYENO"&amp;CHAR(34)&amp;",","")</f>
        <v/>
      </c>
      <c r="FM10" s="48" t="str">
        <f>IF(AND(FJ10&lt;&gt;"",FF10&lt;&gt;""),CHAR(34)&amp;"BAWHNO"&amp;CHAR(34)&amp;",","")</f>
        <v>"BAWHNO",</v>
      </c>
      <c r="FN10" s="48" t="str">
        <f>IF(AND(FE10&lt;&gt;"",FF10&lt;&gt;""),CHAR(34)&amp;"BLWHNO"&amp;CHAR(34)&amp;",","")</f>
        <v>"BLWHNO",</v>
      </c>
      <c r="FO10" s="48" t="str">
        <f>IF(AND(FE10&lt;&gt;"",FG10&lt;&gt;""),CHAR(34)&amp;"BLRENO"&amp;CHAR(34)&amp;",","")</f>
        <v/>
      </c>
      <c r="FP10" s="48" t="str">
        <f>IF(AND(FF10&lt;&gt;"",FF10&lt;&gt;""),CHAR(34)&amp;"WHRENO"&amp;CHAR(34)&amp;",","")</f>
        <v>"WHRENO",</v>
      </c>
      <c r="FQ10" s="48" t="str">
        <f>IF(LEN(BF10)=3,CHAR(34)&amp;"001"&amp;BF10&amp;CHAR(34)&amp;",","")</f>
        <v>"001RED",</v>
      </c>
      <c r="FR10" s="48" t="str">
        <f>IF(LEN(BG10)=3,CHAR(34)&amp;"002"&amp;BG10&amp;CHAR(34)&amp;",","")</f>
        <v/>
      </c>
      <c r="FS10" s="48" t="str">
        <f>IF(LEN(BH10)=3,CHAR(34)&amp;"003"&amp;BH10&amp;CHAR(34)&amp;",","")</f>
        <v>"003YEL",</v>
      </c>
      <c r="FT10" s="48" t="str">
        <f>CHAR(34)&amp;"myr"&amp;BD10&amp;CHAR(34)&amp;","</f>
        <v>"myrEQ",</v>
      </c>
      <c r="FU10" s="48" t="str">
        <f>IF(AY10="y",CHAR(34)&amp;"island"&amp;CHAR(34)&amp;",","")</f>
        <v/>
      </c>
      <c r="FV10" s="48" t="str">
        <f>IF(BZ10="y",CHAR(34)&amp;"landlo"&amp;CHAR(34)&amp;",","")</f>
        <v/>
      </c>
      <c r="FW10" s="48" t="str">
        <f>IF(CA10="y",CHAR(34)&amp;"eunion"&amp;CHAR(34)&amp;",","")</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
      </c>
      <c r="GJ10" s="48" t="str">
        <f>IF(CP10="y",CHAR(34)&amp;CP$1&amp;CHAR(34)&amp;",","")</f>
        <v/>
      </c>
      <c r="GK10" s="48" t="str">
        <f>IF(GJ10="",CHAR(34)&amp;"HasSta"&amp;CHAR(34)&amp;",","")</f>
        <v>"HasSta",</v>
      </c>
      <c r="GL10" s="48" t="str">
        <f t="shared" si="106"/>
        <v/>
      </c>
      <c r="GM10" s="48" t="str">
        <f t="shared" si="106"/>
        <v/>
      </c>
      <c r="GN10" s="48" t="str">
        <f t="shared" si="106"/>
        <v>"3+Star",</v>
      </c>
      <c r="GP10" s="48" t="str">
        <f>CHAR(34)&amp;AU10&amp;CHAR(34)</f>
        <v>"Internal Territory"</v>
      </c>
      <c r="GS10" s="48" t="str">
        <f>SUBSTITUTE("["&amp;_xlfn.CONCAT(CW10:GN10)&amp;"]",",]","]")</f>
        <v>["2Color","words2","lets17","startN","with_y","REDYEL","year19","allver","2Bands","Vertic","Plants","sta","NO_BLU","NO_WHI","NO_GRE","NO_BLA","WHGRNO","BAWHNO","BLWHNO","WHRENO","001RED","003YEL","myrEQ","HasSta","3+Star"]</v>
      </c>
      <c r="GT10" s="48" t="str">
        <f t="shared" si="80"/>
        <v/>
      </c>
      <c r="GU10" s="48" t="str">
        <f t="shared" si="80"/>
        <v/>
      </c>
      <c r="GV10" s="48" t="str">
        <f t="shared" si="80"/>
        <v/>
      </c>
      <c r="GW10" s="48" t="str">
        <f t="shared" si="80"/>
        <v>"cl_RED",</v>
      </c>
      <c r="GX10" s="48" t="str">
        <f t="shared" si="80"/>
        <v>"cl_YEL",</v>
      </c>
      <c r="GY10" s="48" t="str">
        <f t="shared" si="80"/>
        <v/>
      </c>
      <c r="GZ10" s="48" t="str">
        <f t="shared" si="80"/>
        <v/>
      </c>
      <c r="HA10" s="48" t="str">
        <f t="shared" si="80"/>
        <v/>
      </c>
      <c r="HB10" s="48" t="str">
        <f t="shared" si="80"/>
        <v/>
      </c>
      <c r="HC10" s="48" t="str">
        <f>SUBSTITUTE("["&amp;_xlfn.CONCAT(GT10:HB10)&amp;"]",",]","]")</f>
        <v>["cl_RED","cl_YEL"]</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links: "https://en.wikipedia.org/wiki/Flag_of_the_Northern_Territory"},</v>
      </c>
      <c r="HG10" s="73" t="str">
        <f>"{couname:"&amp;CT10&amp;(IF(HK10&lt;&gt;"",",subtype:"&amp;CHAR(34)&amp;HK10&amp;CHAR(34),""))&amp;",year:"&amp;HJ10&amp;",region:"&amp;CU10&amp;",Colors:"&amp;HC10&amp;",Items:"&amp;GS10&amp;",Flag:"&amp;CV10&amp;",HDFlag:"&amp;CHAR(34)&amp;E10&amp;CHAR(34)&amp;",type:"&amp;GP10&amp;", describe: "&amp;HI10&amp;", links: "&amp;HL10&amp;"},"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links: "https://en.wikipedia.org/wiki/Flag_of_the_Northern_Territory"},</v>
      </c>
      <c r="HH10" s="48" t="str">
        <f>IF(P10&lt;&gt;"",CHAR(34)&amp;"\n"&amp;P10&amp;CHAR(34),CHAR(34)&amp;CHAR(34))</f>
        <v>"\nThe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v>
      </c>
      <c r="HI10" s="48" t="str">
        <f>IF(J10=0,CHAR(34)&amp;CHAR(34),HH10)</f>
        <v>"\nThe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v>
      </c>
      <c r="HJ10" s="48" t="str">
        <f>CHAR(34)&amp;O10&amp;CHAR(34)</f>
        <v>"1978"</v>
      </c>
      <c r="HL10" s="48" t="str">
        <f>CHAR(34)&amp;I10&amp;CHAR(34)</f>
        <v>"https://en.wikipedia.org/wiki/Flag_of_the_Northern_Territory"</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 "links": "https://en.wikipedia.org/wiki/Flag_of_the_Northern_Territory"},</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{"couname":"[AUS] Northern Territory","year":"1978","region":"rgn_Oceania","Colors":["cl_RED","cl_YEL"],"Items":["2Color","words2","lets17","startN","with_y","REDYEL","year19","allver","2Bands","Vertic","Plants","sta","NO_BLU","NO_WHI","NO_GRE","NO_BLA","WHGRNO","BAWHNO","BLWHNO","WHRENO","001RED","003YEL","myrEQ","HasSta","3+Star"],"Flag":"https://upload.wikimedia.org/wikipedia/commons/thumb/b/b7/Flag_of_the_Northern_Territory.svg/640px-Flag_of_the_Northern_Territory.svg.png","HDFlag":"https://upload.wikimedia.org/wikipedia/commons/thumb/b/b7/Flag_of_the_Northern_Territory.svg/2560px-Flag_of_the_Northern_Territory.svg.png","type":"Internal Territory", "describe": "\nThe flag's colours consist of the official Territorian colours of black, white and ochre (making it the only flag among Australia's states and territories not to feature the colour blue). The Southern Cross appears as five white stars on a black panel at the hoist. In the fly of the flag is a stylised Sturt's Desert Rose, the territory's floral emblem since 1961, with seven white petals and a black seven-pointed core. The seven white petals represent the six Australian States and the Northern Territory.", "isnew": ".", "links": "https://en.wikipedia.org/wiki/Flag_of_the_Northern_Territory"},</v>
      </c>
      <c r="HO10" s="75">
        <v>45644</v>
      </c>
      <c r="HP10" s="48" t="str" cm="1">
        <f t="array" ref="HP10">IF(_xlfn.TEXTJOIN(", ", TRUE, IF(ISNUMBER(SEARCH("BLA", BL10:BT10)), COLUMN(BL10:BT10) - COLUMN(BL10) + 1, ""))&lt;&gt;"","BLA","")</f>
        <v/>
      </c>
      <c r="HQ10" s="48" t="str" cm="1">
        <f t="array" ref="HQ10">IF(_xlfn.TEXTJOIN(", ", TRUE, IF(ISNUMBER(SEARCH("BLU", BL10:BT10)), COLUMN(BL10:BT10) - COLUMN(BL10) + 1, ""))&lt;&gt;"","BLU","")</f>
        <v/>
      </c>
      <c r="HR10" s="48" t="str" cm="1">
        <f t="array" ref="HR10">IF(_xlfn.TEXTJOIN(", ", TRUE, IF(ISNUMBER(SEARCH("GRE", BL10:BT10)), COLUMN(BL10:BT10) - COLUMN(BL10) + 1, ""))&lt;&gt;"","GRE","")</f>
        <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
      </c>
      <c r="HY10" s="76"/>
      <c r="HZ10" s="76"/>
      <c r="IA10" s="6"/>
      <c r="IB10" s="6"/>
      <c r="IC10" s="77"/>
      <c r="ID10" s="77"/>
      <c r="IE10" s="77"/>
      <c r="IF10" s="77"/>
      <c r="IG10" s="77"/>
      <c r="IH10" s="77"/>
      <c r="II10" s="77"/>
      <c r="IJ10" s="77"/>
      <c r="IK10" s="77"/>
      <c r="IM10" s="45">
        <f>COUNTIF(IC10:IK10,"&gt;0")-CG10</f>
        <v>-2</v>
      </c>
      <c r="IN10" s="78" t="str">
        <f>"http://mkweb.bcgsc.ca/color-summarizer/?url="&amp;D10&amp;"&amp;precision=low&amp;num_clusters="&amp;CG10&amp;"&amp;text=1"</f>
        <v>http://mkweb.bcgsc.ca/color-summarizer/?url=https://upload.wikimedia.org/wikipedia/commons/thumb/b/b7/Flag_of_the_Northern_Territory.svg/640px-Flag_of_the_Northern_Territory.svg.png&amp;precision=low&amp;num_clusters=2&amp;text=1</v>
      </c>
      <c r="IO10" s="48" t="str">
        <f>IF(HP10&lt;&gt;"",CHAR(34)&amp;"black"&amp;CHAR(34),"")</f>
        <v/>
      </c>
      <c r="IP10" s="48" t="str">
        <f>IF(HQ10&lt;&gt;"",CHAR(34)&amp;"blue"&amp;CHAR(34),"")</f>
        <v/>
      </c>
      <c r="IQ10" s="48" t="str">
        <f>IF(HR10&lt;&gt;"",CHAR(34)&amp;"green"&amp;CHAR(34),"")</f>
        <v/>
      </c>
      <c r="IR10" s="48" t="str">
        <f>IF(HS10&lt;&gt;"",CHAR(34)&amp;"red"&amp;CHAR(34),"")</f>
        <v>"red"</v>
      </c>
      <c r="IS10" s="48" t="str">
        <f>IF(HT10&lt;&gt;"",CHAR(34)&amp;"yellow"&amp;CHAR(34),"")</f>
        <v>"yellow"</v>
      </c>
      <c r="IT10" s="48" t="str">
        <f>IF(HU10&lt;&gt;"",CHAR(34)&amp;"orange"&amp;CHAR(34),"")</f>
        <v/>
      </c>
      <c r="IU10" s="48" t="str">
        <f>IF(HV10&lt;&gt;"",CHAR(34)&amp;"brown"&amp;CHAR(34),"")</f>
        <v/>
      </c>
      <c r="IV10" s="48" t="str">
        <f>IF(HW10&lt;&gt;"",CHAR(34)&amp;"purple"&amp;CHAR(34),"")</f>
        <v/>
      </c>
      <c r="IW10" s="48" t="str">
        <f>IF(HX10&lt;&gt;"",CHAR(34)&amp;"white"&amp;CHAR(34),"")</f>
        <v/>
      </c>
      <c r="IX10" s="48" t="str">
        <f>"{"&amp;CHAR(34)&amp;"url"&amp;CHAR(34)&amp;":"&amp;CHAR(34)&amp;IN10&amp;CHAR(34)&amp;","&amp;CHAR(34)&amp;"name"&amp;CHAR(34)&amp;":"&amp;CHAR(34)&amp;A10&amp;CHAR(34)&amp;"},"</f>
        <v>{"url":"http://mkweb.bcgsc.ca/color-summarizer/?url=https://upload.wikimedia.org/wikipedia/commons/thumb/b/b7/Flag_of_the_Northern_Territory.svg/640px-Flag_of_the_Northern_Territory.svg.png&amp;precision=low&amp;num_clusters=2&amp;text=1","name":"[AUS] Northern Territory"},</v>
      </c>
      <c r="IY10" s="48">
        <v>1503</v>
      </c>
    </row>
    <row r="11" spans="1:259" s="48" customFormat="1" ht="38.4" customHeight="1" thickBot="1" x14ac:dyDescent="0.35">
      <c r="A11" s="81" t="s">
        <v>653</v>
      </c>
      <c r="B11" s="40" t="e" vm="12">
        <v>#VALUE!</v>
      </c>
      <c r="C11" s="41">
        <v>3</v>
      </c>
      <c r="D11" s="42" t="s">
        <v>654</v>
      </c>
      <c r="E11" s="43" t="s">
        <v>655</v>
      </c>
      <c r="F11" s="44" t="s">
        <v>166</v>
      </c>
      <c r="G11" s="45">
        <f>COUNTIF($A$1:$A$8359,A11)</f>
        <v>1</v>
      </c>
      <c r="H11" s="46" t="s">
        <v>358</v>
      </c>
      <c r="I11" s="47" t="s">
        <v>656</v>
      </c>
      <c r="J11" s="48" t="str">
        <f>""</f>
        <v/>
      </c>
      <c r="K11" s="49"/>
      <c r="L11" s="50"/>
      <c r="M11" s="50"/>
      <c r="N11" s="51" t="s">
        <v>169</v>
      </c>
      <c r="O11" s="52">
        <v>1908</v>
      </c>
      <c r="P11" s="53" t="s">
        <v>657</v>
      </c>
      <c r="Q11" s="54">
        <v>1</v>
      </c>
      <c r="R11" s="55" t="s">
        <v>169</v>
      </c>
      <c r="S11" s="56">
        <v>3</v>
      </c>
      <c r="T11" s="57" t="s">
        <v>173</v>
      </c>
      <c r="U11" s="58" t="s">
        <v>172</v>
      </c>
      <c r="V11" s="58" t="s">
        <v>172</v>
      </c>
      <c r="W11" s="58" t="s">
        <v>173</v>
      </c>
      <c r="X11" s="58" t="s">
        <v>172</v>
      </c>
      <c r="Y11" s="58" t="s">
        <v>172</v>
      </c>
      <c r="Z11" s="58" t="s">
        <v>173</v>
      </c>
      <c r="AA11" s="58" t="s">
        <v>172</v>
      </c>
      <c r="AB11" s="58" t="s">
        <v>173</v>
      </c>
      <c r="AC11" s="58" t="s">
        <v>173</v>
      </c>
      <c r="AD11" s="58" t="s">
        <v>173</v>
      </c>
      <c r="AE11" s="58" t="s">
        <v>172</v>
      </c>
      <c r="AF11" s="59" t="s">
        <v>173</v>
      </c>
      <c r="AG11" s="59" t="s">
        <v>172</v>
      </c>
      <c r="AH11" s="59" t="s">
        <v>173</v>
      </c>
      <c r="AI11" s="59" t="s">
        <v>173</v>
      </c>
      <c r="AJ11" s="59" t="s">
        <v>173</v>
      </c>
      <c r="AK11" s="59" t="s">
        <v>173</v>
      </c>
      <c r="AL11" s="59" t="s">
        <v>173</v>
      </c>
      <c r="AM11" s="59" t="s">
        <v>172</v>
      </c>
      <c r="AN11" s="59" t="s">
        <v>173</v>
      </c>
      <c r="AO11" s="59" t="s">
        <v>173</v>
      </c>
      <c r="AP11" s="59" t="s">
        <v>172</v>
      </c>
      <c r="AQ11" s="59" t="s">
        <v>173</v>
      </c>
      <c r="AR11" s="59" t="s">
        <v>173</v>
      </c>
      <c r="AS11" s="59" t="s">
        <v>173</v>
      </c>
      <c r="AT11" s="60">
        <v>2</v>
      </c>
      <c r="AU11" s="59" t="s">
        <v>357</v>
      </c>
      <c r="AV11" s="59" t="str">
        <f>IF(LEFT(A11,1)="[",LEFT(A11,5)&amp;AU11&amp;A11,"")</f>
        <v>[AUS]City[AUS] Sydney</v>
      </c>
      <c r="AW11" s="59" t="str">
        <f>C11&amp;H11&amp;A11</f>
        <v>3[AUS] New South Wales[AUS] Sydney</v>
      </c>
      <c r="AX11" s="61"/>
      <c r="AY11" s="61"/>
      <c r="AZ11" s="62"/>
      <c r="BA11" s="62"/>
      <c r="BB11" s="62"/>
      <c r="BC11" s="63"/>
      <c r="BD11" s="64" t="s">
        <v>408</v>
      </c>
      <c r="BE11" s="47"/>
      <c r="BF11" s="64" t="s">
        <v>152</v>
      </c>
      <c r="BG11" s="64" t="s">
        <v>154</v>
      </c>
      <c r="BH11" s="64" t="s">
        <v>152</v>
      </c>
      <c r="BI11" s="64"/>
      <c r="BJ11" s="64"/>
      <c r="BK11" s="47"/>
      <c r="BL11" s="64" t="s">
        <v>152</v>
      </c>
      <c r="BM11" s="64" t="s">
        <v>154</v>
      </c>
      <c r="BN11" s="64" t="s">
        <v>152</v>
      </c>
      <c r="BO11" s="64" t="s">
        <v>155</v>
      </c>
      <c r="BP11" s="64"/>
      <c r="BQ11" s="64"/>
      <c r="BR11" s="64"/>
      <c r="BS11" s="64"/>
      <c r="BT11" s="64"/>
      <c r="BU11" s="65"/>
      <c r="BV11" s="66"/>
      <c r="BW11" s="66">
        <v>0</v>
      </c>
      <c r="BX11" s="47"/>
      <c r="CB11" s="6"/>
      <c r="CC11" s="6"/>
      <c r="CD11" s="67">
        <v>0</v>
      </c>
      <c r="CE11" s="67">
        <v>1</v>
      </c>
      <c r="CF11" s="67" t="e">
        <v>#REF!</v>
      </c>
      <c r="CG11" s="68" cm="1">
        <f t="array" ref="CG11">SUMPRODUCT(--(LEN(TRIM(BL11:BT11))&gt;0))</f>
        <v>4</v>
      </c>
      <c r="CH11" s="59" t="str">
        <f>IF(CG11=2,"y","n")</f>
        <v>n</v>
      </c>
      <c r="CI11" s="59" t="str">
        <f>IF(CG11=3,"y","n")</f>
        <v>n</v>
      </c>
      <c r="CJ11" s="59" t="str">
        <f>IF(CG11=4,"y","n")</f>
        <v>y</v>
      </c>
      <c r="CK11" s="59" t="str">
        <f>IF(CG11&gt;4,"y","n")</f>
        <v>n</v>
      </c>
      <c r="CL11" s="59" t="str">
        <f>IF(S11=0,"y","n")</f>
        <v>n</v>
      </c>
      <c r="CM11" s="59" t="str">
        <f>IF(S11=2,"y","n")</f>
        <v>n</v>
      </c>
      <c r="CN11" s="59" t="str">
        <f>IF(S11=3,"y","n")</f>
        <v>y</v>
      </c>
      <c r="CO11" s="59" t="str">
        <f>IF(S11&gt;=4,"y","n")</f>
        <v>n</v>
      </c>
      <c r="CP11" s="59" t="str">
        <f>IF(AT11=0,"y","n")</f>
        <v>n</v>
      </c>
      <c r="CQ11" s="59" t="str">
        <f>IF(AT11=1,"y","n")</f>
        <v>n</v>
      </c>
      <c r="CR11" s="59" t="str">
        <f>IF(AT11=2,"y","n")</f>
        <v>y</v>
      </c>
      <c r="CS11" s="59" t="str">
        <f>IF(AT11&gt;=3,"y","n")</f>
        <v>n</v>
      </c>
      <c r="CT11" s="69" t="str">
        <f>CHAR(34)&amp;A11&amp;CHAR(34)</f>
        <v>"[AUS] Sydney"</v>
      </c>
      <c r="CU11" s="70" t="str">
        <f>CHAR(34)&amp;"rgn_"&amp;R11&amp;CHAR(34)</f>
        <v>"rgn_Oceania"</v>
      </c>
      <c r="CV11" s="48" t="str">
        <f>CHAR(34)&amp;D11&amp;CHAR(34)</f>
        <v>"https://upload.wikimedia.org/wikipedia/commons/thumb/8/84/City_of_Sydney_Flag.svg/640px-City_of_Sydney_Flag.svg.png"</v>
      </c>
      <c r="CW11" s="48" t="str">
        <f t="shared" si="103"/>
        <v/>
      </c>
      <c r="CX11" s="48" t="str">
        <f t="shared" si="103"/>
        <v/>
      </c>
      <c r="CY11" s="48" t="str">
        <f t="shared" si="103"/>
        <v>"4Color",</v>
      </c>
      <c r="CZ11" s="48" t="str">
        <f t="shared" si="103"/>
        <v/>
      </c>
      <c r="DA11" s="48" t="str">
        <f>IF(Q11&gt;1,CHAR(34)&amp;"words2"&amp;CHAR(34)&amp;",","")</f>
        <v/>
      </c>
      <c r="DB11" s="48" t="str">
        <f>IF(Q11&gt;2,CHAR(34)&amp;"words3"&amp;CHAR(34)&amp;",","")</f>
        <v/>
      </c>
      <c r="DD11" s="48" t="str">
        <f>IF(LEN(CHAR(34)&amp;"lets"&amp;LEN(SUBSTITUTE(SUBSTITUTE(IFERROR(TRIM(SUBSTITUTE(A11,MID(A11,FIND("[",A11),FIND("]",A11)-FIND("[",A11)+1),"")),A11)," ",""),"-",""))&amp;CHAR(34)&amp;",")=9,CHAR(34)&amp;"lets"&amp;LEN(SUBSTITUTE(SUBSTITUTE(IFERROR(TRIM(SUBSTITUTE(A11,MID(A11,FIND("[",A11),FIND("]",A11)-FIND("[",A11)+1),"")),A11)," ",""),"-",""))&amp;CHAR(34)&amp;",",CHAR(34)&amp;"lets0"&amp;LEN(SUBSTITUTE(SUBSTITUTE(IFERROR(TRIM(SUBSTITUTE(A11,MID(A11,FIND("[",A11),FIND("]",A11)-FIND("[",A11)+1),"")),A11)," ",""),"-",""))&amp;CHAR(34)&amp;",")</f>
        <v>"lets06",</v>
      </c>
      <c r="DE11" s="48" t="str">
        <f>CHAR(34)&amp;"start"&amp;IFERROR(LEFT(SUBSTITUTE(A11,"["&amp;MID(A11,FIND("[",A11)+1,FIND("]",A11)-FIND("[",A11)-1)&amp;"] ",""),1),LEFT(A11,1))&amp;CHAR(34)&amp;","</f>
        <v>"startS",</v>
      </c>
      <c r="DF11" s="48" t="str">
        <f>IFERROR(IF(SEARCH("tan",A11)&gt;0,CHAR(34)&amp;"withtn"&amp;CHAR(34)&amp;",",""),"")</f>
        <v/>
      </c>
      <c r="DG11" s="48" t="str">
        <f>IFERROR(IF(SEARCH("q",A11)&gt;0,CHAR(34)&amp;"with_q"&amp;CHAR(34)&amp;",",""),"")</f>
        <v/>
      </c>
      <c r="DH11" s="48" t="str">
        <f>IFERROR(IF(SEARCH("v",A11)&gt;0,CHAR(34)&amp;"with_v"&amp;CHAR(34)&amp;",",""),"")</f>
        <v/>
      </c>
      <c r="DI11" s="48" t="str">
        <f>IFERROR(IF(SEARCH("w",A11)&gt;0,CHAR(34)&amp;"with_w"&amp;CHAR(34)&amp;",",""),"")</f>
        <v/>
      </c>
      <c r="DJ11" s="48" t="str">
        <f>IFERROR(IF(SEARCH("y",A11)&gt;0,CHAR(34)&amp;"with_y"&amp;CHAR(34)&amp;",",""),"")</f>
        <v>"with_y",</v>
      </c>
      <c r="DK11" s="48" t="str">
        <f>IFERROR(IF(SEARCH("z",A11)&gt;0,CHAR(34)&amp;"with_z"&amp;CHAR(34)&amp;",",""),"")</f>
        <v/>
      </c>
      <c r="DL11" s="48" t="str">
        <f>IF(CG11=2, CHAR(34) &amp; _xlfn.TEXTJOIN("", TRUE, _xlfn._xlws.SORT(HP11:HX11)) &amp; CHAR(34) &amp; ",", "")</f>
        <v/>
      </c>
      <c r="DM11" s="48" t="str" cm="1">
        <f t="array" ref="DM11">IF(CG11=3,CHAR(34) &amp; _xlfn.TEXTJOIN("", TRUE, RIGHT(HP11:HX11, 2)) &amp; CHAR(34) &amp; ",", "")</f>
        <v/>
      </c>
      <c r="DN11" s="48" t="str">
        <f>IF(AND(ISNUMBER(SEARCH("18", O11)), ISERROR(SEARCH("1918", O11)), ISERROR(SEARCH("2018", O11))), CHAR(34) &amp; "year18" &amp; CHAR(34) &amp; ",", "")</f>
        <v/>
      </c>
      <c r="DO11" s="48" t="str">
        <f>IF(AND(ISNUMBER(SEARCH("19", O11)), ISERROR(SEARCH("1819", O11)),  ISERROR(SEARCH("1219", O11)),ISERROR(SEARCH("1119", O11)),ISERROR(SEARCH("1190", O11)),ISERROR(SEARCH("2019", O11))), CHAR(34) &amp; "year19" &amp; CHAR(34) &amp; ",", "")</f>
        <v>"year19",</v>
      </c>
      <c r="DP11" s="6" t="str">
        <f>IF(AND(ISNUMBER(SEARCH("20", O11)), ISERROR(SEARCH("1920", O11))), CHAR(34)&amp;"year00"&amp;CHAR(34)&amp;",", "")</f>
        <v/>
      </c>
      <c r="DQ11" s="6" t="str">
        <f>IF(CC11="y",CHAR(34)&amp;"soviet"&amp;CHAR(34)&amp;",","")</f>
        <v/>
      </c>
      <c r="DR11" s="6" t="str">
        <f>IF(BY11="y",CHAR(34)&amp;"dgband"&amp;CHAR(34)&amp;",","")</f>
        <v/>
      </c>
      <c r="DS11" s="6" t="str">
        <f>IF(W11="y",IF(AND(V11="n",BY11&lt;&gt;"y"),CHAR(34)&amp;"allver"&amp;CHAR(34)&amp;",",""),"")</f>
        <v/>
      </c>
      <c r="DT11" s="6" t="str">
        <f>IF(V11="y",IF(AND(W11="n",BY11&lt;&gt;"y"),CHAR(34)&amp;"allhor"&amp;CHAR(34)&amp;",",""),"")</f>
        <v>"allhor",</v>
      </c>
      <c r="DU11" s="6" t="str">
        <f>IF(BY11="y",IF(AND(W11="n",V11="n"),CHAR(34)&amp;"alldia"&amp;CHAR(34)&amp;",",""),"")</f>
        <v/>
      </c>
      <c r="DW11" s="48" t="str">
        <f t="shared" si="104"/>
        <v/>
      </c>
      <c r="DX11" s="48" t="str">
        <f t="shared" si="104"/>
        <v/>
      </c>
      <c r="DY11" s="48" t="str">
        <f t="shared" si="104"/>
        <v>"3Bands",</v>
      </c>
      <c r="DZ11" s="48" t="str">
        <f t="shared" si="104"/>
        <v/>
      </c>
      <c r="EA11" s="48" t="str">
        <f t="shared" si="105"/>
        <v/>
      </c>
      <c r="EB11" s="48" t="str">
        <f t="shared" si="105"/>
        <v>"Crosse",</v>
      </c>
      <c r="EC11" s="48" t="str">
        <f t="shared" si="105"/>
        <v>"Horizo",</v>
      </c>
      <c r="ED11" s="48" t="str">
        <f t="shared" si="105"/>
        <v/>
      </c>
      <c r="EE11" s="48" t="str">
        <f t="shared" si="105"/>
        <v>"Circle",</v>
      </c>
      <c r="EF11" s="48" t="str">
        <f>IF(AND(Y11&lt;&gt;"n",Y11&lt;&gt;""),CHAR(34)&amp;Y$1&amp;CHAR(34)&amp;",","")</f>
        <v>"Animal",</v>
      </c>
      <c r="EG11" s="48" t="str">
        <f t="shared" si="40"/>
        <v/>
      </c>
      <c r="EH11" s="48" t="str">
        <f t="shared" si="40"/>
        <v>"Plants",</v>
      </c>
      <c r="EI11" s="48" t="str">
        <f t="shared" si="40"/>
        <v/>
      </c>
      <c r="EJ11" s="48" t="str">
        <f t="shared" si="40"/>
        <v/>
      </c>
      <c r="EK11" s="48" t="str">
        <f t="shared" si="40"/>
        <v/>
      </c>
      <c r="EL11" s="48" t="str">
        <f t="shared" si="40"/>
        <v>"IsMoon",</v>
      </c>
      <c r="EM11" s="48" t="str">
        <f t="shared" si="40"/>
        <v/>
      </c>
      <c r="EN11" s="48" t="str">
        <f t="shared" si="40"/>
        <v>"Unequa",</v>
      </c>
      <c r="EO11" s="48" t="str">
        <f t="shared" si="40"/>
        <v/>
      </c>
      <c r="EP11" s="48" t="str">
        <f t="shared" si="40"/>
        <v/>
      </c>
      <c r="EQ11" s="48" t="str">
        <f t="shared" si="40"/>
        <v/>
      </c>
      <c r="ER11" s="48" t="str">
        <f t="shared" si="40"/>
        <v/>
      </c>
      <c r="ES11" s="48" t="str">
        <f t="shared" si="40"/>
        <v/>
      </c>
      <c r="ET11" s="48" t="str">
        <f t="shared" si="40"/>
        <v>"Geogrh",</v>
      </c>
      <c r="EU11" s="48" t="str">
        <f t="shared" si="40"/>
        <v/>
      </c>
      <c r="EV11" s="48" t="str">
        <f t="shared" si="40"/>
        <v/>
      </c>
      <c r="EW11" s="48" t="str">
        <f t="shared" si="40"/>
        <v>"Ships!",</v>
      </c>
      <c r="EX11" s="48" t="str">
        <f t="shared" si="40"/>
        <v/>
      </c>
      <c r="EY11" s="48" t="str">
        <f t="shared" si="40"/>
        <v/>
      </c>
      <c r="EZ11" s="48" t="str">
        <f t="shared" si="40"/>
        <v/>
      </c>
      <c r="FA11" s="48" t="str">
        <f>IF(AT11&gt;0,CHAR(34)&amp;"sta"&amp;AZ11&amp;CHAR(34)&amp;",","")</f>
        <v>"sta",</v>
      </c>
      <c r="FB11" s="48" t="str">
        <f>IF(AND(AT11&gt;0,BA11&lt;&gt;""),CHAR(34)&amp;"sta"&amp;BA11&amp;CHAR(34)&amp;",","")</f>
        <v/>
      </c>
      <c r="FD11" s="48" t="str">
        <f>IF(BV11="n",CHAR(34)&amp;"tcWHYE"&amp;CHAR(34)&amp;",",IF(BV11="y",CHAR(34)&amp;FD$1&amp;CHAR(34)&amp;",",""))</f>
        <v/>
      </c>
      <c r="FE11" s="48" t="str">
        <f>IF(COUNTIF(BL11:BT11,"BLU")=0,CHAR(34)&amp;"NO_BLU"&amp;CHAR(34)&amp;",", "")</f>
        <v/>
      </c>
      <c r="FF11" s="48" t="str">
        <f>IF(COUNTIF(BL11:BT11,"WHI")=0,CHAR(34)&amp;"NO_WHI"&amp;CHAR(34)&amp;",", "")</f>
        <v>"NO_WHI",</v>
      </c>
      <c r="FG11" s="48" t="str">
        <f>IF(COUNTIF(BL11:BT11,"RED")=0,CHAR(34)&amp;"NO_RED"&amp;CHAR(34)&amp;",", "")</f>
        <v/>
      </c>
      <c r="FH11" s="48" t="str">
        <f>IF(COUNTIF(BL11:BS11,"GRE")=0,CHAR(34)&amp;"NO_GRE"&amp;CHAR(34)&amp;",", "")</f>
        <v>"NO_GRE",</v>
      </c>
      <c r="FI11" s="48" t="str">
        <f>IF(COUNTIF(BL11:BT11,"YEL")=0,CHAR(34)&amp;"NO_YEL"&amp;CHAR(34)&amp;",", "")</f>
        <v/>
      </c>
      <c r="FJ11" s="48" t="str">
        <f>IF(COUNTIF(BL11:BT11,"BLA")=0,CHAR(34)&amp;"NO_BLA"&amp;CHAR(34)&amp;",", "")</f>
        <v>"NO_BLA",</v>
      </c>
      <c r="FK11" s="48" t="str">
        <f>IF(AND(FH11&lt;&gt;"",FF11&lt;&gt;""),CHAR(34)&amp;"WHGRNO"&amp;CHAR(34)&amp;",","")</f>
        <v>"WHGRNO",</v>
      </c>
      <c r="FL11" s="48" t="str">
        <f>IF(AND(FI11&lt;&gt;"",FF11&lt;&gt;""),CHAR(34)&amp;"WHYENO"&amp;CHAR(34)&amp;",","")</f>
        <v/>
      </c>
      <c r="FM11" s="48" t="str">
        <f>IF(AND(FJ11&lt;&gt;"",FF11&lt;&gt;""),CHAR(34)&amp;"BAWHNO"&amp;CHAR(34)&amp;",","")</f>
        <v>"BAWHNO",</v>
      </c>
      <c r="FN11" s="48" t="str">
        <f>IF(AND(FE11&lt;&gt;"",FF11&lt;&gt;""),CHAR(34)&amp;"BLWHNO"&amp;CHAR(34)&amp;",","")</f>
        <v/>
      </c>
      <c r="FO11" s="48" t="str">
        <f>IF(AND(FE11&lt;&gt;"",FG11&lt;&gt;""),CHAR(34)&amp;"BLRENO"&amp;CHAR(34)&amp;",","")</f>
        <v/>
      </c>
      <c r="FP11" s="48" t="str">
        <f>IF(AND(FF11&lt;&gt;"",FF11&lt;&gt;""),CHAR(34)&amp;"WHRENO"&amp;CHAR(34)&amp;",","")</f>
        <v>"WHRENO",</v>
      </c>
      <c r="FQ11" s="48" t="str">
        <f>IF(LEN(BF11)=3,CHAR(34)&amp;"001"&amp;BF11&amp;CHAR(34)&amp;",","")</f>
        <v>"001BLU",</v>
      </c>
      <c r="FR11" s="48" t="str">
        <f>IF(LEN(BG11)=3,CHAR(34)&amp;"002"&amp;BG11&amp;CHAR(34)&amp;",","")</f>
        <v>"002RED",</v>
      </c>
      <c r="FS11" s="48" t="str">
        <f>IF(LEN(BH11)=3,CHAR(34)&amp;"003"&amp;BH11&amp;CHAR(34)&amp;",","")</f>
        <v>"003BLU",</v>
      </c>
      <c r="FT11" s="48" t="str">
        <f>CHAR(34)&amp;"myr"&amp;BD11&amp;CHAR(34)&amp;","</f>
        <v>"myrEQ",</v>
      </c>
      <c r="FU11" s="48" t="str">
        <f>IF(AY11="y",CHAR(34)&amp;"island"&amp;CHAR(34)&amp;",","")</f>
        <v/>
      </c>
      <c r="FV11" s="48" t="str">
        <f>IF(BZ11="y",CHAR(34)&amp;"landlo"&amp;CHAR(34)&amp;",","")</f>
        <v/>
      </c>
      <c r="FW11" s="48" t="str">
        <f>IF(CA11="y",CHAR(34)&amp;"eunion"&amp;CHAR(34)&amp;",","")</f>
        <v/>
      </c>
      <c r="FY11" s="48" t="str">
        <f>IFERROR(IF(SEARCH("Arabic",CB11)&gt;0,CHAR(34)&amp;"arabic"&amp;CHAR(34)&amp;",",""),"")</f>
        <v/>
      </c>
      <c r="FZ11" s="48" t="str">
        <f>IFERROR(IF(SEARCH("English",CB11)&gt;0,CHAR(34)&amp;"englis"&amp;CHAR(34)&amp;",",""),"")</f>
        <v/>
      </c>
      <c r="GA11" s="48" t="str">
        <f>IFERROR(IF(SEARCH("French",CB11)&gt;0,CHAR(34)&amp;"french"&amp;CHAR(34)&amp;",",""),"")</f>
        <v/>
      </c>
      <c r="GB11" s="48" t="str">
        <f>IFERROR(IF(SEARCH("Spanish",CB11)&gt;0,CHAR(34)&amp;"spanis"&amp;CHAR(34)&amp;",",""),"")</f>
        <v/>
      </c>
      <c r="GE11" s="48" t="str">
        <f>IFERROR(IF(SEARCH("Dutch",CB11)&gt;0,CHAR(34)&amp;"dutchs"&amp;CHAR(34)&amp;",",""),"")</f>
        <v/>
      </c>
      <c r="GF11" s="48" t="str">
        <f>IFERROR(IF(SEARCH("Historical",AU11)&gt;0,CHAR(34)&amp;"histor"&amp;CHAR(34)&amp;",",""),"")</f>
        <v/>
      </c>
      <c r="GG11" s="48" t="str">
        <f>IF(BU11="y",CHAR(34)&amp;"unjack"&amp;CHAR(34)&amp;",","")</f>
        <v/>
      </c>
      <c r="GH11" s="48" t="str">
        <f>IF(CD11=1,CHAR(34)&amp;"southc"&amp;CHAR(34)&amp;",","")</f>
        <v/>
      </c>
      <c r="GI11" s="48" t="str">
        <f>IF(CE11=1,CHAR(34)&amp;"hasmap"&amp;CHAR(34)&amp;",","")</f>
        <v>"hasmap",</v>
      </c>
      <c r="GJ11" s="48" t="str">
        <f>IF(CP11="y",CHAR(34)&amp;CP$1&amp;CHAR(34)&amp;",","")</f>
        <v/>
      </c>
      <c r="GK11" s="48" t="str">
        <f>IF(GJ11="",CHAR(34)&amp;"HasSta"&amp;CHAR(34)&amp;",","")</f>
        <v>"HasSta",</v>
      </c>
      <c r="GL11" s="48" t="str">
        <f t="shared" si="106"/>
        <v/>
      </c>
      <c r="GM11" s="48" t="str">
        <f t="shared" si="106"/>
        <v>"2Stars",</v>
      </c>
      <c r="GN11" s="48" t="str">
        <f t="shared" si="106"/>
        <v/>
      </c>
      <c r="GP11" s="48" t="str">
        <f>CHAR(34)&amp;AU11&amp;CHAR(34)</f>
        <v>"City"</v>
      </c>
      <c r="GS11" s="48" t="str">
        <f>SUBSTITUTE("["&amp;_xlfn.CONCAT(CW11:GN11)&amp;"]",",]","]")</f>
        <v>["4Color","lets06","startS","with_y","year19","allhor","3Bands","Crosse","Horizo","Circle","Animal","Plants","IsMoon","Unequa","Geogrh","Ships!","sta","NO_WHI","NO_GRE","NO_BLA","WHGRNO","BAWHNO","WHRENO","001BLU","002RED","003BLU","myrEQ","hasmap","HasSta","2Stars"]</v>
      </c>
      <c r="GT11" s="48" t="str">
        <f t="shared" si="80"/>
        <v>"cl_BLU",</v>
      </c>
      <c r="GU11" s="48" t="str">
        <f t="shared" si="80"/>
        <v>"cl_RED",</v>
      </c>
      <c r="GV11" s="48" t="str">
        <f t="shared" si="80"/>
        <v>"cl_BLU",</v>
      </c>
      <c r="GW11" s="48" t="str">
        <f t="shared" si="80"/>
        <v>"cl_YEL",</v>
      </c>
      <c r="GX11" s="48" t="str">
        <f t="shared" si="80"/>
        <v/>
      </c>
      <c r="GY11" s="48" t="str">
        <f t="shared" si="80"/>
        <v/>
      </c>
      <c r="GZ11" s="48" t="str">
        <f t="shared" si="80"/>
        <v/>
      </c>
      <c r="HA11" s="48" t="str">
        <f t="shared" si="80"/>
        <v/>
      </c>
      <c r="HB11" s="48" t="str">
        <f t="shared" si="80"/>
        <v/>
      </c>
      <c r="HC11" s="48" t="str">
        <f>SUBSTITUTE("["&amp;_xlfn.CONCAT(GT11:HB11)&amp;"]",",]","]")</f>
        <v>["cl_BLU","cl_RED","cl_BLU","cl_YEL"]</v>
      </c>
      <c r="HE11" s="71"/>
      <c r="HF11" s="72" t="str">
        <f>"{couname:"&amp;CT11&amp;(IF(HK11&lt;&gt;"",",subtype:"&amp;CHAR(34)&amp;HK11&amp;CHAR(34),""))&amp;",year:"&amp;HJ11&amp;",region:"&amp;CU11&amp;",Colors:"&amp;HC11&amp;",Items:"&amp;GS11&amp;",Flag:"&amp;CV11&amp;",HDFlag:"&amp;CHAR(34)&amp;E11&amp;CHAR(34)&amp;",type:"&amp;GP11&amp;", describe: "&amp;HH11&amp;", isnew:"&amp;CHAR(34)&amp;F11&amp;CHAR(34)&amp;", links: "&amp;HL11&amp;"},"</f>
        <v>{couname:"[AUS] Sydney",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links: "https://en.wikipedia.org/wiki/Flag_of_the_City_of_Sydney"},</v>
      </c>
      <c r="HG11" s="73" t="str">
        <f>"{couname:"&amp;CT11&amp;(IF(HK11&lt;&gt;"",",subtype:"&amp;CHAR(34)&amp;HK11&amp;CHAR(34),""))&amp;",year:"&amp;HJ11&amp;",region:"&amp;CU11&amp;",Colors:"&amp;HC11&amp;",Items:"&amp;GS11&amp;",Flag:"&amp;CV11&amp;",HDFlag:"&amp;CHAR(34)&amp;E11&amp;CHAR(34)&amp;",type:"&amp;GP11&amp;", describe: "&amp;HI11&amp;", links: "&amp;HL11&amp;"},"</f>
        <v>{couname:"[AUS] Sydney",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links: "https://en.wikipedia.org/wiki/Flag_of_the_City_of_Sydney"},</v>
      </c>
      <c r="HH11" s="48" t="str">
        <f>IF(P11&lt;&gt;"",CHAR(34)&amp;"\n"&amp;P11&amp;CHAR(34),CHAR(34)&amp;CHAR(34))</f>
        <v>"\nHorizontal triband of three colours, featuring the coat of arms of Thomas Townshend, Viscount Sydney, James Cook, and Thomas Hughes"</v>
      </c>
      <c r="HI11" s="48" t="str">
        <f>IF(J11=0,CHAR(34)&amp;CHAR(34),HH11)</f>
        <v>"\nHorizontal triband of three colours, featuring the coat of arms of Thomas Townshend, Viscount Sydney, James Cook, and Thomas Hughes"</v>
      </c>
      <c r="HJ11" s="48" t="str">
        <f>CHAR(34)&amp;O11&amp;CHAR(34)</f>
        <v>"1908"</v>
      </c>
      <c r="HL11" s="48" t="str">
        <f>CHAR(34)&amp;I11&amp;CHAR(34)</f>
        <v>"https://en.wikipedia.org/wiki/Flag_of_the_City_of_Sydney"</v>
      </c>
      <c r="HM11" s="72"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{"couname":"[AUS] Sydney","subtype":"[AUS] New South Wales","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 "links": "https://en.wikipedia.org/wiki/Flag_of_the_City_of_Sydney"},</v>
      </c>
      <c r="HN11" s="74" t="str">
        <f>"{"&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{"couname":"[AUS] Sydney","subtype":"[AUS] New South Wales","year":"1908","region":"rgn_Oceania","Colors":["cl_BLU","cl_RED","cl_BLU","cl_YEL"],"Items":["4Color","lets06","startS","with_y","year19","allhor","3Bands","Crosse","Horizo","Circle","Animal","Plants","IsMoon","Unequa","Geogrh","Ships!","sta","NO_WHI","NO_GRE","NO_BLA","WHGRNO","BAWHNO","WHRENO","001BLU","002RED","003BLU","myrEQ","hasmap","HasSta","2Stars"],"Flag":"https://upload.wikimedia.org/wikipedia/commons/thumb/8/84/City_of_Sydney_Flag.svg/640px-City_of_Sydney_Flag.svg.png","HDFlag":"https://upload.wikimedia.org/wikipedia/commons/thumb/8/84/City_of_Sydney_Flag.svg/2560px-City_of_Sydney_Flag.svg.png","type":"City", "describe": "\nHorizontal triband of three colours, featuring the coat of arms of Thomas Townshend, Viscount Sydney, James Cook, and Thomas Hughes", "isnew": ".", "links": "https://en.wikipedia.org/wiki/Flag_of_the_City_of_Sydney"},</v>
      </c>
      <c r="HO11" s="75">
        <v>45610</v>
      </c>
      <c r="HP11" s="48" t="str" cm="1">
        <f t="array" ref="HP11">IF(_xlfn.TEXTJOIN(", ", TRUE, IF(ISNUMBER(SEARCH("BLA", BL11:BT11)), COLUMN(BL11:BT11) - COLUMN(BL11) + 1, ""))&lt;&gt;"","BLA","")</f>
        <v/>
      </c>
      <c r="HQ11" s="48" t="str" cm="1">
        <f t="array" ref="HQ11">IF(_xlfn.TEXTJOIN(", ", TRUE, IF(ISNUMBER(SEARCH("BLU", BL11:BT11)), COLUMN(BL11:BT11) - COLUMN(BL11) + 1, ""))&lt;&gt;"","BLU","")</f>
        <v>BLU</v>
      </c>
      <c r="HR11" s="48" t="str" cm="1">
        <f t="array" ref="HR11">IF(_xlfn.TEXTJOIN(", ", TRUE, IF(ISNUMBER(SEARCH("GRE", BL11:BT11)), COLUMN(BL11:BT11) - COLUMN(BL11) + 1, ""))&lt;&gt;"","GRE","")</f>
        <v/>
      </c>
      <c r="HS11" s="48" t="str" cm="1">
        <f t="array" ref="HS11">IF(_xlfn.TEXTJOIN(", ", TRUE, IF(ISNUMBER(SEARCH("RED", BL11:BT11)), COLUMN(BL11:BT11) - COLUMN(BL11) + 1, ""))&lt;&gt;"","RED","")</f>
        <v>RED</v>
      </c>
      <c r="HT11" s="48" t="str" cm="1">
        <f t="array" ref="HT11">IF(_xlfn.TEXTJOIN(", ", TRUE, IF(ISNUMBER(SEARCH("YEL", BL11:BT11)), COLUMN(BL11:BT11) - COLUMN(BL11) + 1, ""))&lt;&gt;"","YEL","")</f>
        <v>YEL</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
      </c>
      <c r="HY11" s="76"/>
      <c r="HZ11" s="76"/>
      <c r="IA11" s="6"/>
      <c r="IB11" s="6"/>
      <c r="IC11" s="77"/>
      <c r="ID11" s="77"/>
      <c r="IE11" s="77"/>
      <c r="IF11" s="77"/>
      <c r="IG11" s="77"/>
      <c r="IH11" s="77"/>
      <c r="II11" s="77"/>
      <c r="IJ11" s="77"/>
      <c r="IK11" s="77"/>
      <c r="IM11" s="45">
        <f>COUNTIF(IC11:IK11,"&gt;0")-CG11</f>
        <v>-4</v>
      </c>
      <c r="IN11" s="78" t="str">
        <f>"http://mkweb.bcgsc.ca/color-summarizer/?url="&amp;D11&amp;"&amp;precision=low&amp;num_clusters="&amp;CG11&amp;"&amp;text=1"</f>
        <v>http://mkweb.bcgsc.ca/color-summarizer/?url=https://upload.wikimedia.org/wikipedia/commons/thumb/8/84/City_of_Sydney_Flag.svg/640px-City_of_Sydney_Flag.svg.png&amp;precision=low&amp;num_clusters=4&amp;text=1</v>
      </c>
      <c r="IO11" s="48" t="str">
        <f>IF(HP11&lt;&gt;"",CHAR(34)&amp;"black"&amp;CHAR(34),"")</f>
        <v/>
      </c>
      <c r="IP11" s="48" t="str">
        <f>IF(HQ11&lt;&gt;"",CHAR(34)&amp;"blue"&amp;CHAR(34),"")</f>
        <v>"blue"</v>
      </c>
      <c r="IQ11" s="48" t="str">
        <f>IF(HR11&lt;&gt;"",CHAR(34)&amp;"green"&amp;CHAR(34),"")</f>
        <v/>
      </c>
      <c r="IR11" s="48" t="str">
        <f>IF(HS11&lt;&gt;"",CHAR(34)&amp;"red"&amp;CHAR(34),"")</f>
        <v>"red"</v>
      </c>
      <c r="IS11" s="48" t="str">
        <f>IF(HT11&lt;&gt;"",CHAR(34)&amp;"yellow"&amp;CHAR(34),"")</f>
        <v>"yellow"</v>
      </c>
      <c r="IT11" s="48" t="str">
        <f>IF(HU11&lt;&gt;"",CHAR(34)&amp;"orange"&amp;CHAR(34),"")</f>
        <v/>
      </c>
      <c r="IU11" s="48" t="str">
        <f>IF(HV11&lt;&gt;"",CHAR(34)&amp;"brown"&amp;CHAR(34),"")</f>
        <v/>
      </c>
      <c r="IV11" s="48" t="str">
        <f>IF(HW11&lt;&gt;"",CHAR(34)&amp;"purple"&amp;CHAR(34),"")</f>
        <v/>
      </c>
      <c r="IW11" s="48" t="str">
        <f>IF(HX11&lt;&gt;"",CHAR(34)&amp;"white"&amp;CHAR(34),"")</f>
        <v/>
      </c>
      <c r="IX11" s="48" t="str">
        <f>"{"&amp;CHAR(34)&amp;"url"&amp;CHAR(34)&amp;":"&amp;CHAR(34)&amp;IN11&amp;CHAR(34)&amp;","&amp;CHAR(34)&amp;"name"&amp;CHAR(34)&amp;":"&amp;CHAR(34)&amp;A11&amp;CHAR(34)&amp;"},"</f>
        <v>{"url":"http://mkweb.bcgsc.ca/color-summarizer/?url=https://upload.wikimedia.org/wikipedia/commons/thumb/8/84/City_of_Sydney_Flag.svg/640px-City_of_Sydney_Flag.svg.png&amp;precision=low&amp;num_clusters=4&amp;text=1","name":"[AUS] Sydney"},</v>
      </c>
      <c r="IY11" s="48">
        <v>1293</v>
      </c>
    </row>
    <row r="12" spans="1:259" s="48" customFormat="1" ht="38.4" customHeight="1" thickBot="1" x14ac:dyDescent="0.35">
      <c r="A12" s="81" t="s">
        <v>658</v>
      </c>
      <c r="B12" s="40" t="e" vm="13">
        <v>#VALUE!</v>
      </c>
      <c r="C12" s="41">
        <v>3</v>
      </c>
      <c r="D12" s="42" t="s">
        <v>659</v>
      </c>
      <c r="E12" s="43" t="s">
        <v>660</v>
      </c>
      <c r="F12" s="44" t="s">
        <v>166</v>
      </c>
      <c r="G12" s="45">
        <f>COUNTIF($A$1:$A$8359,A12)</f>
        <v>1</v>
      </c>
      <c r="H12" s="46" t="s">
        <v>632</v>
      </c>
      <c r="I12" s="47" t="s">
        <v>661</v>
      </c>
      <c r="J12" s="48" t="str">
        <f>""</f>
        <v/>
      </c>
      <c r="K12" s="49"/>
      <c r="L12" s="50"/>
      <c r="M12" s="50"/>
      <c r="N12" s="51" t="s">
        <v>169</v>
      </c>
      <c r="O12" s="52" t="s">
        <v>662</v>
      </c>
      <c r="P12" s="53" t="s">
        <v>663</v>
      </c>
      <c r="Q12" s="54">
        <v>1</v>
      </c>
      <c r="R12" s="55" t="s">
        <v>169</v>
      </c>
      <c r="S12" s="56">
        <v>3</v>
      </c>
      <c r="T12" s="57" t="s">
        <v>173</v>
      </c>
      <c r="U12" s="58" t="s">
        <v>173</v>
      </c>
      <c r="V12" s="58" t="s">
        <v>173</v>
      </c>
      <c r="W12" s="58" t="s">
        <v>172</v>
      </c>
      <c r="X12" s="58" t="s">
        <v>172</v>
      </c>
      <c r="Y12" s="58" t="s">
        <v>173</v>
      </c>
      <c r="Z12" s="58" t="s">
        <v>172</v>
      </c>
      <c r="AA12" s="58" t="s">
        <v>172</v>
      </c>
      <c r="AB12" s="58" t="s">
        <v>172</v>
      </c>
      <c r="AC12" s="58" t="s">
        <v>172</v>
      </c>
      <c r="AD12" s="58" t="s">
        <v>172</v>
      </c>
      <c r="AE12" s="58" t="s">
        <v>173</v>
      </c>
      <c r="AF12" s="59" t="s">
        <v>173</v>
      </c>
      <c r="AG12" s="59" t="s">
        <v>173</v>
      </c>
      <c r="AH12" s="59" t="s">
        <v>172</v>
      </c>
      <c r="AI12" s="59" t="s">
        <v>173</v>
      </c>
      <c r="AJ12" s="59" t="s">
        <v>173</v>
      </c>
      <c r="AK12" s="59" t="s">
        <v>173</v>
      </c>
      <c r="AL12" s="59" t="s">
        <v>173</v>
      </c>
      <c r="AM12" s="59" t="s">
        <v>172</v>
      </c>
      <c r="AN12" s="59" t="s">
        <v>172</v>
      </c>
      <c r="AO12" s="59" t="s">
        <v>172</v>
      </c>
      <c r="AP12" s="59" t="s">
        <v>172</v>
      </c>
      <c r="AQ12" s="59" t="s">
        <v>172</v>
      </c>
      <c r="AR12" s="59" t="s">
        <v>173</v>
      </c>
      <c r="AS12" s="59" t="s">
        <v>173</v>
      </c>
      <c r="AT12" s="60">
        <v>1</v>
      </c>
      <c r="AU12" s="59" t="s">
        <v>357</v>
      </c>
      <c r="AV12" s="59" t="str">
        <f>IF(LEFT(A12,1)="[",LEFT(A12,5)&amp;AU12&amp;A12,"")</f>
        <v>[AUS]City[AUS] Darwin</v>
      </c>
      <c r="AW12" s="59" t="str">
        <f>C12&amp;H12&amp;A12</f>
        <v>3[AUS] Northern Territory[AUS] Darwin</v>
      </c>
      <c r="AX12" s="61" t="str">
        <f>_xlfn.TEXTJOIN(";",TRUE,AU12:AW12)</f>
        <v>City;[AUS]City[AUS] Darwin;3[AUS] Northern Territory[AUS] Darwin</v>
      </c>
      <c r="AY12" s="61"/>
      <c r="AZ12" s="62" t="s">
        <v>154</v>
      </c>
      <c r="BA12" s="62"/>
      <c r="BB12" s="62"/>
      <c r="BC12" s="63"/>
      <c r="BD12" s="64" t="s">
        <v>408</v>
      </c>
      <c r="BE12" s="47"/>
      <c r="BF12" s="64" t="s">
        <v>153</v>
      </c>
      <c r="BG12" s="64"/>
      <c r="BH12" s="64" t="s">
        <v>155</v>
      </c>
      <c r="BI12" s="64"/>
      <c r="BJ12" s="64"/>
      <c r="BK12" s="47"/>
      <c r="BL12" s="64" t="s">
        <v>153</v>
      </c>
      <c r="BM12" s="64" t="s">
        <v>155</v>
      </c>
      <c r="BN12" s="64" t="s">
        <v>154</v>
      </c>
      <c r="BO12" s="64"/>
      <c r="BP12" s="64"/>
      <c r="BQ12" s="64"/>
      <c r="BR12" s="64"/>
      <c r="BS12" s="64"/>
      <c r="BT12" s="64"/>
      <c r="BU12" s="65"/>
      <c r="BV12" s="66" t="s">
        <v>183</v>
      </c>
      <c r="BW12" s="66">
        <v>0</v>
      </c>
      <c r="BX12" s="47"/>
      <c r="BY12" s="48" t="s">
        <v>172</v>
      </c>
      <c r="CB12" s="6" t="s">
        <v>137</v>
      </c>
      <c r="CC12" s="6"/>
      <c r="CD12" s="67">
        <v>0</v>
      </c>
      <c r="CE12" s="67">
        <v>0</v>
      </c>
      <c r="CF12" s="67" t="e">
        <v>#REF!</v>
      </c>
      <c r="CG12" s="68" cm="1">
        <f t="array" ref="CG12">SUMPRODUCT(--(LEN(TRIM(BL12:BT12))&gt;0))</f>
        <v>3</v>
      </c>
      <c r="CH12" s="59" t="str">
        <f>IF(CG12=2,"y","n")</f>
        <v>n</v>
      </c>
      <c r="CI12" s="59" t="str">
        <f>IF(CG12=3,"y","n")</f>
        <v>y</v>
      </c>
      <c r="CJ12" s="59" t="str">
        <f>IF(CG12=4,"y","n")</f>
        <v>n</v>
      </c>
      <c r="CK12" s="59" t="str">
        <f>IF(CG12&gt;4,"y","n")</f>
        <v>n</v>
      </c>
      <c r="CL12" s="59" t="str">
        <f>IF(S12=0,"y","n")</f>
        <v>n</v>
      </c>
      <c r="CM12" s="59" t="str">
        <f>IF(S12=2,"y","n")</f>
        <v>n</v>
      </c>
      <c r="CN12" s="59" t="str">
        <f>IF(S12=3,"y","n")</f>
        <v>y</v>
      </c>
      <c r="CO12" s="59" t="str">
        <f>IF(S12&gt;=4,"y","n")</f>
        <v>n</v>
      </c>
      <c r="CP12" s="59" t="str">
        <f>IF(AT12=0,"y","n")</f>
        <v>n</v>
      </c>
      <c r="CQ12" s="59" t="str">
        <f>IF(AT12=1,"y","n")</f>
        <v>y</v>
      </c>
      <c r="CR12" s="59" t="str">
        <f>IF(AT12=2,"y","n")</f>
        <v>n</v>
      </c>
      <c r="CS12" s="59" t="str">
        <f>IF(AT12&gt;=3,"y","n")</f>
        <v>n</v>
      </c>
      <c r="CT12" s="69" t="str">
        <f>CHAR(34)&amp;A12&amp;CHAR(34)</f>
        <v>"[AUS] Darwin"</v>
      </c>
      <c r="CU12" s="70" t="str">
        <f>CHAR(34)&amp;"rgn_"&amp;R12&amp;CHAR(34)</f>
        <v>"rgn_Oceania"</v>
      </c>
      <c r="CV12" s="48" t="str">
        <f>CHAR(34)&amp;D12&amp;CHAR(34)</f>
        <v>"https://upload.wikimedia.org/wikipedia/commons/thumb/d/df/Flag_of_Darwin.svg/640px-Flag_of_Darwin.svg.png"</v>
      </c>
      <c r="CW12" s="48" t="str">
        <f t="shared" si="103"/>
        <v/>
      </c>
      <c r="CX12" s="48" t="str">
        <f t="shared" si="103"/>
        <v>"3Color",</v>
      </c>
      <c r="CY12" s="48" t="str">
        <f t="shared" si="103"/>
        <v/>
      </c>
      <c r="CZ12" s="48" t="str">
        <f t="shared" si="103"/>
        <v/>
      </c>
      <c r="DA12" s="48" t="str">
        <f>IF(Q12&gt;1,CHAR(34)&amp;"words2"&amp;CHAR(34)&amp;",","")</f>
        <v/>
      </c>
      <c r="DB12" s="48" t="str">
        <f>IF(Q12&gt;2,CHAR(34)&amp;"words3"&amp;CHAR(34)&amp;",","")</f>
        <v/>
      </c>
      <c r="DC12" s="48" t="str">
        <f>IF(Q12=2,CHAR(34)&amp;"exact2"&amp;CHAR(34)&amp;",","")</f>
        <v/>
      </c>
      <c r="DD12" s="48" t="str">
        <f>IF(LEN(CHAR(34)&amp;"lets"&amp;LEN(SUBSTITUTE(SUBSTITUTE(IFERROR(TRIM(SUBSTITUTE(SUBSTITUTE(SUBSTITUTE(IFERROR(TRIM(SUBSTITUTE(A12,MID(A12,FIND("(",A12),FIND(")",A12)-FIND("(",A12)+1),"")),A12),"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",""),"-",""))&amp;CHAR(34)&amp;",")=9,CHAR(34)&amp;"lets"&amp;LEN(SUBSTITUTE(SUBSTITUTE(IFERROR(TRIM(SUBSTITUTE(SUBSTITUTE(SUBSTITUTE(IFERROR(TRIM(SUBSTITUTE(A12,MID(A12,FIND("(",A12),FIND(")",A12)-FIND("(",A12)+1),"")),A12),"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",""),"-",""))&amp;CHAR(34)&amp;",",CHAR(34)&amp;"lets0"&amp;LEN(SUBSTITUTE(SUBSTITUTE(IFERROR(TRIM(SUBSTITUTE(SUBSTITUTE(SUBSTITUTE(IFERROR(TRIM(SUBSTITUTE(A12,MID(A12,FIND("(",A12),FIND(")",A12)-FIND("(",A12)+1),"")),A12)," ",""),"-",""),MID(SUBSTITUTE(SUBSTITUTE(IFERROR(TRIM(SUBSTITUTE(A12,MID(A12,FIND("(",A12),FIND(")",A12)-FIND("(",A12)+1),"")),A12)," ",""),"-",""),FIND("[",SUBSTITUTE(SUBSTITUTE(IFERROR(TRIM(SUBSTITUTE(A12,MID(A12,FIND("(",A12),FIND(")",A12)-FIND("(",A12)+1),"")),A12)," ",""),"-","")),FIND("]",SUBSTITUTE(SUBSTITUTE(IFERROR(TRIM(SUBSTITUTE(A12,MID(A12,FIND("(",A12),FIND(")",A12)-FIND("(",A12)+1),"")),A12)," ",""),"-",""))-FIND("[",SUBSTITUTE(SUBSTITUTE(IFERROR(TRIM(SUBSTITUTE(A12,MID(A12,FIND("(",A12),FIND(")",A12)-FIND("(",A12)+1),"")),A12)," ",""),"-",""))+1),"")),SUBSTITUTE(SUBSTITUTE(IFERROR(TRIM(SUBSTITUTE(A12,MID(A12,FIND("(",A12),FIND(")",A12)-FIND("(",A12)+1),"")),A12)," ",""),"-",""))," ",""),"-",""))&amp;CHAR(34)&amp;",")</f>
        <v>"lets06",</v>
      </c>
      <c r="DE12" s="48" t="str">
        <f>IFERROR(CHAR(34)&amp;"start"&amp;LEFT(TRIM(SUBSTITUTE(SUBSTITUTE(TRIM(SUBSTITUTE(SUBSTITUTE(A12, MID(A12, FIND("[", A12), FIND("]", A12) - FIND("[", A12) + 1), ""), "  ", " ")), MID(TRIM(SUBSTITUTE(SUBSTITUTE(A12, MID(A12, FIND("[", A12), FIND("]", A12) - FIND("[", A12) + 1), ""), "  ", " ")), FIND("[", TRIM(SUBSTITUTE(SUBSTITUTE(A12, MID(A12, FIND("[", A12), FIND("]", A12) - FIND("[", A12) + 1), ""), "  ", " "))), FIND("]", TRIM(SUBSTITUTE(SUBSTITUTE(A12, MID(A12, FIND("[", A12), FIND("]", A12) - FIND("[", A12) + 1), ""), "  ", " "))) - FIND("[", TRIM(SUBSTITUTE(SUBSTITUTE(A12, MID(A12, FIND("[", A12), FIND("]", A12) - FIND("[", A12) + 1), ""), "  ", " "))) + 1), ""), "  ", " ")),1)&amp;CHAR(34)&amp;",",CHAR(34)&amp;"start"&amp;IFERROR(LEFT(SUBSTITUTE(A12,"["&amp;MID(A12,FIND("[",A12)+1,FIND("]",A12)-FIND("[",A12)-1)&amp;"] ",""),1),LEFT(A12,1))&amp;CHAR(34)&amp;",")</f>
        <v>"startD",</v>
      </c>
      <c r="DF12" s="48" t="str">
        <f>IFERROR(IF(SEARCH("tan",A12)&gt;0,CHAR(34)&amp;"withtn"&amp;CHAR(34)&amp;",",""),"")</f>
        <v/>
      </c>
      <c r="DG12" s="48" t="str">
        <f>IFERROR(IF(SEARCH("q",A12)&gt;0,CHAR(34)&amp;"with_q"&amp;CHAR(34)&amp;",",""),"")</f>
        <v/>
      </c>
      <c r="DH12" s="48" t="str">
        <f>IFERROR(IF(SEARCH("v",A12)&gt;0,CHAR(34)&amp;"with_v"&amp;CHAR(34)&amp;",",""),"")</f>
        <v/>
      </c>
      <c r="DI12" s="48" t="str">
        <f>IFERROR(IF(SEARCH("w",A12)&gt;0,CHAR(34)&amp;"with_w"&amp;CHAR(34)&amp;",",""),"")</f>
        <v>"with_w",</v>
      </c>
      <c r="DJ12" s="48" t="str">
        <f>IFERROR(IF(SEARCH("y",A12)&gt;0,CHAR(34)&amp;"with_y"&amp;CHAR(34)&amp;",",""),"")</f>
        <v/>
      </c>
      <c r="DK12" s="48" t="str">
        <f>IFERROR(IF(SEARCH("z",A12)&gt;0,CHAR(34)&amp;"with_z"&amp;CHAR(34)&amp;",",""),"")</f>
        <v/>
      </c>
      <c r="DL12" s="48" t="str">
        <f>IF(CG12=2, CHAR(34) &amp; _xlfn.TEXTJOIN("", TRUE, _xlfn._xlws.SORT(HP12:HX12)) &amp; CHAR(34) &amp; ",", "")</f>
        <v/>
      </c>
      <c r="DM12" s="48" t="str" cm="1">
        <f t="array" ref="DM12">IF(CG12=3,CHAR(34) &amp; _xlfn.TEXTJOIN("", TRUE, RIGHT(HP12:HX12, 2)) &amp; CHAR(34) &amp; ",", "")</f>
        <v>"REEDEL",</v>
      </c>
      <c r="DN12" s="48" t="str">
        <f>IF(AND(ISNUMBER(SEARCH("18", O12)), ISERROR(SEARCH("1918", O12)), ISERROR(SEARCH("2018", O12))), CHAR(34) &amp; "year18" &amp; CHAR(34) &amp; ",", "")</f>
        <v/>
      </c>
      <c r="DO12" s="48" t="str">
        <f>IF(AND(ISNUMBER(SEARCH("19", O12)), ISERROR(SEARCH("1819", O12)),  ISERROR(SEARCH("1219", O12)),ISERROR(SEARCH("1119", O12)),ISERROR(SEARCH("1190", O12)),ISERROR(SEARCH("2019", O12))), CHAR(34) &amp; "year19" &amp; CHAR(34) &amp; ",", "")</f>
        <v/>
      </c>
      <c r="DP12" s="6" t="str">
        <f>IF(AND(ISNUMBER(SEARCH("20", O12)), ISERROR(SEARCH("1920", O12))), CHAR(34)&amp;"year00"&amp;CHAR(34)&amp;",", "")</f>
        <v>"year00",</v>
      </c>
      <c r="DQ12" s="6" t="str">
        <f>IF(CC12="y",CHAR(34)&amp;"soviet"&amp;CHAR(34)&amp;",","")</f>
        <v/>
      </c>
      <c r="DR12" s="6" t="str">
        <f>IF(BY12="y",CHAR(34)&amp;"dgband"&amp;CHAR(34)&amp;",","")</f>
        <v>"dgband",</v>
      </c>
      <c r="DS12" s="6" t="str">
        <f>IF(W12="y",IF(AND(V12="n",BY12&lt;&gt;"y"),CHAR(34)&amp;"allver"&amp;CHAR(34)&amp;",",""),"")</f>
        <v/>
      </c>
      <c r="DT12" s="6" t="str">
        <f>IF(V12="y",IF(AND(W12="n",BY12&lt;&gt;"y"),CHAR(34)&amp;"allhor"&amp;CHAR(34)&amp;",",""),"")</f>
        <v/>
      </c>
      <c r="DU12" s="6" t="str">
        <f>IF(BY12="y",IF(AND(W12="n",V12="n"),CHAR(34)&amp;"alldia"&amp;CHAR(34)&amp;",",""),"")</f>
        <v/>
      </c>
      <c r="DV12" s="48" t="str">
        <f>IF(IA12&lt;&gt;"",(IF(IA12="y",CHAR(34)&amp;"largec"&amp;CHAR(34)&amp;",",CHAR(34)&amp;"smallc"&amp;CHAR(34)&amp;",")),"")</f>
        <v/>
      </c>
      <c r="DW12" s="48" t="str">
        <f t="shared" si="104"/>
        <v/>
      </c>
      <c r="DX12" s="48" t="str">
        <f t="shared" si="104"/>
        <v/>
      </c>
      <c r="DY12" s="48" t="str">
        <f t="shared" si="104"/>
        <v>"3Bands",</v>
      </c>
      <c r="DZ12" s="48" t="str">
        <f t="shared" si="104"/>
        <v/>
      </c>
      <c r="EA12" s="48" t="str">
        <f t="shared" si="105"/>
        <v/>
      </c>
      <c r="EB12" s="48" t="str">
        <f t="shared" si="105"/>
        <v/>
      </c>
      <c r="EC12" s="48" t="str">
        <f t="shared" si="105"/>
        <v/>
      </c>
      <c r="ED12" s="48" t="str">
        <f t="shared" si="105"/>
        <v>"Vertic",</v>
      </c>
      <c r="EE12" s="48" t="str">
        <f t="shared" si="105"/>
        <v>"Circle",</v>
      </c>
      <c r="EF12" s="48" t="str">
        <f>IF(AND(Y12&lt;&gt;"n",Y12&lt;&gt;""),CHAR(34)&amp;Y$1&amp;CHAR(34)&amp;",","")</f>
        <v/>
      </c>
      <c r="EG12" s="48" t="str">
        <f t="shared" si="40"/>
        <v>"Bird",</v>
      </c>
      <c r="EH12" s="48" t="str">
        <f t="shared" si="40"/>
        <v>"Plants",</v>
      </c>
      <c r="EI12" s="48" t="str">
        <f t="shared" si="40"/>
        <v>"Texted",</v>
      </c>
      <c r="EJ12" s="48" t="str">
        <f t="shared" si="40"/>
        <v>"Weapon",</v>
      </c>
      <c r="EK12" s="48" t="str">
        <f t="shared" si="40"/>
        <v>"HasSun",</v>
      </c>
      <c r="EL12" s="48" t="str">
        <f t="shared" si="40"/>
        <v/>
      </c>
      <c r="EM12" s="48" t="str">
        <f t="shared" si="40"/>
        <v/>
      </c>
      <c r="EN12" s="48" t="str">
        <f t="shared" si="40"/>
        <v/>
      </c>
      <c r="EO12" s="48" t="str">
        <f t="shared" si="40"/>
        <v>"Center",</v>
      </c>
      <c r="EP12" s="48" t="str">
        <f t="shared" si="40"/>
        <v/>
      </c>
      <c r="EQ12" s="48" t="str">
        <f t="shared" si="40"/>
        <v/>
      </c>
      <c r="ER12" s="48" t="str">
        <f t="shared" si="40"/>
        <v/>
      </c>
      <c r="ES12" s="48" t="str">
        <f t="shared" si="40"/>
        <v/>
      </c>
      <c r="ET12" s="48" t="str">
        <f t="shared" si="40"/>
        <v>"Geogrh",</v>
      </c>
      <c r="EU12" s="48" t="str">
        <f t="shared" si="40"/>
        <v>"Humans",</v>
      </c>
      <c r="EV12" s="48" t="str">
        <f t="shared" si="40"/>
        <v>"Builds",</v>
      </c>
      <c r="EW12" s="48" t="str">
        <f t="shared" si="40"/>
        <v>"Ships!",</v>
      </c>
      <c r="EX12" s="48" t="str">
        <f t="shared" si="40"/>
        <v>"Crowns",</v>
      </c>
      <c r="EY12" s="48" t="str">
        <f t="shared" si="40"/>
        <v/>
      </c>
      <c r="EZ12" s="48" t="str">
        <f t="shared" si="40"/>
        <v/>
      </c>
      <c r="FA12" s="48" t="str">
        <f>IF(AT12&gt;0,CHAR(34)&amp;"sta"&amp;AZ12&amp;CHAR(34)&amp;",","")</f>
        <v>"staRED",</v>
      </c>
      <c r="FB12" s="48" t="str">
        <f>IF(AND(AT12&gt;0,BA12&lt;&gt;""),CHAR(34)&amp;"sta"&amp;BA12&amp;CHAR(34)&amp;",","")</f>
        <v/>
      </c>
      <c r="FC12" s="48" t="str">
        <f>IF(AND(AT12&gt;0,BB12&lt;&gt;""),CHAR(34)&amp;"sta"&amp;BB12&amp;CHAR(34)&amp;",","")</f>
        <v/>
      </c>
      <c r="FD12" s="48" t="str">
        <f>IF(BV12="n",CHAR(34)&amp;"tcWHYE"&amp;CHAR(34)&amp;",",IF(BV12="y",CHAR(34)&amp;FD$1&amp;CHAR(34)&amp;",",""))</f>
        <v/>
      </c>
      <c r="FE12" s="48" t="str">
        <f>IF(COUNTIF(BL12:BT12,"BLU")=0,CHAR(34)&amp;"NO_BLU"&amp;CHAR(34)&amp;",", "")</f>
        <v>"NO_BLU",</v>
      </c>
      <c r="FF12" s="48" t="str">
        <f>IF(COUNTIF(BL12:BT12,"WHI")=0,CHAR(34)&amp;"NO_WHI"&amp;CHAR(34)&amp;",", "")</f>
        <v>"NO_WHI",</v>
      </c>
      <c r="FG12" s="48" t="str">
        <f>IF(COUNTIF(BL12:BT12,"RED")=0,CHAR(34)&amp;"NO_RED"&amp;CHAR(34)&amp;",", "")</f>
        <v/>
      </c>
      <c r="FH12" s="48" t="str">
        <f>IF(COUNTIF(BL12:BS12,"GRE")=0,CHAR(34)&amp;"NO_GRE"&amp;CHAR(34)&amp;",", "")</f>
        <v/>
      </c>
      <c r="FI12" s="48" t="str">
        <f>IF(COUNTIF(BL12:BT12,"YEL")=0,CHAR(34)&amp;"NO_YEL"&amp;CHAR(34)&amp;",", "")</f>
        <v/>
      </c>
      <c r="FJ12" s="48" t="str">
        <f>IF(COUNTIF(BL12:BT12,"BLA")=0,CHAR(34)&amp;"NO_BLA"&amp;CHAR(34)&amp;",", "")</f>
        <v>"NO_BLA",</v>
      </c>
      <c r="FK12" s="48" t="str">
        <f>IF(AND(FH12&lt;&gt;"",FF12&lt;&gt;""),CHAR(34)&amp;"WHGRNO"&amp;CHAR(34)&amp;",","")</f>
        <v/>
      </c>
      <c r="FL12" s="48" t="str">
        <f>IF(AND(FI12&lt;&gt;"",FF12&lt;&gt;""),CHAR(34)&amp;"WHYENO"&amp;CHAR(34)&amp;",","")</f>
        <v/>
      </c>
      <c r="FM12" s="48" t="str">
        <f>IF(AND(FJ12&lt;&gt;"",FF12&lt;&gt;""),CHAR(34)&amp;"BAWHNO"&amp;CHAR(34)&amp;",","")</f>
        <v>"BAWHNO",</v>
      </c>
      <c r="FN12" s="48" t="str">
        <f>IF(AND(FE12&lt;&gt;"",FF12&lt;&gt;""),CHAR(34)&amp;"BLWHNO"&amp;CHAR(34)&amp;",","")</f>
        <v>"BLWHNO",</v>
      </c>
      <c r="FO12" s="48" t="str">
        <f>IF(AND(FE12&lt;&gt;"",FG12&lt;&gt;""),CHAR(34)&amp;"BLRENO"&amp;CHAR(34)&amp;",","")</f>
        <v/>
      </c>
      <c r="FP12" s="48" t="str">
        <f>IF(AND(FF12&lt;&gt;"",FF12&lt;&gt;""),CHAR(34)&amp;"WHRENO"&amp;CHAR(34)&amp;",","")</f>
        <v>"WHRENO",</v>
      </c>
      <c r="FQ12" s="48" t="str">
        <f>IF(LEN(BF12)=3,CHAR(34)&amp;"001"&amp;BF12&amp;CHAR(34)&amp;",","")</f>
        <v>"001GRE",</v>
      </c>
      <c r="FR12" s="48" t="str">
        <f>IF(LEN(BG12)=3,CHAR(34)&amp;"002"&amp;BG12&amp;CHAR(34)&amp;",","")</f>
        <v/>
      </c>
      <c r="FS12" s="48" t="str">
        <f>IF(LEN(BH12)=3,CHAR(34)&amp;"003"&amp;BH12&amp;CHAR(34)&amp;",","")</f>
        <v>"003YEL",</v>
      </c>
      <c r="FT12" s="48" t="str">
        <f>CHAR(34)&amp;"myr"&amp;BD12&amp;CHAR(34)&amp;","</f>
        <v>"myrEQ",</v>
      </c>
      <c r="FU12" s="48" t="str">
        <f>IF(AY12="y",CHAR(34)&amp;"island"&amp;CHAR(34)&amp;",","")</f>
        <v/>
      </c>
      <c r="FV12" s="48" t="str">
        <f>IF(BZ12="y",CHAR(34)&amp;"landlo"&amp;CHAR(34)&amp;",","")</f>
        <v/>
      </c>
      <c r="FW12" s="48" t="str">
        <f>IF(CA12="y",CHAR(34)&amp;"eunion"&amp;CHAR(34)&amp;",","")</f>
        <v/>
      </c>
      <c r="FX12" s="48" t="str">
        <f>SUBSTITUTE(IFERROR(SEARCH("[",A12),IFERROR(IF(AND(CA12&lt;&gt;"y",SEARCH("Europe",R12)&gt;0),CHAR(34)&amp;"noeuni"&amp;CHAR(34)&amp;",",""),"")),"1","")</f>
        <v/>
      </c>
      <c r="FY12" s="48" t="str">
        <f>IFERROR(IF(SEARCH("Arabic",CB12)&gt;0,CHAR(34)&amp;"arabic"&amp;CHAR(34)&amp;",",""),"")</f>
        <v/>
      </c>
      <c r="FZ12" s="48" t="str">
        <f>IFERROR(IF(SEARCH("English",CB12)&gt;0,CHAR(34)&amp;"englis"&amp;CHAR(34)&amp;",",""),"")</f>
        <v/>
      </c>
      <c r="GA12" s="48" t="str">
        <f>IFERROR(IF(SEARCH("French",CB12)&gt;0,CHAR(34)&amp;"french"&amp;CHAR(34)&amp;",",""),"")</f>
        <v>"french",</v>
      </c>
      <c r="GB12" s="48" t="str">
        <f>IFERROR(IF(SEARCH("Spanish",CB12)&gt;0,CHAR(34)&amp;"spanis"&amp;CHAR(34)&amp;",",""),"")</f>
        <v/>
      </c>
      <c r="GC12" s="48" t="str">
        <f>IFERROR(IF(SEARCH("Portuguese",CB12)&gt;0,CHAR(34)&amp;"portug"&amp;CHAR(34)&amp;",",""),"")</f>
        <v/>
      </c>
      <c r="GD12" s="48" t="str">
        <f>IFERROR(IF(SEARCH("German",CB12)&gt;0,CHAR(34)&amp;"german"&amp;CHAR(34)&amp;",",""),"")</f>
        <v/>
      </c>
      <c r="GE12" s="48" t="str">
        <f>IFERROR(IF(SEARCH("Dutch",CB12)&gt;0,CHAR(34)&amp;"dutchs"&amp;CHAR(34)&amp;",",""),"")</f>
        <v/>
      </c>
      <c r="GF12" s="48" t="str">
        <f>IFERROR(IF(SEARCH("Histor",AU12)&gt;0,CHAR(34)&amp;"histor"&amp;CHAR(34)&amp;",",""),"")</f>
        <v/>
      </c>
      <c r="GG12" s="48" t="str">
        <f>IF(BU12="y",CHAR(34)&amp;"unjack"&amp;CHAR(34)&amp;",","")</f>
        <v/>
      </c>
      <c r="GH12" s="48" t="str">
        <f>IF(CD12=1,CHAR(34)&amp;"southc"&amp;CHAR(34)&amp;",","")</f>
        <v/>
      </c>
      <c r="GI12" s="48" t="str">
        <f>IF(CE12=1,CHAR(34)&amp;"hasmap"&amp;CHAR(34)&amp;",","")</f>
        <v/>
      </c>
      <c r="GJ12" s="48" t="str">
        <f>IF(CP12="y",CHAR(34)&amp;CP$1&amp;CHAR(34)&amp;",","")</f>
        <v/>
      </c>
      <c r="GK12" s="48" t="str">
        <f>IF(GJ12="",CHAR(34)&amp;"HasSta"&amp;CHAR(34)&amp;",","")</f>
        <v>"HasSta",</v>
      </c>
      <c r="GL12" s="48" t="str">
        <f t="shared" si="106"/>
        <v>"1Stars",</v>
      </c>
      <c r="GM12" s="48" t="str">
        <f t="shared" si="106"/>
        <v/>
      </c>
      <c r="GN12" s="48" t="str">
        <f t="shared" si="106"/>
        <v/>
      </c>
      <c r="GP12" s="48" t="str">
        <f>CHAR(34)&amp;AU12&amp;CHAR(34)</f>
        <v>"City"</v>
      </c>
      <c r="GS12" s="48" t="str">
        <f>SUBSTITUTE("["&amp;_xlfn.CONCAT(CW12:GN12)&amp;"]",",]","]")</f>
        <v>["3Color","lets06","startD","with_w","REEDEL","year00","dgband","3Bands","Vertic","Circle","Bird","Plants","Texted","Weapon","HasSun","Center","Geogrh","Humans","Builds","Ships!","Crowns","staRED","NO_BLU","NO_WHI","NO_BLA","BAWHNO","BLWHNO","WHRENO","001GRE","003YEL","myrEQ","french","HasSta","1Stars"]</v>
      </c>
      <c r="GT12" s="48" t="str">
        <f t="shared" si="80"/>
        <v>"cl_GRE",</v>
      </c>
      <c r="GU12" s="48" t="str">
        <f t="shared" si="80"/>
        <v>"cl_YEL",</v>
      </c>
      <c r="GV12" s="48" t="str">
        <f t="shared" si="80"/>
        <v>"cl_RED",</v>
      </c>
      <c r="GW12" s="48" t="str">
        <f t="shared" si="80"/>
        <v/>
      </c>
      <c r="GX12" s="48" t="str">
        <f t="shared" si="80"/>
        <v/>
      </c>
      <c r="GY12" s="48" t="str">
        <f t="shared" si="80"/>
        <v/>
      </c>
      <c r="GZ12" s="48" t="str">
        <f t="shared" si="80"/>
        <v/>
      </c>
      <c r="HA12" s="48" t="str">
        <f t="shared" si="80"/>
        <v/>
      </c>
      <c r="HB12" s="48" t="str">
        <f t="shared" si="80"/>
        <v/>
      </c>
      <c r="HC12" s="48" t="str">
        <f>SUBSTITUTE("["&amp;_xlfn.CONCAT(GT12:HB12)&amp;"]",",]","]")</f>
        <v>["cl_GRE","cl_YEL","cl_RED"]</v>
      </c>
      <c r="HE12" s="71"/>
      <c r="HF12" s="72" t="str">
        <f>"{couname:"&amp;CT12&amp;(IF(HK12&lt;&gt;"",",subtype:"&amp;CHAR(34)&amp;HK12&amp;CHAR(34),""))&amp;",year:"&amp;HJ12&amp;",region:"&amp;CU12&amp;",Colors:"&amp;HC12&amp;",Items:"&amp;GS12&amp;",Flag:"&amp;CV12&amp;",HDFlag:"&amp;CHAR(34)&amp;E12&amp;CHAR(34)&amp;",type:"&amp;GP12&amp;", describe: "&amp;HH12&amp;", isnew:"&amp;CHAR(34)&amp;F12&amp;CHAR(34)&amp;", links: "&amp;HL12&amp;"},"</f>
        <v>{couname:"[AUS] Darwin",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links: "https://en.wikipedia.org/wiki/Darwin,_Northern_Territory"},</v>
      </c>
      <c r="HG12" s="73" t="str">
        <f>"{couname:"&amp;CT12&amp;(IF(HK12&lt;&gt;"",",subtype:"&amp;CHAR(34)&amp;HK12&amp;CHAR(34),""))&amp;",year:"&amp;HJ12&amp;",region:"&amp;CU12&amp;",Colors:"&amp;HC12&amp;",Items:"&amp;GS12&amp;",Flag:"&amp;CV12&amp;",HDFlag:"&amp;CHAR(34)&amp;E12&amp;CHAR(34)&amp;",type:"&amp;GP12&amp;", describe: "&amp;HI12&amp;", links: "&amp;HL12&amp;"},"</f>
        <v>{couname:"[AUS] Darwin",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links: "https://en.wikipedia.org/wiki/Darwin,_Northern_Territory"},</v>
      </c>
      <c r="HH12" s="48" t="str">
        <f>IF(P12&lt;&gt;"",CHAR(34)&amp;"\n"&amp;P12&amp;CHAR(34),CHAR(34)&amp;CHAR(34))</f>
        <v>"\nGreen, yellow, red tricolour with coat of arms. According to council policy, Darwin maintains both the coat of arms flag and a logo flag."</v>
      </c>
      <c r="HI12" s="48" t="str">
        <f>IF(J12=0,CHAR(34)&amp;CHAR(34),HH12)</f>
        <v>"\nGreen, yellow, red tricolour with coat of arms. According to council policy, Darwin maintains both the coat of arms flag and a logo flag."</v>
      </c>
      <c r="HJ12" s="48" t="str">
        <f>CHAR(34)&amp;O12&amp;CHAR(34)</f>
        <v>"2009"</v>
      </c>
      <c r="HL12" s="48" t="str">
        <f>CHAR(34)&amp;I12&amp;CHAR(34)</f>
        <v>"https://en.wikipedia.org/wiki/Darwin,_Northern_Territory"</v>
      </c>
      <c r="HM12" s="72"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"&amp;HH12&amp;", "&amp;CHAR(34)&amp;"isnew"&amp;CHAR(34)&amp;": "&amp;CHAR(34)&amp;F12&amp;CHAR(34)&amp;", "&amp;CHAR(34)&amp;"links"&amp;CHAR(34)&amp;": "&amp;HL12&amp;"},"</f>
        <v>{"couname":"[AUS] Darwin","subtype":"[AUS] Northern Territory","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 "links": "https://en.wikipedia.org/wiki/Darwin,_Northern_Territory"},</v>
      </c>
      <c r="HN12" s="74" t="str">
        <f>"{"&amp;CHAR(34)&amp;"couname"&amp;CHAR(34)&amp;":"&amp;CT12&amp;(IF(H12&lt;&gt;"",","&amp;CHAR(34)&amp;"subtype"&amp;CHAR(34)&amp;":"&amp;CHAR(34)&amp;H12&amp;CHAR(34),""))&amp;","&amp;CHAR(34)&amp;"year"&amp;CHAR(34)&amp;":"&amp;HJ12&amp;","&amp;CHAR(34)&amp;"region"&amp;CHAR(34)&amp;":"&amp;CU12&amp;","&amp;CHAR(34)&amp;"Colors"&amp;CHAR(34)&amp;":"&amp;HC12&amp;","&amp;CHAR(34)&amp;"Items"&amp;CHAR(34)&amp;":"&amp;GS12&amp;","&amp;CHAR(34)&amp;"Flag"&amp;CHAR(34)&amp;":"&amp;CV12&amp;","&amp;CHAR(34)&amp;"HDFlag"&amp;CHAR(34)&amp;":"&amp;CHAR(34)&amp;E12&amp;CHAR(34)&amp;","&amp;CHAR(34)&amp;"type"&amp;CHAR(34)&amp;":"&amp;GP12&amp;", "&amp;CHAR(34)&amp;"describe"&amp;CHAR(34)&amp;": "&amp;HI12&amp;", "&amp;CHAR(34)&amp;"isnew"&amp;CHAR(34)&amp;": "&amp;CHAR(34)&amp;F12&amp;CHAR(34)&amp;", "&amp;CHAR(34)&amp;"links"&amp;CHAR(34)&amp;": "&amp;HL12&amp;"},"</f>
        <v>{"couname":"[AUS] Darwin","subtype":"[AUS] Northern Territory","year":"2009","region":"rgn_Oceania","Colors":["cl_GRE","cl_YEL","cl_RED"],"Items":["3Color","lets06","startD","with_w","REEDEL","year00","dgband","3Bands","Vertic","Circle","Bird","Plants","Texted","Weapon","HasSun","Center","Geogrh","Humans","Builds","Ships!","Crowns","staRED","NO_BLU","NO_WHI","NO_BLA","BAWHNO","BLWHNO","WHRENO","001GRE","003YEL","myrEQ","french","HasSta","1Stars"],"Flag":"https://upload.wikimedia.org/wikipedia/commons/thumb/d/df/Flag_of_Darwin.svg/640px-Flag_of_Darwin.svg.png","HDFlag":"https://upload.wikimedia.org/wikipedia/commons/thumb/d/df/Flag_of_Darwin.svg/2560px-Flag_of_Darwin.svg.png","type":"City", "describe": "\nGreen, yellow, red tricolour with coat of arms. According to council policy, Darwin maintains both the coat of arms flag and a logo flag.", "isnew": ".", "links": "https://en.wikipedia.org/wiki/Darwin,_Northern_Territory"},</v>
      </c>
      <c r="HO12" s="75"/>
      <c r="HP12" s="48" t="str" cm="1">
        <f t="array" ref="HP12">IF(_xlfn.TEXTJOIN(", ", TRUE, IF(ISNUMBER(SEARCH("BLA", BL12:BT12)), COLUMN(BL12:BT12) - COLUMN(BL12) + 1, ""))&lt;&gt;"","BLA","")</f>
        <v/>
      </c>
      <c r="HQ12" s="48" t="str" cm="1">
        <f t="array" ref="HQ12">IF(_xlfn.TEXTJOIN(", ", TRUE, IF(ISNUMBER(SEARCH("BLU", BL12:BT12)), COLUMN(BL12:BT12) - COLUMN(BL12) + 1, ""))&lt;&gt;"","BLU","")</f>
        <v/>
      </c>
      <c r="HR12" s="48" t="str" cm="1">
        <f t="array" ref="HR12">IF(_xlfn.TEXTJOIN(", ", TRUE, IF(ISNUMBER(SEARCH("GRE", BL12:BT12)), COLUMN(BL12:BT12) - COLUMN(BL12) + 1, ""))&lt;&gt;"","GRE","")</f>
        <v>GRE</v>
      </c>
      <c r="HS12" s="48" t="str" cm="1">
        <f t="array" ref="HS12">IF(_xlfn.TEXTJOIN(", ", TRUE, IF(ISNUMBER(SEARCH("RED", BL12:BT12)), COLUMN(BL12:BT12) - COLUMN(BL12) + 1, ""))&lt;&gt;"","RED","")</f>
        <v>RED</v>
      </c>
      <c r="HT12" s="48" t="str" cm="1">
        <f t="array" ref="HT12">IF(_xlfn.TEXTJOIN(", ", TRUE, IF(ISNUMBER(SEARCH("YEL", BL12:BT12)), COLUMN(BL12:BT12) - COLUMN(BL12) + 1, ""))&lt;&gt;"","YEL","")</f>
        <v>YEL</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
      </c>
      <c r="HY12" s="76"/>
      <c r="HZ12" s="76"/>
      <c r="IA12" s="6"/>
      <c r="IB12" s="6"/>
      <c r="IC12" s="77"/>
      <c r="ID12" s="77"/>
      <c r="IE12" s="77"/>
      <c r="IF12" s="77"/>
      <c r="IG12" s="77"/>
      <c r="IH12" s="77"/>
      <c r="II12" s="77"/>
      <c r="IJ12" s="77"/>
      <c r="IK12" s="77"/>
      <c r="IL12" s="48">
        <f>SUM(IC12:IK12)</f>
        <v>0</v>
      </c>
      <c r="IM12" s="45">
        <f>COUNTIF(IC12:IK12,"&gt;0")-CG12</f>
        <v>-3</v>
      </c>
      <c r="IN12" s="78" t="str">
        <f>"http://mkweb.bcgsc.ca/color-summarizer/?url="&amp;D12&amp;"&amp;precision=low&amp;num_clusters="&amp;CG12&amp;"&amp;text=1"</f>
        <v>http://mkweb.bcgsc.ca/color-summarizer/?url=https://upload.wikimedia.org/wikipedia/commons/thumb/d/df/Flag_of_Darwin.svg/640px-Flag_of_Darwin.svg.png&amp;precision=low&amp;num_clusters=3&amp;text=1</v>
      </c>
      <c r="IO12" s="48" t="str">
        <f>IF(HP12&lt;&gt;"",CHAR(34)&amp;"black"&amp;CHAR(34),"")</f>
        <v/>
      </c>
      <c r="IP12" s="48" t="str">
        <f>IF(HQ12&lt;&gt;"",CHAR(34)&amp;"blue"&amp;CHAR(34),"")</f>
        <v/>
      </c>
      <c r="IQ12" s="48" t="str">
        <f>IF(HR12&lt;&gt;"",CHAR(34)&amp;"green"&amp;CHAR(34),"")</f>
        <v>"green"</v>
      </c>
      <c r="IR12" s="48" t="str">
        <f>IF(HS12&lt;&gt;"",CHAR(34)&amp;"red"&amp;CHAR(34),"")</f>
        <v>"red"</v>
      </c>
      <c r="IS12" s="48" t="str">
        <f>IF(HT12&lt;&gt;"",CHAR(34)&amp;"yellow"&amp;CHAR(34),"")</f>
        <v>"yellow"</v>
      </c>
      <c r="IT12" s="48" t="str">
        <f>IF(HU12&lt;&gt;"",CHAR(34)&amp;"orange"&amp;CHAR(34),"")</f>
        <v/>
      </c>
      <c r="IU12" s="48" t="str">
        <f>IF(HV12&lt;&gt;"",CHAR(34)&amp;"brown"&amp;CHAR(34),"")</f>
        <v/>
      </c>
      <c r="IV12" s="48" t="str">
        <f>IF(HW12&lt;&gt;"",CHAR(34)&amp;"purple"&amp;CHAR(34),"")</f>
        <v/>
      </c>
      <c r="IW12" s="48" t="str">
        <f>IF(HX12&lt;&gt;"",CHAR(34)&amp;"white"&amp;CHAR(34),"")</f>
        <v/>
      </c>
      <c r="IX12" s="48" t="str">
        <f>"{"&amp;CHAR(34)&amp;"url"&amp;CHAR(34)&amp;":"&amp;CHAR(34)&amp;IN12&amp;CHAR(34)&amp;","&amp;CHAR(34)&amp;"name"&amp;CHAR(34)&amp;":"&amp;CHAR(34)&amp;A12&amp;CHAR(34)&amp;"},"</f>
        <v>{"url":"http://mkweb.bcgsc.ca/color-summarizer/?url=https://upload.wikimedia.org/wikipedia/commons/thumb/d/df/Flag_of_Darwin.svg/640px-Flag_of_Darwin.svg.png&amp;precision=low&amp;num_clusters=3&amp;text=1","name":"[AUS] Darwin"},</v>
      </c>
      <c r="IY12" s="48">
        <v>78</v>
      </c>
    </row>
    <row r="13" spans="1:259" s="48" customFormat="1" ht="38.4" customHeight="1" thickBot="1" x14ac:dyDescent="0.35">
      <c r="A13" s="81" t="s">
        <v>664</v>
      </c>
      <c r="B13" s="40" t="e" vm="14">
        <v>#VALUE!</v>
      </c>
      <c r="C13" s="41">
        <v>3</v>
      </c>
      <c r="D13" s="42" t="s">
        <v>665</v>
      </c>
      <c r="E13" s="43" t="s">
        <v>666</v>
      </c>
      <c r="F13" s="44" t="s">
        <v>166</v>
      </c>
      <c r="G13" s="45">
        <f>COUNTIF($A$1:$A$8359,A13)</f>
        <v>1</v>
      </c>
      <c r="H13" s="46" t="s">
        <v>667</v>
      </c>
      <c r="I13" s="47" t="s">
        <v>668</v>
      </c>
      <c r="J13" s="48" t="str">
        <f>""</f>
        <v/>
      </c>
      <c r="K13" s="49"/>
      <c r="L13" s="50"/>
      <c r="M13" s="50"/>
      <c r="N13" s="51" t="s">
        <v>169</v>
      </c>
      <c r="O13" s="52" t="s">
        <v>651</v>
      </c>
      <c r="P13" s="53" t="s">
        <v>669</v>
      </c>
      <c r="Q13" s="54">
        <v>1</v>
      </c>
      <c r="R13" s="55" t="s">
        <v>169</v>
      </c>
      <c r="S13" s="56">
        <v>2</v>
      </c>
      <c r="T13" s="57" t="s">
        <v>173</v>
      </c>
      <c r="U13" s="58" t="s">
        <v>173</v>
      </c>
      <c r="V13" s="58" t="s">
        <v>172</v>
      </c>
      <c r="W13" s="58" t="s">
        <v>173</v>
      </c>
      <c r="X13" s="58" t="s">
        <v>172</v>
      </c>
      <c r="Y13" s="58" t="s">
        <v>173</v>
      </c>
      <c r="Z13" s="58" t="s">
        <v>173</v>
      </c>
      <c r="AA13" s="58" t="s">
        <v>173</v>
      </c>
      <c r="AB13" s="58" t="s">
        <v>173</v>
      </c>
      <c r="AC13" s="58" t="s">
        <v>173</v>
      </c>
      <c r="AD13" s="58" t="s">
        <v>172</v>
      </c>
      <c r="AE13" s="58" t="s">
        <v>173</v>
      </c>
      <c r="AF13" s="59" t="s">
        <v>173</v>
      </c>
      <c r="AG13" s="59" t="s">
        <v>173</v>
      </c>
      <c r="AH13" s="59" t="s">
        <v>172</v>
      </c>
      <c r="AI13" s="59" t="s">
        <v>173</v>
      </c>
      <c r="AJ13" s="59" t="s">
        <v>173</v>
      </c>
      <c r="AK13" s="59" t="s">
        <v>173</v>
      </c>
      <c r="AL13" s="59" t="s">
        <v>173</v>
      </c>
      <c r="AM13" s="59" t="s">
        <v>173</v>
      </c>
      <c r="AN13" s="59" t="s">
        <v>173</v>
      </c>
      <c r="AO13" s="59" t="s">
        <v>173</v>
      </c>
      <c r="AP13" s="59" t="s">
        <v>173</v>
      </c>
      <c r="AQ13" s="59" t="s">
        <v>173</v>
      </c>
      <c r="AR13" s="59" t="s">
        <v>173</v>
      </c>
      <c r="AS13" s="59" t="s">
        <v>173</v>
      </c>
      <c r="AT13" s="60">
        <v>0</v>
      </c>
      <c r="AU13" s="59" t="s">
        <v>670</v>
      </c>
      <c r="AV13" s="59" t="str">
        <f>IF(LEFT(A13,1)="[",LEFT(A13,5)&amp;AU13&amp;A13,"")</f>
        <v>[AUS]People[AUS] Aboriginal People</v>
      </c>
      <c r="AW13" s="59" t="str">
        <f>C13&amp;H13&amp;A13</f>
        <v>3[AUS] Other[AUS] Aboriginal People</v>
      </c>
      <c r="AX13" s="61"/>
      <c r="AY13" s="61"/>
      <c r="AZ13" s="62"/>
      <c r="BA13" s="62"/>
      <c r="BB13" s="62"/>
      <c r="BC13" s="63"/>
      <c r="BD13" s="64" t="s">
        <v>159</v>
      </c>
      <c r="BE13" s="47"/>
      <c r="BF13" s="64"/>
      <c r="BG13" s="64"/>
      <c r="BH13" s="64"/>
      <c r="BI13" s="64"/>
      <c r="BJ13" s="64"/>
      <c r="BK13" s="47"/>
      <c r="BL13" s="64" t="s">
        <v>159</v>
      </c>
      <c r="BM13" s="64" t="s">
        <v>153</v>
      </c>
      <c r="BN13" s="64" t="s">
        <v>151</v>
      </c>
      <c r="BO13" s="64" t="s">
        <v>152</v>
      </c>
      <c r="BP13" s="64" t="s">
        <v>154</v>
      </c>
      <c r="BQ13" s="64" t="s">
        <v>155</v>
      </c>
      <c r="BR13" s="64"/>
      <c r="BS13" s="64"/>
      <c r="BT13" s="64"/>
      <c r="BU13" s="65"/>
      <c r="BV13" s="66"/>
      <c r="BW13" s="66">
        <v>0</v>
      </c>
      <c r="BX13" s="47"/>
      <c r="CB13" s="6"/>
      <c r="CC13" s="6"/>
      <c r="CD13" s="67">
        <v>0</v>
      </c>
      <c r="CE13" s="67">
        <v>0</v>
      </c>
      <c r="CF13" s="67" t="e">
        <v>#REF!</v>
      </c>
      <c r="CG13" s="68" cm="1">
        <f t="array" ref="CG13">SUMPRODUCT(--(LEN(TRIM(BL13:BT13))&gt;0))</f>
        <v>6</v>
      </c>
      <c r="CH13" s="59" t="str">
        <f>IF(CG13=2,"y","n")</f>
        <v>n</v>
      </c>
      <c r="CI13" s="59" t="str">
        <f>IF(CG13=3,"y","n")</f>
        <v>n</v>
      </c>
      <c r="CJ13" s="59" t="str">
        <f>IF(CG13=4,"y","n")</f>
        <v>n</v>
      </c>
      <c r="CK13" s="59" t="str">
        <f>IF(CG13&gt;4,"y","n")</f>
        <v>y</v>
      </c>
      <c r="CL13" s="59" t="str">
        <f>IF(S13=0,"y","n")</f>
        <v>n</v>
      </c>
      <c r="CM13" s="59" t="str">
        <f>IF(S13=2,"y","n")</f>
        <v>y</v>
      </c>
      <c r="CN13" s="59" t="str">
        <f>IF(S13=3,"y","n")</f>
        <v>n</v>
      </c>
      <c r="CO13" s="59" t="str">
        <f>IF(S13&gt;=4,"y","n")</f>
        <v>n</v>
      </c>
      <c r="CP13" s="59" t="str">
        <f>IF(AT13=0,"y","n")</f>
        <v>y</v>
      </c>
      <c r="CQ13" s="59" t="str">
        <f>IF(AT13=1,"y","n")</f>
        <v>n</v>
      </c>
      <c r="CR13" s="59" t="str">
        <f>IF(AT13=2,"y","n")</f>
        <v>n</v>
      </c>
      <c r="CS13" s="59" t="str">
        <f>IF(AT13&gt;=3,"y","n")</f>
        <v>n</v>
      </c>
      <c r="CT13" s="69" t="str">
        <f>CHAR(34)&amp;A13&amp;CHAR(34)</f>
        <v>"[AUS] Aboriginal People"</v>
      </c>
      <c r="CU13" s="70" t="str">
        <f>CHAR(34)&amp;"rgn_"&amp;R13&amp;CHAR(34)</f>
        <v>"rgn_Oceania"</v>
      </c>
      <c r="CV13" s="48" t="str">
        <f>CHAR(34)&amp;D13&amp;CHAR(34)</f>
        <v>"https://upload.wikimedia.org/wikipedia/commons/thumb/3/3f/Australian_Aboriginal_Flag.svg/640px-Australian_Aboriginal_Flag.svg.png"</v>
      </c>
      <c r="CW13" s="48" t="str">
        <f t="shared" si="103"/>
        <v/>
      </c>
      <c r="CX13" s="48" t="str">
        <f t="shared" si="103"/>
        <v/>
      </c>
      <c r="CY13" s="48" t="str">
        <f t="shared" si="103"/>
        <v/>
      </c>
      <c r="CZ13" s="48" t="str">
        <f t="shared" si="103"/>
        <v>"5+Colo",</v>
      </c>
      <c r="DA13" s="48" t="str">
        <f>IF(Q13&gt;1,CHAR(34)&amp;"words2"&amp;CHAR(34)&amp;",","")</f>
        <v/>
      </c>
      <c r="DB13" s="48" t="str">
        <f>IF(Q13&gt;2,CHAR(34)&amp;"words3"&amp;CHAR(34)&amp;",","")</f>
        <v/>
      </c>
      <c r="DD13" s="48" t="str">
        <f>IF(LEN(CHAR(34)&amp;"lets"&amp;LEN(SUBSTITUTE(SUBSTITUTE(IFERROR(TRIM(SUBSTITUTE(A13,MID(A13,FIND("[",A13),FIND("]",A13)-FIND("[",A13)+1),"")),A13)," ",""),"-",""))&amp;CHAR(34)&amp;",")=9,CHAR(34)&amp;"lets"&amp;LEN(SUBSTITUTE(SUBSTITUTE(IFERROR(TRIM(SUBSTITUTE(A13,MID(A13,FIND("[",A13),FIND("]",A13)-FIND("[",A13)+1),"")),A13)," ",""),"-",""))&amp;CHAR(34)&amp;",",CHAR(34)&amp;"lets0"&amp;LEN(SUBSTITUTE(SUBSTITUTE(IFERROR(TRIM(SUBSTITUTE(A13,MID(A13,FIND("[",A13),FIND("]",A13)-FIND("[",A13)+1),"")),A13)," ",""),"-",""))&amp;CHAR(34)&amp;",")</f>
        <v>"lets16",</v>
      </c>
      <c r="DE13" s="48" t="str">
        <f>CHAR(34)&amp;"start"&amp;IFERROR(LEFT(SUBSTITUTE(A13,"["&amp;MID(A13,FIND("[",A13)+1,FIND("]",A13)-FIND("[",A13)-1)&amp;"] ",""),1),LEFT(A13,1))&amp;CHAR(34)&amp;","</f>
        <v>"startA",</v>
      </c>
      <c r="DF13" s="48" t="str">
        <f>IFERROR(IF(SEARCH("tan",A13)&gt;0,CHAR(34)&amp;"withtn"&amp;CHAR(34)&amp;",",""),"")</f>
        <v/>
      </c>
      <c r="DG13" s="48" t="str">
        <f>IFERROR(IF(SEARCH("q",A13)&gt;0,CHAR(34)&amp;"with_q"&amp;CHAR(34)&amp;",",""),"")</f>
        <v/>
      </c>
      <c r="DH13" s="48" t="str">
        <f>IFERROR(IF(SEARCH("v",A13)&gt;0,CHAR(34)&amp;"with_v"&amp;CHAR(34)&amp;",",""),"")</f>
        <v/>
      </c>
      <c r="DI13" s="48" t="str">
        <f>IFERROR(IF(SEARCH("w",A13)&gt;0,CHAR(34)&amp;"with_w"&amp;CHAR(34)&amp;",",""),"")</f>
        <v/>
      </c>
      <c r="DJ13" s="48" t="str">
        <f>IFERROR(IF(SEARCH("y",A13)&gt;0,CHAR(34)&amp;"with_y"&amp;CHAR(34)&amp;",",""),"")</f>
        <v/>
      </c>
      <c r="DK13" s="48" t="str">
        <f>IFERROR(IF(SEARCH("z",A13)&gt;0,CHAR(34)&amp;"with_z"&amp;CHAR(34)&amp;",",""),"")</f>
        <v/>
      </c>
      <c r="DL13" s="48" t="str">
        <f>IF(CG13=2, CHAR(34) &amp; _xlfn.TEXTJOIN("", TRUE, _xlfn._xlws.SORT(HP13:HX13)) &amp; CHAR(34) &amp; ",", "")</f>
        <v/>
      </c>
      <c r="DM13" s="48" t="str" cm="1">
        <f t="array" ref="DM13">IF(CG13=3,CHAR(34) &amp; _xlfn.TEXTJOIN("", TRUE, RIGHT(HP13:HX13, 2)) &amp; CHAR(34) &amp; ",", "")</f>
        <v/>
      </c>
      <c r="DN13" s="48" t="str">
        <f>IF(AND(ISNUMBER(SEARCH("18", O13)), ISERROR(SEARCH("1918", O13)), ISERROR(SEARCH("2018", O13))), CHAR(34) &amp; "year18" &amp; CHAR(34) &amp; ",", "")</f>
        <v/>
      </c>
      <c r="DO13" s="48" t="str">
        <f>IF(AND(ISNUMBER(SEARCH("19", O13)), ISERROR(SEARCH("1819", O13)),  ISERROR(SEARCH("1219", O13)),ISERROR(SEARCH("1119", O13)),ISERROR(SEARCH("1190", O13)),ISERROR(SEARCH("2019", O13))), CHAR(34) &amp; "year19" &amp; CHAR(34) &amp; ",", "")</f>
        <v>"year19",</v>
      </c>
      <c r="DP13" s="6" t="str">
        <f>IF(AND(ISNUMBER(SEARCH("20", O13)), ISERROR(SEARCH("1920", O13))), CHAR(34)&amp;"year00"&amp;CHAR(34)&amp;",", "")</f>
        <v/>
      </c>
      <c r="DQ13" s="6" t="str">
        <f>IF(CC13="y",CHAR(34)&amp;"soviet"&amp;CHAR(34)&amp;",","")</f>
        <v/>
      </c>
      <c r="DR13" s="6" t="str">
        <f>IF(BY13="y",CHAR(34)&amp;"dgband"&amp;CHAR(34)&amp;",","")</f>
        <v/>
      </c>
      <c r="DS13" s="6" t="str">
        <f>IF(W13="y",IF(AND(V13="n",BY13&lt;&gt;"y"),CHAR(34)&amp;"allver"&amp;CHAR(34)&amp;",",""),"")</f>
        <v/>
      </c>
      <c r="DT13" s="6" t="str">
        <f>IF(V13="y",IF(AND(W13="n",BY13&lt;&gt;"y"),CHAR(34)&amp;"allhor"&amp;CHAR(34)&amp;",",""),"")</f>
        <v>"allhor",</v>
      </c>
      <c r="DU13" s="6" t="str">
        <f>IF(BY13="y",IF(AND(W13="n",V13="n"),CHAR(34)&amp;"alldia"&amp;CHAR(34)&amp;",",""),"")</f>
        <v/>
      </c>
      <c r="DW13" s="48" t="str">
        <f t="shared" si="104"/>
        <v/>
      </c>
      <c r="DX13" s="48" t="str">
        <f t="shared" si="104"/>
        <v>"2Bands",</v>
      </c>
      <c r="DY13" s="48" t="str">
        <f t="shared" si="104"/>
        <v/>
      </c>
      <c r="DZ13" s="48" t="str">
        <f t="shared" si="104"/>
        <v/>
      </c>
      <c r="EA13" s="48" t="str">
        <f t="shared" si="105"/>
        <v/>
      </c>
      <c r="EB13" s="48" t="str">
        <f t="shared" si="105"/>
        <v/>
      </c>
      <c r="EC13" s="48" t="str">
        <f t="shared" si="105"/>
        <v>"Horizo",</v>
      </c>
      <c r="ED13" s="48" t="str">
        <f t="shared" si="105"/>
        <v/>
      </c>
      <c r="EE13" s="48" t="str">
        <f t="shared" si="105"/>
        <v>"Circle",</v>
      </c>
      <c r="EF13" s="48" t="str">
        <f>IF(AND(Y13&lt;&gt;"n",Y13&lt;&gt;""),CHAR(34)&amp;Y$1&amp;CHAR(34)&amp;",","")</f>
        <v/>
      </c>
      <c r="EG13" s="48" t="str">
        <f t="shared" si="40"/>
        <v/>
      </c>
      <c r="EH13" s="48" t="str">
        <f t="shared" si="40"/>
        <v/>
      </c>
      <c r="EI13" s="48" t="str">
        <f t="shared" si="40"/>
        <v/>
      </c>
      <c r="EJ13" s="48" t="str">
        <f t="shared" si="40"/>
        <v/>
      </c>
      <c r="EK13" s="48" t="str">
        <f t="shared" si="40"/>
        <v>"HasSun",</v>
      </c>
      <c r="EL13" s="48" t="str">
        <f t="shared" si="40"/>
        <v/>
      </c>
      <c r="EM13" s="48" t="str">
        <f t="shared" si="40"/>
        <v/>
      </c>
      <c r="EN13" s="48" t="str">
        <f t="shared" si="40"/>
        <v/>
      </c>
      <c r="EO13" s="48" t="str">
        <f t="shared" si="40"/>
        <v>"Center",</v>
      </c>
      <c r="EP13" s="48" t="str">
        <f t="shared" si="40"/>
        <v/>
      </c>
      <c r="EQ13" s="48" t="str">
        <f t="shared" si="40"/>
        <v/>
      </c>
      <c r="ER13" s="48" t="str">
        <f t="shared" si="40"/>
        <v/>
      </c>
      <c r="ES13" s="48" t="str">
        <f t="shared" si="40"/>
        <v/>
      </c>
      <c r="ET13" s="48" t="str">
        <f t="shared" si="40"/>
        <v/>
      </c>
      <c r="EU13" s="48" t="str">
        <f t="shared" si="40"/>
        <v/>
      </c>
      <c r="EV13" s="48" t="str">
        <f t="shared" si="40"/>
        <v/>
      </c>
      <c r="EW13" s="48" t="str">
        <f t="shared" si="40"/>
        <v/>
      </c>
      <c r="EX13" s="48" t="str">
        <f t="shared" si="40"/>
        <v/>
      </c>
      <c r="EY13" s="48" t="str">
        <f t="shared" si="40"/>
        <v/>
      </c>
      <c r="EZ13" s="48" t="str">
        <f t="shared" si="40"/>
        <v/>
      </c>
      <c r="FA13" s="48" t="str">
        <f>IF(AT13&gt;0,CHAR(34)&amp;"sta"&amp;AZ13&amp;CHAR(34)&amp;",","")</f>
        <v/>
      </c>
      <c r="FB13" s="48" t="str">
        <f>IF(AND(AT13&gt;0,BA13&lt;&gt;""),CHAR(34)&amp;"sta"&amp;BA13&amp;CHAR(34)&amp;",","")</f>
        <v/>
      </c>
      <c r="FD13" s="48" t="str">
        <f>IF(BV13="n",CHAR(34)&amp;"tcWHYE"&amp;CHAR(34)&amp;",",IF(BV13="y",CHAR(34)&amp;FD$1&amp;CHAR(34)&amp;",",""))</f>
        <v/>
      </c>
      <c r="FE13" s="48" t="str">
        <f>IF(COUNTIF(BL13:BT13,"BLU")=0,CHAR(34)&amp;"NO_BLU"&amp;CHAR(34)&amp;",", "")</f>
        <v/>
      </c>
      <c r="FF13" s="48" t="str">
        <f>IF(COUNTIF(BL13:BT13,"WHI")=0,CHAR(34)&amp;"NO_WHI"&amp;CHAR(34)&amp;",", "")</f>
        <v/>
      </c>
      <c r="FG13" s="48" t="str">
        <f>IF(COUNTIF(BL13:BT13,"RED")=0,CHAR(34)&amp;"NO_RED"&amp;CHAR(34)&amp;",", "")</f>
        <v/>
      </c>
      <c r="FH13" s="48" t="str">
        <f>IF(COUNTIF(BL13:BS13,"GRE")=0,CHAR(34)&amp;"NO_GRE"&amp;CHAR(34)&amp;",", "")</f>
        <v/>
      </c>
      <c r="FI13" s="48" t="str">
        <f>IF(COUNTIF(BL13:BT13,"YEL")=0,CHAR(34)&amp;"NO_YEL"&amp;CHAR(34)&amp;",", "")</f>
        <v/>
      </c>
      <c r="FJ13" s="48" t="str">
        <f>IF(COUNTIF(BL13:BT13,"BLA")=0,CHAR(34)&amp;"NO_BLA"&amp;CHAR(34)&amp;",", "")</f>
        <v/>
      </c>
      <c r="FK13" s="48" t="str">
        <f>IF(AND(FH13&lt;&gt;"",FF13&lt;&gt;""),CHAR(34)&amp;"WHGRNO"&amp;CHAR(34)&amp;",","")</f>
        <v/>
      </c>
      <c r="FL13" s="48" t="str">
        <f>IF(AND(FI13&lt;&gt;"",FF13&lt;&gt;""),CHAR(34)&amp;"WHYENO"&amp;CHAR(34)&amp;",","")</f>
        <v/>
      </c>
      <c r="FM13" s="48" t="str">
        <f>IF(AND(FJ13&lt;&gt;"",FF13&lt;&gt;""),CHAR(34)&amp;"BAWHNO"&amp;CHAR(34)&amp;",","")</f>
        <v/>
      </c>
      <c r="FN13" s="48" t="str">
        <f>IF(AND(FE13&lt;&gt;"",FF13&lt;&gt;""),CHAR(34)&amp;"BLWHNO"&amp;CHAR(34)&amp;",","")</f>
        <v/>
      </c>
      <c r="FO13" s="48" t="str">
        <f>IF(AND(FE13&lt;&gt;"",FG13&lt;&gt;""),CHAR(34)&amp;"BLRENO"&amp;CHAR(34)&amp;",","")</f>
        <v/>
      </c>
      <c r="FP13" s="48" t="str">
        <f>IF(AND(FF13&lt;&gt;"",FF13&lt;&gt;""),CHAR(34)&amp;"WHRENO"&amp;CHAR(34)&amp;",","")</f>
        <v/>
      </c>
      <c r="FQ13" s="48" t="str">
        <f>IF(LEN(BF13)=3,CHAR(34)&amp;"001"&amp;BF13&amp;CHAR(34)&amp;",","")</f>
        <v/>
      </c>
      <c r="FR13" s="48" t="str">
        <f>IF(LEN(BG13)=3,CHAR(34)&amp;"002"&amp;BG13&amp;CHAR(34)&amp;",","")</f>
        <v/>
      </c>
      <c r="FS13" s="48" t="str">
        <f>IF(LEN(BH13)=3,CHAR(34)&amp;"003"&amp;BH13&amp;CHAR(34)&amp;",","")</f>
        <v/>
      </c>
      <c r="FT13" s="48" t="str">
        <f>CHAR(34)&amp;"myr"&amp;BD13&amp;CHAR(34)&amp;","</f>
        <v>"myrWHI",</v>
      </c>
      <c r="FU13" s="48" t="str">
        <f>IF(AY13="y",CHAR(34)&amp;"island"&amp;CHAR(34)&amp;",","")</f>
        <v/>
      </c>
      <c r="FV13" s="48" t="str">
        <f>IF(BZ13="y",CHAR(34)&amp;"landlo"&amp;CHAR(34)&amp;",","")</f>
        <v/>
      </c>
      <c r="FW13" s="48" t="str">
        <f>IF(CA13="y",CHAR(34)&amp;"eunion"&amp;CHAR(34)&amp;",","")</f>
        <v/>
      </c>
      <c r="FY13" s="48" t="str">
        <f>IFERROR(IF(SEARCH("Arabic",CB13)&gt;0,CHAR(34)&amp;"arabic"&amp;CHAR(34)&amp;",",""),"")</f>
        <v/>
      </c>
      <c r="FZ13" s="48" t="str">
        <f>IFERROR(IF(SEARCH("English",CB13)&gt;0,CHAR(34)&amp;"englis"&amp;CHAR(34)&amp;",",""),"")</f>
        <v/>
      </c>
      <c r="GA13" s="48" t="str">
        <f>IFERROR(IF(SEARCH("French",CB13)&gt;0,CHAR(34)&amp;"french"&amp;CHAR(34)&amp;",",""),"")</f>
        <v/>
      </c>
      <c r="GB13" s="48" t="str">
        <f>IFERROR(IF(SEARCH("Spanish",CB13)&gt;0,CHAR(34)&amp;"spanis"&amp;CHAR(34)&amp;",",""),"")</f>
        <v/>
      </c>
      <c r="GE13" s="48" t="str">
        <f>IFERROR(IF(SEARCH("Dutch",CB13)&gt;0,CHAR(34)&amp;"dutchs"&amp;CHAR(34)&amp;",",""),"")</f>
        <v/>
      </c>
      <c r="GF13" s="48" t="str">
        <f>IFERROR(IF(SEARCH("Historical",AU13)&gt;0,CHAR(34)&amp;"histor"&amp;CHAR(34)&amp;",",""),"")</f>
        <v/>
      </c>
      <c r="GG13" s="48" t="str">
        <f>IF(BU13="y",CHAR(34)&amp;"unjack"&amp;CHAR(34)&amp;",","")</f>
        <v/>
      </c>
      <c r="GH13" s="48" t="str">
        <f>IF(CD13=1,CHAR(34)&amp;"southc"&amp;CHAR(34)&amp;",","")</f>
        <v/>
      </c>
      <c r="GI13" s="48" t="str">
        <f>IF(CE13=1,CHAR(34)&amp;"hasmap"&amp;CHAR(34)&amp;",","")</f>
        <v/>
      </c>
      <c r="GJ13" s="48" t="str">
        <f>IF(CP13="y",CHAR(34)&amp;CP$1&amp;CHAR(34)&amp;",","")</f>
        <v>"NoStar",</v>
      </c>
      <c r="GK13" s="48" t="str">
        <f>IF(GJ13="",CHAR(34)&amp;"HasSta"&amp;CHAR(34)&amp;",","")</f>
        <v/>
      </c>
      <c r="GL13" s="48" t="str">
        <f t="shared" si="106"/>
        <v/>
      </c>
      <c r="GM13" s="48" t="str">
        <f t="shared" si="106"/>
        <v/>
      </c>
      <c r="GN13" s="48" t="str">
        <f t="shared" si="106"/>
        <v/>
      </c>
      <c r="GP13" s="48" t="str">
        <f>CHAR(34)&amp;AU13&amp;CHAR(34)</f>
        <v>"People"</v>
      </c>
      <c r="GS13" s="48" t="str">
        <f>SUBSTITUTE("["&amp;_xlfn.CONCAT(CW13:GN13)&amp;"]",",]","]")</f>
        <v>["5+Colo","lets16","startA","year19","allhor","2Bands","Horizo","Circle","HasSun","Center","myrWHI","NoStar"]</v>
      </c>
      <c r="GT13" s="48" t="str">
        <f t="shared" si="80"/>
        <v>"cl_WHI",</v>
      </c>
      <c r="GU13" s="48" t="str">
        <f t="shared" si="80"/>
        <v>"cl_GRE",</v>
      </c>
      <c r="GV13" s="48" t="str">
        <f t="shared" si="80"/>
        <v>"cl_BLA",</v>
      </c>
      <c r="GW13" s="48" t="str">
        <f t="shared" si="80"/>
        <v>"cl_BLU",</v>
      </c>
      <c r="GX13" s="48" t="str">
        <f t="shared" si="80"/>
        <v>"cl_RED",</v>
      </c>
      <c r="GY13" s="48" t="str">
        <f t="shared" si="80"/>
        <v>"cl_YEL",</v>
      </c>
      <c r="GZ13" s="48" t="str">
        <f t="shared" si="80"/>
        <v/>
      </c>
      <c r="HA13" s="48" t="str">
        <f t="shared" si="80"/>
        <v/>
      </c>
      <c r="HB13" s="48" t="str">
        <f t="shared" si="80"/>
        <v/>
      </c>
      <c r="HC13" s="48" t="str">
        <f>SUBSTITUTE("["&amp;_xlfn.CONCAT(GT13:HB13)&amp;"]",",]","]")</f>
        <v>["cl_WHI","cl_GRE","cl_BLA","cl_BLU","cl_RED","cl_YEL"]</v>
      </c>
      <c r="HE13" s="71"/>
      <c r="HF13" s="72" t="str">
        <f>"{couname:"&amp;CT13&amp;(IF(HK13&lt;&gt;"",",subtype:"&amp;CHAR(34)&amp;HK13&amp;CHAR(34),""))&amp;",year:"&amp;HJ13&amp;",region:"&amp;CU13&amp;",Colors:"&amp;HC13&amp;",Items:"&amp;GS13&amp;",Flag:"&amp;CV13&amp;",HDFlag:"&amp;CHAR(34)&amp;E13&amp;CHAR(34)&amp;",type:"&amp;GP13&amp;", describe: "&amp;HH13&amp;", isnew:"&amp;CHAR(34)&amp;F13&amp;CHAR(34)&amp;", links: "&amp;HL13&amp;"},"</f>
        <v>{couname:"[AUS] Aboriginal People",year:"1995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links: "https://en.wikipedia.org/wiki/Australian_Aboriginal_flag"},</v>
      </c>
      <c r="HG13" s="73" t="str">
        <f>"{couname:"&amp;CT13&amp;(IF(HK13&lt;&gt;"",",subtype:"&amp;CHAR(34)&amp;HK13&amp;CHAR(34),""))&amp;",year:"&amp;HJ13&amp;",region:"&amp;CU13&amp;",Colors:"&amp;HC13&amp;",Items:"&amp;GS13&amp;",Flag:"&amp;CV13&amp;",HDFlag:"&amp;CHAR(34)&amp;E13&amp;CHAR(34)&amp;",type:"&amp;GP13&amp;", describe: "&amp;HI13&amp;", links: "&amp;HL13&amp;"},"</f>
        <v>{couname:"[AUS] Aboriginal People",year:"1995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links: "https://en.wikipedia.org/wiki/Australian_Aboriginal_flag"},</v>
      </c>
      <c r="HH13" s="48" t="str">
        <f>IF(P13&lt;&gt;"",CHAR(34)&amp;"\n"&amp;P13&amp;CHAR(34),CHAR(34)&amp;CHAR(34))</f>
        <v>"\nThe black represented black consciousness, black awareness, black power and being proud of blackness. The other colours of yellow (sun) and red (earth) were sourced from the predominant colours used to decorate pukamani poles. "</v>
      </c>
      <c r="HI13" s="48" t="str">
        <f>IF(J13=0,CHAR(34)&amp;CHAR(34),HH13)</f>
        <v>"\nThe black represented black consciousness, black awareness, black power and being proud of blackness. The other colours of yellow (sun) and red (earth) were sourced from the predominant colours used to decorate pukamani poles. "</v>
      </c>
      <c r="HJ13" s="48" t="str">
        <f>CHAR(34)&amp;O13&amp;CHAR(34)</f>
        <v>"1995 "</v>
      </c>
      <c r="HL13" s="48" t="str">
        <f>CHAR(34)&amp;I13&amp;CHAR(34)</f>
        <v>"https://en.wikipedia.org/wiki/Australian_Aboriginal_flag"</v>
      </c>
      <c r="HM13" s="72"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"&amp;HH13&amp;", "&amp;CHAR(34)&amp;"isnew"&amp;CHAR(34)&amp;": "&amp;CHAR(34)&amp;F13&amp;CHAR(34)&amp;", "&amp;CHAR(34)&amp;"links"&amp;CHAR(34)&amp;": "&amp;HL13&amp;"},"</f>
        <v>{"couname":"[AUS] Aboriginal People","subtype":"[AUS] Other","year":"1995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 "links": "https://en.wikipedia.org/wiki/Australian_Aboriginal_flag"},</v>
      </c>
      <c r="HN13" s="74" t="str">
        <f>"{"&amp;CHAR(34)&amp;"couname"&amp;CHAR(34)&amp;":"&amp;CT13&amp;(IF(H13&lt;&gt;"",","&amp;CHAR(34)&amp;"subtype"&amp;CHAR(34)&amp;":"&amp;CHAR(34)&amp;H13&amp;CHAR(34),""))&amp;","&amp;CHAR(34)&amp;"year"&amp;CHAR(34)&amp;":"&amp;HJ13&amp;","&amp;CHAR(34)&amp;"region"&amp;CHAR(34)&amp;":"&amp;CU13&amp;","&amp;CHAR(34)&amp;"Colors"&amp;CHAR(34)&amp;":"&amp;HC13&amp;","&amp;CHAR(34)&amp;"Items"&amp;CHAR(34)&amp;":"&amp;GS13&amp;","&amp;CHAR(34)&amp;"Flag"&amp;CHAR(34)&amp;":"&amp;CV13&amp;","&amp;CHAR(34)&amp;"HDFlag"&amp;CHAR(34)&amp;":"&amp;CHAR(34)&amp;E13&amp;CHAR(34)&amp;","&amp;CHAR(34)&amp;"type"&amp;CHAR(34)&amp;":"&amp;GP13&amp;", "&amp;CHAR(34)&amp;"describe"&amp;CHAR(34)&amp;": "&amp;HI13&amp;", "&amp;CHAR(34)&amp;"isnew"&amp;CHAR(34)&amp;": "&amp;CHAR(34)&amp;F13&amp;CHAR(34)&amp;", "&amp;CHAR(34)&amp;"links"&amp;CHAR(34)&amp;": "&amp;HL13&amp;"},"</f>
        <v>{"couname":"[AUS] Aboriginal People","subtype":"[AUS] Other","year":"1995 ","region":"rgn_Oceania","Colors":["cl_WHI","cl_GRE","cl_BLA","cl_BLU","cl_RED","cl_YEL"],"Items":["5+Colo","lets16","startA","year19","allhor","2Bands","Horizo","Circle","HasSun","Center","myrWHI","NoStar"],"Flag":"https://upload.wikimedia.org/wikipedia/commons/thumb/3/3f/Australian_Aboriginal_Flag.svg/640px-Australian_Aboriginal_Flag.svg.png","HDFlag":"https://upload.wikimedia.org/wikipedia/commons/thumb/3/3f/Australian_Aboriginal_Flag.svg/2560px-Australian_Aboriginal_Flag.svg.png","type":"People", "describe": "\nThe black represented black consciousness, black awareness, black power and being proud of blackness. The other colours of yellow (sun) and red (earth) were sourced from the predominant colours used to decorate pukamani poles. ", "isnew": ".", "links": "https://en.wikipedia.org/wiki/Australian_Aboriginal_flag"},</v>
      </c>
      <c r="HO13" s="75">
        <v>45653</v>
      </c>
      <c r="HP13" s="48" t="str" cm="1">
        <f t="array" ref="HP13">IF(_xlfn.TEXTJOIN(", ", TRUE, IF(ISNUMBER(SEARCH("BLA", BL13:BT13)), COLUMN(BL13:BT13) - COLUMN(BL13) + 1, ""))&lt;&gt;"","BLA","")</f>
        <v>BLA</v>
      </c>
      <c r="HQ13" s="48" t="str" cm="1">
        <f t="array" ref="HQ13">IF(_xlfn.TEXTJOIN(", ", TRUE, IF(ISNUMBER(SEARCH("BLU", BL13:BT13)), COLUMN(BL13:BT13) - COLUMN(BL13) + 1, ""))&lt;&gt;"","BLU","")</f>
        <v>BLU</v>
      </c>
      <c r="HR13" s="48" t="str" cm="1">
        <f t="array" ref="HR13">IF(_xlfn.TEXTJOIN(", ", TRUE, IF(ISNUMBER(SEARCH("GRE", BL13:BT13)), COLUMN(BL13:BT13) - COLUMN(BL13) + 1, ""))&lt;&gt;"","GRE","")</f>
        <v>GRE</v>
      </c>
      <c r="HS13" s="48" t="str" cm="1">
        <f t="array" ref="HS13">IF(_xlfn.TEXTJOIN(", ", TRUE, IF(ISNUMBER(SEARCH("RED", BL13:BT13)), COLUMN(BL13:BT13) - COLUMN(BL13) + 1, ""))&lt;&gt;"","RED","")</f>
        <v>RED</v>
      </c>
      <c r="HT13" s="48" t="str" cm="1">
        <f t="array" ref="HT13">IF(_xlfn.TEXTJOIN(", ", TRUE, IF(ISNUMBER(SEARCH("YEL", BL13:BT13)), COLUMN(BL13:BT13) - COLUMN(BL13) + 1, ""))&lt;&gt;"","YEL","")</f>
        <v>YEL</v>
      </c>
      <c r="HU13" s="48" t="str" cm="1">
        <f t="array" ref="HU13">IF(_xlfn.TEXTJOIN(", ", TRUE, IF(ISNUMBER(SEARCH("ORA", BL13:BT13)), COLUMN(BL13:BT13) - COLUMN(BL13) + 1, ""))&lt;&gt;"","ORA","")</f>
        <v/>
      </c>
      <c r="HV13" s="48" t="str" cm="1">
        <f t="array" ref="HV13">IF(_xlfn.TEXTJOIN(", ", TRUE, IF(ISNUMBER(SEARCH("BRO", BL13:BT13)), COLUMN(BL13:BT13) - COLUMN(BL13) + 1, ""))&lt;&gt;"","BRO","")</f>
        <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M13" s="45">
        <f>COUNTIF(IC13:IK13,"&gt;0")-CG13</f>
        <v>-6</v>
      </c>
      <c r="IN13" s="78" t="str">
        <f>"http://mkweb.bcgsc.ca/color-summarizer/?url="&amp;D13&amp;"&amp;precision=low&amp;num_clusters="&amp;CG13&amp;"&amp;text=1"</f>
        <v>http://mkweb.bcgsc.ca/color-summarizer/?url=https://upload.wikimedia.org/wikipedia/commons/thumb/3/3f/Australian_Aboriginal_Flag.svg/640px-Australian_Aboriginal_Flag.svg.png&amp;precision=low&amp;num_clusters=6&amp;text=1</v>
      </c>
      <c r="IO13" s="48" t="str">
        <f>IF(HP13&lt;&gt;"",CHAR(34)&amp;"black"&amp;CHAR(34),"")</f>
        <v>"black"</v>
      </c>
      <c r="IP13" s="48" t="str">
        <f>IF(HQ13&lt;&gt;"",CHAR(34)&amp;"blue"&amp;CHAR(34),"")</f>
        <v>"blue"</v>
      </c>
      <c r="IQ13" s="48" t="str">
        <f>IF(HR13&lt;&gt;"",CHAR(34)&amp;"green"&amp;CHAR(34),"")</f>
        <v>"green"</v>
      </c>
      <c r="IR13" s="48" t="str">
        <f>IF(HS13&lt;&gt;"",CHAR(34)&amp;"red"&amp;CHAR(34),"")</f>
        <v>"red"</v>
      </c>
      <c r="IS13" s="48" t="str">
        <f>IF(HT13&lt;&gt;"",CHAR(34)&amp;"yellow"&amp;CHAR(34),"")</f>
        <v>"yellow"</v>
      </c>
      <c r="IT13" s="48" t="str">
        <f>IF(HU13&lt;&gt;"",CHAR(34)&amp;"orange"&amp;CHAR(34),"")</f>
        <v/>
      </c>
      <c r="IU13" s="48" t="str">
        <f>IF(HV13&lt;&gt;"",CHAR(34)&amp;"brown"&amp;CHAR(34),"")</f>
        <v/>
      </c>
      <c r="IV13" s="48" t="str">
        <f>IF(HW13&lt;&gt;"",CHAR(34)&amp;"purple"&amp;CHAR(34),"")</f>
        <v/>
      </c>
      <c r="IW13" s="48" t="str">
        <f>IF(HX13&lt;&gt;"",CHAR(34)&amp;"white"&amp;CHAR(34),"")</f>
        <v>"white"</v>
      </c>
      <c r="IX13" s="48" t="str">
        <f>"{"&amp;CHAR(34)&amp;"url"&amp;CHAR(34)&amp;":"&amp;CHAR(34)&amp;IN13&amp;CHAR(34)&amp;","&amp;CHAR(34)&amp;"name"&amp;CHAR(34)&amp;":"&amp;CHAR(34)&amp;A13&amp;CHAR(34)&amp;"},"</f>
        <v>{"url":"http://mkweb.bcgsc.ca/color-summarizer/?url=https://upload.wikimedia.org/wikipedia/commons/thumb/3/3f/Australian_Aboriginal_Flag.svg/640px-Australian_Aboriginal_Flag.svg.png&amp;precision=low&amp;num_clusters=6&amp;text=1","name":"[AUS] Aboriginal People"},</v>
      </c>
      <c r="IY13" s="48">
        <v>1503</v>
      </c>
    </row>
    <row r="14" spans="1:259" s="48" customFormat="1" ht="38.4" customHeight="1" thickBot="1" x14ac:dyDescent="0.35">
      <c r="A14" s="81" t="s">
        <v>671</v>
      </c>
      <c r="B14" s="40" t="e" vm="15">
        <v>#VALUE!</v>
      </c>
      <c r="C14" s="41">
        <v>3</v>
      </c>
      <c r="D14" s="42" t="s">
        <v>672</v>
      </c>
      <c r="E14" s="43" t="s">
        <v>673</v>
      </c>
      <c r="F14" s="44" t="s">
        <v>166</v>
      </c>
      <c r="G14" s="45">
        <f>COUNTIF($A$1:$A$8359,A14)</f>
        <v>1</v>
      </c>
      <c r="H14" s="46" t="s">
        <v>667</v>
      </c>
      <c r="I14" s="47" t="s">
        <v>674</v>
      </c>
      <c r="J14" s="48" t="str">
        <f>""</f>
        <v/>
      </c>
      <c r="K14" s="49"/>
      <c r="L14" s="50"/>
      <c r="M14" s="50"/>
      <c r="N14" s="51" t="s">
        <v>169</v>
      </c>
      <c r="O14" s="52" t="s">
        <v>675</v>
      </c>
      <c r="P14" s="53" t="s">
        <v>676</v>
      </c>
      <c r="Q14" s="54">
        <v>2</v>
      </c>
      <c r="R14" s="55" t="s">
        <v>169</v>
      </c>
      <c r="S14" s="56">
        <v>0</v>
      </c>
      <c r="T14" s="57" t="s">
        <v>173</v>
      </c>
      <c r="U14" s="58" t="s">
        <v>172</v>
      </c>
      <c r="V14" s="58" t="s">
        <v>172</v>
      </c>
      <c r="W14" s="58" t="s">
        <v>172</v>
      </c>
      <c r="X14" s="58" t="s">
        <v>173</v>
      </c>
      <c r="Y14" s="58" t="s">
        <v>173</v>
      </c>
      <c r="Z14" s="58" t="s">
        <v>173</v>
      </c>
      <c r="AA14" s="58" t="s">
        <v>173</v>
      </c>
      <c r="AB14" s="58" t="s">
        <v>173</v>
      </c>
      <c r="AC14" s="58" t="s">
        <v>173</v>
      </c>
      <c r="AD14" s="58" t="s">
        <v>173</v>
      </c>
      <c r="AE14" s="58" t="s">
        <v>173</v>
      </c>
      <c r="AF14" s="59" t="s">
        <v>173</v>
      </c>
      <c r="AG14" s="59" t="s">
        <v>173</v>
      </c>
      <c r="AH14" s="59" t="s">
        <v>172</v>
      </c>
      <c r="AI14" s="59" t="s">
        <v>173</v>
      </c>
      <c r="AJ14" s="59" t="s">
        <v>173</v>
      </c>
      <c r="AK14" s="59" t="s">
        <v>173</v>
      </c>
      <c r="AL14" s="59" t="s">
        <v>173</v>
      </c>
      <c r="AM14" s="59" t="s">
        <v>173</v>
      </c>
      <c r="AN14" s="59" t="s">
        <v>173</v>
      </c>
      <c r="AO14" s="59" t="s">
        <v>173</v>
      </c>
      <c r="AP14" s="59" t="s">
        <v>173</v>
      </c>
      <c r="AQ14" s="59" t="s">
        <v>173</v>
      </c>
      <c r="AR14" s="59" t="s">
        <v>172</v>
      </c>
      <c r="AS14" s="59" t="s">
        <v>173</v>
      </c>
      <c r="AT14" s="60">
        <v>5</v>
      </c>
      <c r="AU14" s="59" t="s">
        <v>677</v>
      </c>
      <c r="AV14" s="59" t="str">
        <f>IF(LEFT(A14,1)="[",LEFT(A14,5)&amp;AU14&amp;A14,"")</f>
        <v>[AUS]Historical[AUS] Eureka Flag</v>
      </c>
      <c r="AW14" s="59" t="str">
        <f>C14&amp;H14&amp;A14</f>
        <v>3[AUS] Other[AUS] Eureka Flag</v>
      </c>
      <c r="AX14" s="61" t="str">
        <f>_xlfn.TEXTJOIN(";",TRUE,AU14:AW14)</f>
        <v>Historical;[AUS]Historical[AUS] Eureka Flag;3[AUS] Other[AUS] Eureka Flag</v>
      </c>
      <c r="AY14" s="61"/>
      <c r="AZ14" s="62"/>
      <c r="BA14" s="62"/>
      <c r="BB14" s="62"/>
      <c r="BC14" s="63"/>
      <c r="BD14" s="64" t="s">
        <v>153</v>
      </c>
      <c r="BE14" s="47"/>
      <c r="BF14" s="64"/>
      <c r="BG14" s="64"/>
      <c r="BH14" s="64"/>
      <c r="BI14" s="64"/>
      <c r="BJ14" s="64"/>
      <c r="BK14" s="47"/>
      <c r="BL14" s="64" t="s">
        <v>153</v>
      </c>
      <c r="BM14" s="64" t="s">
        <v>155</v>
      </c>
      <c r="BN14" s="64" t="s">
        <v>154</v>
      </c>
      <c r="BO14" s="64" t="s">
        <v>151</v>
      </c>
      <c r="BP14" s="64" t="s">
        <v>159</v>
      </c>
      <c r="BQ14" s="64"/>
      <c r="BR14" s="64"/>
      <c r="BS14" s="64"/>
      <c r="BT14" s="64"/>
      <c r="BU14" s="65"/>
      <c r="BV14" s="66" t="s">
        <v>173</v>
      </c>
      <c r="BW14" s="66" t="s">
        <v>631</v>
      </c>
      <c r="BX14" s="47"/>
      <c r="BY14" s="48" t="s">
        <v>173</v>
      </c>
      <c r="CB14" s="6" t="s">
        <v>136</v>
      </c>
      <c r="CC14" s="6"/>
      <c r="CD14" s="67">
        <v>0</v>
      </c>
      <c r="CE14" s="67">
        <v>0</v>
      </c>
      <c r="CF14" s="67" t="e">
        <v>#REF!</v>
      </c>
      <c r="CG14" s="68" cm="1">
        <f t="array" ref="CG14">SUMPRODUCT(--(LEN(TRIM(BL14:BT14))&gt;0))</f>
        <v>5</v>
      </c>
      <c r="CH14" s="59" t="str">
        <f>IF(CG14=2,"y","n")</f>
        <v>n</v>
      </c>
      <c r="CI14" s="59" t="str">
        <f>IF(CG14=3,"y","n")</f>
        <v>n</v>
      </c>
      <c r="CJ14" s="59" t="str">
        <f>IF(CG14=4,"y","n")</f>
        <v>n</v>
      </c>
      <c r="CK14" s="59" t="str">
        <f>IF(CG14&gt;4,"y","n")</f>
        <v>y</v>
      </c>
      <c r="CL14" s="59" t="str">
        <f>IF(S14=0,"y","n")</f>
        <v>y</v>
      </c>
      <c r="CM14" s="59" t="str">
        <f>IF(S14=2,"y","n")</f>
        <v>n</v>
      </c>
      <c r="CN14" s="59" t="str">
        <f>IF(S14=3,"y","n")</f>
        <v>n</v>
      </c>
      <c r="CO14" s="59" t="str">
        <f>IF(S14&gt;=4,"y","n")</f>
        <v>n</v>
      </c>
      <c r="CP14" s="59" t="str">
        <f>IF(AT14=0,"y","n")</f>
        <v>n</v>
      </c>
      <c r="CQ14" s="59" t="str">
        <f>IF(AT14=1,"y","n")</f>
        <v>n</v>
      </c>
      <c r="CR14" s="59" t="str">
        <f>IF(AT14=2,"y","n")</f>
        <v>n</v>
      </c>
      <c r="CS14" s="59" t="str">
        <f>IF(AT14&gt;=3,"y","n")</f>
        <v>y</v>
      </c>
      <c r="CT14" s="69" t="str">
        <f>CHAR(34)&amp;A14&amp;CHAR(34)</f>
        <v>"[AUS] Eureka Flag"</v>
      </c>
      <c r="CU14" s="70" t="str">
        <f>CHAR(34)&amp;"rgn_"&amp;R14&amp;CHAR(34)</f>
        <v>"rgn_Oceania"</v>
      </c>
      <c r="CV14" s="48" t="str">
        <f>CHAR(34)&amp;D14&amp;CHAR(34)</f>
        <v>"https://upload.wikimedia.org/wikipedia/commons/thumb/8/84/Eureka_Flag.svg/640px-Eureka_Flag.svg.png"</v>
      </c>
      <c r="CW14" s="48" t="str">
        <f t="shared" si="103"/>
        <v/>
      </c>
      <c r="CX14" s="48" t="str">
        <f t="shared" si="103"/>
        <v/>
      </c>
      <c r="CY14" s="48" t="str">
        <f t="shared" si="103"/>
        <v/>
      </c>
      <c r="CZ14" s="48" t="str">
        <f t="shared" si="103"/>
        <v>"5+Colo",</v>
      </c>
      <c r="DA14" s="48" t="str">
        <f>IF(Q14&gt;1,CHAR(34)&amp;"words2"&amp;CHAR(34)&amp;",","")</f>
        <v>"words2",</v>
      </c>
      <c r="DB14" s="48" t="str">
        <f>IF(Q14&gt;2,CHAR(34)&amp;"words3"&amp;CHAR(34)&amp;",","")</f>
        <v/>
      </c>
      <c r="DC14" s="48" t="str">
        <f>IF(Q14=2,CHAR(34)&amp;"exact2"&amp;CHAR(34)&amp;",","")</f>
        <v>"exact2",</v>
      </c>
      <c r="DD14" s="48" t="str">
        <f>IF(LEN(CHAR(34)&amp;"lets"&amp;LEN(SUBSTITUTE(SUBSTITUTE(IFERROR(TRIM(SUBSTITUTE(SUBSTITUTE(SUBSTITUTE(IFERROR(TRIM(SUBSTITUTE(A14,MID(A14,FIND("(",A14),FIND(")",A14)-FIND("(",A14)+1),"")),A14),"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",""),"-",""))&amp;CHAR(34)&amp;",")=9,CHAR(34)&amp;"lets"&amp;LEN(SUBSTITUTE(SUBSTITUTE(IFERROR(TRIM(SUBSTITUTE(SUBSTITUTE(SUBSTITUTE(IFERROR(TRIM(SUBSTITUTE(A14,MID(A14,FIND("(",A14),FIND(")",A14)-FIND("(",A14)+1),"")),A14),"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",""),"-",""))&amp;CHAR(34)&amp;",",CHAR(34)&amp;"lets0"&amp;LEN(SUBSTITUTE(SUBSTITUTE(IFERROR(TRIM(SUBSTITUTE(SUBSTITUTE(SUBSTITUTE(IFERROR(TRIM(SUBSTITUTE(A14,MID(A14,FIND("(",A14),FIND(")",A14)-FIND("(",A14)+1),"")),A14)," ",""),"-",""),MID(SUBSTITUTE(SUBSTITUTE(IFERROR(TRIM(SUBSTITUTE(A14,MID(A14,FIND("(",A14),FIND(")",A14)-FIND("(",A14)+1),"")),A14)," ",""),"-",""),FIND("[",SUBSTITUTE(SUBSTITUTE(IFERROR(TRIM(SUBSTITUTE(A14,MID(A14,FIND("(",A14),FIND(")",A14)-FIND("(",A14)+1),"")),A14)," ",""),"-","")),FIND("]",SUBSTITUTE(SUBSTITUTE(IFERROR(TRIM(SUBSTITUTE(A14,MID(A14,FIND("(",A14),FIND(")",A14)-FIND("(",A14)+1),"")),A14)," ",""),"-",""))-FIND("[",SUBSTITUTE(SUBSTITUTE(IFERROR(TRIM(SUBSTITUTE(A14,MID(A14,FIND("(",A14),FIND(")",A14)-FIND("(",A14)+1),"")),A14)," ",""),"-",""))+1),"")),SUBSTITUTE(SUBSTITUTE(IFERROR(TRIM(SUBSTITUTE(A14,MID(A14,FIND("(",A14),FIND(")",A14)-FIND("(",A14)+1),"")),A14)," ",""),"-",""))," ",""),"-",""))&amp;CHAR(34)&amp;",")</f>
        <v>"lets10",</v>
      </c>
      <c r="DE14" s="48" t="str">
        <f>IFERROR(CHAR(34)&amp;"start"&amp;LEFT(TRIM(SUBSTITUTE(SUBSTITUTE(TRIM(SUBSTITUTE(SUBSTITUTE(A14, MID(A14, FIND("[", A14), FIND("]", A14) - FIND("[", A14) + 1), ""), "  ", " ")), MID(TRIM(SUBSTITUTE(SUBSTITUTE(A14, MID(A14, FIND("[", A14), FIND("]", A14) - FIND("[", A14) + 1), ""), "  ", " ")), FIND("[", TRIM(SUBSTITUTE(SUBSTITUTE(A14, MID(A14, FIND("[", A14), FIND("]", A14) - FIND("[", A14) + 1), ""), "  ", " "))), FIND("]", TRIM(SUBSTITUTE(SUBSTITUTE(A14, MID(A14, FIND("[", A14), FIND("]", A14) - FIND("[", A14) + 1), ""), "  ", " "))) - FIND("[", TRIM(SUBSTITUTE(SUBSTITUTE(A14, MID(A14, FIND("[", A14), FIND("]", A14) - FIND("[", A14) + 1), ""), "  ", " "))) + 1), ""), "  ", " ")),1)&amp;CHAR(34)&amp;",",CHAR(34)&amp;"start"&amp;IFERROR(LEFT(SUBSTITUTE(A14,"["&amp;MID(A14,FIND("[",A14)+1,FIND("]",A14)-FIND("[",A14)-1)&amp;"] ",""),1),LEFT(A14,1))&amp;CHAR(34)&amp;",")</f>
        <v>"startE",</v>
      </c>
      <c r="DF14" s="48" t="str">
        <f>IFERROR(IF(SEARCH("tan",A14)&gt;0,CHAR(34)&amp;"withtn"&amp;CHAR(34)&amp;",",""),"")</f>
        <v/>
      </c>
      <c r="DG14" s="48" t="str">
        <f>IFERROR(IF(SEARCH("q",A14)&gt;0,CHAR(34)&amp;"with_q"&amp;CHAR(34)&amp;",",""),"")</f>
        <v/>
      </c>
      <c r="DH14" s="48" t="str">
        <f>IFERROR(IF(SEARCH("v",A14)&gt;0,CHAR(34)&amp;"with_v"&amp;CHAR(34)&amp;",",""),"")</f>
        <v/>
      </c>
      <c r="DI14" s="48" t="str">
        <f>IFERROR(IF(SEARCH("w",A14)&gt;0,CHAR(34)&amp;"with_w"&amp;CHAR(34)&amp;",",""),"")</f>
        <v/>
      </c>
      <c r="DJ14" s="48" t="str">
        <f>IFERROR(IF(SEARCH("y",A14)&gt;0,CHAR(34)&amp;"with_y"&amp;CHAR(34)&amp;",",""),"")</f>
        <v/>
      </c>
      <c r="DK14" s="48" t="str">
        <f>IFERROR(IF(SEARCH("z",A14)&gt;0,CHAR(34)&amp;"with_z"&amp;CHAR(34)&amp;",",""),"")</f>
        <v/>
      </c>
      <c r="DL14" s="48" t="str">
        <f>IF(CG14=2, CHAR(34) &amp; _xlfn.TEXTJOIN("", TRUE, _xlfn._xlws.SORT(HP14:HX14)) &amp; CHAR(34) &amp; ",", "")</f>
        <v/>
      </c>
      <c r="DM14" s="48" t="str" cm="1">
        <f t="array" ref="DM14">IF(CG14=3,CHAR(34) &amp; _xlfn.TEXTJOIN("", TRUE, RIGHT(HP14:HX14, 2)) &amp; CHAR(34) &amp; ",", "")</f>
        <v/>
      </c>
      <c r="DN14" s="48" t="str">
        <f>IF(AND(ISNUMBER(SEARCH("18", O14)), ISERROR(SEARCH("1918", O14)), ISERROR(SEARCH("2018", O14))), CHAR(34) &amp; "year18" &amp; CHAR(34) &amp; ",", "")</f>
        <v>"year18",</v>
      </c>
      <c r="DO14" s="48" t="str">
        <f>IF(AND(ISNUMBER(SEARCH("19", O14)), ISERROR(SEARCH("1819", O14)),  ISERROR(SEARCH("1219", O14)),ISERROR(SEARCH("1119", O14)),ISERROR(SEARCH("1190", O14)),ISERROR(SEARCH("2019", O14))), CHAR(34) &amp; "year19" &amp; CHAR(34) &amp; ",", "")</f>
        <v/>
      </c>
      <c r="DP14" s="6" t="str">
        <f>IF(AND(ISNUMBER(SEARCH("20", O14)), ISERROR(SEARCH("1920", O14))), CHAR(34)&amp;"year00"&amp;CHAR(34)&amp;",", "")</f>
        <v/>
      </c>
      <c r="DQ14" s="6" t="str">
        <f>IF(CC14="y",CHAR(34)&amp;"soviet"&amp;CHAR(34)&amp;",","")</f>
        <v/>
      </c>
      <c r="DR14" s="6" t="str">
        <f>IF(BY14="y",CHAR(34)&amp;"dgband"&amp;CHAR(34)&amp;",","")</f>
        <v/>
      </c>
      <c r="DS14" s="6" t="str">
        <f>IF(W14="y",IF(AND(V14="n",BY14&lt;&gt;"y"),CHAR(34)&amp;"allver"&amp;CHAR(34)&amp;",",""),"")</f>
        <v/>
      </c>
      <c r="DT14" s="6" t="str">
        <f>IF(V14="y",IF(AND(W14="n",BY14&lt;&gt;"y"),CHAR(34)&amp;"allhor"&amp;CHAR(34)&amp;",",""),"")</f>
        <v/>
      </c>
      <c r="DU14" s="6" t="str">
        <f>IF(BY14="y",IF(AND(W14="n",V14="n"),CHAR(34)&amp;"alldia"&amp;CHAR(34)&amp;",",""),"")</f>
        <v/>
      </c>
      <c r="DV14" s="48" t="str">
        <f>IF(IA14&lt;&gt;"",(IF(IA14="y",CHAR(34)&amp;"largec"&amp;CHAR(34)&amp;",",CHAR(34)&amp;"smallc"&amp;CHAR(34)&amp;",")),"")</f>
        <v/>
      </c>
      <c r="DW14" s="48" t="str">
        <f t="shared" si="104"/>
        <v>"NoBand",</v>
      </c>
      <c r="DX14" s="48" t="str">
        <f t="shared" si="104"/>
        <v/>
      </c>
      <c r="DY14" s="48" t="str">
        <f t="shared" si="104"/>
        <v/>
      </c>
      <c r="DZ14" s="48" t="str">
        <f t="shared" si="104"/>
        <v/>
      </c>
      <c r="EA14" s="48" t="str">
        <f t="shared" si="105"/>
        <v/>
      </c>
      <c r="EB14" s="48" t="str">
        <f t="shared" si="105"/>
        <v>"Crosse",</v>
      </c>
      <c r="EC14" s="48" t="str">
        <f t="shared" si="105"/>
        <v>"Horizo",</v>
      </c>
      <c r="ED14" s="48" t="str">
        <f t="shared" si="105"/>
        <v>"Vertic",</v>
      </c>
      <c r="EE14" s="48" t="str">
        <f t="shared" si="105"/>
        <v/>
      </c>
      <c r="EF14" s="48" t="str">
        <f>IF(AND(Y14&lt;&gt;"n",Y14&lt;&gt;""),CHAR(34)&amp;Y$1&amp;CHAR(34)&amp;",","")</f>
        <v/>
      </c>
      <c r="EG14" s="48" t="str">
        <f t="shared" si="40"/>
        <v/>
      </c>
      <c r="EH14" s="48" t="str">
        <f t="shared" si="40"/>
        <v/>
      </c>
      <c r="EI14" s="48" t="str">
        <f t="shared" si="40"/>
        <v/>
      </c>
      <c r="EJ14" s="48" t="str">
        <f t="shared" si="40"/>
        <v/>
      </c>
      <c r="EK14" s="48" t="str">
        <f t="shared" si="40"/>
        <v/>
      </c>
      <c r="EL14" s="48" t="str">
        <f t="shared" si="40"/>
        <v/>
      </c>
      <c r="EM14" s="48" t="str">
        <f t="shared" si="40"/>
        <v/>
      </c>
      <c r="EN14" s="48" t="str">
        <f t="shared" si="40"/>
        <v/>
      </c>
      <c r="EO14" s="48" t="str">
        <f t="shared" si="40"/>
        <v>"Center",</v>
      </c>
      <c r="EP14" s="48" t="str">
        <f t="shared" si="40"/>
        <v/>
      </c>
      <c r="EQ14" s="48" t="str">
        <f t="shared" si="40"/>
        <v/>
      </c>
      <c r="ER14" s="48" t="str">
        <f t="shared" si="40"/>
        <v/>
      </c>
      <c r="ES14" s="48" t="str">
        <f t="shared" si="40"/>
        <v/>
      </c>
      <c r="ET14" s="48" t="str">
        <f t="shared" si="40"/>
        <v/>
      </c>
      <c r="EU14" s="48" t="str">
        <f t="shared" si="40"/>
        <v/>
      </c>
      <c r="EV14" s="48" t="str">
        <f t="shared" ref="EV14:EZ22" si="107">IF(AO14="y",CHAR(34)&amp;AO$1&amp;CHAR(34)&amp;",","")</f>
        <v/>
      </c>
      <c r="EW14" s="48" t="str">
        <f t="shared" si="107"/>
        <v/>
      </c>
      <c r="EX14" s="48" t="str">
        <f t="shared" si="107"/>
        <v/>
      </c>
      <c r="EY14" s="48" t="str">
        <f t="shared" si="107"/>
        <v>"Rotate",</v>
      </c>
      <c r="EZ14" s="48" t="str">
        <f t="shared" si="107"/>
        <v/>
      </c>
      <c r="FA14" s="48" t="str">
        <f>IF(AT14&gt;0,CHAR(34)&amp;"sta"&amp;AZ14&amp;CHAR(34)&amp;",","")</f>
        <v>"sta",</v>
      </c>
      <c r="FB14" s="48" t="str">
        <f>IF(AND(AT14&gt;0,BA14&lt;&gt;""),CHAR(34)&amp;"sta"&amp;BA14&amp;CHAR(34)&amp;",","")</f>
        <v/>
      </c>
      <c r="FC14" s="48" t="str">
        <f>IF(AND(AT14&gt;0,BB14&lt;&gt;""),CHAR(34)&amp;"sta"&amp;BB14&amp;CHAR(34)&amp;",","")</f>
        <v/>
      </c>
      <c r="FD14" s="48" t="str">
        <f>IF(BV14="n",CHAR(34)&amp;"tcWHYE"&amp;CHAR(34)&amp;",",IF(BV14="y",CHAR(34)&amp;FD$1&amp;CHAR(34)&amp;",",""))</f>
        <v>"tcWHYE",</v>
      </c>
      <c r="FE14" s="48" t="str">
        <f>IF(COUNTIF(BL14:BT14,"BLU")=0,CHAR(34)&amp;"NO_BLU"&amp;CHAR(34)&amp;",", "")</f>
        <v>"NO_BLU",</v>
      </c>
      <c r="FF14" s="48" t="str">
        <f>IF(COUNTIF(BL14:BT14,"WHI")=0,CHAR(34)&amp;"NO_WHI"&amp;CHAR(34)&amp;",", "")</f>
        <v/>
      </c>
      <c r="FG14" s="48" t="str">
        <f>IF(COUNTIF(BL14:BT14,"RED")=0,CHAR(34)&amp;"NO_RED"&amp;CHAR(34)&amp;",", "")</f>
        <v/>
      </c>
      <c r="FH14" s="48" t="str">
        <f>IF(COUNTIF(BL14:BS14,"GRE")=0,CHAR(34)&amp;"NO_GRE"&amp;CHAR(34)&amp;",", "")</f>
        <v/>
      </c>
      <c r="FI14" s="48" t="str">
        <f>IF(COUNTIF(BL14:BT14,"YEL")=0,CHAR(34)&amp;"NO_YEL"&amp;CHAR(34)&amp;",", "")</f>
        <v/>
      </c>
      <c r="FJ14" s="48" t="str">
        <f>IF(COUNTIF(BL14:BT14,"BLA")=0,CHAR(34)&amp;"NO_BLA"&amp;CHAR(34)&amp;",", "")</f>
        <v/>
      </c>
      <c r="FK14" s="48" t="str">
        <f>IF(AND(FH14&lt;&gt;"",FF14&lt;&gt;""),CHAR(34)&amp;"WHGRNO"&amp;CHAR(34)&amp;",","")</f>
        <v/>
      </c>
      <c r="FL14" s="48" t="str">
        <f>IF(AND(FI14&lt;&gt;"",FF14&lt;&gt;""),CHAR(34)&amp;"WHYENO"&amp;CHAR(34)&amp;",","")</f>
        <v/>
      </c>
      <c r="FM14" s="48" t="str">
        <f>IF(AND(FJ14&lt;&gt;"",FF14&lt;&gt;""),CHAR(34)&amp;"BAWHNO"&amp;CHAR(34)&amp;",","")</f>
        <v/>
      </c>
      <c r="FN14" s="48" t="str">
        <f>IF(AND(FE14&lt;&gt;"",FF14&lt;&gt;""),CHAR(34)&amp;"BLWHNO"&amp;CHAR(34)&amp;",","")</f>
        <v/>
      </c>
      <c r="FO14" s="48" t="str">
        <f>IF(AND(FE14&lt;&gt;"",FG14&lt;&gt;""),CHAR(34)&amp;"BLRENO"&amp;CHAR(34)&amp;",","")</f>
        <v/>
      </c>
      <c r="FP14" s="48" t="str">
        <f>IF(AND(FF14&lt;&gt;"",FF14&lt;&gt;""),CHAR(34)&amp;"WHRENO"&amp;CHAR(34)&amp;",","")</f>
        <v/>
      </c>
      <c r="FQ14" s="48" t="str">
        <f>IF(LEN(BF14)=3,CHAR(34)&amp;"001"&amp;BF14&amp;CHAR(34)&amp;",","")</f>
        <v/>
      </c>
      <c r="FR14" s="48" t="str">
        <f>IF(LEN(BG14)=3,CHAR(34)&amp;"002"&amp;BG14&amp;CHAR(34)&amp;",","")</f>
        <v/>
      </c>
      <c r="FS14" s="48" t="str">
        <f>IF(LEN(BH14)=3,CHAR(34)&amp;"003"&amp;BH14&amp;CHAR(34)&amp;",","")</f>
        <v/>
      </c>
      <c r="FT14" s="48" t="str">
        <f>CHAR(34)&amp;"myr"&amp;BD14&amp;CHAR(34)&amp;","</f>
        <v>"myrGRE",</v>
      </c>
      <c r="FU14" s="48" t="str">
        <f>IF(AY14="y",CHAR(34)&amp;"island"&amp;CHAR(34)&amp;",","")</f>
        <v/>
      </c>
      <c r="FV14" s="48" t="str">
        <f>IF(BZ14="y",CHAR(34)&amp;"landlo"&amp;CHAR(34)&amp;",","")</f>
        <v/>
      </c>
      <c r="FW14" s="48" t="str">
        <f>IF(CA14="y",CHAR(34)&amp;"eunion"&amp;CHAR(34)&amp;",","")</f>
        <v/>
      </c>
      <c r="FX14" s="48" t="str">
        <f>SUBSTITUTE(IFERROR(SEARCH("[",A14),IFERROR(IF(AND(CA14&lt;&gt;"y",SEARCH("Europe",R14)&gt;0),CHAR(34)&amp;"noeuni"&amp;CHAR(34)&amp;",",""),"")),"1","")</f>
        <v/>
      </c>
      <c r="FY14" s="48" t="str">
        <f>IFERROR(IF(SEARCH("Arabic",CB14)&gt;0,CHAR(34)&amp;"arabic"&amp;CHAR(34)&amp;",",""),"")</f>
        <v/>
      </c>
      <c r="FZ14" s="48" t="str">
        <f>IFERROR(IF(SEARCH("English",CB14)&gt;0,CHAR(34)&amp;"englis"&amp;CHAR(34)&amp;",",""),"")</f>
        <v>"englis",</v>
      </c>
      <c r="GA14" s="48" t="str">
        <f>IFERROR(IF(SEARCH("French",CB14)&gt;0,CHAR(34)&amp;"french"&amp;CHAR(34)&amp;",",""),"")</f>
        <v/>
      </c>
      <c r="GB14" s="48" t="str">
        <f>IFERROR(IF(SEARCH("Spanish",CB14)&gt;0,CHAR(34)&amp;"spanis"&amp;CHAR(34)&amp;",",""),"")</f>
        <v/>
      </c>
      <c r="GC14" s="48" t="str">
        <f>IFERROR(IF(SEARCH("Portuguese",CB14)&gt;0,CHAR(34)&amp;"portug"&amp;CHAR(34)&amp;",",""),"")</f>
        <v/>
      </c>
      <c r="GD14" s="48" t="str">
        <f>IFERROR(IF(SEARCH("German",CB14)&gt;0,CHAR(34)&amp;"german"&amp;CHAR(34)&amp;",",""),"")</f>
        <v/>
      </c>
      <c r="GE14" s="48" t="str">
        <f>IFERROR(IF(SEARCH("Dutch",CB14)&gt;0,CHAR(34)&amp;"dutchs"&amp;CHAR(34)&amp;",",""),"")</f>
        <v/>
      </c>
      <c r="GF14" s="48" t="str">
        <f>IFERROR(IF(SEARCH("Histor",AU14)&gt;0,CHAR(34)&amp;"histor"&amp;CHAR(34)&amp;",",""),"")</f>
        <v>"histor",</v>
      </c>
      <c r="GG14" s="48" t="str">
        <f>IF(BU14="y",CHAR(34)&amp;"unjack"&amp;CHAR(34)&amp;",","")</f>
        <v/>
      </c>
      <c r="GH14" s="48" t="str">
        <f>IF(CD14=1,CHAR(34)&amp;"southc"&amp;CHAR(34)&amp;",","")</f>
        <v/>
      </c>
      <c r="GI14" s="48" t="str">
        <f>IF(CE14=1,CHAR(34)&amp;"hasmap"&amp;CHAR(34)&amp;",","")</f>
        <v/>
      </c>
      <c r="GJ14" s="48" t="str">
        <f>IF(CP14="y",CHAR(34)&amp;CP$1&amp;CHAR(34)&amp;",","")</f>
        <v/>
      </c>
      <c r="GK14" s="48" t="str">
        <f>IF(GJ14="",CHAR(34)&amp;"HasSta"&amp;CHAR(34)&amp;",","")</f>
        <v>"HasSta",</v>
      </c>
      <c r="GL14" s="48" t="str">
        <f t="shared" si="106"/>
        <v/>
      </c>
      <c r="GM14" s="48" t="str">
        <f t="shared" si="106"/>
        <v/>
      </c>
      <c r="GN14" s="48" t="str">
        <f t="shared" si="106"/>
        <v>"3+Star",</v>
      </c>
      <c r="GP14" s="48" t="str">
        <f>CHAR(34)&amp;AU14&amp;CHAR(34)</f>
        <v>"Historical"</v>
      </c>
      <c r="GS14" s="48" t="str">
        <f>SUBSTITUTE("["&amp;_xlfn.CONCAT(CW14:GN14)&amp;"]",",]","]")</f>
        <v>["5+Colo","words2","exact2","lets10","startE","year18","NoBand","Crosse","Horizo","Vertic","Center","Rotate","sta","tcWHYE","NO_BLU","myrGRE","englis","histor","HasSta","3+Star"]</v>
      </c>
      <c r="GT14" s="48" t="str">
        <f t="shared" si="80"/>
        <v>"cl_GRE",</v>
      </c>
      <c r="GU14" s="48" t="str">
        <f t="shared" si="80"/>
        <v>"cl_YEL",</v>
      </c>
      <c r="GV14" s="48" t="str">
        <f t="shared" si="80"/>
        <v>"cl_RED",</v>
      </c>
      <c r="GW14" s="48" t="str">
        <f t="shared" si="80"/>
        <v>"cl_BLA",</v>
      </c>
      <c r="GX14" s="48" t="str">
        <f t="shared" si="80"/>
        <v>"cl_WHI",</v>
      </c>
      <c r="GY14" s="48" t="str">
        <f t="shared" si="80"/>
        <v/>
      </c>
      <c r="GZ14" s="48" t="str">
        <f t="shared" si="80"/>
        <v/>
      </c>
      <c r="HA14" s="48" t="str">
        <f t="shared" si="80"/>
        <v/>
      </c>
      <c r="HB14" s="48" t="str">
        <f t="shared" si="80"/>
        <v/>
      </c>
      <c r="HC14" s="48" t="str">
        <f>SUBSTITUTE("["&amp;_xlfn.CONCAT(GT14:HB14)&amp;"]",",]","]")</f>
        <v>["cl_GRE","cl_YEL","cl_RED","cl_BLA","cl_WHI"]</v>
      </c>
      <c r="HE14" s="71"/>
      <c r="HF14" s="72" t="str">
        <f>"{couname:"&amp;CT14&amp;(IF(HK14&lt;&gt;"",",subtype:"&amp;CHAR(34)&amp;HK14&amp;CHAR(34),""))&amp;",year:"&amp;HJ14&amp;",region:"&amp;CU14&amp;",Colors:"&amp;HC14&amp;",Items:"&amp;GS14&amp;",Flag:"&amp;CV14&amp;",HDFlag:"&amp;CHAR(34)&amp;E14&amp;CHAR(34)&amp;",type:"&amp;GP14&amp;", describe: "&amp;HH14&amp;", isnew:"&amp;CHAR(34)&amp;F14&amp;CHAR(34)&amp;", links: "&amp;HL14&amp;"},"</f>
        <v>{couname:"[AUS] Eureka Flag",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links: "https://en.wikipedia.org/wiki/Eureka_Flag"},</v>
      </c>
      <c r="HG14" s="73" t="str">
        <f>"{couname:"&amp;CT14&amp;(IF(HK14&lt;&gt;"",",subtype:"&amp;CHAR(34)&amp;HK14&amp;CHAR(34),""))&amp;",year:"&amp;HJ14&amp;",region:"&amp;CU14&amp;",Colors:"&amp;HC14&amp;",Items:"&amp;GS14&amp;",Flag:"&amp;CV14&amp;",HDFlag:"&amp;CHAR(34)&amp;E14&amp;CHAR(34)&amp;",type:"&amp;GP14&amp;", describe: "&amp;HI14&amp;", links: "&amp;HL14&amp;"},"</f>
        <v>{couname:"[AUS] Eureka Flag",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links: "https://en.wikipedia.org/wiki/Eureka_Flag"},</v>
      </c>
      <c r="HH14" s="48" t="str">
        <f>IF(P14&lt;&gt;"",CHAR(34)&amp;"\n"&amp;P14&amp;CHAR(34),CHAR(34)&amp;CHAR(34))</f>
        <v>"\nThe battle flag of the Eureka Stockade featured the five stars of the constellation Crux Australis in white on a white cross and blue field"</v>
      </c>
      <c r="HI14" s="48" t="str">
        <f>IF(J14=0,CHAR(34)&amp;CHAR(34),HH14)</f>
        <v>"\nThe battle flag of the Eureka Stockade featured the five stars of the constellation Crux Australis in white on a white cross and blue field"</v>
      </c>
      <c r="HJ14" s="48" t="str">
        <f>CHAR(34)&amp;O14&amp;CHAR(34)</f>
        <v>"1854"</v>
      </c>
      <c r="HL14" s="48" t="str">
        <f>CHAR(34)&amp;I14&amp;CHAR(34)</f>
        <v>"https://en.wikipedia.org/wiki/Eureka_Flag"</v>
      </c>
      <c r="HM14" s="72"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"&amp;HH14&amp;", "&amp;CHAR(34)&amp;"isnew"&amp;CHAR(34)&amp;": "&amp;CHAR(34)&amp;F14&amp;CHAR(34)&amp;", "&amp;CHAR(34)&amp;"links"&amp;CHAR(34)&amp;": "&amp;HL14&amp;"},"</f>
        <v>{"couname":"[AUS] Eureka Flag","subtype":"[AUS] Other","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 "links": "https://en.wikipedia.org/wiki/Eureka_Flag"},</v>
      </c>
      <c r="HN14" s="74" t="str">
        <f>"{"&amp;CHAR(34)&amp;"couname"&amp;CHAR(34)&amp;":"&amp;CT14&amp;(IF(H14&lt;&gt;"",","&amp;CHAR(34)&amp;"subtype"&amp;CHAR(34)&amp;":"&amp;CHAR(34)&amp;H14&amp;CHAR(34),""))&amp;","&amp;CHAR(34)&amp;"year"&amp;CHAR(34)&amp;":"&amp;HJ14&amp;","&amp;CHAR(34)&amp;"region"&amp;CHAR(34)&amp;":"&amp;CU14&amp;","&amp;CHAR(34)&amp;"Colors"&amp;CHAR(34)&amp;":"&amp;HC14&amp;","&amp;CHAR(34)&amp;"Items"&amp;CHAR(34)&amp;":"&amp;GS14&amp;","&amp;CHAR(34)&amp;"Flag"&amp;CHAR(34)&amp;":"&amp;CV14&amp;","&amp;CHAR(34)&amp;"HDFlag"&amp;CHAR(34)&amp;":"&amp;CHAR(34)&amp;E14&amp;CHAR(34)&amp;","&amp;CHAR(34)&amp;"type"&amp;CHAR(34)&amp;":"&amp;GP14&amp;", "&amp;CHAR(34)&amp;"describe"&amp;CHAR(34)&amp;": "&amp;HI14&amp;", "&amp;CHAR(34)&amp;"isnew"&amp;CHAR(34)&amp;": "&amp;CHAR(34)&amp;F14&amp;CHAR(34)&amp;", "&amp;CHAR(34)&amp;"links"&amp;CHAR(34)&amp;": "&amp;HL14&amp;"},"</f>
        <v>{"couname":"[AUS] Eureka Flag","subtype":"[AUS] Other","year":"1854","region":"rgn_Oceania","Colors":["cl_GRE","cl_YEL","cl_RED","cl_BLA","cl_WHI"],"Items":["5+Colo","words2","exact2","lets10","startE","year18","NoBand","Crosse","Horizo","Vertic","Center","Rotate","sta","tcWHYE","NO_BLU","myrGRE","englis","histor","HasSta","3+Star"],"Flag":"https://upload.wikimedia.org/wikipedia/commons/thumb/8/84/Eureka_Flag.svg/640px-Eureka_Flag.svg.png","HDFlag":"https://upload.wikimedia.org/wikipedia/commons/thumb/8/84/Eureka_Flag.svg/2560px-Eureka_Flag.svg.png","type":"Historical", "describe": "\nThe battle flag of the Eureka Stockade featured the five stars of the constellation Crux Australis in white on a white cross and blue field", "isnew": ".", "links": "https://en.wikipedia.org/wiki/Eureka_Flag"},</v>
      </c>
      <c r="HO14" s="75"/>
      <c r="HP14" s="48" t="str" cm="1">
        <f t="array" ref="HP14">IF(_xlfn.TEXTJOIN(", ", TRUE, IF(ISNUMBER(SEARCH("BLA", BL14:BT14)), COLUMN(BL14:BT14) - COLUMN(BL14) + 1, ""))&lt;&gt;"","BLA","")</f>
        <v>BLA</v>
      </c>
      <c r="HQ14" s="48" t="str" cm="1">
        <f t="array" ref="HQ14">IF(_xlfn.TEXTJOIN(", ", TRUE, IF(ISNUMBER(SEARCH("BLU", BL14:BT14)), COLUMN(BL14:BT14) - COLUMN(BL14) + 1, ""))&lt;&gt;"","BLU","")</f>
        <v/>
      </c>
      <c r="HR14" s="48" t="str" cm="1">
        <f t="array" ref="HR14">IF(_xlfn.TEXTJOIN(", ", TRUE, IF(ISNUMBER(SEARCH("GRE", BL14:BT14)), COLUMN(BL14:BT14) - COLUMN(BL14) + 1, ""))&lt;&gt;"","GRE","")</f>
        <v>GRE</v>
      </c>
      <c r="HS14" s="48" t="str" cm="1">
        <f t="array" ref="HS14">IF(_xlfn.TEXTJOIN(", ", TRUE, IF(ISNUMBER(SEARCH("RED", BL14:BT14)), COLUMN(BL14:BT14) - COLUMN(BL14) + 1, ""))&lt;&gt;"","RED","")</f>
        <v>RED</v>
      </c>
      <c r="HT14" s="48" t="str" cm="1">
        <f t="array" ref="HT14">IF(_xlfn.TEXTJOIN(", ", TRUE, IF(ISNUMBER(SEARCH("YEL", BL14:BT14)), COLUMN(BL14:BT14) - COLUMN(BL14) + 1, ""))&lt;&gt;"","YEL","")</f>
        <v>YEL</v>
      </c>
      <c r="HU14" s="48" t="str" cm="1">
        <f t="array" ref="HU14">IF(_xlfn.TEXTJOIN(", ", TRUE, IF(ISNUMBER(SEARCH("ORA", BL14:BT14)), COLUMN(BL14:BT14) - COLUMN(BL14) + 1, ""))&lt;&gt;"","ORA","")</f>
        <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c r="IB14" s="6"/>
      <c r="IC14" s="77"/>
      <c r="ID14" s="77"/>
      <c r="IE14" s="77"/>
      <c r="IF14" s="77"/>
      <c r="IG14" s="77"/>
      <c r="IH14" s="77"/>
      <c r="II14" s="77"/>
      <c r="IJ14" s="77"/>
      <c r="IK14" s="77"/>
      <c r="IL14" s="48">
        <f>SUM(IC14:IK14)</f>
        <v>0</v>
      </c>
      <c r="IM14" s="45">
        <f>COUNTIF(IC14:IK14,"&gt;0")-CG14</f>
        <v>-5</v>
      </c>
      <c r="IN14" s="78" t="str">
        <f>"http://mkweb.bcgsc.ca/color-summarizer/?url="&amp;D14&amp;"&amp;precision=low&amp;num_clusters="&amp;CG14&amp;"&amp;text=1"</f>
        <v>http://mkweb.bcgsc.ca/color-summarizer/?url=https://upload.wikimedia.org/wikipedia/commons/thumb/8/84/Eureka_Flag.svg/640px-Eureka_Flag.svg.png&amp;precision=low&amp;num_clusters=5&amp;text=1</v>
      </c>
      <c r="IO14" s="48" t="str">
        <f>IF(HP14&lt;&gt;"",CHAR(34)&amp;"black"&amp;CHAR(34),"")</f>
        <v>"black"</v>
      </c>
      <c r="IP14" s="48" t="str">
        <f>IF(HQ14&lt;&gt;"",CHAR(34)&amp;"blue"&amp;CHAR(34),"")</f>
        <v/>
      </c>
      <c r="IQ14" s="48" t="str">
        <f>IF(HR14&lt;&gt;"",CHAR(34)&amp;"green"&amp;CHAR(34),"")</f>
        <v>"green"</v>
      </c>
      <c r="IR14" s="48" t="str">
        <f>IF(HS14&lt;&gt;"",CHAR(34)&amp;"red"&amp;CHAR(34),"")</f>
        <v>"red"</v>
      </c>
      <c r="IS14" s="48" t="str">
        <f>IF(HT14&lt;&gt;"",CHAR(34)&amp;"yellow"&amp;CHAR(34),"")</f>
        <v>"yellow"</v>
      </c>
      <c r="IT14" s="48" t="str">
        <f>IF(HU14&lt;&gt;"",CHAR(34)&amp;"orange"&amp;CHAR(34),"")</f>
        <v/>
      </c>
      <c r="IU14" s="48" t="str">
        <f>IF(HV14&lt;&gt;"",CHAR(34)&amp;"brown"&amp;CHAR(34),"")</f>
        <v/>
      </c>
      <c r="IV14" s="48" t="str">
        <f>IF(HW14&lt;&gt;"",CHAR(34)&amp;"purple"&amp;CHAR(34),"")</f>
        <v/>
      </c>
      <c r="IW14" s="48" t="str">
        <f>IF(HX14&lt;&gt;"",CHAR(34)&amp;"white"&amp;CHAR(34),"")</f>
        <v>"white"</v>
      </c>
      <c r="IX14" s="48" t="str">
        <f>"{"&amp;CHAR(34)&amp;"url"&amp;CHAR(34)&amp;":"&amp;CHAR(34)&amp;IN14&amp;CHAR(34)&amp;","&amp;CHAR(34)&amp;"name"&amp;CHAR(34)&amp;":"&amp;CHAR(34)&amp;A14&amp;CHAR(34)&amp;"},"</f>
        <v>{"url":"http://mkweb.bcgsc.ca/color-summarizer/?url=https://upload.wikimedia.org/wikipedia/commons/thumb/8/84/Eureka_Flag.svg/640px-Eureka_Flag.svg.png&amp;precision=low&amp;num_clusters=5&amp;text=1","name":"[AUS] Eureka Flag"},</v>
      </c>
      <c r="IY14" s="48">
        <v>94</v>
      </c>
    </row>
    <row r="15" spans="1:259" s="48" customFormat="1" ht="38.4" customHeight="1" thickBot="1" x14ac:dyDescent="0.35">
      <c r="A15" s="81" t="s">
        <v>678</v>
      </c>
      <c r="B15" s="40" t="e" vm="16">
        <v>#VALUE!</v>
      </c>
      <c r="C15" s="41">
        <v>3</v>
      </c>
      <c r="D15" s="42" t="s">
        <v>679</v>
      </c>
      <c r="E15" s="43" t="s">
        <v>680</v>
      </c>
      <c r="F15" s="44" t="s">
        <v>166</v>
      </c>
      <c r="G15" s="45">
        <f>COUNTIF($A$1:$A$8359,A15)</f>
        <v>1</v>
      </c>
      <c r="H15" s="46" t="s">
        <v>667</v>
      </c>
      <c r="I15" s="47" t="s">
        <v>681</v>
      </c>
      <c r="J15" s="48" t="str">
        <f>""</f>
        <v/>
      </c>
      <c r="K15" s="49"/>
      <c r="L15" s="50"/>
      <c r="M15" s="50"/>
      <c r="N15" s="51" t="s">
        <v>169</v>
      </c>
      <c r="O15" s="52" t="s">
        <v>682</v>
      </c>
      <c r="P15" s="53" t="s">
        <v>683</v>
      </c>
      <c r="Q15" s="54">
        <v>2</v>
      </c>
      <c r="R15" s="55" t="s">
        <v>169</v>
      </c>
      <c r="S15" s="56">
        <v>4</v>
      </c>
      <c r="T15" s="57" t="s">
        <v>173</v>
      </c>
      <c r="U15" s="58" t="s">
        <v>172</v>
      </c>
      <c r="V15" s="58" t="s">
        <v>172</v>
      </c>
      <c r="W15" s="58" t="s">
        <v>172</v>
      </c>
      <c r="X15" s="58" t="s">
        <v>173</v>
      </c>
      <c r="Y15" s="58" t="s">
        <v>173</v>
      </c>
      <c r="Z15" s="58" t="s">
        <v>173</v>
      </c>
      <c r="AA15" s="58" t="s">
        <v>173</v>
      </c>
      <c r="AB15" s="58" t="s">
        <v>173</v>
      </c>
      <c r="AC15" s="58" t="s">
        <v>173</v>
      </c>
      <c r="AD15" s="58" t="s">
        <v>173</v>
      </c>
      <c r="AE15" s="58" t="s">
        <v>173</v>
      </c>
      <c r="AF15" s="59" t="s">
        <v>173</v>
      </c>
      <c r="AG15" s="59" t="s">
        <v>173</v>
      </c>
      <c r="AH15" s="59" t="s">
        <v>173</v>
      </c>
      <c r="AI15" s="59" t="s">
        <v>173</v>
      </c>
      <c r="AJ15" s="59" t="s">
        <v>172</v>
      </c>
      <c r="AK15" s="59" t="s">
        <v>172</v>
      </c>
      <c r="AL15" s="59" t="s">
        <v>173</v>
      </c>
      <c r="AM15" s="59" t="s">
        <v>173</v>
      </c>
      <c r="AN15" s="59" t="s">
        <v>173</v>
      </c>
      <c r="AO15" s="59" t="s">
        <v>173</v>
      </c>
      <c r="AP15" s="59" t="s">
        <v>173</v>
      </c>
      <c r="AQ15" s="59" t="s">
        <v>173</v>
      </c>
      <c r="AR15" s="59" t="s">
        <v>173</v>
      </c>
      <c r="AS15" s="59" t="s">
        <v>173</v>
      </c>
      <c r="AT15" s="60">
        <v>0</v>
      </c>
      <c r="AU15" s="59" t="s">
        <v>684</v>
      </c>
      <c r="AV15" s="59" t="str">
        <f>IF(LEFT(A15,1)="[",LEFT(A15,5)&amp;AU15&amp;A15,"")</f>
        <v>[AUS]Micronation[AUS] Snake Hill</v>
      </c>
      <c r="AW15" s="59" t="str">
        <f>C15&amp;H15&amp;A15</f>
        <v>3[AUS] Other[AUS] Snake Hill</v>
      </c>
      <c r="AX15" s="61"/>
      <c r="AY15" s="61"/>
      <c r="AZ15" s="62"/>
      <c r="BA15" s="62"/>
      <c r="BB15" s="62"/>
      <c r="BC15" s="63"/>
      <c r="BD15" s="64" t="s">
        <v>408</v>
      </c>
      <c r="BE15" s="47"/>
      <c r="BF15" s="64" t="s">
        <v>155</v>
      </c>
      <c r="BG15" s="64" t="s">
        <v>159</v>
      </c>
      <c r="BH15" s="64" t="s">
        <v>153</v>
      </c>
      <c r="BI15" s="64"/>
      <c r="BJ15" s="64"/>
      <c r="BK15" s="47"/>
      <c r="BL15" s="64" t="s">
        <v>155</v>
      </c>
      <c r="BM15" s="64" t="s">
        <v>159</v>
      </c>
      <c r="BN15" s="64" t="s">
        <v>153</v>
      </c>
      <c r="BO15" s="64"/>
      <c r="BP15" s="64"/>
      <c r="BQ15" s="64"/>
      <c r="BR15" s="64"/>
      <c r="BS15" s="64"/>
      <c r="BT15" s="64"/>
      <c r="BU15" s="65"/>
      <c r="BV15" s="66"/>
      <c r="BW15" s="66">
        <v>0</v>
      </c>
      <c r="BX15" s="47"/>
      <c r="CB15" s="6"/>
      <c r="CC15" s="6"/>
      <c r="CD15" s="67">
        <v>0</v>
      </c>
      <c r="CE15" s="67">
        <v>0</v>
      </c>
      <c r="CF15" s="67" t="e">
        <v>#REF!</v>
      </c>
      <c r="CG15" s="68" cm="1">
        <f t="array" ref="CG15">SUMPRODUCT(--(LEN(TRIM(BL15:BT15))&gt;0))</f>
        <v>3</v>
      </c>
      <c r="CH15" s="59" t="str">
        <f>IF(CG15=2,"y","n")</f>
        <v>n</v>
      </c>
      <c r="CI15" s="59" t="str">
        <f>IF(CG15=3,"y","n")</f>
        <v>y</v>
      </c>
      <c r="CJ15" s="59" t="str">
        <f>IF(CG15=4,"y","n")</f>
        <v>n</v>
      </c>
      <c r="CK15" s="59" t="str">
        <f>IF(CG15&gt;4,"y","n")</f>
        <v>n</v>
      </c>
      <c r="CL15" s="59" t="str">
        <f>IF(S15=0,"y","n")</f>
        <v>n</v>
      </c>
      <c r="CM15" s="59" t="str">
        <f>IF(S15=2,"y","n")</f>
        <v>n</v>
      </c>
      <c r="CN15" s="59" t="str">
        <f>IF(S15=3,"y","n")</f>
        <v>n</v>
      </c>
      <c r="CO15" s="59" t="str">
        <f>IF(S15&gt;=4,"y","n")</f>
        <v>y</v>
      </c>
      <c r="CP15" s="59" t="str">
        <f>IF(AT15=0,"y","n")</f>
        <v>y</v>
      </c>
      <c r="CQ15" s="59" t="str">
        <f>IF(AT15=1,"y","n")</f>
        <v>n</v>
      </c>
      <c r="CR15" s="59" t="str">
        <f>IF(AT15=2,"y","n")</f>
        <v>n</v>
      </c>
      <c r="CS15" s="59" t="str">
        <f>IF(AT15&gt;=3,"y","n")</f>
        <v>n</v>
      </c>
      <c r="CT15" s="69" t="str">
        <f>CHAR(34)&amp;A15&amp;CHAR(34)</f>
        <v>"[AUS] Snake Hill"</v>
      </c>
      <c r="CU15" s="70" t="str">
        <f>CHAR(34)&amp;"rgn_"&amp;R15&amp;CHAR(34)</f>
        <v>"rgn_Oceania"</v>
      </c>
      <c r="CV15" s="48" t="str">
        <f>CHAR(34)&amp;D15&amp;CHAR(34)</f>
        <v>"https://upload.wikimedia.org/wikipedia/commons/thumb/f/f0/Flag_of_the_Principality_of_Snake_Hill.svg/640px-Flag_of_the_Principality_of_Snake_Hill.svg.png"</v>
      </c>
      <c r="CW15" s="48" t="str">
        <f t="shared" si="103"/>
        <v/>
      </c>
      <c r="CX15" s="48" t="str">
        <f t="shared" si="103"/>
        <v>"3Color",</v>
      </c>
      <c r="CY15" s="48" t="str">
        <f t="shared" si="103"/>
        <v/>
      </c>
      <c r="CZ15" s="48" t="str">
        <f t="shared" si="103"/>
        <v/>
      </c>
      <c r="DA15" s="48" t="str">
        <f>IF(Q15&gt;1,CHAR(34)&amp;"words2"&amp;CHAR(34)&amp;",","")</f>
        <v>"words2",</v>
      </c>
      <c r="DB15" s="48" t="str">
        <f>IF(Q15&gt;2,CHAR(34)&amp;"words3"&amp;CHAR(34)&amp;",","")</f>
        <v/>
      </c>
      <c r="DD15" s="48" t="str">
        <f>IF(LEN(CHAR(34)&amp;"lets"&amp;LEN(SUBSTITUTE(SUBSTITUTE(IFERROR(TRIM(SUBSTITUTE(A15,MID(A15,FIND("[",A15),FIND("]",A15)-FIND("[",A15)+1),"")),A15)," ",""),"-",""))&amp;CHAR(34)&amp;",")=9,CHAR(34)&amp;"lets"&amp;LEN(SUBSTITUTE(SUBSTITUTE(IFERROR(TRIM(SUBSTITUTE(A15,MID(A15,FIND("[",A15),FIND("]",A15)-FIND("[",A15)+1),"")),A15)," ",""),"-",""))&amp;CHAR(34)&amp;",",CHAR(34)&amp;"lets0"&amp;LEN(SUBSTITUTE(SUBSTITUTE(IFERROR(TRIM(SUBSTITUTE(A15,MID(A15,FIND("[",A15),FIND("]",A15)-FIND("[",A15)+1),"")),A15)," ",""),"-",""))&amp;CHAR(34)&amp;",")</f>
        <v>"lets09",</v>
      </c>
      <c r="DE15" s="48" t="str">
        <f>CHAR(34)&amp;"start"&amp;IFERROR(LEFT(SUBSTITUTE(A15,"["&amp;MID(A15,FIND("[",A15)+1,FIND("]",A15)-FIND("[",A15)-1)&amp;"] ",""),1),LEFT(A15,1))&amp;CHAR(34)&amp;","</f>
        <v>"startS",</v>
      </c>
      <c r="DF15" s="48" t="str">
        <f>IFERROR(IF(SEARCH("tan",A15)&gt;0,CHAR(34)&amp;"withtn"&amp;CHAR(34)&amp;",",""),"")</f>
        <v/>
      </c>
      <c r="DG15" s="48" t="str">
        <f>IFERROR(IF(SEARCH("q",A15)&gt;0,CHAR(34)&amp;"with_q"&amp;CHAR(34)&amp;",",""),"")</f>
        <v/>
      </c>
      <c r="DH15" s="48" t="str">
        <f>IFERROR(IF(SEARCH("v",A15)&gt;0,CHAR(34)&amp;"with_v"&amp;CHAR(34)&amp;",",""),"")</f>
        <v/>
      </c>
      <c r="DI15" s="48" t="str">
        <f>IFERROR(IF(SEARCH("w",A15)&gt;0,CHAR(34)&amp;"with_w"&amp;CHAR(34)&amp;",",""),"")</f>
        <v/>
      </c>
      <c r="DJ15" s="48" t="str">
        <f>IFERROR(IF(SEARCH("y",A15)&gt;0,CHAR(34)&amp;"with_y"&amp;CHAR(34)&amp;",",""),"")</f>
        <v/>
      </c>
      <c r="DK15" s="48" t="str">
        <f>IFERROR(IF(SEARCH("z",A15)&gt;0,CHAR(34)&amp;"with_z"&amp;CHAR(34)&amp;",",""),"")</f>
        <v/>
      </c>
      <c r="DL15" s="48" t="str">
        <f>IF(CG15=2, CHAR(34) &amp; _xlfn.TEXTJOIN("", TRUE, _xlfn._xlws.SORT(HP15:HX15)) &amp; CHAR(34) &amp; ",", "")</f>
        <v/>
      </c>
      <c r="DM15" s="48" t="str" cm="1">
        <f t="array" ref="DM15">IF(CG15=3,CHAR(34) &amp; _xlfn.TEXTJOIN("", TRUE, RIGHT(HP15:HX15, 2)) &amp; CHAR(34) &amp; ",", "")</f>
        <v>"REELHI",</v>
      </c>
      <c r="DN15" s="48" t="str">
        <f>IF(AND(ISNUMBER(SEARCH("18", O15)), ISERROR(SEARCH("1918", O15)), ISERROR(SEARCH("2018", O15))), CHAR(34) &amp; "year18" &amp; CHAR(34) &amp; ",", "")</f>
        <v/>
      </c>
      <c r="DO15" s="48" t="str">
        <f>IF(AND(ISNUMBER(SEARCH("19", O15)), ISERROR(SEARCH("1819", O15)),  ISERROR(SEARCH("1219", O15)),ISERROR(SEARCH("1119", O15)),ISERROR(SEARCH("1190", O15)),ISERROR(SEARCH("2019", O15))), CHAR(34) &amp; "year19" &amp; CHAR(34) &amp; ",", "")</f>
        <v/>
      </c>
      <c r="DP15" s="6" t="str">
        <f>IF(AND(ISNUMBER(SEARCH("20", O15)), ISERROR(SEARCH("1920", O15))), CHAR(34)&amp;"year00"&amp;CHAR(34)&amp;",", "")</f>
        <v>"year00",</v>
      </c>
      <c r="DQ15" s="6" t="str">
        <f>IF(CC15="y",CHAR(34)&amp;"soviet"&amp;CHAR(34)&amp;",","")</f>
        <v/>
      </c>
      <c r="DR15" s="6" t="str">
        <f>IF(BY15="y",CHAR(34)&amp;"dgband"&amp;CHAR(34)&amp;",","")</f>
        <v/>
      </c>
      <c r="DS15" s="6" t="str">
        <f>IF(W15="y",IF(AND(V15="n",BY15&lt;&gt;"y"),CHAR(34)&amp;"allver"&amp;CHAR(34)&amp;",",""),"")</f>
        <v/>
      </c>
      <c r="DT15" s="6" t="str">
        <f>IF(V15="y",IF(AND(W15="n",BY15&lt;&gt;"y"),CHAR(34)&amp;"allhor"&amp;CHAR(34)&amp;",",""),"")</f>
        <v/>
      </c>
      <c r="DU15" s="6" t="str">
        <f>IF(BY15="y",IF(AND(W15="n",V15="n"),CHAR(34)&amp;"alldia"&amp;CHAR(34)&amp;",",""),"")</f>
        <v/>
      </c>
      <c r="DW15" s="48" t="str">
        <f t="shared" si="104"/>
        <v/>
      </c>
      <c r="DX15" s="48" t="str">
        <f t="shared" si="104"/>
        <v/>
      </c>
      <c r="DY15" s="48" t="str">
        <f t="shared" si="104"/>
        <v/>
      </c>
      <c r="DZ15" s="48" t="str">
        <f t="shared" si="104"/>
        <v>"4+Band",</v>
      </c>
      <c r="EA15" s="48" t="str">
        <f t="shared" si="105"/>
        <v/>
      </c>
      <c r="EB15" s="48" t="str">
        <f t="shared" si="105"/>
        <v>"Crosse",</v>
      </c>
      <c r="EC15" s="48" t="str">
        <f t="shared" si="105"/>
        <v>"Horizo",</v>
      </c>
      <c r="ED15" s="48" t="str">
        <f t="shared" si="105"/>
        <v>"Vertic",</v>
      </c>
      <c r="EE15" s="48" t="str">
        <f t="shared" si="105"/>
        <v/>
      </c>
      <c r="EF15" s="48" t="str">
        <f>IF(AND(Y15&lt;&gt;"n",Y15&lt;&gt;""),CHAR(34)&amp;Y$1&amp;CHAR(34)&amp;",","")</f>
        <v/>
      </c>
      <c r="EG15" s="48" t="str">
        <f t="shared" ref="EG15:EV22" si="108">IF(Z15="y",CHAR(34)&amp;Z$1&amp;CHAR(34)&amp;",","")</f>
        <v/>
      </c>
      <c r="EH15" s="48" t="str">
        <f t="shared" si="108"/>
        <v/>
      </c>
      <c r="EI15" s="48" t="str">
        <f t="shared" si="108"/>
        <v/>
      </c>
      <c r="EJ15" s="48" t="str">
        <f t="shared" si="108"/>
        <v/>
      </c>
      <c r="EK15" s="48" t="str">
        <f t="shared" si="108"/>
        <v/>
      </c>
      <c r="EL15" s="48" t="str">
        <f t="shared" si="108"/>
        <v/>
      </c>
      <c r="EM15" s="48" t="str">
        <f t="shared" si="108"/>
        <v/>
      </c>
      <c r="EN15" s="48" t="str">
        <f t="shared" si="108"/>
        <v/>
      </c>
      <c r="EO15" s="48" t="str">
        <f t="shared" si="108"/>
        <v/>
      </c>
      <c r="EP15" s="48" t="str">
        <f t="shared" si="108"/>
        <v/>
      </c>
      <c r="EQ15" s="48" t="str">
        <f t="shared" si="108"/>
        <v>"Nordic",</v>
      </c>
      <c r="ER15" s="48" t="str">
        <f t="shared" si="108"/>
        <v>"OnlyBa",</v>
      </c>
      <c r="ES15" s="48" t="str">
        <f t="shared" si="108"/>
        <v/>
      </c>
      <c r="ET15" s="48" t="str">
        <f t="shared" si="108"/>
        <v/>
      </c>
      <c r="EU15" s="48" t="str">
        <f t="shared" si="108"/>
        <v/>
      </c>
      <c r="EV15" s="48" t="str">
        <f t="shared" si="108"/>
        <v/>
      </c>
      <c r="EW15" s="48" t="str">
        <f t="shared" si="107"/>
        <v/>
      </c>
      <c r="EX15" s="48" t="str">
        <f t="shared" si="107"/>
        <v/>
      </c>
      <c r="EY15" s="48" t="str">
        <f t="shared" si="107"/>
        <v/>
      </c>
      <c r="EZ15" s="48" t="str">
        <f t="shared" si="107"/>
        <v/>
      </c>
      <c r="FA15" s="48" t="str">
        <f>IF(AT15&gt;0,CHAR(34)&amp;"sta"&amp;AZ15&amp;CHAR(34)&amp;",","")</f>
        <v/>
      </c>
      <c r="FB15" s="48" t="str">
        <f>IF(AND(AT15&gt;0,BA15&lt;&gt;""),CHAR(34)&amp;"sta"&amp;BA15&amp;CHAR(34)&amp;",","")</f>
        <v/>
      </c>
      <c r="FD15" s="48" t="str">
        <f>IF(BV15="n",CHAR(34)&amp;"tcWHYE"&amp;CHAR(34)&amp;",",IF(BV15="y",CHAR(34)&amp;FD$1&amp;CHAR(34)&amp;",",""))</f>
        <v/>
      </c>
      <c r="FE15" s="48" t="str">
        <f>IF(COUNTIF(BL15:BT15,"BLU")=0,CHAR(34)&amp;"NO_BLU"&amp;CHAR(34)&amp;",", "")</f>
        <v>"NO_BLU",</v>
      </c>
      <c r="FF15" s="48" t="str">
        <f>IF(COUNTIF(BL15:BT15,"WHI")=0,CHAR(34)&amp;"NO_WHI"&amp;CHAR(34)&amp;",", "")</f>
        <v/>
      </c>
      <c r="FG15" s="48" t="str">
        <f>IF(COUNTIF(BL15:BT15,"RED")=0,CHAR(34)&amp;"NO_RED"&amp;CHAR(34)&amp;",", "")</f>
        <v>"NO_RED",</v>
      </c>
      <c r="FH15" s="48" t="str">
        <f>IF(COUNTIF(BL15:BS15,"GRE")=0,CHAR(34)&amp;"NO_GRE"&amp;CHAR(34)&amp;",", "")</f>
        <v/>
      </c>
      <c r="FI15" s="48" t="str">
        <f>IF(COUNTIF(BL15:BT15,"YEL")=0,CHAR(34)&amp;"NO_YEL"&amp;CHAR(34)&amp;",", "")</f>
        <v/>
      </c>
      <c r="FJ15" s="48" t="str">
        <f>IF(COUNTIF(BL15:BT15,"BLA")=0,CHAR(34)&amp;"NO_BLA"&amp;CHAR(34)&amp;",", "")</f>
        <v>"NO_BLA",</v>
      </c>
      <c r="FK15" s="48" t="str">
        <f>IF(AND(FH15&lt;&gt;"",FF15&lt;&gt;""),CHAR(34)&amp;"WHGRNO"&amp;CHAR(34)&amp;",","")</f>
        <v/>
      </c>
      <c r="FL15" s="48" t="str">
        <f>IF(AND(FI15&lt;&gt;"",FF15&lt;&gt;""),CHAR(34)&amp;"WHYENO"&amp;CHAR(34)&amp;",","")</f>
        <v/>
      </c>
      <c r="FM15" s="48" t="str">
        <f>IF(AND(FJ15&lt;&gt;"",FF15&lt;&gt;""),CHAR(34)&amp;"BAWHNO"&amp;CHAR(34)&amp;",","")</f>
        <v/>
      </c>
      <c r="FN15" s="48" t="str">
        <f>IF(AND(FE15&lt;&gt;"",FF15&lt;&gt;""),CHAR(34)&amp;"BLWHNO"&amp;CHAR(34)&amp;",","")</f>
        <v/>
      </c>
      <c r="FO15" s="48" t="str">
        <f>IF(AND(FE15&lt;&gt;"",FG15&lt;&gt;""),CHAR(34)&amp;"BLRENO"&amp;CHAR(34)&amp;",","")</f>
        <v>"BLRENO",</v>
      </c>
      <c r="FP15" s="48" t="str">
        <f>IF(AND(FF15&lt;&gt;"",FF15&lt;&gt;""),CHAR(34)&amp;"WHRENO"&amp;CHAR(34)&amp;",","")</f>
        <v/>
      </c>
      <c r="FQ15" s="48" t="str">
        <f>IF(LEN(BF15)=3,CHAR(34)&amp;"001"&amp;BF15&amp;CHAR(34)&amp;",","")</f>
        <v>"001YEL",</v>
      </c>
      <c r="FR15" s="48" t="str">
        <f>IF(LEN(BG15)=3,CHAR(34)&amp;"002"&amp;BG15&amp;CHAR(34)&amp;",","")</f>
        <v>"002WHI",</v>
      </c>
      <c r="FS15" s="48" t="str">
        <f>IF(LEN(BH15)=3,CHAR(34)&amp;"003"&amp;BH15&amp;CHAR(34)&amp;",","")</f>
        <v>"003GRE",</v>
      </c>
      <c r="FT15" s="48" t="str">
        <f>CHAR(34)&amp;"myr"&amp;BD15&amp;CHAR(34)&amp;","</f>
        <v>"myrEQ",</v>
      </c>
      <c r="FU15" s="48" t="str">
        <f>IF(AY15="y",CHAR(34)&amp;"island"&amp;CHAR(34)&amp;",","")</f>
        <v/>
      </c>
      <c r="FV15" s="48" t="str">
        <f>IF(BZ15="y",CHAR(34)&amp;"landlo"&amp;CHAR(34)&amp;",","")</f>
        <v/>
      </c>
      <c r="FW15" s="48" t="str">
        <f>IF(CA15="y",CHAR(34)&amp;"eunion"&amp;CHAR(34)&amp;",","")</f>
        <v/>
      </c>
      <c r="FY15" s="48" t="str">
        <f>IFERROR(IF(SEARCH("Arabic",CB15)&gt;0,CHAR(34)&amp;"arabic"&amp;CHAR(34)&amp;",",""),"")</f>
        <v/>
      </c>
      <c r="FZ15" s="48" t="str">
        <f>IFERROR(IF(SEARCH("English",CB15)&gt;0,CHAR(34)&amp;"englis"&amp;CHAR(34)&amp;",",""),"")</f>
        <v/>
      </c>
      <c r="GA15" s="48" t="str">
        <f>IFERROR(IF(SEARCH("French",CB15)&gt;0,CHAR(34)&amp;"french"&amp;CHAR(34)&amp;",",""),"")</f>
        <v/>
      </c>
      <c r="GB15" s="48" t="str">
        <f>IFERROR(IF(SEARCH("Spanish",CB15)&gt;0,CHAR(34)&amp;"spanis"&amp;CHAR(34)&amp;",",""),"")</f>
        <v/>
      </c>
      <c r="GE15" s="48" t="str">
        <f>IFERROR(IF(SEARCH("Dutch",CB15)&gt;0,CHAR(34)&amp;"dutchs"&amp;CHAR(34)&amp;",",""),"")</f>
        <v/>
      </c>
      <c r="GF15" s="48" t="str">
        <f>IFERROR(IF(SEARCH("Historical",AU15)&gt;0,CHAR(34)&amp;"histor"&amp;CHAR(34)&amp;",",""),"")</f>
        <v/>
      </c>
      <c r="GG15" s="48" t="str">
        <f>IF(BU15="y",CHAR(34)&amp;"unjack"&amp;CHAR(34)&amp;",","")</f>
        <v/>
      </c>
      <c r="GH15" s="48" t="str">
        <f>IF(CD15=1,CHAR(34)&amp;"southc"&amp;CHAR(34)&amp;",","")</f>
        <v/>
      </c>
      <c r="GI15" s="48" t="str">
        <f>IF(CE15=1,CHAR(34)&amp;"hasmap"&amp;CHAR(34)&amp;",","")</f>
        <v/>
      </c>
      <c r="GJ15" s="48" t="str">
        <f>IF(CP15="y",CHAR(34)&amp;CP$1&amp;CHAR(34)&amp;",","")</f>
        <v>"NoStar",</v>
      </c>
      <c r="GK15" s="48" t="str">
        <f>IF(GJ15="",CHAR(34)&amp;"HasSta"&amp;CHAR(34)&amp;",","")</f>
        <v/>
      </c>
      <c r="GL15" s="48" t="str">
        <f t="shared" si="106"/>
        <v/>
      </c>
      <c r="GM15" s="48" t="str">
        <f t="shared" si="106"/>
        <v/>
      </c>
      <c r="GN15" s="48" t="str">
        <f t="shared" si="106"/>
        <v/>
      </c>
      <c r="GP15" s="48" t="str">
        <f>CHAR(34)&amp;AU15&amp;CHAR(34)</f>
        <v>"Micronation"</v>
      </c>
      <c r="GS15" s="48" t="str">
        <f>SUBSTITUTE("["&amp;_xlfn.CONCAT(CW15:GN15)&amp;"]",",]","]")</f>
        <v>["3Color","words2","lets09","startS","REELHI","year00","4+Band","Crosse","Horizo","Vertic","Nordic","OnlyBa","NO_BLU","NO_RED","NO_BLA","BLRENO","001YEL","002WHI","003GRE","myrEQ","NoStar"]</v>
      </c>
      <c r="GT15" s="48" t="str">
        <f t="shared" si="80"/>
        <v>"cl_YEL",</v>
      </c>
      <c r="GU15" s="48" t="str">
        <f t="shared" si="80"/>
        <v>"cl_WHI",</v>
      </c>
      <c r="GV15" s="48" t="str">
        <f t="shared" si="80"/>
        <v>"cl_GRE",</v>
      </c>
      <c r="GW15" s="48" t="str">
        <f t="shared" si="80"/>
        <v/>
      </c>
      <c r="GX15" s="48" t="str">
        <f t="shared" si="80"/>
        <v/>
      </c>
      <c r="GY15" s="48" t="str">
        <f t="shared" si="80"/>
        <v/>
      </c>
      <c r="GZ15" s="48" t="str">
        <f t="shared" si="80"/>
        <v/>
      </c>
      <c r="HA15" s="48" t="str">
        <f t="shared" si="80"/>
        <v/>
      </c>
      <c r="HB15" s="48" t="str">
        <f t="shared" si="80"/>
        <v/>
      </c>
      <c r="HC15" s="48" t="str">
        <f>SUBSTITUTE("["&amp;_xlfn.CONCAT(GT15:HB15)&amp;"]",",]","]")</f>
        <v>["cl_YEL","cl_WHI","cl_GRE"]</v>
      </c>
      <c r="HE15" s="71"/>
      <c r="HF15" s="72" t="str">
        <f>"{couname:"&amp;CT15&amp;(IF(HK15&lt;&gt;"",",subtype:"&amp;CHAR(34)&amp;HK15&amp;CHAR(34),""))&amp;",year:"&amp;HJ15&amp;",region:"&amp;CU15&amp;",Colors:"&amp;HC15&amp;",Items:"&amp;GS15&amp;",Flag:"&amp;CV15&amp;",HDFlag:"&amp;CHAR(34)&amp;E15&amp;CHAR(34)&amp;",type:"&amp;GP15&amp;", describe: "&amp;HH15&amp;", isnew:"&amp;CHAR(34)&amp;F15&amp;CHAR(34)&amp;", links: "&amp;HL15&amp;"},"</f>
        <v>{couname:"[AUS] Snake Hill",year:"2003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links: "https://en.wikipedia.org/wiki/Principality_of_Snake_Hill"},</v>
      </c>
      <c r="HG15" s="73" t="str">
        <f>"{couname:"&amp;CT15&amp;(IF(HK15&lt;&gt;"",",subtype:"&amp;CHAR(34)&amp;HK15&amp;CHAR(34),""))&amp;",year:"&amp;HJ15&amp;",region:"&amp;CU15&amp;",Colors:"&amp;HC15&amp;",Items:"&amp;GS15&amp;",Flag:"&amp;CV15&amp;",HDFlag:"&amp;CHAR(34)&amp;E15&amp;CHAR(34)&amp;",type:"&amp;GP15&amp;", describe: "&amp;HI15&amp;", links: "&amp;HL15&amp;"},"</f>
        <v>{couname:"[AUS] Snake Hill",year:"2003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links: "https://en.wikipedia.org/wiki/Principality_of_Snake_Hill"},</v>
      </c>
      <c r="HH15" s="48" t="str">
        <f>IF(P15&lt;&gt;"",CHAR(34)&amp;"\n"&amp;P15&amp;CHAR(34),CHAR(34)&amp;CHAR(34))</f>
        <v>"\nA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v>
      </c>
      <c r="HI15" s="48" t="str">
        <f>IF(J15=0,CHAR(34)&amp;CHAR(34),HH15)</f>
        <v>"\nA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v>
      </c>
      <c r="HJ15" s="48" t="str">
        <f>CHAR(34)&amp;O15&amp;CHAR(34)</f>
        <v>"2003 "</v>
      </c>
      <c r="HL15" s="48" t="str">
        <f>CHAR(34)&amp;I15&amp;CHAR(34)</f>
        <v>"https://en.wikipedia.org/wiki/Principality_of_Snake_Hill"</v>
      </c>
      <c r="HM15" s="72"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"&amp;HH15&amp;", "&amp;CHAR(34)&amp;"isnew"&amp;CHAR(34)&amp;": "&amp;CHAR(34)&amp;F15&amp;CHAR(34)&amp;", "&amp;CHAR(34)&amp;"links"&amp;CHAR(34)&amp;": "&amp;HL15&amp;"},"</f>
        <v>{"couname":"[AUS] Snake Hill","subtype":"[AUS] Other","year":"2003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 "links": "https://en.wikipedia.org/wiki/Principality_of_Snake_Hill"},</v>
      </c>
      <c r="HN15" s="74" t="str">
        <f>"{"&amp;CHAR(34)&amp;"couname"&amp;CHAR(34)&amp;":"&amp;CT15&amp;(IF(H15&lt;&gt;"",","&amp;CHAR(34)&amp;"subtype"&amp;CHAR(34)&amp;":"&amp;CHAR(34)&amp;H15&amp;CHAR(34),""))&amp;","&amp;CHAR(34)&amp;"year"&amp;CHAR(34)&amp;":"&amp;HJ15&amp;","&amp;CHAR(34)&amp;"region"&amp;CHAR(34)&amp;":"&amp;CU15&amp;","&amp;CHAR(34)&amp;"Colors"&amp;CHAR(34)&amp;":"&amp;HC15&amp;","&amp;CHAR(34)&amp;"Items"&amp;CHAR(34)&amp;":"&amp;GS15&amp;","&amp;CHAR(34)&amp;"Flag"&amp;CHAR(34)&amp;":"&amp;CV15&amp;","&amp;CHAR(34)&amp;"HDFlag"&amp;CHAR(34)&amp;":"&amp;CHAR(34)&amp;E15&amp;CHAR(34)&amp;","&amp;CHAR(34)&amp;"type"&amp;CHAR(34)&amp;":"&amp;GP15&amp;", "&amp;CHAR(34)&amp;"describe"&amp;CHAR(34)&amp;": "&amp;HI15&amp;", "&amp;CHAR(34)&amp;"isnew"&amp;CHAR(34)&amp;": "&amp;CHAR(34)&amp;F15&amp;CHAR(34)&amp;", "&amp;CHAR(34)&amp;"links"&amp;CHAR(34)&amp;": "&amp;HL15&amp;"},"</f>
        <v>{"couname":"[AUS] Snake Hill","subtype":"[AUS] Other","year":"2003 ","region":"rgn_Oceania","Colors":["cl_YEL","cl_WHI","cl_GRE"],"Items":["3Color","words2","lets09","startS","REELHI","year00","4+Band","Crosse","Horizo","Vertic","Nordic","OnlyBa","NO_BLU","NO_RED","NO_BLA","BLRENO","001YEL","002WHI","003GRE","myrEQ","NoStar"],"Flag":"https://upload.wikimedia.org/wikipedia/commons/thumb/f/f0/Flag_of_the_Principality_of_Snake_Hill.svg/640px-Flag_of_the_Principality_of_Snake_Hill.svg.png","HDFlag":"https://upload.wikimedia.org/wikipedia/commons/thumb/f/f0/Flag_of_the_Principality_of_Snake_Hill.svg/2560px-Flag_of_the_Principality_of_Snake_Hill.svg.png","type":"Micronation", "describe": "\nA family of Australian residents could no longer afford to pay taxes, and after litigation over a mortgage and being inspired by the Principality of Hutt River, they did legal research and came to the conclusion that forming a country would be completely legal under Australian law, and they thus declared independence on 2 September 2003.", "isnew": ".", "links": "https://en.wikipedia.org/wiki/Principality_of_Snake_Hill"},</v>
      </c>
      <c r="HO15" s="75">
        <v>45644</v>
      </c>
      <c r="HP15" s="48" t="str" cm="1">
        <f t="array" ref="HP15">IF(_xlfn.TEXTJOIN(", ", TRUE, IF(ISNUMBER(SEARCH("BLA", BL15:BT15)), COLUMN(BL15:BT15) - COLUMN(BL15) + 1, ""))&lt;&gt;"","BLA","")</f>
        <v/>
      </c>
      <c r="HQ15" s="48" t="str" cm="1">
        <f t="array" ref="HQ15">IF(_xlfn.TEXTJOIN(", ", TRUE, IF(ISNUMBER(SEARCH("BLU", BL15:BT15)), COLUMN(BL15:BT15) - COLUMN(BL15) + 1, ""))&lt;&gt;"","BLU","")</f>
        <v/>
      </c>
      <c r="HR15" s="48" t="str" cm="1">
        <f t="array" ref="HR15">IF(_xlfn.TEXTJOIN(", ", TRUE, IF(ISNUMBER(SEARCH("GRE", BL15:BT15)), COLUMN(BL15:BT15) - COLUMN(BL15) + 1, ""))&lt;&gt;"","GRE","")</f>
        <v>GRE</v>
      </c>
      <c r="HS15" s="48" t="str" cm="1">
        <f t="array" ref="HS15">IF(_xlfn.TEXTJOIN(", ", TRUE, IF(ISNUMBER(SEARCH("RED", BL15:BT15)), COLUMN(BL15:BT15) - COLUMN(BL15) + 1, ""))&lt;&gt;"","RED","")</f>
        <v/>
      </c>
      <c r="HT15" s="48" t="str" cm="1">
        <f t="array" ref="HT15">IF(_xlfn.TEXTJOIN(", ", TRUE, IF(ISNUMBER(SEARCH("YEL", BL15:BT15)), COLUMN(BL15:BT15) - COLUMN(BL15) + 1, ""))&lt;&gt;"","YEL","")</f>
        <v>YEL</v>
      </c>
      <c r="HU15" s="48" t="str" cm="1">
        <f t="array" ref="HU15">IF(_xlfn.TEXTJOIN(", ", TRUE, IF(ISNUMBER(SEARCH("ORA", BL15:BT15)), COLUMN(BL15:BT15) - COLUMN(BL15) + 1, ""))&lt;&gt;"","ORA","")</f>
        <v/>
      </c>
      <c r="HV15" s="48" t="str" cm="1">
        <f t="array" ref="HV15">IF(_xlfn.TEXTJOIN(", ", TRUE, IF(ISNUMBER(SEARCH("BRO", BL15:BT15)), COLUMN(BL15:BT15) - COLUMN(BL15) + 1, ""))&lt;&gt;"","BRO","")</f>
        <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M15" s="45">
        <f>COUNTIF(IC15:IK15,"&gt;0")-CG15</f>
        <v>-3</v>
      </c>
      <c r="IN15" s="78" t="str">
        <f>"http://mkweb.bcgsc.ca/color-summarizer/?url="&amp;D15&amp;"&amp;precision=low&amp;num_clusters="&amp;CG15&amp;"&amp;text=1"</f>
        <v>http://mkweb.bcgsc.ca/color-summarizer/?url=https://upload.wikimedia.org/wikipedia/commons/thumb/f/f0/Flag_of_the_Principality_of_Snake_Hill.svg/640px-Flag_of_the_Principality_of_Snake_Hill.svg.png&amp;precision=low&amp;num_clusters=3&amp;text=1</v>
      </c>
      <c r="IO15" s="48" t="str">
        <f>IF(HP15&lt;&gt;"",CHAR(34)&amp;"black"&amp;CHAR(34),"")</f>
        <v/>
      </c>
      <c r="IP15" s="48" t="str">
        <f>IF(HQ15&lt;&gt;"",CHAR(34)&amp;"blue"&amp;CHAR(34),"")</f>
        <v/>
      </c>
      <c r="IQ15" s="48" t="str">
        <f>IF(HR15&lt;&gt;"",CHAR(34)&amp;"green"&amp;CHAR(34),"")</f>
        <v>"green"</v>
      </c>
      <c r="IR15" s="48" t="str">
        <f>IF(HS15&lt;&gt;"",CHAR(34)&amp;"red"&amp;CHAR(34),"")</f>
        <v/>
      </c>
      <c r="IS15" s="48" t="str">
        <f>IF(HT15&lt;&gt;"",CHAR(34)&amp;"yellow"&amp;CHAR(34),"")</f>
        <v>"yellow"</v>
      </c>
      <c r="IT15" s="48" t="str">
        <f>IF(HU15&lt;&gt;"",CHAR(34)&amp;"orange"&amp;CHAR(34),"")</f>
        <v/>
      </c>
      <c r="IU15" s="48" t="str">
        <f>IF(HV15&lt;&gt;"",CHAR(34)&amp;"brown"&amp;CHAR(34),"")</f>
        <v/>
      </c>
      <c r="IV15" s="48" t="str">
        <f>IF(HW15&lt;&gt;"",CHAR(34)&amp;"purple"&amp;CHAR(34),"")</f>
        <v/>
      </c>
      <c r="IW15" s="48" t="str">
        <f>IF(HX15&lt;&gt;"",CHAR(34)&amp;"white"&amp;CHAR(34),"")</f>
        <v>"white"</v>
      </c>
      <c r="IX15" s="48" t="str">
        <f>"{"&amp;CHAR(34)&amp;"url"&amp;CHAR(34)&amp;":"&amp;CHAR(34)&amp;IN15&amp;CHAR(34)&amp;","&amp;CHAR(34)&amp;"name"&amp;CHAR(34)&amp;":"&amp;CHAR(34)&amp;A15&amp;CHAR(34)&amp;"},"</f>
        <v>{"url":"http://mkweb.bcgsc.ca/color-summarizer/?url=https://upload.wikimedia.org/wikipedia/commons/thumb/f/f0/Flag_of_the_Principality_of_Snake_Hill.svg/640px-Flag_of_the_Principality_of_Snake_Hill.svg.png&amp;precision=low&amp;num_clusters=3&amp;text=1","name":"[AUS] Snake Hill"},</v>
      </c>
      <c r="IY15" s="48">
        <v>1503</v>
      </c>
    </row>
    <row r="16" spans="1:259" s="48" customFormat="1" ht="38.4" customHeight="1" thickBot="1" x14ac:dyDescent="0.35">
      <c r="A16" s="81" t="s">
        <v>685</v>
      </c>
      <c r="B16" s="40" t="e" vm="17">
        <v>#VALUE!</v>
      </c>
      <c r="C16" s="41">
        <v>3</v>
      </c>
      <c r="D16" s="42" t="s">
        <v>686</v>
      </c>
      <c r="E16" s="43" t="s">
        <v>687</v>
      </c>
      <c r="F16" s="44" t="s">
        <v>166</v>
      </c>
      <c r="G16" s="45">
        <f>COUNTIF($A$1:$A$8359,A16)</f>
        <v>1</v>
      </c>
      <c r="H16" s="46" t="s">
        <v>667</v>
      </c>
      <c r="I16" s="47" t="s">
        <v>688</v>
      </c>
      <c r="J16" s="48" t="str">
        <f>""</f>
        <v/>
      </c>
      <c r="K16" s="49"/>
      <c r="L16" s="50"/>
      <c r="M16" s="50"/>
      <c r="N16" s="51" t="s">
        <v>169</v>
      </c>
      <c r="O16" s="52">
        <v>1998</v>
      </c>
      <c r="P16" s="53" t="s">
        <v>689</v>
      </c>
      <c r="Q16" s="54">
        <v>3</v>
      </c>
      <c r="R16" s="55" t="s">
        <v>169</v>
      </c>
      <c r="S16" s="56">
        <v>4</v>
      </c>
      <c r="T16" s="57" t="s">
        <v>173</v>
      </c>
      <c r="U16" s="58" t="s">
        <v>172</v>
      </c>
      <c r="V16" s="58" t="s">
        <v>172</v>
      </c>
      <c r="W16" s="58" t="s">
        <v>172</v>
      </c>
      <c r="X16" s="58" t="s">
        <v>173</v>
      </c>
      <c r="Y16" s="58" t="s">
        <v>173</v>
      </c>
      <c r="Z16" s="58" t="s">
        <v>173</v>
      </c>
      <c r="AA16" s="58" t="s">
        <v>173</v>
      </c>
      <c r="AB16" s="58" t="s">
        <v>173</v>
      </c>
      <c r="AC16" s="58" t="s">
        <v>173</v>
      </c>
      <c r="AD16" s="58" t="s">
        <v>173</v>
      </c>
      <c r="AE16" s="58" t="s">
        <v>173</v>
      </c>
      <c r="AF16" s="59" t="s">
        <v>173</v>
      </c>
      <c r="AG16" s="59" t="s">
        <v>173</v>
      </c>
      <c r="AH16" s="59" t="s">
        <v>173</v>
      </c>
      <c r="AI16" s="59" t="s">
        <v>172</v>
      </c>
      <c r="AJ16" s="59" t="s">
        <v>173</v>
      </c>
      <c r="AK16" s="59" t="s">
        <v>173</v>
      </c>
      <c r="AL16" s="59" t="s">
        <v>173</v>
      </c>
      <c r="AM16" s="59" t="s">
        <v>173</v>
      </c>
      <c r="AN16" s="59" t="s">
        <v>173</v>
      </c>
      <c r="AO16" s="59" t="s">
        <v>173</v>
      </c>
      <c r="AP16" s="59" t="s">
        <v>173</v>
      </c>
      <c r="AQ16" s="59" t="s">
        <v>173</v>
      </c>
      <c r="AR16" s="59" t="s">
        <v>173</v>
      </c>
      <c r="AS16" s="59" t="s">
        <v>173</v>
      </c>
      <c r="AT16" s="60">
        <v>5</v>
      </c>
      <c r="AU16" s="59" t="s">
        <v>670</v>
      </c>
      <c r="AV16" s="59" t="str">
        <f>IF(LEFT(A16,1)="[",LEFT(A16,5)&amp;AU16&amp;A16,"")</f>
        <v>[AUS]People[AUS] South Sea Islanders</v>
      </c>
      <c r="AW16" s="59" t="str">
        <f>C16&amp;H16&amp;A16</f>
        <v>3[AUS] Other[AUS] South Sea Islanders</v>
      </c>
      <c r="AX16" s="61" t="str">
        <f>_xlfn.TEXTJOIN(";",TRUE,AU16:AW16)</f>
        <v>People;[AUS]People[AUS] South Sea Islanders;3[AUS] Other[AUS] South Sea Islanders</v>
      </c>
      <c r="AY16" s="61"/>
      <c r="AZ16" s="62"/>
      <c r="BA16" s="62"/>
      <c r="BB16" s="62"/>
      <c r="BC16" s="63"/>
      <c r="BD16" s="64" t="s">
        <v>154</v>
      </c>
      <c r="BE16" s="47"/>
      <c r="BF16" s="64" t="s">
        <v>154</v>
      </c>
      <c r="BG16" s="64" t="s">
        <v>159</v>
      </c>
      <c r="BH16" s="64" t="s">
        <v>154</v>
      </c>
      <c r="BI16" s="64"/>
      <c r="BJ16" s="64"/>
      <c r="BK16" s="47"/>
      <c r="BL16" s="64" t="s">
        <v>154</v>
      </c>
      <c r="BM16" s="64" t="s">
        <v>159</v>
      </c>
      <c r="BN16" s="64"/>
      <c r="BO16" s="64"/>
      <c r="BP16" s="64"/>
      <c r="BQ16" s="64"/>
      <c r="BR16" s="64"/>
      <c r="BS16" s="64"/>
      <c r="BT16" s="64"/>
      <c r="BU16" s="65"/>
      <c r="BV16" s="66" t="s">
        <v>183</v>
      </c>
      <c r="BW16" s="66" t="s">
        <v>174</v>
      </c>
      <c r="BX16" s="47"/>
      <c r="CB16" s="6" t="s">
        <v>138</v>
      </c>
      <c r="CC16" s="6"/>
      <c r="CD16" s="67">
        <v>0</v>
      </c>
      <c r="CE16" s="67">
        <v>0</v>
      </c>
      <c r="CF16" s="67" t="e">
        <v>#REF!</v>
      </c>
      <c r="CG16" s="68" cm="1">
        <f t="array" ref="CG16">SUMPRODUCT(--(LEN(TRIM(BL16:BT16))&gt;0))</f>
        <v>2</v>
      </c>
      <c r="CH16" s="59" t="str">
        <f>IF(CG16=2,"y","n")</f>
        <v>y</v>
      </c>
      <c r="CI16" s="59" t="str">
        <f>IF(CG16=3,"y","n")</f>
        <v>n</v>
      </c>
      <c r="CJ16" s="59" t="str">
        <f>IF(CG16=4,"y","n")</f>
        <v>n</v>
      </c>
      <c r="CK16" s="59" t="str">
        <f>IF(CG16&gt;4,"y","n")</f>
        <v>n</v>
      </c>
      <c r="CL16" s="59" t="str">
        <f>IF(S16=0,"y","n")</f>
        <v>n</v>
      </c>
      <c r="CM16" s="59" t="str">
        <f>IF(S16=2,"y","n")</f>
        <v>n</v>
      </c>
      <c r="CN16" s="59" t="str">
        <f>IF(S16=3,"y","n")</f>
        <v>n</v>
      </c>
      <c r="CO16" s="59" t="str">
        <f>IF(S16&gt;=4,"y","n")</f>
        <v>y</v>
      </c>
      <c r="CP16" s="59" t="str">
        <f>IF(AT16=0,"y","n")</f>
        <v>n</v>
      </c>
      <c r="CQ16" s="59" t="str">
        <f>IF(AT16=1,"y","n")</f>
        <v>n</v>
      </c>
      <c r="CR16" s="59" t="str">
        <f>IF(AT16=2,"y","n")</f>
        <v>n</v>
      </c>
      <c r="CS16" s="59" t="str">
        <f>IF(AT16&gt;=3,"y","n")</f>
        <v>y</v>
      </c>
      <c r="CT16" s="69" t="str">
        <f>CHAR(34)&amp;A16&amp;CHAR(34)</f>
        <v>"[AUS] South Sea Islanders"</v>
      </c>
      <c r="CU16" s="70" t="str">
        <f>CHAR(34)&amp;"rgn_"&amp;R16&amp;CHAR(34)</f>
        <v>"rgn_Oceania"</v>
      </c>
      <c r="CV16" s="48" t="str">
        <f>CHAR(34)&amp;D16&amp;CHAR(34)</f>
        <v>"https://upload.wikimedia.org/wikipedia/commons/thumb/2/2a/Australian_South_Sea_Islanders_flag.svg/640px-Australian_South_Sea_Islanders_flag.svg.png"</v>
      </c>
      <c r="CW16" s="48" t="str">
        <f t="shared" si="103"/>
        <v>"2Color",</v>
      </c>
      <c r="CX16" s="48" t="str">
        <f t="shared" si="103"/>
        <v/>
      </c>
      <c r="CY16" s="48" t="str">
        <f t="shared" si="103"/>
        <v/>
      </c>
      <c r="CZ16" s="48" t="str">
        <f t="shared" si="103"/>
        <v/>
      </c>
      <c r="DA16" s="48" t="str">
        <f>IF(Q16&gt;1,CHAR(34)&amp;"words2"&amp;CHAR(34)&amp;",","")</f>
        <v>"words2",</v>
      </c>
      <c r="DB16" s="48" t="str">
        <f>IF(Q16&gt;2,CHAR(34)&amp;"words3"&amp;CHAR(34)&amp;",","")</f>
        <v>"words3",</v>
      </c>
      <c r="DC16" s="48" t="str">
        <f>IF(Q16=2,CHAR(34)&amp;"exact2"&amp;CHAR(34)&amp;",","")</f>
        <v/>
      </c>
      <c r="DD16" s="48" t="str">
        <f>IF(LEN(CHAR(34)&amp;"lets"&amp;LEN(SUBSTITUTE(SUBSTITUTE(IFERROR(TRIM(SUBSTITUTE(SUBSTITUTE(SUBSTITUTE(IFERROR(TRIM(SUBSTITUTE(A16,MID(A16,FIND("(",A16),FIND(")",A16)-FIND("(",A16)+1),"")),A16),"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",""),"-",""))&amp;CHAR(34)&amp;",")=9,CHAR(34)&amp;"lets"&amp;LEN(SUBSTITUTE(SUBSTITUTE(IFERROR(TRIM(SUBSTITUTE(SUBSTITUTE(SUBSTITUTE(IFERROR(TRIM(SUBSTITUTE(A16,MID(A16,FIND("(",A16),FIND(")",A16)-FIND("(",A16)+1),"")),A16),"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",""),"-",""))&amp;CHAR(34)&amp;",",CHAR(34)&amp;"lets0"&amp;LEN(SUBSTITUTE(SUBSTITUTE(IFERROR(TRIM(SUBSTITUTE(SUBSTITUTE(SUBSTITUTE(IFERROR(TRIM(SUBSTITUTE(A16,MID(A16,FIND("(",A16),FIND(")",A16)-FIND("(",A16)+1),"")),A16)," ",""),"-",""),MID(SUBSTITUTE(SUBSTITUTE(IFERROR(TRIM(SUBSTITUTE(A16,MID(A16,FIND("(",A16),FIND(")",A16)-FIND("(",A16)+1),"")),A16)," ",""),"-",""),FIND("[",SUBSTITUTE(SUBSTITUTE(IFERROR(TRIM(SUBSTITUTE(A16,MID(A16,FIND("(",A16),FIND(")",A16)-FIND("(",A16)+1),"")),A16)," ",""),"-","")),FIND("]",SUBSTITUTE(SUBSTITUTE(IFERROR(TRIM(SUBSTITUTE(A16,MID(A16,FIND("(",A16),FIND(")",A16)-FIND("(",A16)+1),"")),A16)," ",""),"-",""))-FIND("[",SUBSTITUTE(SUBSTITUTE(IFERROR(TRIM(SUBSTITUTE(A16,MID(A16,FIND("(",A16),FIND(")",A16)-FIND("(",A16)+1),"")),A16)," ",""),"-",""))+1),"")),SUBSTITUTE(SUBSTITUTE(IFERROR(TRIM(SUBSTITUTE(A16,MID(A16,FIND("(",A16),FIND(")",A16)-FIND("(",A16)+1),"")),A16)," ",""),"-",""))," ",""),"-",""))&amp;CHAR(34)&amp;",")</f>
        <v>"lets17",</v>
      </c>
      <c r="DE16" s="48" t="str">
        <f>IFERROR(CHAR(34)&amp;"start"&amp;LEFT(TRIM(SUBSTITUTE(SUBSTITUTE(TRIM(SUBSTITUTE(SUBSTITUTE(A16, MID(A16, FIND("[", A16), FIND("]", A16) - FIND("[", A16) + 1), ""), "  ", " ")), MID(TRIM(SUBSTITUTE(SUBSTITUTE(A16, MID(A16, FIND("[", A16), FIND("]", A16) - FIND("[", A16) + 1), ""), "  ", " ")), FIND("[", TRIM(SUBSTITUTE(SUBSTITUTE(A16, MID(A16, FIND("[", A16), FIND("]", A16) - FIND("[", A16) + 1), ""), "  ", " "))), FIND("]", TRIM(SUBSTITUTE(SUBSTITUTE(A16, MID(A16, FIND("[", A16), FIND("]", A16) - FIND("[", A16) + 1), ""), "  ", " "))) - FIND("[", TRIM(SUBSTITUTE(SUBSTITUTE(A16, MID(A16, FIND("[", A16), FIND("]", A16) - FIND("[", A16) + 1), ""), "  ", " "))) + 1), ""), "  ", " ")),1)&amp;CHAR(34)&amp;",",CHAR(34)&amp;"start"&amp;IFERROR(LEFT(SUBSTITUTE(A16,"["&amp;MID(A16,FIND("[",A16)+1,FIND("]",A16)-FIND("[",A16)-1)&amp;"] ",""),1),LEFT(A16,1))&amp;CHAR(34)&amp;",")</f>
        <v>"startS",</v>
      </c>
      <c r="DF16" s="48" t="str">
        <f>IFERROR(IF(SEARCH("tan",A16)&gt;0,CHAR(34)&amp;"withtn"&amp;CHAR(34)&amp;",",""),"")</f>
        <v/>
      </c>
      <c r="DG16" s="48" t="str">
        <f>IFERROR(IF(SEARCH("q",A16)&gt;0,CHAR(34)&amp;"with_q"&amp;CHAR(34)&amp;",",""),"")</f>
        <v/>
      </c>
      <c r="DH16" s="48" t="str">
        <f>IFERROR(IF(SEARCH("v",A16)&gt;0,CHAR(34)&amp;"with_v"&amp;CHAR(34)&amp;",",""),"")</f>
        <v/>
      </c>
      <c r="DI16" s="48" t="str">
        <f>IFERROR(IF(SEARCH("w",A16)&gt;0,CHAR(34)&amp;"with_w"&amp;CHAR(34)&amp;",",""),"")</f>
        <v/>
      </c>
      <c r="DJ16" s="48" t="str">
        <f>IFERROR(IF(SEARCH("y",A16)&gt;0,CHAR(34)&amp;"with_y"&amp;CHAR(34)&amp;",",""),"")</f>
        <v/>
      </c>
      <c r="DK16" s="48" t="str">
        <f>IFERROR(IF(SEARCH("z",A16)&gt;0,CHAR(34)&amp;"with_z"&amp;CHAR(34)&amp;",",""),"")</f>
        <v/>
      </c>
      <c r="DL16" s="48" t="str">
        <f>IF(CG16=2, CHAR(34) &amp; _xlfn.TEXTJOIN("", TRUE, _xlfn._xlws.SORT(HP16:HX16)) &amp; CHAR(34) &amp; ",", "")</f>
        <v>"REDWHI",</v>
      </c>
      <c r="DM16" s="48" t="str" cm="1">
        <f t="array" ref="DM16">IF(CG16=3,CHAR(34) &amp; _xlfn.TEXTJOIN("", TRUE, RIGHT(HP16:HX16, 2)) &amp; CHAR(34) &amp; ",", "")</f>
        <v/>
      </c>
      <c r="DN16" s="48" t="str">
        <f>IF(AND(ISNUMBER(SEARCH("18", O16)), ISERROR(SEARCH("1918", O16)), ISERROR(SEARCH("2018", O16))), CHAR(34) &amp; "year18" &amp; CHAR(34) &amp; ",", "")</f>
        <v/>
      </c>
      <c r="DO16" s="48" t="str">
        <f>IF(AND(ISNUMBER(SEARCH("19", O16)), ISERROR(SEARCH("1819", O16)),  ISERROR(SEARCH("1219", O16)),ISERROR(SEARCH("1119", O16)),ISERROR(SEARCH("1190", O16)),ISERROR(SEARCH("2019", O16))), CHAR(34) &amp; "year19" &amp; CHAR(34) &amp; ",", "")</f>
        <v>"year19",</v>
      </c>
      <c r="DP16" s="6" t="str">
        <f>IF(AND(ISNUMBER(SEARCH("20", O16)), ISERROR(SEARCH("1920", O16))), CHAR(34)&amp;"year00"&amp;CHAR(34)&amp;",", "")</f>
        <v/>
      </c>
      <c r="DQ16" s="6" t="str">
        <f>IF(CC16="y",CHAR(34)&amp;"soviet"&amp;CHAR(34)&amp;",","")</f>
        <v/>
      </c>
      <c r="DR16" s="6" t="str">
        <f>IF(BY16="y",CHAR(34)&amp;"dgband"&amp;CHAR(34)&amp;",","")</f>
        <v/>
      </c>
      <c r="DS16" s="6" t="str">
        <f>IF(W16="y",IF(AND(V16="n",BY16&lt;&gt;"y"),CHAR(34)&amp;"allver"&amp;CHAR(34)&amp;",",""),"")</f>
        <v/>
      </c>
      <c r="DT16" s="6" t="str">
        <f>IF(V16="y",IF(AND(W16="n",BY16&lt;&gt;"y"),CHAR(34)&amp;"allhor"&amp;CHAR(34)&amp;",",""),"")</f>
        <v/>
      </c>
      <c r="DU16" s="6" t="str">
        <f>IF(BY16="y",IF(AND(W16="n",V16="n"),CHAR(34)&amp;"alldia"&amp;CHAR(34)&amp;",",""),"")</f>
        <v/>
      </c>
      <c r="DV16" s="48" t="str">
        <f>IF(IA16&lt;&gt;"",(IF(IA16="y",CHAR(34)&amp;"largec"&amp;CHAR(34)&amp;",",CHAR(34)&amp;"smallc"&amp;CHAR(34)&amp;",")),"")</f>
        <v/>
      </c>
      <c r="DW16" s="48" t="str">
        <f t="shared" si="104"/>
        <v/>
      </c>
      <c r="DX16" s="48" t="str">
        <f t="shared" si="104"/>
        <v/>
      </c>
      <c r="DY16" s="48" t="str">
        <f t="shared" si="104"/>
        <v/>
      </c>
      <c r="DZ16" s="48" t="str">
        <f t="shared" si="104"/>
        <v>"4+Band",</v>
      </c>
      <c r="EA16" s="48" t="str">
        <f t="shared" si="105"/>
        <v/>
      </c>
      <c r="EB16" s="48" t="str">
        <f t="shared" si="105"/>
        <v>"Crosse",</v>
      </c>
      <c r="EC16" s="48" t="str">
        <f t="shared" si="105"/>
        <v>"Horizo",</v>
      </c>
      <c r="ED16" s="48" t="str">
        <f t="shared" si="105"/>
        <v>"Vertic",</v>
      </c>
      <c r="EE16" s="48" t="str">
        <f t="shared" si="105"/>
        <v/>
      </c>
      <c r="EF16" s="48" t="str">
        <f>IF(AND(Y16&lt;&gt;"n",Y16&lt;&gt;""),CHAR(34)&amp;Y$1&amp;CHAR(34)&amp;",","")</f>
        <v/>
      </c>
      <c r="EG16" s="48" t="str">
        <f t="shared" si="108"/>
        <v/>
      </c>
      <c r="EH16" s="48" t="str">
        <f t="shared" si="108"/>
        <v/>
      </c>
      <c r="EI16" s="48" t="str">
        <f t="shared" si="108"/>
        <v/>
      </c>
      <c r="EJ16" s="48" t="str">
        <f t="shared" si="108"/>
        <v/>
      </c>
      <c r="EK16" s="48" t="str">
        <f t="shared" si="108"/>
        <v/>
      </c>
      <c r="EL16" s="48" t="str">
        <f t="shared" si="108"/>
        <v/>
      </c>
      <c r="EM16" s="48" t="str">
        <f t="shared" si="108"/>
        <v/>
      </c>
      <c r="EN16" s="48" t="str">
        <f t="shared" si="108"/>
        <v/>
      </c>
      <c r="EO16" s="48" t="str">
        <f t="shared" si="108"/>
        <v/>
      </c>
      <c r="EP16" s="48" t="str">
        <f t="shared" si="108"/>
        <v>"Canton",</v>
      </c>
      <c r="EQ16" s="48" t="str">
        <f t="shared" si="108"/>
        <v/>
      </c>
      <c r="ER16" s="48" t="str">
        <f t="shared" si="108"/>
        <v/>
      </c>
      <c r="ES16" s="48" t="str">
        <f t="shared" si="108"/>
        <v/>
      </c>
      <c r="ET16" s="48" t="str">
        <f t="shared" si="108"/>
        <v/>
      </c>
      <c r="EU16" s="48" t="str">
        <f t="shared" si="108"/>
        <v/>
      </c>
      <c r="EV16" s="48" t="str">
        <f t="shared" si="108"/>
        <v/>
      </c>
      <c r="EW16" s="48" t="str">
        <f t="shared" si="107"/>
        <v/>
      </c>
      <c r="EX16" s="48" t="str">
        <f t="shared" si="107"/>
        <v/>
      </c>
      <c r="EY16" s="48" t="str">
        <f t="shared" si="107"/>
        <v/>
      </c>
      <c r="EZ16" s="48" t="str">
        <f t="shared" si="107"/>
        <v/>
      </c>
      <c r="FA16" s="48" t="str">
        <f>IF(AT16&gt;0,CHAR(34)&amp;"sta"&amp;AZ16&amp;CHAR(34)&amp;",","")</f>
        <v>"sta",</v>
      </c>
      <c r="FB16" s="48" t="str">
        <f>IF(AND(AT16&gt;0,BA16&lt;&gt;""),CHAR(34)&amp;"sta"&amp;BA16&amp;CHAR(34)&amp;",","")</f>
        <v/>
      </c>
      <c r="FC16" s="48" t="str">
        <f>IF(AND(AT16&gt;0,BB16&lt;&gt;""),CHAR(34)&amp;"sta"&amp;BB16&amp;CHAR(34)&amp;",","")</f>
        <v/>
      </c>
      <c r="FD16" s="48" t="str">
        <f>IF(BV16="n",CHAR(34)&amp;"tcWHYE"&amp;CHAR(34)&amp;",",IF(BV16="y",CHAR(34)&amp;FD$1&amp;CHAR(34)&amp;",",""))</f>
        <v/>
      </c>
      <c r="FE16" s="48" t="str">
        <f>IF(COUNTIF(BL16:BT16,"BLU")=0,CHAR(34)&amp;"NO_BLU"&amp;CHAR(34)&amp;",", "")</f>
        <v>"NO_BLU",</v>
      </c>
      <c r="FF16" s="48" t="str">
        <f>IF(COUNTIF(BL16:BT16,"WHI")=0,CHAR(34)&amp;"NO_WHI"&amp;CHAR(34)&amp;",", "")</f>
        <v/>
      </c>
      <c r="FG16" s="48" t="str">
        <f>IF(COUNTIF(BL16:BT16,"RED")=0,CHAR(34)&amp;"NO_RED"&amp;CHAR(34)&amp;",", "")</f>
        <v/>
      </c>
      <c r="FH16" s="48" t="str">
        <f>IF(COUNTIF(BL16:BS16,"GRE")=0,CHAR(34)&amp;"NO_GRE"&amp;CHAR(34)&amp;",", "")</f>
        <v>"NO_GRE",</v>
      </c>
      <c r="FI16" s="48" t="str">
        <f>IF(COUNTIF(BL16:BT16,"YEL")=0,CHAR(34)&amp;"NO_YEL"&amp;CHAR(34)&amp;",", "")</f>
        <v>"NO_YEL",</v>
      </c>
      <c r="FJ16" s="48" t="str">
        <f>IF(COUNTIF(BL16:BT16,"BLA")=0,CHAR(34)&amp;"NO_BLA"&amp;CHAR(34)&amp;",", "")</f>
        <v>"NO_BLA",</v>
      </c>
      <c r="FK16" s="48" t="str">
        <f>IF(AND(FH16&lt;&gt;"",FF16&lt;&gt;""),CHAR(34)&amp;"WHGRNO"&amp;CHAR(34)&amp;",","")</f>
        <v/>
      </c>
      <c r="FL16" s="48" t="str">
        <f>IF(AND(FI16&lt;&gt;"",FF16&lt;&gt;""),CHAR(34)&amp;"WHYENO"&amp;CHAR(34)&amp;",","")</f>
        <v/>
      </c>
      <c r="FM16" s="48" t="str">
        <f>IF(AND(FJ16&lt;&gt;"",FF16&lt;&gt;""),CHAR(34)&amp;"BAWHNO"&amp;CHAR(34)&amp;",","")</f>
        <v/>
      </c>
      <c r="FN16" s="48" t="str">
        <f>IF(AND(FE16&lt;&gt;"",FF16&lt;&gt;""),CHAR(34)&amp;"BLWHNO"&amp;CHAR(34)&amp;",","")</f>
        <v/>
      </c>
      <c r="FO16" s="48" t="str">
        <f>IF(AND(FE16&lt;&gt;"",FG16&lt;&gt;""),CHAR(34)&amp;"BLRENO"&amp;CHAR(34)&amp;",","")</f>
        <v/>
      </c>
      <c r="FP16" s="48" t="str">
        <f>IF(AND(FF16&lt;&gt;"",FF16&lt;&gt;""),CHAR(34)&amp;"WHRENO"&amp;CHAR(34)&amp;",","")</f>
        <v/>
      </c>
      <c r="FQ16" s="48" t="str">
        <f>IF(LEN(BF16)=3,CHAR(34)&amp;"001"&amp;BF16&amp;CHAR(34)&amp;",","")</f>
        <v>"001RED",</v>
      </c>
      <c r="FR16" s="48" t="str">
        <f>IF(LEN(BG16)=3,CHAR(34)&amp;"002"&amp;BG16&amp;CHAR(34)&amp;",","")</f>
        <v>"002WHI",</v>
      </c>
      <c r="FS16" s="48" t="str">
        <f>IF(LEN(BH16)=3,CHAR(34)&amp;"003"&amp;BH16&amp;CHAR(34)&amp;",","")</f>
        <v>"003RED",</v>
      </c>
      <c r="FT16" s="48" t="str">
        <f>CHAR(34)&amp;"myr"&amp;BD16&amp;CHAR(34)&amp;","</f>
        <v>"myrRED",</v>
      </c>
      <c r="FU16" s="48" t="str">
        <f>IF(AY16="y",CHAR(34)&amp;"island"&amp;CHAR(34)&amp;",","")</f>
        <v/>
      </c>
      <c r="FV16" s="48" t="str">
        <f>IF(BZ16="y",CHAR(34)&amp;"landlo"&amp;CHAR(34)&amp;",","")</f>
        <v/>
      </c>
      <c r="FW16" s="48" t="str">
        <f>IF(CA16="y",CHAR(34)&amp;"eunion"&amp;CHAR(34)&amp;",","")</f>
        <v/>
      </c>
      <c r="FX16" s="48" t="str">
        <f>SUBSTITUTE(IFERROR(SEARCH("[",A16),IFERROR(IF(AND(CA16&lt;&gt;"y",SEARCH("Europe",R16)&gt;0),CHAR(34)&amp;"noeuni"&amp;CHAR(34)&amp;",",""),"")),"1","")</f>
        <v/>
      </c>
      <c r="FY16" s="48" t="str">
        <f>IFERROR(IF(SEARCH("Arabic",CB16)&gt;0,CHAR(34)&amp;"arabic"&amp;CHAR(34)&amp;",",""),"")</f>
        <v/>
      </c>
      <c r="FZ16" s="48" t="str">
        <f>IFERROR(IF(SEARCH("English",CB16)&gt;0,CHAR(34)&amp;"englis"&amp;CHAR(34)&amp;",",""),"")</f>
        <v/>
      </c>
      <c r="GA16" s="48" t="str">
        <f>IFERROR(IF(SEARCH("French",CB16)&gt;0,CHAR(34)&amp;"french"&amp;CHAR(34)&amp;",",""),"")</f>
        <v/>
      </c>
      <c r="GB16" s="48" t="str">
        <f>IFERROR(IF(SEARCH("Spanish",CB16)&gt;0,CHAR(34)&amp;"spanis"&amp;CHAR(34)&amp;",",""),"")</f>
        <v>"spanis",</v>
      </c>
      <c r="GC16" s="48" t="str">
        <f>IFERROR(IF(SEARCH("Portuguese",CB16)&gt;0,CHAR(34)&amp;"portug"&amp;CHAR(34)&amp;",",""),"")</f>
        <v/>
      </c>
      <c r="GD16" s="48" t="str">
        <f>IFERROR(IF(SEARCH("German",CB16)&gt;0,CHAR(34)&amp;"german"&amp;CHAR(34)&amp;",",""),"")</f>
        <v/>
      </c>
      <c r="GE16" s="48" t="str">
        <f>IFERROR(IF(SEARCH("Dutch",CB16)&gt;0,CHAR(34)&amp;"dutchs"&amp;CHAR(34)&amp;",",""),"")</f>
        <v/>
      </c>
      <c r="GF16" s="48" t="str">
        <f>IFERROR(IF(SEARCH("Histor",AU16)&gt;0,CHAR(34)&amp;"histor"&amp;CHAR(34)&amp;",",""),"")</f>
        <v/>
      </c>
      <c r="GG16" s="48" t="str">
        <f>IF(BU16="y",CHAR(34)&amp;"unjack"&amp;CHAR(34)&amp;",","")</f>
        <v/>
      </c>
      <c r="GH16" s="48" t="str">
        <f>IF(CD16=1,CHAR(34)&amp;"southc"&amp;CHAR(34)&amp;",","")</f>
        <v/>
      </c>
      <c r="GI16" s="48" t="str">
        <f>IF(CE16=1,CHAR(34)&amp;"hasmap"&amp;CHAR(34)&amp;",","")</f>
        <v/>
      </c>
      <c r="GJ16" s="48" t="str">
        <f>IF(CP16="y",CHAR(34)&amp;CP$1&amp;CHAR(34)&amp;",","")</f>
        <v/>
      </c>
      <c r="GK16" s="48" t="str">
        <f>IF(GJ16="",CHAR(34)&amp;"HasSta"&amp;CHAR(34)&amp;",","")</f>
        <v>"HasSta",</v>
      </c>
      <c r="GL16" s="48" t="str">
        <f t="shared" si="106"/>
        <v/>
      </c>
      <c r="GM16" s="48" t="str">
        <f t="shared" si="106"/>
        <v/>
      </c>
      <c r="GN16" s="48" t="str">
        <f t="shared" si="106"/>
        <v>"3+Star",</v>
      </c>
      <c r="GP16" s="48" t="str">
        <f>CHAR(34)&amp;AU16&amp;CHAR(34)</f>
        <v>"People"</v>
      </c>
      <c r="GS16" s="48" t="str">
        <f>SUBSTITUTE("["&amp;_xlfn.CONCAT(CW16:GN16)&amp;"]",",]","]")</f>
        <v>["2Color","words2","words3","lets17","startS","REDWHI","year19","4+Band","Crosse","Horizo","Vertic","Canton","sta","NO_BLU","NO_GRE","NO_YEL","NO_BLA","001RED","002WHI","003RED","myrRED","spanis","HasSta","3+Star"]</v>
      </c>
      <c r="GT16" s="48" t="str">
        <f t="shared" si="80"/>
        <v>"cl_RED",</v>
      </c>
      <c r="GU16" s="48" t="str">
        <f t="shared" si="80"/>
        <v>"cl_WHI",</v>
      </c>
      <c r="GV16" s="48" t="str">
        <f t="shared" si="80"/>
        <v/>
      </c>
      <c r="GW16" s="48" t="str">
        <f t="shared" si="80"/>
        <v/>
      </c>
      <c r="GX16" s="48" t="str">
        <f t="shared" si="80"/>
        <v/>
      </c>
      <c r="GY16" s="48" t="str">
        <f t="shared" si="80"/>
        <v/>
      </c>
      <c r="GZ16" s="48" t="str">
        <f t="shared" si="80"/>
        <v/>
      </c>
      <c r="HA16" s="48" t="str">
        <f t="shared" si="80"/>
        <v/>
      </c>
      <c r="HB16" s="48" t="str">
        <f t="shared" si="80"/>
        <v/>
      </c>
      <c r="HC16" s="48" t="str">
        <f>SUBSTITUTE("["&amp;_xlfn.CONCAT(GT16:HB16)&amp;"]",",]","]")</f>
        <v>["cl_RED","cl_WHI"]</v>
      </c>
      <c r="HE16" s="71"/>
      <c r="HF16" s="72" t="str">
        <f>"{couname:"&amp;CT16&amp;(IF(HK16&lt;&gt;"",",subtype:"&amp;CHAR(34)&amp;HK16&amp;CHAR(34),""))&amp;",year:"&amp;HJ16&amp;",region:"&amp;CU16&amp;",Colors:"&amp;HC16&amp;",Items:"&amp;GS16&amp;",Flag:"&amp;CV16&amp;",HDFlag:"&amp;CHAR(34)&amp;E16&amp;CHAR(34)&amp;",type:"&amp;GP16&amp;", describe: "&amp;HH16&amp;", isnew:"&amp;CHAR(34)&amp;F16&amp;CHAR(34)&amp;", links: "&amp;HL16&amp;"},"</f>
        <v>{couname:"[AUS] South Sea Islanders",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links: "https://en.m.wikipedia.org/wiki/South_Sea_Islanders"},</v>
      </c>
      <c r="HG16" s="73" t="str">
        <f>"{couname:"&amp;CT16&amp;(IF(HK16&lt;&gt;"",",subtype:"&amp;CHAR(34)&amp;HK16&amp;CHAR(34),""))&amp;",year:"&amp;HJ16&amp;",region:"&amp;CU16&amp;",Colors:"&amp;HC16&amp;",Items:"&amp;GS16&amp;",Flag:"&amp;CV16&amp;",HDFlag:"&amp;CHAR(34)&amp;E16&amp;CHAR(34)&amp;",type:"&amp;GP16&amp;", describe: "&amp;HI16&amp;", links: "&amp;HL16&amp;"},"</f>
        <v>{couname:"[AUS] South Sea Islanders",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links: "https://en.m.wikipedia.org/wiki/South_Sea_Islanders"},</v>
      </c>
      <c r="HH16" s="48" t="str">
        <f>IF(P16&lt;&gt;"",CHAR(34)&amp;"\n"&amp;P16&amp;CHAR(34),CHAR(34)&amp;CHAR(34))</f>
        <v>"\nThe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v>
      </c>
      <c r="HI16" s="48" t="str">
        <f>IF(J16=0,CHAR(34)&amp;CHAR(34),HH16)</f>
        <v>"\nThe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v>
      </c>
      <c r="HJ16" s="48" t="str">
        <f>CHAR(34)&amp;O16&amp;CHAR(34)</f>
        <v>"1998"</v>
      </c>
      <c r="HL16" s="48" t="str">
        <f>CHAR(34)&amp;I16&amp;CHAR(34)</f>
        <v>"https://en.m.wikipedia.org/wiki/South_Sea_Islanders"</v>
      </c>
      <c r="HM16" s="72"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"&amp;HH16&amp;", "&amp;CHAR(34)&amp;"isnew"&amp;CHAR(34)&amp;": "&amp;CHAR(34)&amp;F16&amp;CHAR(34)&amp;", "&amp;CHAR(34)&amp;"links"&amp;CHAR(34)&amp;": "&amp;HL16&amp;"},"</f>
        <v>{"couname":"[AUS] South Sea Islanders","subtype":"[AUS] Other","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 "links": "https://en.m.wikipedia.org/wiki/South_Sea_Islanders"},</v>
      </c>
      <c r="HN16" s="74" t="str">
        <f>"{"&amp;CHAR(34)&amp;"couname"&amp;CHAR(34)&amp;":"&amp;CT16&amp;(IF(H16&lt;&gt;"",","&amp;CHAR(34)&amp;"subtype"&amp;CHAR(34)&amp;":"&amp;CHAR(34)&amp;H16&amp;CHAR(34),""))&amp;","&amp;CHAR(34)&amp;"year"&amp;CHAR(34)&amp;":"&amp;HJ16&amp;","&amp;CHAR(34)&amp;"region"&amp;CHAR(34)&amp;":"&amp;CU16&amp;","&amp;CHAR(34)&amp;"Colors"&amp;CHAR(34)&amp;":"&amp;HC16&amp;","&amp;CHAR(34)&amp;"Items"&amp;CHAR(34)&amp;":"&amp;GS16&amp;","&amp;CHAR(34)&amp;"Flag"&amp;CHAR(34)&amp;":"&amp;CV16&amp;","&amp;CHAR(34)&amp;"HDFlag"&amp;CHAR(34)&amp;":"&amp;CHAR(34)&amp;E16&amp;CHAR(34)&amp;","&amp;CHAR(34)&amp;"type"&amp;CHAR(34)&amp;":"&amp;GP16&amp;", "&amp;CHAR(34)&amp;"describe"&amp;CHAR(34)&amp;": "&amp;HI16&amp;", "&amp;CHAR(34)&amp;"isnew"&amp;CHAR(34)&amp;": "&amp;CHAR(34)&amp;F16&amp;CHAR(34)&amp;", "&amp;CHAR(34)&amp;"links"&amp;CHAR(34)&amp;": "&amp;HL16&amp;"},"</f>
        <v>{"couname":"[AUS] South Sea Islanders","subtype":"[AUS] Other","year":"1998","region":"rgn_Oceania","Colors":["cl_RED","cl_WHI"],"Items":["2Color","words2","words3","lets17","startS","REDWHI","year19","4+Band","Crosse","Horizo","Vertic","Canton","sta","NO_BLU","NO_GRE","NO_YEL","NO_BLA","001RED","002WHI","003RED","myrRED","spanis","HasSta","3+Star"],"Flag":"https://upload.wikimedia.org/wikipedia/commons/thumb/2/2a/Australian_South_Sea_Islanders_flag.svg/640px-Australian_South_Sea_Islanders_flag.svg.png","HDFlag":"https://upload.wikimedia.org/wikipedia/commons/thumb/2/2a/Australian_South_Sea_Islanders_flag.svg/1280px-Australian_South_Sea_Islanders_flag.svg.png","type":"People", "describe": "\nThe black column next to the flag pole - is for the people standing strong in community and surviving despite the hardships and injustices of the past.\n\nThe horizontal black band stands for our continuing in the future.\n\nBright blue recalls our origins from the South Pacific, the sea and the sky.\n\nBrilliant green is for the land and especially islander peoples' contribution to agriculture (including sugar cane) and to the development of our home, Australia. It also stands for our hope for the future and for our children.\n\nDeep gold stands for the sunshine and the sand of our original island homes and that of our homeland now, Australia.\n\nThe Southern Cross reminds us of our home in the South Pacific, and as it is the badge that Australians associate with, it emphasises that we are also Australians.", "isnew": ".", "links": "https://en.m.wikipedia.org/wiki/South_Sea_Islanders"},</v>
      </c>
      <c r="HO16" s="75"/>
      <c r="HP16" s="48" t="str" cm="1">
        <f t="array" ref="HP16">IF(_xlfn.TEXTJOIN(", ", TRUE, IF(ISNUMBER(SEARCH("BLA", BL16:BT16)), COLUMN(BL16:BT16) - COLUMN(BL16) + 1, ""))&lt;&gt;"","BLA","")</f>
        <v/>
      </c>
      <c r="HQ16" s="48" t="str" cm="1">
        <f t="array" ref="HQ16">IF(_xlfn.TEXTJOIN(", ", TRUE, IF(ISNUMBER(SEARCH("BLU", BL16:BT16)), COLUMN(BL16:BT16) - COLUMN(BL16) + 1, ""))&lt;&gt;"","BLU","")</f>
        <v/>
      </c>
      <c r="HR16" s="48" t="str" cm="1">
        <f t="array" ref="HR16">IF(_xlfn.TEXTJOIN(", ", TRUE, IF(ISNUMBER(SEARCH("GRE", BL16:BT16)), COLUMN(BL16:BT16) - COLUMN(BL16) + 1, ""))&lt;&gt;"","GRE","")</f>
        <v/>
      </c>
      <c r="HS16" s="48" t="str" cm="1">
        <f t="array" ref="HS16">IF(_xlfn.TEXTJOIN(", ", TRUE, IF(ISNUMBER(SEARCH("RED", BL16:BT16)), COLUMN(BL16:BT16) - COLUMN(BL16) + 1, ""))&lt;&gt;"","RED","")</f>
        <v>RED</v>
      </c>
      <c r="HT16" s="48" t="str" cm="1">
        <f t="array" ref="HT16">IF(_xlfn.TEXTJOIN(", ", TRUE, IF(ISNUMBER(SEARCH("YEL", BL16:BT16)), COLUMN(BL16:BT16) - COLUMN(BL16) + 1, ""))&lt;&gt;"","YEL","")</f>
        <v/>
      </c>
      <c r="HU16" s="48" t="str" cm="1">
        <f t="array" ref="HU16">IF(_xlfn.TEXTJOIN(", ", TRUE, IF(ISNUMBER(SEARCH("ORA", BL16:BT16)), COLUMN(BL16:BT16) - COLUMN(BL16) + 1, ""))&lt;&gt;"","ORA","")</f>
        <v/>
      </c>
      <c r="HV16" s="48" t="str" cm="1">
        <f t="array" ref="HV16">IF(_xlfn.TEXTJOIN(", ", TRUE, IF(ISNUMBER(SEARCH("BRO", BL16:BT16)), COLUMN(BL16:BT16) - COLUMN(BL16) + 1, ""))&lt;&gt;"","BRO","")</f>
        <v/>
      </c>
      <c r="HW16" s="48" t="str" cm="1">
        <f t="array" ref="HW16">IF(_xlfn.TEXTJOIN(", ", TRUE, IF(ISNUMBER(SEARCH("PUR", BL16:BT16)), COLUMN(BL16:BT16) - COLUMN(BL16) + 1, ""))&lt;&gt;"","PUR","")</f>
        <v/>
      </c>
      <c r="HX16" s="48" t="str" cm="1">
        <f t="array" ref="HX16">IF(_xlfn.TEXTJOIN(", ", TRUE, IF(ISNUMBER(SEARCH("WHI", BL16:BT16)), COLUMN(BL16:BT16) - COLUMN(BL16) + 1, ""))&lt;&gt;"","WHI","")</f>
        <v>WHI</v>
      </c>
      <c r="HY16" s="76"/>
      <c r="HZ16" s="76"/>
      <c r="IA16" s="6"/>
      <c r="IB16" s="6"/>
      <c r="IC16" s="77"/>
      <c r="ID16" s="77"/>
      <c r="IE16" s="77"/>
      <c r="IF16" s="77"/>
      <c r="IG16" s="77"/>
      <c r="IH16" s="77"/>
      <c r="II16" s="77"/>
      <c r="IJ16" s="77"/>
      <c r="IK16" s="77"/>
      <c r="IL16" s="48">
        <f>SUM(IC16:IK16)</f>
        <v>0</v>
      </c>
      <c r="IM16" s="45">
        <f>COUNTIF(IC16:IK16,"&gt;0")-CG16</f>
        <v>-2</v>
      </c>
      <c r="IN16" s="78" t="str">
        <f>"http://mkweb.bcgsc.ca/color-summarizer/?url="&amp;D16&amp;"&amp;precision=low&amp;num_clusters="&amp;CG16&amp;"&amp;text=1"</f>
        <v>http://mkweb.bcgsc.ca/color-summarizer/?url=https://upload.wikimedia.org/wikipedia/commons/thumb/2/2a/Australian_South_Sea_Islanders_flag.svg/640px-Australian_South_Sea_Islanders_flag.svg.png&amp;precision=low&amp;num_clusters=2&amp;text=1</v>
      </c>
      <c r="IO16" s="48" t="str">
        <f>IF(HP16&lt;&gt;"",CHAR(34)&amp;"black"&amp;CHAR(34),"")</f>
        <v/>
      </c>
      <c r="IP16" s="48" t="str">
        <f>IF(HQ16&lt;&gt;"",CHAR(34)&amp;"blue"&amp;CHAR(34),"")</f>
        <v/>
      </c>
      <c r="IQ16" s="48" t="str">
        <f>IF(HR16&lt;&gt;"",CHAR(34)&amp;"green"&amp;CHAR(34),"")</f>
        <v/>
      </c>
      <c r="IR16" s="48" t="str">
        <f>IF(HS16&lt;&gt;"",CHAR(34)&amp;"red"&amp;CHAR(34),"")</f>
        <v>"red"</v>
      </c>
      <c r="IS16" s="48" t="str">
        <f>IF(HT16&lt;&gt;"",CHAR(34)&amp;"yellow"&amp;CHAR(34),"")</f>
        <v/>
      </c>
      <c r="IT16" s="48" t="str">
        <f>IF(HU16&lt;&gt;"",CHAR(34)&amp;"orange"&amp;CHAR(34),"")</f>
        <v/>
      </c>
      <c r="IU16" s="48" t="str">
        <f>IF(HV16&lt;&gt;"",CHAR(34)&amp;"brown"&amp;CHAR(34),"")</f>
        <v/>
      </c>
      <c r="IV16" s="48" t="str">
        <f>IF(HW16&lt;&gt;"",CHAR(34)&amp;"purple"&amp;CHAR(34),"")</f>
        <v/>
      </c>
      <c r="IW16" s="48" t="str">
        <f>IF(HX16&lt;&gt;"",CHAR(34)&amp;"white"&amp;CHAR(34),"")</f>
        <v>"white"</v>
      </c>
      <c r="IX16" s="48" t="str">
        <f>"{"&amp;CHAR(34)&amp;"url"&amp;CHAR(34)&amp;":"&amp;CHAR(34)&amp;IN16&amp;CHAR(34)&amp;","&amp;CHAR(34)&amp;"name"&amp;CHAR(34)&amp;":"&amp;CHAR(34)&amp;A16&amp;CHAR(34)&amp;"},"</f>
        <v>{"url":"http://mkweb.bcgsc.ca/color-summarizer/?url=https://upload.wikimedia.org/wikipedia/commons/thumb/2/2a/Australian_South_Sea_Islanders_flag.svg/640px-Australian_South_Sea_Islanders_flag.svg.png&amp;precision=low&amp;num_clusters=2&amp;text=1","name":"[AUS] South Sea Islanders"},</v>
      </c>
      <c r="IY16" s="48">
        <v>171</v>
      </c>
    </row>
    <row r="17" spans="1:259" s="48" customFormat="1" ht="38.4" customHeight="1" thickBot="1" x14ac:dyDescent="0.35">
      <c r="A17" s="81" t="s">
        <v>690</v>
      </c>
      <c r="B17" s="40" t="e" vm="18">
        <v>#VALUE!</v>
      </c>
      <c r="C17" s="41">
        <v>3</v>
      </c>
      <c r="D17" s="42" t="s">
        <v>691</v>
      </c>
      <c r="E17" s="43" t="s">
        <v>692</v>
      </c>
      <c r="F17" s="44" t="s">
        <v>166</v>
      </c>
      <c r="G17" s="45">
        <f>COUNTIF($A$1:$A$8359,A17)</f>
        <v>1</v>
      </c>
      <c r="H17" s="46" t="s">
        <v>667</v>
      </c>
      <c r="I17" s="47" t="s">
        <v>693</v>
      </c>
      <c r="J17" s="48" t="str">
        <f>""</f>
        <v/>
      </c>
      <c r="K17" s="49"/>
      <c r="L17" s="50"/>
      <c r="M17" s="50"/>
      <c r="N17" s="51" t="s">
        <v>169</v>
      </c>
      <c r="O17" s="52" t="s">
        <v>651</v>
      </c>
      <c r="P17" s="53" t="s">
        <v>694</v>
      </c>
      <c r="Q17" s="54">
        <v>3</v>
      </c>
      <c r="R17" s="55" t="s">
        <v>169</v>
      </c>
      <c r="S17" s="56">
        <v>5</v>
      </c>
      <c r="T17" s="57" t="s">
        <v>173</v>
      </c>
      <c r="U17" s="58" t="s">
        <v>173</v>
      </c>
      <c r="V17" s="58" t="s">
        <v>172</v>
      </c>
      <c r="W17" s="58" t="s">
        <v>173</v>
      </c>
      <c r="X17" s="58" t="s">
        <v>173</v>
      </c>
      <c r="Y17" s="58" t="s">
        <v>173</v>
      </c>
      <c r="Z17" s="58" t="s">
        <v>173</v>
      </c>
      <c r="AA17" s="58" t="s">
        <v>173</v>
      </c>
      <c r="AB17" s="58" t="s">
        <v>173</v>
      </c>
      <c r="AC17" s="58" t="s">
        <v>173</v>
      </c>
      <c r="AD17" s="58" t="s">
        <v>173</v>
      </c>
      <c r="AE17" s="58" t="s">
        <v>173</v>
      </c>
      <c r="AF17" s="59" t="s">
        <v>173</v>
      </c>
      <c r="AG17" s="59" t="s">
        <v>172</v>
      </c>
      <c r="AH17" s="59" t="s">
        <v>172</v>
      </c>
      <c r="AI17" s="59" t="s">
        <v>173</v>
      </c>
      <c r="AJ17" s="59" t="s">
        <v>173</v>
      </c>
      <c r="AK17" s="59" t="s">
        <v>173</v>
      </c>
      <c r="AL17" s="59" t="s">
        <v>173</v>
      </c>
      <c r="AM17" s="59" t="s">
        <v>173</v>
      </c>
      <c r="AN17" s="59" t="s">
        <v>173</v>
      </c>
      <c r="AO17" s="59" t="s">
        <v>173</v>
      </c>
      <c r="AP17" s="59" t="s">
        <v>173</v>
      </c>
      <c r="AQ17" s="59" t="s">
        <v>173</v>
      </c>
      <c r="AR17" s="59" t="s">
        <v>173</v>
      </c>
      <c r="AS17" s="59" t="s">
        <v>173</v>
      </c>
      <c r="AT17" s="60">
        <v>1</v>
      </c>
      <c r="AU17" s="59" t="s">
        <v>670</v>
      </c>
      <c r="AV17" s="59" t="str">
        <f>IF(LEFT(A17,1)="[",LEFT(A17,5)&amp;AU17&amp;A17,"")</f>
        <v>[AUS]People[AUS] Torres Strait Islander</v>
      </c>
      <c r="AW17" s="59" t="str">
        <f>C17&amp;H17&amp;A17</f>
        <v>3[AUS] Other[AUS] Torres Strait Islander</v>
      </c>
      <c r="AX17" s="61"/>
      <c r="AY17" s="61"/>
      <c r="AZ17" s="62" t="s">
        <v>192</v>
      </c>
      <c r="BA17" s="62"/>
      <c r="BB17" s="62"/>
      <c r="BC17" s="63"/>
      <c r="BD17" s="64" t="s">
        <v>155</v>
      </c>
      <c r="BE17" s="47"/>
      <c r="BF17" s="64" t="s">
        <v>154</v>
      </c>
      <c r="BG17" s="64" t="s">
        <v>153</v>
      </c>
      <c r="BH17" s="64" t="s">
        <v>158</v>
      </c>
      <c r="BI17" s="64"/>
      <c r="BJ17" s="64"/>
      <c r="BK17" s="47"/>
      <c r="BL17" s="64" t="s">
        <v>192</v>
      </c>
      <c r="BM17" s="64" t="s">
        <v>152</v>
      </c>
      <c r="BN17" s="64" t="s">
        <v>153</v>
      </c>
      <c r="BO17" s="64" t="s">
        <v>154</v>
      </c>
      <c r="BP17" s="64" t="s">
        <v>155</v>
      </c>
      <c r="BQ17" s="64" t="s">
        <v>156</v>
      </c>
      <c r="BR17" s="64" t="s">
        <v>192</v>
      </c>
      <c r="BS17" s="64" t="s">
        <v>158</v>
      </c>
      <c r="BT17" s="64" t="s">
        <v>192</v>
      </c>
      <c r="BU17" s="65"/>
      <c r="BV17" s="66"/>
      <c r="BW17" s="66">
        <v>0</v>
      </c>
      <c r="BX17" s="47"/>
      <c r="CB17" s="6"/>
      <c r="CC17" s="6"/>
      <c r="CD17" s="67">
        <v>0</v>
      </c>
      <c r="CE17" s="67">
        <v>0</v>
      </c>
      <c r="CF17" s="67" t="e">
        <v>#REF!</v>
      </c>
      <c r="CG17" s="68" cm="1">
        <f t="array" ref="CG17">SUMPRODUCT(--(LEN(TRIM(BL17:BT17))&gt;0))</f>
        <v>6</v>
      </c>
      <c r="CH17" s="59" t="str">
        <f>IF(CG17=2,"y","n")</f>
        <v>n</v>
      </c>
      <c r="CI17" s="59" t="str">
        <f>IF(CG17=3,"y","n")</f>
        <v>n</v>
      </c>
      <c r="CJ17" s="59" t="str">
        <f>IF(CG17=4,"y","n")</f>
        <v>n</v>
      </c>
      <c r="CK17" s="59" t="str">
        <f>IF(CG17&gt;4,"y","n")</f>
        <v>y</v>
      </c>
      <c r="CL17" s="59" t="str">
        <f>IF(S17=0,"y","n")</f>
        <v>n</v>
      </c>
      <c r="CM17" s="59" t="str">
        <f>IF(S17=2,"y","n")</f>
        <v>n</v>
      </c>
      <c r="CN17" s="59" t="str">
        <f>IF(S17=3,"y","n")</f>
        <v>n</v>
      </c>
      <c r="CO17" s="59" t="str">
        <f>IF(S17&gt;=4,"y","n")</f>
        <v>y</v>
      </c>
      <c r="CP17" s="59" t="str">
        <f>IF(AT17=0,"y","n")</f>
        <v>n</v>
      </c>
      <c r="CQ17" s="59" t="str">
        <f>IF(AT17=1,"y","n")</f>
        <v>y</v>
      </c>
      <c r="CR17" s="59" t="str">
        <f>IF(AT17=2,"y","n")</f>
        <v>n</v>
      </c>
      <c r="CS17" s="59" t="str">
        <f>IF(AT17&gt;=3,"y","n")</f>
        <v>n</v>
      </c>
      <c r="CT17" s="69" t="str">
        <f>CHAR(34)&amp;A17&amp;CHAR(34)</f>
        <v>"[AUS] Torres Strait Islander"</v>
      </c>
      <c r="CU17" s="70" t="str">
        <f>CHAR(34)&amp;"rgn_"&amp;R17&amp;CHAR(34)</f>
        <v>"rgn_Oceania"</v>
      </c>
      <c r="CV17" s="48" t="str">
        <f>CHAR(34)&amp;D17&amp;CHAR(34)</f>
        <v>"https://upload.wikimedia.org/wikipedia/en/thumb/1/1d/Flag_of_the_Torres_Strait_Islanders.svg/640px-Flag_of_the_Torres_Strait_Islanders.svg.png"</v>
      </c>
      <c r="CW17" s="48" t="str">
        <f t="shared" si="103"/>
        <v/>
      </c>
      <c r="CX17" s="48" t="str">
        <f t="shared" si="103"/>
        <v/>
      </c>
      <c r="CY17" s="48" t="str">
        <f t="shared" si="103"/>
        <v/>
      </c>
      <c r="CZ17" s="48" t="str">
        <f t="shared" si="103"/>
        <v>"5+Colo",</v>
      </c>
      <c r="DA17" s="48" t="str">
        <f>IF(Q17&gt;1,CHAR(34)&amp;"words2"&amp;CHAR(34)&amp;",","")</f>
        <v>"words2",</v>
      </c>
      <c r="DB17" s="48" t="str">
        <f>IF(Q17&gt;2,CHAR(34)&amp;"words3"&amp;CHAR(34)&amp;",","")</f>
        <v>"words3",</v>
      </c>
      <c r="DC17" s="48" t="str">
        <f>IF(Q17=2,CHAR(34)&amp;"exact2"&amp;CHAR(34)&amp;",","")</f>
        <v/>
      </c>
      <c r="DD17" s="48" t="str">
        <f>IF(LEN(CHAR(34)&amp;"lets"&amp;LEN(SUBSTITUTE(SUBSTITUTE(IFERROR(TRIM(SUBSTITUTE(SUBSTITUTE(SUBSTITUTE(IFERROR(TRIM(SUBSTITUTE(A17,MID(A17,FIND("(",A17),FIND(")",A17)-FIND("(",A17)+1),"")),A17),"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",""),"-",""))&amp;CHAR(34)&amp;",")=9,CHAR(34)&amp;"lets"&amp;LEN(SUBSTITUTE(SUBSTITUTE(IFERROR(TRIM(SUBSTITUTE(SUBSTITUTE(SUBSTITUTE(IFERROR(TRIM(SUBSTITUTE(A17,MID(A17,FIND("(",A17),FIND(")",A17)-FIND("(",A17)+1),"")),A17),"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",""),"-",""))&amp;CHAR(34)&amp;",",CHAR(34)&amp;"lets0"&amp;LEN(SUBSTITUTE(SUBSTITUTE(IFERROR(TRIM(SUBSTITUTE(SUBSTITUTE(SUBSTITUTE(IFERROR(TRIM(SUBSTITUTE(A17,MID(A17,FIND("(",A17),FIND(")",A17)-FIND("(",A17)+1),"")),A17)," ",""),"-",""),MID(SUBSTITUTE(SUBSTITUTE(IFERROR(TRIM(SUBSTITUTE(A17,MID(A17,FIND("(",A17),FIND(")",A17)-FIND("(",A17)+1),"")),A17)," ",""),"-",""),FIND("[",SUBSTITUTE(SUBSTITUTE(IFERROR(TRIM(SUBSTITUTE(A17,MID(A17,FIND("(",A17),FIND(")",A17)-FIND("(",A17)+1),"")),A17)," ",""),"-","")),FIND("]",SUBSTITUTE(SUBSTITUTE(IFERROR(TRIM(SUBSTITUTE(A17,MID(A17,FIND("(",A17),FIND(")",A17)-FIND("(",A17)+1),"")),A17)," ",""),"-",""))-FIND("[",SUBSTITUTE(SUBSTITUTE(IFERROR(TRIM(SUBSTITUTE(A17,MID(A17,FIND("(",A17),FIND(")",A17)-FIND("(",A17)+1),"")),A17)," ",""),"-",""))+1),"")),SUBSTITUTE(SUBSTITUTE(IFERROR(TRIM(SUBSTITUTE(A17,MID(A17,FIND("(",A17),FIND(")",A17)-FIND("(",A17)+1),"")),A17)," ",""),"-",""))," ",""),"-",""))&amp;CHAR(34)&amp;",")</f>
        <v>"lets20",</v>
      </c>
      <c r="DE17" s="48" t="str">
        <f>IFERROR(CHAR(34)&amp;"start"&amp;LEFT(TRIM(SUBSTITUTE(SUBSTITUTE(TRIM(SUBSTITUTE(SUBSTITUTE(A17, MID(A17, FIND("[", A17), FIND("]", A17) - FIND("[", A17) + 1), ""), "  ", " ")), MID(TRIM(SUBSTITUTE(SUBSTITUTE(A17, MID(A17, FIND("[", A17), FIND("]", A17) - FIND("[", A17) + 1), ""), "  ", " ")), FIND("[", TRIM(SUBSTITUTE(SUBSTITUTE(A17, MID(A17, FIND("[", A17), FIND("]", A17) - FIND("[", A17) + 1), ""), "  ", " "))), FIND("]", TRIM(SUBSTITUTE(SUBSTITUTE(A17, MID(A17, FIND("[", A17), FIND("]", A17) - FIND("[", A17) + 1), ""), "  ", " "))) - FIND("[", TRIM(SUBSTITUTE(SUBSTITUTE(A17, MID(A17, FIND("[", A17), FIND("]", A17) - FIND("[", A17) + 1), ""), "  ", " "))) + 1), ""), "  ", " ")),1)&amp;CHAR(34)&amp;",",CHAR(34)&amp;"start"&amp;IFERROR(LEFT(SUBSTITUTE(A17,"["&amp;MID(A17,FIND("[",A17)+1,FIND("]",A17)-FIND("[",A17)-1)&amp;"] ",""),1),LEFT(A17,1))&amp;CHAR(34)&amp;",")</f>
        <v>"startT",</v>
      </c>
      <c r="DF17" s="48" t="str">
        <f>IFERROR(IF(SEARCH("tan",A17)&gt;0,CHAR(34)&amp;"withtn"&amp;CHAR(34)&amp;",",""),"")</f>
        <v/>
      </c>
      <c r="DG17" s="48" t="str">
        <f>IFERROR(IF(SEARCH("q",A17)&gt;0,CHAR(34)&amp;"with_q"&amp;CHAR(34)&amp;",",""),"")</f>
        <v/>
      </c>
      <c r="DH17" s="48" t="str">
        <f>IFERROR(IF(SEARCH("v",A17)&gt;0,CHAR(34)&amp;"with_v"&amp;CHAR(34)&amp;",",""),"")</f>
        <v/>
      </c>
      <c r="DI17" s="48" t="str">
        <f>IFERROR(IF(SEARCH("w",A17)&gt;0,CHAR(34)&amp;"with_w"&amp;CHAR(34)&amp;",",""),"")</f>
        <v/>
      </c>
      <c r="DJ17" s="48" t="str">
        <f>IFERROR(IF(SEARCH("y",A17)&gt;0,CHAR(34)&amp;"with_y"&amp;CHAR(34)&amp;",",""),"")</f>
        <v/>
      </c>
      <c r="DK17" s="48" t="str">
        <f>IFERROR(IF(SEARCH("z",A17)&gt;0,CHAR(34)&amp;"with_z"&amp;CHAR(34)&amp;",",""),"")</f>
        <v/>
      </c>
      <c r="DL17" s="48" t="str">
        <f>IF(CG17=2, CHAR(34) &amp; _xlfn.TEXTJOIN("", TRUE, _xlfn._xlws.SORT(HP17:HX17)) &amp; CHAR(34) &amp; ",", "")</f>
        <v/>
      </c>
      <c r="DM17" s="48" t="str" cm="1">
        <f t="array" ref="DM17">IF(CG17=3,CHAR(34) &amp; _xlfn.TEXTJOIN("", TRUE, RIGHT(HP17:HX17, 2)) &amp; CHAR(34) &amp; ",", "")</f>
        <v/>
      </c>
      <c r="DN17" s="48" t="str">
        <f>IF(AND(ISNUMBER(SEARCH("18", O17)), ISERROR(SEARCH("1918", O17)), ISERROR(SEARCH("2018", O17))), CHAR(34) &amp; "year18" &amp; CHAR(34) &amp; ",", "")</f>
        <v/>
      </c>
      <c r="DO17" s="48" t="str">
        <f>IF(AND(ISNUMBER(SEARCH("19", O17)), ISERROR(SEARCH("1819", O17)),  ISERROR(SEARCH("1219", O17)),ISERROR(SEARCH("1119", O17)),ISERROR(SEARCH("1190", O17)),ISERROR(SEARCH("2019", O17))), CHAR(34) &amp; "year19" &amp; CHAR(34) &amp; ",", "")</f>
        <v>"year19",</v>
      </c>
      <c r="DP17" s="6" t="str">
        <f>IF(AND(ISNUMBER(SEARCH("20", O17)), ISERROR(SEARCH("1920", O17))), CHAR(34)&amp;"year00"&amp;CHAR(34)&amp;",", "")</f>
        <v/>
      </c>
      <c r="DQ17" s="6" t="str">
        <f>IF(CC17="y",CHAR(34)&amp;"soviet"&amp;CHAR(34)&amp;",","")</f>
        <v/>
      </c>
      <c r="DR17" s="6" t="str">
        <f>IF(BY17="y",CHAR(34)&amp;"dgband"&amp;CHAR(34)&amp;",","")</f>
        <v/>
      </c>
      <c r="DS17" s="6" t="str">
        <f>IF(W17="y",IF(AND(V17="n",BY17&lt;&gt;"y"),CHAR(34)&amp;"allver"&amp;CHAR(34)&amp;",",""),"")</f>
        <v/>
      </c>
      <c r="DT17" s="6" t="str">
        <f>IF(V17="y",IF(AND(W17="n",BY17&lt;&gt;"y"),CHAR(34)&amp;"allhor"&amp;CHAR(34)&amp;",",""),"")</f>
        <v>"allhor",</v>
      </c>
      <c r="DU17" s="6" t="str">
        <f>IF(BY17="y",IF(AND(W17="n",V17="n"),CHAR(34)&amp;"alldia"&amp;CHAR(34)&amp;",",""),"")</f>
        <v/>
      </c>
      <c r="DV17" s="48" t="str">
        <f>IF(IA17&lt;&gt;"",(IF(IA17="y",CHAR(34)&amp;"largec"&amp;CHAR(34)&amp;",",CHAR(34)&amp;"smallc"&amp;CHAR(34)&amp;",")),"")</f>
        <v/>
      </c>
      <c r="DW17" s="48" t="str">
        <f t="shared" si="104"/>
        <v/>
      </c>
      <c r="DX17" s="48" t="str">
        <f t="shared" si="104"/>
        <v/>
      </c>
      <c r="DY17" s="48" t="str">
        <f t="shared" si="104"/>
        <v/>
      </c>
      <c r="DZ17" s="48" t="str">
        <f t="shared" si="104"/>
        <v>"4+Band",</v>
      </c>
      <c r="EA17" s="48" t="str">
        <f t="shared" si="105"/>
        <v/>
      </c>
      <c r="EB17" s="48" t="str">
        <f t="shared" si="105"/>
        <v/>
      </c>
      <c r="EC17" s="48" t="str">
        <f t="shared" si="105"/>
        <v>"Horizo",</v>
      </c>
      <c r="ED17" s="48" t="str">
        <f t="shared" si="105"/>
        <v/>
      </c>
      <c r="EE17" s="48" t="str">
        <f t="shared" si="105"/>
        <v/>
      </c>
      <c r="EF17" s="48" t="str">
        <f>IF(AND(Y17&lt;&gt;"n",Y17&lt;&gt;""),CHAR(34)&amp;Y$1&amp;CHAR(34)&amp;",","")</f>
        <v/>
      </c>
      <c r="EG17" s="48" t="str">
        <f t="shared" si="108"/>
        <v/>
      </c>
      <c r="EH17" s="48" t="str">
        <f t="shared" si="108"/>
        <v/>
      </c>
      <c r="EI17" s="48" t="str">
        <f t="shared" si="108"/>
        <v/>
      </c>
      <c r="EJ17" s="48" t="str">
        <f t="shared" si="108"/>
        <v/>
      </c>
      <c r="EK17" s="48" t="str">
        <f t="shared" si="108"/>
        <v/>
      </c>
      <c r="EL17" s="48" t="str">
        <f t="shared" si="108"/>
        <v/>
      </c>
      <c r="EM17" s="48" t="str">
        <f t="shared" si="108"/>
        <v/>
      </c>
      <c r="EN17" s="48" t="str">
        <f t="shared" si="108"/>
        <v>"Unequa",</v>
      </c>
      <c r="EO17" s="48" t="str">
        <f t="shared" si="108"/>
        <v>"Center",</v>
      </c>
      <c r="EP17" s="48" t="str">
        <f t="shared" si="108"/>
        <v/>
      </c>
      <c r="EQ17" s="48" t="str">
        <f t="shared" si="108"/>
        <v/>
      </c>
      <c r="ER17" s="48" t="str">
        <f t="shared" si="108"/>
        <v/>
      </c>
      <c r="ES17" s="48" t="str">
        <f t="shared" si="108"/>
        <v/>
      </c>
      <c r="ET17" s="48" t="str">
        <f t="shared" si="108"/>
        <v/>
      </c>
      <c r="EU17" s="48" t="str">
        <f t="shared" si="108"/>
        <v/>
      </c>
      <c r="EV17" s="48" t="str">
        <f t="shared" si="108"/>
        <v/>
      </c>
      <c r="EW17" s="48" t="str">
        <f t="shared" si="107"/>
        <v/>
      </c>
      <c r="EX17" s="48" t="str">
        <f t="shared" si="107"/>
        <v/>
      </c>
      <c r="EY17" s="48" t="str">
        <f t="shared" si="107"/>
        <v/>
      </c>
      <c r="EZ17" s="48" t="str">
        <f t="shared" si="107"/>
        <v/>
      </c>
      <c r="FA17" s="48" t="str">
        <f>IF(AT17&gt;0,CHAR(34)&amp;"sta"&amp;AZ17&amp;CHAR(34)&amp;",","")</f>
        <v>"sta",</v>
      </c>
      <c r="FB17" s="48" t="str">
        <f>IF(AND(AT17&gt;0,BA17&lt;&gt;""),CHAR(34)&amp;"sta"&amp;BA17&amp;CHAR(34)&amp;",","")</f>
        <v/>
      </c>
      <c r="FC17" s="48" t="str">
        <f>IF(AND(AT17&gt;0,BB17&lt;&gt;""),CHAR(34)&amp;"sta"&amp;BB17&amp;CHAR(34)&amp;",","")</f>
        <v/>
      </c>
      <c r="FD17" s="48" t="str">
        <f>IF(BV17="n",CHAR(34)&amp;"tcWHYE"&amp;CHAR(34)&amp;",",IF(BV17="y",CHAR(34)&amp;FD$1&amp;CHAR(34)&amp;",",""))</f>
        <v/>
      </c>
      <c r="FE17" s="48" t="str">
        <f>IF(COUNTIF(BL17:BT17,"BLU")=0,CHAR(34)&amp;"NO_BLU"&amp;CHAR(34)&amp;",", "")</f>
        <v/>
      </c>
      <c r="FF17" s="48" t="str">
        <f>IF(COUNTIF(BL17:BT17,"WHI")=0,CHAR(34)&amp;"NO_WHI"&amp;CHAR(34)&amp;",", "")</f>
        <v>"NO_WHI",</v>
      </c>
      <c r="FG17" s="48" t="str">
        <f>IF(COUNTIF(BL17:BT17,"RED")=0,CHAR(34)&amp;"NO_RED"&amp;CHAR(34)&amp;",", "")</f>
        <v/>
      </c>
      <c r="FH17" s="48" t="str">
        <f>IF(COUNTIF(BL17:BS17,"GRE")=0,CHAR(34)&amp;"NO_GRE"&amp;CHAR(34)&amp;",", "")</f>
        <v/>
      </c>
      <c r="FI17" s="48" t="str">
        <f>IF(COUNTIF(BL17:BT17,"YEL")=0,CHAR(34)&amp;"NO_YEL"&amp;CHAR(34)&amp;",", "")</f>
        <v/>
      </c>
      <c r="FJ17" s="48" t="str">
        <f>IF(COUNTIF(BL17:BT17,"BLA")=0,CHAR(34)&amp;"NO_BLA"&amp;CHAR(34)&amp;",", "")</f>
        <v>"NO_BLA",</v>
      </c>
      <c r="FK17" s="48" t="str">
        <f>IF(AND(FH17&lt;&gt;"",FF17&lt;&gt;""),CHAR(34)&amp;"WHGRNO"&amp;CHAR(34)&amp;",","")</f>
        <v/>
      </c>
      <c r="FL17" s="48" t="str">
        <f>IF(AND(FI17&lt;&gt;"",FF17&lt;&gt;""),CHAR(34)&amp;"WHYENO"&amp;CHAR(34)&amp;",","")</f>
        <v/>
      </c>
      <c r="FM17" s="48" t="str">
        <f>IF(AND(FJ17&lt;&gt;"",FF17&lt;&gt;""),CHAR(34)&amp;"BAWHNO"&amp;CHAR(34)&amp;",","")</f>
        <v>"BAWHNO",</v>
      </c>
      <c r="FN17" s="48" t="str">
        <f>IF(AND(FE17&lt;&gt;"",FF17&lt;&gt;""),CHAR(34)&amp;"BLWHNO"&amp;CHAR(34)&amp;",","")</f>
        <v/>
      </c>
      <c r="FO17" s="48" t="str">
        <f>IF(AND(FE17&lt;&gt;"",FG17&lt;&gt;""),CHAR(34)&amp;"BLRENO"&amp;CHAR(34)&amp;",","")</f>
        <v/>
      </c>
      <c r="FP17" s="48" t="str">
        <f>IF(AND(FF17&lt;&gt;"",FF17&lt;&gt;""),CHAR(34)&amp;"WHRENO"&amp;CHAR(34)&amp;",","")</f>
        <v>"WHRENO",</v>
      </c>
      <c r="FQ17" s="48" t="str">
        <f>IF(LEN(BF17)=3,CHAR(34)&amp;"001"&amp;BF17&amp;CHAR(34)&amp;",","")</f>
        <v>"001RED",</v>
      </c>
      <c r="FR17" s="48" t="str">
        <f>IF(LEN(BG17)=3,CHAR(34)&amp;"002"&amp;BG17&amp;CHAR(34)&amp;",","")</f>
        <v>"002GRE",</v>
      </c>
      <c r="FS17" s="48" t="str">
        <f>IF(LEN(BH17)=3,CHAR(34)&amp;"003"&amp;BH17&amp;CHAR(34)&amp;",","")</f>
        <v>"003PUR",</v>
      </c>
      <c r="FT17" s="48" t="str">
        <f>CHAR(34)&amp;"myr"&amp;BD17&amp;CHAR(34)&amp;","</f>
        <v>"myrYEL",</v>
      </c>
      <c r="FU17" s="48" t="str">
        <f>IF(AY17="y",CHAR(34)&amp;"island"&amp;CHAR(34)&amp;",","")</f>
        <v/>
      </c>
      <c r="FV17" s="48" t="str">
        <f>IF(BZ17="y",CHAR(34)&amp;"landlo"&amp;CHAR(34)&amp;",","")</f>
        <v/>
      </c>
      <c r="FW17" s="48" t="str">
        <f>IF(CA17="y",CHAR(34)&amp;"eunion"&amp;CHAR(34)&amp;",","")</f>
        <v/>
      </c>
      <c r="FX17" s="48" t="str">
        <f>SUBSTITUTE(IFERROR(SEARCH("[",A17),IFERROR(IF(AND(CA17&lt;&gt;"y",SEARCH("Europe",R17)&gt;0),CHAR(34)&amp;"noeuni"&amp;CHAR(34)&amp;",",""),"")),"1","")</f>
        <v/>
      </c>
      <c r="FY17" s="48" t="str">
        <f>IFERROR(IF(SEARCH("Arabic",CB17)&gt;0,CHAR(34)&amp;"arabic"&amp;CHAR(34)&amp;",",""),"")</f>
        <v/>
      </c>
      <c r="FZ17" s="48" t="str">
        <f>IFERROR(IF(SEARCH("English",CB17)&gt;0,CHAR(34)&amp;"englis"&amp;CHAR(34)&amp;",",""),"")</f>
        <v/>
      </c>
      <c r="GA17" s="48" t="str">
        <f>IFERROR(IF(SEARCH("French",CB17)&gt;0,CHAR(34)&amp;"french"&amp;CHAR(34)&amp;",",""),"")</f>
        <v/>
      </c>
      <c r="GB17" s="48" t="str">
        <f>IFERROR(IF(SEARCH("Spanish",CB17)&gt;0,CHAR(34)&amp;"spanis"&amp;CHAR(34)&amp;",",""),"")</f>
        <v/>
      </c>
      <c r="GC17" s="48" t="str">
        <f>IFERROR(IF(SEARCH("Portuguese",CB17)&gt;0,CHAR(34)&amp;"portug"&amp;CHAR(34)&amp;",",""),"")</f>
        <v/>
      </c>
      <c r="GD17" s="48" t="str">
        <f>IFERROR(IF(SEARCH("German",CB17)&gt;0,CHAR(34)&amp;"german"&amp;CHAR(34)&amp;",",""),"")</f>
        <v/>
      </c>
      <c r="GE17" s="48" t="str">
        <f>IFERROR(IF(SEARCH("Dutch",CB17)&gt;0,CHAR(34)&amp;"dutchs"&amp;CHAR(34)&amp;",",""),"")</f>
        <v/>
      </c>
      <c r="GF17" s="48" t="str">
        <f>IFERROR(IF(SEARCH("Historical",AU17)&gt;0,CHAR(34)&amp;"histor"&amp;CHAR(34)&amp;",",""),"")</f>
        <v/>
      </c>
      <c r="GG17" s="48" t="str">
        <f>IF(BU17="y",CHAR(34)&amp;"unjack"&amp;CHAR(34)&amp;",","")</f>
        <v/>
      </c>
      <c r="GH17" s="48" t="str">
        <f>IF(CD17=1,CHAR(34)&amp;"southc"&amp;CHAR(34)&amp;",","")</f>
        <v/>
      </c>
      <c r="GI17" s="48" t="str">
        <f>IF(CE17=1,CHAR(34)&amp;"hasmap"&amp;CHAR(34)&amp;",","")</f>
        <v/>
      </c>
      <c r="GJ17" s="48" t="str">
        <f>IF(CP17="y",CHAR(34)&amp;CP$1&amp;CHAR(34)&amp;",","")</f>
        <v/>
      </c>
      <c r="GK17" s="48" t="str">
        <f>IF(GJ17="",CHAR(34)&amp;"HasSta"&amp;CHAR(34)&amp;",","")</f>
        <v>"HasSta",</v>
      </c>
      <c r="GL17" s="48" t="str">
        <f t="shared" si="106"/>
        <v>"1Stars",</v>
      </c>
      <c r="GM17" s="48" t="str">
        <f t="shared" si="106"/>
        <v/>
      </c>
      <c r="GN17" s="48" t="str">
        <f t="shared" si="106"/>
        <v/>
      </c>
      <c r="GP17" s="48" t="str">
        <f>CHAR(34)&amp;AU17&amp;CHAR(34)</f>
        <v>"People"</v>
      </c>
      <c r="GS17" s="48" t="str">
        <f>SUBSTITUTE("["&amp;_xlfn.CONCAT(CW17:GN17)&amp;"]",",]","]")</f>
        <v>["5+Colo","words2","words3","lets20","startT","year19","allhor","4+Band","Horizo","Unequa","Center","sta","NO_WHI","NO_BLA","BAWHNO","WHRENO","001RED","002GRE","003PUR","myrYEL","HasSta","1Stars"]</v>
      </c>
      <c r="GT17" s="48" t="str">
        <f t="shared" si="80"/>
        <v/>
      </c>
      <c r="GU17" s="48" t="str">
        <f t="shared" si="80"/>
        <v>"cl_BLU",</v>
      </c>
      <c r="GV17" s="48" t="str">
        <f t="shared" si="80"/>
        <v>"cl_GRE",</v>
      </c>
      <c r="GW17" s="48" t="str">
        <f t="shared" si="80"/>
        <v>"cl_RED",</v>
      </c>
      <c r="GX17" s="48" t="str">
        <f t="shared" si="80"/>
        <v>"cl_YEL",</v>
      </c>
      <c r="GY17" s="48" t="str">
        <f t="shared" si="80"/>
        <v>"cl_ORA",</v>
      </c>
      <c r="GZ17" s="48" t="str">
        <f t="shared" si="80"/>
        <v/>
      </c>
      <c r="HA17" s="48" t="str">
        <f t="shared" si="80"/>
        <v>"cl_PUR",</v>
      </c>
      <c r="HB17" s="48" t="str">
        <f t="shared" si="80"/>
        <v/>
      </c>
      <c r="HC17" s="48" t="str">
        <f>SUBSTITUTE("["&amp;_xlfn.CONCAT(GT17:HB17)&amp;"]",",]","]")</f>
        <v>["cl_BLU","cl_GRE","cl_RED","cl_YEL","cl_ORA","cl_PUR"]</v>
      </c>
      <c r="HE17" s="71"/>
      <c r="HF17" s="72" t="str">
        <f>"{couname:"&amp;CT17&amp;(IF(HK17&lt;&gt;"",",subtype:"&amp;CHAR(34)&amp;HK17&amp;CHAR(34),""))&amp;",year:"&amp;HJ17&amp;",region:"&amp;CU17&amp;",Colors:"&amp;HC17&amp;",Items:"&amp;GS17&amp;",Flag:"&amp;CV17&amp;",HDFlag:"&amp;CHAR(34)&amp;E17&amp;CHAR(34)&amp;",type:"&amp;GP17&amp;", describe: "&amp;HH17&amp;", isnew:"&amp;CHAR(34)&amp;F17&amp;CHAR(34)&amp;", links: "&amp;HL17&amp;"},"</f>
        <v>{couname:"[AUS] Torres Strait Islander",year:"1995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links: "https://en.wikipedia.org/wiki/Torres_Strait_Islander_flag"},</v>
      </c>
      <c r="HG17" s="73" t="str">
        <f>"{couname:"&amp;CT17&amp;(IF(HK17&lt;&gt;"",",subtype:"&amp;CHAR(34)&amp;HK17&amp;CHAR(34),""))&amp;",year:"&amp;HJ17&amp;",region:"&amp;CU17&amp;",Colors:"&amp;HC17&amp;",Items:"&amp;GS17&amp;",Flag:"&amp;CV17&amp;",HDFlag:"&amp;CHAR(34)&amp;E17&amp;CHAR(34)&amp;",type:"&amp;GP17&amp;", describe: "&amp;HI17&amp;", links: "&amp;HL17&amp;"},"</f>
        <v>{couname:"[AUS] Torres Strait Islander",year:"1995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links: "https://en.wikipedia.org/wiki/Torres_Strait_Islander_flag"},</v>
      </c>
      <c r="HH17" s="48" t="str">
        <f>IF(P17&lt;&gt;"",CHAR(34)&amp;"\n"&amp;P17&amp;CHAR(34),CHAR(34)&amp;CHAR(34))</f>
        <v>"\nThe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v>
      </c>
      <c r="HI17" s="48" t="str">
        <f>IF(J17=0,CHAR(34)&amp;CHAR(34),HH17)</f>
        <v>"\nThe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v>
      </c>
      <c r="HJ17" s="48" t="str">
        <f>CHAR(34)&amp;O17&amp;CHAR(34)</f>
        <v>"1995 "</v>
      </c>
      <c r="HL17" s="48" t="str">
        <f>CHAR(34)&amp;I17&amp;CHAR(34)</f>
        <v>"https://en.wikipedia.org/wiki/Torres_Strait_Islander_flag"</v>
      </c>
      <c r="HM17" s="72"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"&amp;HH17&amp;", "&amp;CHAR(34)&amp;"isnew"&amp;CHAR(34)&amp;": "&amp;CHAR(34)&amp;F17&amp;CHAR(34)&amp;", "&amp;CHAR(34)&amp;"links"&amp;CHAR(34)&amp;": "&amp;HL17&amp;"},"</f>
        <v>{"couname":"[AUS] Torres Strait Islander","subtype":"[AUS] Other","year":"1995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 "links": "https://en.wikipedia.org/wiki/Torres_Strait_Islander_flag"},</v>
      </c>
      <c r="HN17" s="74" t="str">
        <f>"{"&amp;CHAR(34)&amp;"couname"&amp;CHAR(34)&amp;":"&amp;CT17&amp;(IF(H17&lt;&gt;"",","&amp;CHAR(34)&amp;"subtype"&amp;CHAR(34)&amp;":"&amp;CHAR(34)&amp;H17&amp;CHAR(34),""))&amp;","&amp;CHAR(34)&amp;"year"&amp;CHAR(34)&amp;":"&amp;HJ17&amp;","&amp;CHAR(34)&amp;"region"&amp;CHAR(34)&amp;":"&amp;CU17&amp;","&amp;CHAR(34)&amp;"Colors"&amp;CHAR(34)&amp;":"&amp;HC17&amp;","&amp;CHAR(34)&amp;"Items"&amp;CHAR(34)&amp;":"&amp;GS17&amp;","&amp;CHAR(34)&amp;"Flag"&amp;CHAR(34)&amp;":"&amp;CV17&amp;","&amp;CHAR(34)&amp;"HDFlag"&amp;CHAR(34)&amp;":"&amp;CHAR(34)&amp;E17&amp;CHAR(34)&amp;","&amp;CHAR(34)&amp;"type"&amp;CHAR(34)&amp;":"&amp;GP17&amp;", "&amp;CHAR(34)&amp;"describe"&amp;CHAR(34)&amp;": "&amp;HI17&amp;", "&amp;CHAR(34)&amp;"isnew"&amp;CHAR(34)&amp;": "&amp;CHAR(34)&amp;F17&amp;CHAR(34)&amp;", "&amp;CHAR(34)&amp;"links"&amp;CHAR(34)&amp;": "&amp;HL17&amp;"},"</f>
        <v>{"couname":"[AUS] Torres Strait Islander","subtype":"[AUS] Other","year":"1995 ","region":"rgn_Oceania","Colors":["cl_BLU","cl_GRE","cl_RED","cl_YEL","cl_ORA","cl_PUR"],"Items":["5+Colo","words2","words3","lets20","startT","year19","allhor","4+Band","Horizo","Unequa","Center","sta","NO_WHI","NO_BLA","BAWHNO","WHRENO","001RED","002GRE","003PUR","myrYEL","HasSta","1Stars"],"Flag":"https://upload.wikimedia.org/wikipedia/en/thumb/1/1d/Flag_of_the_Torres_Strait_Islanders.svg/640px-Flag_of_the_Torres_Strait_Islanders.svg.png","HDFlag":"https://upload.wikimedia.org/wikipedia/en/thumb/1/1d/Flag_of_the_Torres_Strait_Islanders.svg/2560px-Flag_of_the_Torres_Strait_Islanders.svg.png","type":"People", "describe": "\nThe green panels at the top and the bottom of the flag symbolise the land, while the blue panel in the centre represents the waters of the Torres Strait. The thin black stripes between the green and blue panels signify the Torres Strait Islanders themselves. The white five-pointed star at the centre of the flag represents the five major island groups—the Western, Eastern, Central, Port Kennedy and (N.P.A.) Mainland—and the white dhari (also spelt dari, a ceremonial dancer's headdress), around it also symbolises the Torres Strait Islands people. White symbolises peace, while the star is a symbol for navigation.", "isnew": ".", "links": "https://en.wikipedia.org/wiki/Torres_Strait_Islander_flag"},</v>
      </c>
      <c r="HO17" s="75">
        <v>45576</v>
      </c>
      <c r="HP17" s="48" t="str" cm="1">
        <f t="array" ref="HP17">IF(_xlfn.TEXTJOIN(", ", TRUE, IF(ISNUMBER(SEARCH("BLA", BL17:BT17)), COLUMN(BL17:BT17) - COLUMN(BL17) + 1, ""))&lt;&gt;"","BLA","")</f>
        <v/>
      </c>
      <c r="HQ17" s="48" t="str" cm="1">
        <f t="array" ref="HQ17">IF(_xlfn.TEXTJOIN(", ", TRUE, IF(ISNUMBER(SEARCH("BLU", BL17:BT17)), COLUMN(BL17:BT17) - COLUMN(BL17) + 1, ""))&lt;&gt;"","BLU","")</f>
        <v>BLU</v>
      </c>
      <c r="HR17" s="48" t="str" cm="1">
        <f t="array" ref="HR17">IF(_xlfn.TEXTJOIN(", ", TRUE, IF(ISNUMBER(SEARCH("GRE", BL17:BT17)), COLUMN(BL17:BT17) - COLUMN(BL17) + 1, ""))&lt;&gt;"","GRE","")</f>
        <v>GRE</v>
      </c>
      <c r="HS17" s="48" t="str" cm="1">
        <f t="array" ref="HS17">IF(_xlfn.TEXTJOIN(", ", TRUE, IF(ISNUMBER(SEARCH("RED", BL17:BT17)), COLUMN(BL17:BT17) - COLUMN(BL17) + 1, ""))&lt;&gt;"","RED","")</f>
        <v>RED</v>
      </c>
      <c r="HT17" s="48" t="str" cm="1">
        <f t="array" ref="HT17">IF(_xlfn.TEXTJOIN(", ", TRUE, IF(ISNUMBER(SEARCH("YEL", BL17:BT17)), COLUMN(BL17:BT17) - COLUMN(BL17) + 1, ""))&lt;&gt;"","YEL","")</f>
        <v>YEL</v>
      </c>
      <c r="HU17" s="48" t="str" cm="1">
        <f t="array" ref="HU17">IF(_xlfn.TEXTJOIN(", ", TRUE, IF(ISNUMBER(SEARCH("ORA", BL17:BT17)), COLUMN(BL17:BT17) - COLUMN(BL17) + 1, ""))&lt;&gt;"","ORA","")</f>
        <v>ORA</v>
      </c>
      <c r="HV17" s="48" t="str" cm="1">
        <f t="array" ref="HV17">IF(_xlfn.TEXTJOIN(", ", TRUE, IF(ISNUMBER(SEARCH("BRO", BL17:BT17)), COLUMN(BL17:BT17) - COLUMN(BL17) + 1, ""))&lt;&gt;"","BRO","")</f>
        <v/>
      </c>
      <c r="HW17" s="48" t="str" cm="1">
        <f t="array" ref="HW17">IF(_xlfn.TEXTJOIN(", ", TRUE, IF(ISNUMBER(SEARCH("PUR", BL17:BT17)), COLUMN(BL17:BT17) - COLUMN(BL17) + 1, ""))&lt;&gt;"","PUR","")</f>
        <v>PUR</v>
      </c>
      <c r="HX17" s="48" t="str" cm="1">
        <f t="array" ref="HX17">IF(_xlfn.TEXTJOIN(", ", TRUE, IF(ISNUMBER(SEARCH("WHI", BL17:BT17)), COLUMN(BL17:BT17) - COLUMN(BL17) + 1, ""))&lt;&gt;"","WHI","")</f>
        <v/>
      </c>
      <c r="HY17" s="76"/>
      <c r="HZ17" s="76"/>
      <c r="IA17" s="6"/>
      <c r="IB17" s="6"/>
      <c r="IC17" s="77"/>
      <c r="ID17" s="77"/>
      <c r="IE17" s="77"/>
      <c r="IF17" s="77"/>
      <c r="IG17" s="77"/>
      <c r="IH17" s="77"/>
      <c r="II17" s="77"/>
      <c r="IJ17" s="77"/>
      <c r="IK17" s="77"/>
      <c r="IL17" s="48">
        <f>SUM(IC17:IK17)</f>
        <v>0</v>
      </c>
      <c r="IM17" s="45">
        <f>COUNTIF(IC17:IK17,"&gt;0")-CG17</f>
        <v>-6</v>
      </c>
      <c r="IN17" s="78" t="str">
        <f>"http://mkweb.bcgsc.ca/color-summarizer/?url="&amp;D17&amp;"&amp;precision=low&amp;num_clusters="&amp;CG17&amp;"&amp;text=1"</f>
        <v>http://mkweb.bcgsc.ca/color-summarizer/?url=https://upload.wikimedia.org/wikipedia/en/thumb/1/1d/Flag_of_the_Torres_Strait_Islanders.svg/640px-Flag_of_the_Torres_Strait_Islanders.svg.png&amp;precision=low&amp;num_clusters=6&amp;text=1</v>
      </c>
      <c r="IO17" s="48" t="str">
        <f>IF(HP17&lt;&gt;"",CHAR(34)&amp;"black"&amp;CHAR(34),"")</f>
        <v/>
      </c>
      <c r="IP17" s="48" t="str">
        <f>IF(HQ17&lt;&gt;"",CHAR(34)&amp;"blue"&amp;CHAR(34),"")</f>
        <v>"blue"</v>
      </c>
      <c r="IQ17" s="48" t="str">
        <f>IF(HR17&lt;&gt;"",CHAR(34)&amp;"green"&amp;CHAR(34),"")</f>
        <v>"green"</v>
      </c>
      <c r="IR17" s="48" t="str">
        <f>IF(HS17&lt;&gt;"",CHAR(34)&amp;"red"&amp;CHAR(34),"")</f>
        <v>"red"</v>
      </c>
      <c r="IS17" s="48" t="str">
        <f>IF(HT17&lt;&gt;"",CHAR(34)&amp;"yellow"&amp;CHAR(34),"")</f>
        <v>"yellow"</v>
      </c>
      <c r="IT17" s="48" t="str">
        <f>IF(HU17&lt;&gt;"",CHAR(34)&amp;"orange"&amp;CHAR(34),"")</f>
        <v>"orange"</v>
      </c>
      <c r="IU17" s="48" t="str">
        <f>IF(HV17&lt;&gt;"",CHAR(34)&amp;"brown"&amp;CHAR(34),"")</f>
        <v/>
      </c>
      <c r="IV17" s="48" t="str">
        <f>IF(HW17&lt;&gt;"",CHAR(34)&amp;"purple"&amp;CHAR(34),"")</f>
        <v>"purple"</v>
      </c>
      <c r="IW17" s="48" t="str">
        <f>IF(HX17&lt;&gt;"",CHAR(34)&amp;"white"&amp;CHAR(34),"")</f>
        <v/>
      </c>
      <c r="IX17" s="48" t="str">
        <f>"{"&amp;CHAR(34)&amp;"url"&amp;CHAR(34)&amp;":"&amp;CHAR(34)&amp;IN17&amp;CHAR(34)&amp;","&amp;CHAR(34)&amp;"name"&amp;CHAR(34)&amp;":"&amp;CHAR(34)&amp;A17&amp;CHAR(34)&amp;"},"</f>
        <v>{"url":"http://mkweb.bcgsc.ca/color-summarizer/?url=https://upload.wikimedia.org/wikipedia/en/thumb/1/1d/Flag_of_the_Torres_Strait_Islanders.svg/640px-Flag_of_the_Torres_Strait_Islanders.svg.png&amp;precision=low&amp;num_clusters=6&amp;text=1","name":"[AUS] Torres Strait Islander"},</v>
      </c>
      <c r="IY17" s="48">
        <v>693</v>
      </c>
    </row>
    <row r="18" spans="1:259" s="48" customFormat="1" ht="38.4" customHeight="1" thickBot="1" x14ac:dyDescent="0.35">
      <c r="A18" s="81" t="s">
        <v>695</v>
      </c>
      <c r="B18" s="40" t="e" vm="19">
        <v>#VALUE!</v>
      </c>
      <c r="C18" s="41">
        <v>3</v>
      </c>
      <c r="D18" s="42" t="s">
        <v>696</v>
      </c>
      <c r="E18" s="43" t="s">
        <v>697</v>
      </c>
      <c r="F18" s="44" t="s">
        <v>166</v>
      </c>
      <c r="G18" s="45">
        <f>COUNTIF($A$1:$A$8359,A18)</f>
        <v>1</v>
      </c>
      <c r="H18" s="46" t="s">
        <v>364</v>
      </c>
      <c r="I18" s="47" t="s">
        <v>698</v>
      </c>
      <c r="J18" s="48" t="str">
        <f>""</f>
        <v/>
      </c>
      <c r="K18" s="49"/>
      <c r="L18" s="50"/>
      <c r="M18" s="50"/>
      <c r="N18" s="51" t="s">
        <v>169</v>
      </c>
      <c r="O18" s="52" t="s">
        <v>699</v>
      </c>
      <c r="P18" s="53" t="s">
        <v>700</v>
      </c>
      <c r="Q18" s="54">
        <v>1</v>
      </c>
      <c r="R18" s="55" t="s">
        <v>169</v>
      </c>
      <c r="S18" s="56">
        <v>0</v>
      </c>
      <c r="T18" s="57" t="s">
        <v>173</v>
      </c>
      <c r="U18" s="58" t="s">
        <v>173</v>
      </c>
      <c r="V18" s="58" t="s">
        <v>172</v>
      </c>
      <c r="W18" s="58" t="s">
        <v>172</v>
      </c>
      <c r="X18" s="58" t="s">
        <v>173</v>
      </c>
      <c r="Y18" s="58" t="s">
        <v>172</v>
      </c>
      <c r="Z18" s="58" t="s">
        <v>173</v>
      </c>
      <c r="AA18" s="58" t="s">
        <v>173</v>
      </c>
      <c r="AB18" s="58" t="s">
        <v>173</v>
      </c>
      <c r="AC18" s="58" t="s">
        <v>173</v>
      </c>
      <c r="AD18" s="58" t="s">
        <v>173</v>
      </c>
      <c r="AE18" s="58" t="s">
        <v>173</v>
      </c>
      <c r="AF18" s="59" t="s">
        <v>173</v>
      </c>
      <c r="AG18" s="59" t="s">
        <v>173</v>
      </c>
      <c r="AH18" s="59" t="s">
        <v>173</v>
      </c>
      <c r="AI18" s="59" t="s">
        <v>173</v>
      </c>
      <c r="AJ18" s="59" t="s">
        <v>173</v>
      </c>
      <c r="AK18" s="59" t="s">
        <v>173</v>
      </c>
      <c r="AL18" s="59" t="s">
        <v>173</v>
      </c>
      <c r="AM18" s="59" t="s">
        <v>173</v>
      </c>
      <c r="AN18" s="59" t="s">
        <v>173</v>
      </c>
      <c r="AO18" s="59" t="s">
        <v>173</v>
      </c>
      <c r="AP18" s="59" t="s">
        <v>173</v>
      </c>
      <c r="AQ18" s="59" t="s">
        <v>173</v>
      </c>
      <c r="AR18" s="59" t="s">
        <v>173</v>
      </c>
      <c r="AS18" s="59" t="s">
        <v>173</v>
      </c>
      <c r="AT18" s="60">
        <v>3</v>
      </c>
      <c r="AU18" s="59" t="s">
        <v>357</v>
      </c>
      <c r="AV18" s="59" t="str">
        <f>IF(LEFT(A18,1)="[",LEFT(A18,5)&amp;AU18&amp;A18,"")</f>
        <v>[AUS]City[AUS] Brisbane</v>
      </c>
      <c r="AW18" s="59" t="str">
        <f>C18&amp;H18&amp;A18</f>
        <v>3[AUS] Queensland[AUS] Brisbane</v>
      </c>
      <c r="AX18" s="61"/>
      <c r="AY18" s="61"/>
      <c r="AZ18" s="62" t="s">
        <v>155</v>
      </c>
      <c r="BA18" s="62"/>
      <c r="BB18" s="62"/>
      <c r="BC18" s="63"/>
      <c r="BD18" s="64" t="s">
        <v>155</v>
      </c>
      <c r="BE18" s="47"/>
      <c r="BF18" s="64" t="s">
        <v>192</v>
      </c>
      <c r="BG18" s="64" t="s">
        <v>192</v>
      </c>
      <c r="BH18" s="64" t="s">
        <v>192</v>
      </c>
      <c r="BI18" s="64"/>
      <c r="BJ18" s="64"/>
      <c r="BK18" s="47"/>
      <c r="BL18" s="64" t="s">
        <v>151</v>
      </c>
      <c r="BM18" s="64" t="s">
        <v>152</v>
      </c>
      <c r="BN18" s="64" t="s">
        <v>192</v>
      </c>
      <c r="BO18" s="64" t="s">
        <v>154</v>
      </c>
      <c r="BP18" s="64" t="s">
        <v>155</v>
      </c>
      <c r="BQ18" s="64" t="s">
        <v>192</v>
      </c>
      <c r="BR18" s="64" t="s">
        <v>192</v>
      </c>
      <c r="BS18" s="64" t="s">
        <v>192</v>
      </c>
      <c r="BT18" s="64" t="s">
        <v>192</v>
      </c>
      <c r="BU18" s="65"/>
      <c r="BV18" s="66"/>
      <c r="BW18" s="66">
        <v>0</v>
      </c>
      <c r="BX18" s="47"/>
      <c r="CB18" s="6"/>
      <c r="CC18" s="6"/>
      <c r="CD18" s="67">
        <v>0</v>
      </c>
      <c r="CE18" s="67">
        <v>0</v>
      </c>
      <c r="CF18" s="67" t="e">
        <v>#REF!</v>
      </c>
      <c r="CG18" s="68" cm="1">
        <f t="array" ref="CG18">SUMPRODUCT(--(LEN(TRIM(BL18:BT18))&gt;0))</f>
        <v>4</v>
      </c>
      <c r="CH18" s="59" t="str">
        <f>IF(CG18=2,"y","n")</f>
        <v>n</v>
      </c>
      <c r="CI18" s="59" t="str">
        <f>IF(CG18=3,"y","n")</f>
        <v>n</v>
      </c>
      <c r="CJ18" s="59" t="str">
        <f>IF(CG18=4,"y","n")</f>
        <v>y</v>
      </c>
      <c r="CK18" s="59" t="str">
        <f>IF(CG18&gt;4,"y","n")</f>
        <v>n</v>
      </c>
      <c r="CL18" s="59" t="str">
        <f>IF(S18=0,"y","n")</f>
        <v>y</v>
      </c>
      <c r="CM18" s="59" t="str">
        <f>IF(S18=2,"y","n")</f>
        <v>n</v>
      </c>
      <c r="CN18" s="59" t="str">
        <f>IF(S18=3,"y","n")</f>
        <v>n</v>
      </c>
      <c r="CO18" s="59" t="str">
        <f>IF(S18&gt;=4,"y","n")</f>
        <v>n</v>
      </c>
      <c r="CP18" s="59" t="str">
        <f>IF(AT18=0,"y","n")</f>
        <v>n</v>
      </c>
      <c r="CQ18" s="59" t="str">
        <f>IF(AT18=1,"y","n")</f>
        <v>n</v>
      </c>
      <c r="CR18" s="59" t="str">
        <f>IF(AT18=2,"y","n")</f>
        <v>n</v>
      </c>
      <c r="CS18" s="59" t="str">
        <f>IF(AT18&gt;=3,"y","n")</f>
        <v>y</v>
      </c>
      <c r="CT18" s="69" t="str">
        <f>CHAR(34)&amp;A18&amp;CHAR(34)</f>
        <v>"[AUS] Brisbane"</v>
      </c>
      <c r="CU18" s="70" t="str">
        <f>CHAR(34)&amp;"rgn_"&amp;R18&amp;CHAR(34)</f>
        <v>"rgn_Oceania"</v>
      </c>
      <c r="CV18" s="48" t="str">
        <f>CHAR(34)&amp;D18&amp;CHAR(34)</f>
        <v>"https://upload.wikimedia.org/wikipedia/commons/thumb/d/df/Flag_of_Brisbane.svg/640px-Flag_of_Brisbane.svg.png"</v>
      </c>
      <c r="CW18" s="48" t="str">
        <f t="shared" si="103"/>
        <v/>
      </c>
      <c r="CX18" s="48" t="str">
        <f t="shared" si="103"/>
        <v/>
      </c>
      <c r="CY18" s="48" t="str">
        <f t="shared" si="103"/>
        <v>"4Color",</v>
      </c>
      <c r="CZ18" s="48" t="str">
        <f t="shared" si="103"/>
        <v/>
      </c>
      <c r="DA18" s="48" t="str">
        <f>IF(Q18&gt;1,CHAR(34)&amp;"words2"&amp;CHAR(34)&amp;",","")</f>
        <v/>
      </c>
      <c r="DB18" s="48" t="str">
        <f>IF(Q18&gt;2,CHAR(34)&amp;"words3"&amp;CHAR(34)&amp;",","")</f>
        <v/>
      </c>
      <c r="DC18" s="48" t="str">
        <f>IF(Q18=2,CHAR(34)&amp;"exact2"&amp;CHAR(34)&amp;",","")</f>
        <v/>
      </c>
      <c r="DD18" s="48" t="str">
        <f>IF(LEN(CHAR(34)&amp;"lets"&amp;LEN(SUBSTITUTE(SUBSTITUTE(IFERROR(TRIM(SUBSTITUTE(SUBSTITUTE(SUBSTITUTE(IFERROR(TRIM(SUBSTITUTE(A18,MID(A18,FIND("(",A18),FIND(")",A18)-FIND("(",A18)+1),"")),A18),"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",""),"-",""))&amp;CHAR(34)&amp;",")=9,CHAR(34)&amp;"lets"&amp;LEN(SUBSTITUTE(SUBSTITUTE(IFERROR(TRIM(SUBSTITUTE(SUBSTITUTE(SUBSTITUTE(IFERROR(TRIM(SUBSTITUTE(A18,MID(A18,FIND("(",A18),FIND(")",A18)-FIND("(",A18)+1),"")),A18),"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",""),"-",""))&amp;CHAR(34)&amp;",",CHAR(34)&amp;"lets0"&amp;LEN(SUBSTITUTE(SUBSTITUTE(IFERROR(TRIM(SUBSTITUTE(SUBSTITUTE(SUBSTITUTE(IFERROR(TRIM(SUBSTITUTE(A18,MID(A18,FIND("(",A18),FIND(")",A18)-FIND("(",A18)+1),"")),A18)," ",""),"-",""),MID(SUBSTITUTE(SUBSTITUTE(IFERROR(TRIM(SUBSTITUTE(A18,MID(A18,FIND("(",A18),FIND(")",A18)-FIND("(",A18)+1),"")),A18)," ",""),"-",""),FIND("[",SUBSTITUTE(SUBSTITUTE(IFERROR(TRIM(SUBSTITUTE(A18,MID(A18,FIND("(",A18),FIND(")",A18)-FIND("(",A18)+1),"")),A18)," ",""),"-","")),FIND("]",SUBSTITUTE(SUBSTITUTE(IFERROR(TRIM(SUBSTITUTE(A18,MID(A18,FIND("(",A18),FIND(")",A18)-FIND("(",A18)+1),"")),A18)," ",""),"-",""))-FIND("[",SUBSTITUTE(SUBSTITUTE(IFERROR(TRIM(SUBSTITUTE(A18,MID(A18,FIND("(",A18),FIND(")",A18)-FIND("(",A18)+1),"")),A18)," ",""),"-",""))+1),"")),SUBSTITUTE(SUBSTITUTE(IFERROR(TRIM(SUBSTITUTE(A18,MID(A18,FIND("(",A18),FIND(")",A18)-FIND("(",A18)+1),"")),A18)," ",""),"-",""))," ",""),"-",""))&amp;CHAR(34)&amp;",")</f>
        <v>"lets08",</v>
      </c>
      <c r="DE18" s="48" t="str">
        <f>IFERROR(CHAR(34)&amp;"start"&amp;LEFT(TRIM(SUBSTITUTE(SUBSTITUTE(TRIM(SUBSTITUTE(SUBSTITUTE(A18, MID(A18, FIND("[", A18), FIND("]", A18) - FIND("[", A18) + 1), ""), "  ", " ")), MID(TRIM(SUBSTITUTE(SUBSTITUTE(A18, MID(A18, FIND("[", A18), FIND("]", A18) - FIND("[", A18) + 1), ""), "  ", " ")), FIND("[", TRIM(SUBSTITUTE(SUBSTITUTE(A18, MID(A18, FIND("[", A18), FIND("]", A18) - FIND("[", A18) + 1), ""), "  ", " "))), FIND("]", TRIM(SUBSTITUTE(SUBSTITUTE(A18, MID(A18, FIND("[", A18), FIND("]", A18) - FIND("[", A18) + 1), ""), "  ", " "))) - FIND("[", TRIM(SUBSTITUTE(SUBSTITUTE(A18, MID(A18, FIND("[", A18), FIND("]", A18) - FIND("[", A18) + 1), ""), "  ", " "))) + 1), ""), "  ", " ")),1)&amp;CHAR(34)&amp;",",CHAR(34)&amp;"start"&amp;IFERROR(LEFT(SUBSTITUTE(A18,"["&amp;MID(A18,FIND("[",A18)+1,FIND("]",A18)-FIND("[",A18)-1)&amp;"] ",""),1),LEFT(A18,1))&amp;CHAR(34)&amp;",")</f>
        <v>"startB",</v>
      </c>
      <c r="DF18" s="48" t="str">
        <f>IFERROR(IF(SEARCH("tan",A18)&gt;0,CHAR(34)&amp;"withtn"&amp;CHAR(34)&amp;",",""),"")</f>
        <v/>
      </c>
      <c r="DG18" s="48" t="str">
        <f>IFERROR(IF(SEARCH("q",A18)&gt;0,CHAR(34)&amp;"with_q"&amp;CHAR(34)&amp;",",""),"")</f>
        <v/>
      </c>
      <c r="DH18" s="48" t="str">
        <f>IFERROR(IF(SEARCH("v",A18)&gt;0,CHAR(34)&amp;"with_v"&amp;CHAR(34)&amp;",",""),"")</f>
        <v/>
      </c>
      <c r="DI18" s="48" t="str">
        <f>IFERROR(IF(SEARCH("w",A18)&gt;0,CHAR(34)&amp;"with_w"&amp;CHAR(34)&amp;",",""),"")</f>
        <v/>
      </c>
      <c r="DJ18" s="48" t="str">
        <f>IFERROR(IF(SEARCH("y",A18)&gt;0,CHAR(34)&amp;"with_y"&amp;CHAR(34)&amp;",",""),"")</f>
        <v/>
      </c>
      <c r="DK18" s="48" t="str">
        <f>IFERROR(IF(SEARCH("z",A18)&gt;0,CHAR(34)&amp;"with_z"&amp;CHAR(34)&amp;",",""),"")</f>
        <v/>
      </c>
      <c r="DL18" s="48" t="str">
        <f>IF(CG18=2, CHAR(34) &amp; _xlfn.TEXTJOIN("", TRUE, _xlfn._xlws.SORT(HP18:HX18)) &amp; CHAR(34) &amp; ",", "")</f>
        <v/>
      </c>
      <c r="DM18" s="48" t="str" cm="1">
        <f t="array" ref="DM18">IF(CG18=3,CHAR(34) &amp; _xlfn.TEXTJOIN("", TRUE, RIGHT(HP18:HX18, 2)) &amp; CHAR(34) &amp; ",", "")</f>
        <v/>
      </c>
      <c r="DN18" s="48" t="str">
        <f>IF(AND(ISNUMBER(SEARCH("18", O18)), ISERROR(SEARCH("1918", O18)), ISERROR(SEARCH("2018", O18))), CHAR(34) &amp; "year18" &amp; CHAR(34) &amp; ",", "")</f>
        <v/>
      </c>
      <c r="DO18" s="48" t="str">
        <f>IF(AND(ISNUMBER(SEARCH("19", O18)), ISERROR(SEARCH("1819", O18)),  ISERROR(SEARCH("1219", O18)),ISERROR(SEARCH("1119", O18)),ISERROR(SEARCH("1190", O18)),ISERROR(SEARCH("2019", O18))), CHAR(34) &amp; "year19" &amp; CHAR(34) &amp; ",", "")</f>
        <v>"year19",</v>
      </c>
      <c r="DP18" s="6" t="str">
        <f>IF(AND(ISNUMBER(SEARCH("20", O18)), ISERROR(SEARCH("1920", O18))), CHAR(34)&amp;"year00"&amp;CHAR(34)&amp;",", "")</f>
        <v/>
      </c>
      <c r="DQ18" s="6" t="str">
        <f>IF(CC18="y",CHAR(34)&amp;"soviet"&amp;CHAR(34)&amp;",","")</f>
        <v/>
      </c>
      <c r="DR18" s="6" t="str">
        <f>IF(BY18="y",CHAR(34)&amp;"dgband"&amp;CHAR(34)&amp;",","")</f>
        <v/>
      </c>
      <c r="DS18" s="6" t="str">
        <f>IF(W18="y",IF(AND(V18="n",BY18&lt;&gt;"y"),CHAR(34)&amp;"allver"&amp;CHAR(34)&amp;",",""),"")</f>
        <v/>
      </c>
      <c r="DT18" s="6" t="str">
        <f>IF(V18="y",IF(AND(W18="n",BY18&lt;&gt;"y"),CHAR(34)&amp;"allhor"&amp;CHAR(34)&amp;",",""),"")</f>
        <v/>
      </c>
      <c r="DU18" s="6" t="str">
        <f>IF(BY18="y",IF(AND(W18="n",V18="n"),CHAR(34)&amp;"alldia"&amp;CHAR(34)&amp;",",""),"")</f>
        <v/>
      </c>
      <c r="DV18" s="48" t="str">
        <f>IF(IA18&lt;&gt;"",(IF(IA18="y",CHAR(34)&amp;"largec"&amp;CHAR(34)&amp;",",CHAR(34)&amp;"smallc"&amp;CHAR(34)&amp;",")),"")</f>
        <v/>
      </c>
      <c r="DW18" s="48" t="str">
        <f t="shared" si="104"/>
        <v>"NoBand",</v>
      </c>
      <c r="DX18" s="48" t="str">
        <f t="shared" si="104"/>
        <v/>
      </c>
      <c r="DY18" s="48" t="str">
        <f t="shared" si="104"/>
        <v/>
      </c>
      <c r="DZ18" s="48" t="str">
        <f t="shared" si="104"/>
        <v/>
      </c>
      <c r="EA18" s="48" t="str">
        <f t="shared" si="105"/>
        <v/>
      </c>
      <c r="EB18" s="48" t="str">
        <f t="shared" si="105"/>
        <v/>
      </c>
      <c r="EC18" s="48" t="str">
        <f t="shared" si="105"/>
        <v>"Horizo",</v>
      </c>
      <c r="ED18" s="48" t="str">
        <f t="shared" si="105"/>
        <v>"Vertic",</v>
      </c>
      <c r="EE18" s="48" t="str">
        <f t="shared" si="105"/>
        <v/>
      </c>
      <c r="EF18" s="48" t="str">
        <f>IF(AND(Y18&lt;&gt;"n",Y18&lt;&gt;""),CHAR(34)&amp;Y$1&amp;CHAR(34)&amp;",","")</f>
        <v>"Animal",</v>
      </c>
      <c r="EG18" s="48" t="str">
        <f t="shared" si="108"/>
        <v/>
      </c>
      <c r="EH18" s="48" t="str">
        <f t="shared" si="108"/>
        <v/>
      </c>
      <c r="EI18" s="48" t="str">
        <f t="shared" si="108"/>
        <v/>
      </c>
      <c r="EJ18" s="48" t="str">
        <f t="shared" si="108"/>
        <v/>
      </c>
      <c r="EK18" s="48" t="str">
        <f t="shared" si="108"/>
        <v/>
      </c>
      <c r="EL18" s="48" t="str">
        <f t="shared" si="108"/>
        <v/>
      </c>
      <c r="EM18" s="48" t="str">
        <f t="shared" si="108"/>
        <v/>
      </c>
      <c r="EN18" s="48" t="str">
        <f t="shared" si="108"/>
        <v/>
      </c>
      <c r="EO18" s="48" t="str">
        <f t="shared" si="108"/>
        <v/>
      </c>
      <c r="EP18" s="48" t="str">
        <f t="shared" si="108"/>
        <v/>
      </c>
      <c r="EQ18" s="48" t="str">
        <f t="shared" si="108"/>
        <v/>
      </c>
      <c r="ER18" s="48" t="str">
        <f t="shared" si="108"/>
        <v/>
      </c>
      <c r="ES18" s="48" t="str">
        <f t="shared" si="108"/>
        <v/>
      </c>
      <c r="ET18" s="48" t="str">
        <f t="shared" si="108"/>
        <v/>
      </c>
      <c r="EU18" s="48" t="str">
        <f t="shared" si="108"/>
        <v/>
      </c>
      <c r="EV18" s="48" t="str">
        <f t="shared" si="108"/>
        <v/>
      </c>
      <c r="EW18" s="48" t="str">
        <f t="shared" si="107"/>
        <v/>
      </c>
      <c r="EX18" s="48" t="str">
        <f t="shared" si="107"/>
        <v/>
      </c>
      <c r="EY18" s="48" t="str">
        <f t="shared" si="107"/>
        <v/>
      </c>
      <c r="EZ18" s="48" t="str">
        <f t="shared" si="107"/>
        <v/>
      </c>
      <c r="FA18" s="48" t="str">
        <f>IF(AT18&gt;0,CHAR(34)&amp;"sta"&amp;AZ18&amp;CHAR(34)&amp;",","")</f>
        <v>"staYEL",</v>
      </c>
      <c r="FB18" s="48" t="str">
        <f>IF(AND(AT18&gt;0,BA18&lt;&gt;""),CHAR(34)&amp;"sta"&amp;BA18&amp;CHAR(34)&amp;",","")</f>
        <v/>
      </c>
      <c r="FC18" s="48" t="str">
        <f>IF(AND(AT18&gt;0,BB18&lt;&gt;""),CHAR(34)&amp;"sta"&amp;BB18&amp;CHAR(34)&amp;",","")</f>
        <v/>
      </c>
      <c r="FD18" s="48" t="str">
        <f>IF(BV18="n",CHAR(34)&amp;"tcWHYE"&amp;CHAR(34)&amp;",",IF(BV18="y",CHAR(34)&amp;FD$1&amp;CHAR(34)&amp;",",""))</f>
        <v/>
      </c>
      <c r="FE18" s="48" t="str">
        <f>IF(COUNTIF(BL18:BT18,"BLU")=0,CHAR(34)&amp;"NO_BLU"&amp;CHAR(34)&amp;",", "")</f>
        <v/>
      </c>
      <c r="FF18" s="48" t="str">
        <f>IF(COUNTIF(BL18:BT18,"WHI")=0,CHAR(34)&amp;"NO_WHI"&amp;CHAR(34)&amp;",", "")</f>
        <v>"NO_WHI",</v>
      </c>
      <c r="FG18" s="48" t="str">
        <f>IF(COUNTIF(BL18:BT18,"RED")=0,CHAR(34)&amp;"NO_RED"&amp;CHAR(34)&amp;",", "")</f>
        <v/>
      </c>
      <c r="FH18" s="48" t="str">
        <f>IF(COUNTIF(BL18:BS18,"GRE")=0,CHAR(34)&amp;"NO_GRE"&amp;CHAR(34)&amp;",", "")</f>
        <v>"NO_GRE",</v>
      </c>
      <c r="FI18" s="48" t="str">
        <f>IF(COUNTIF(BL18:BT18,"YEL")=0,CHAR(34)&amp;"NO_YEL"&amp;CHAR(34)&amp;",", "")</f>
        <v/>
      </c>
      <c r="FJ18" s="48" t="str">
        <f>IF(COUNTIF(BL18:BT18,"BLA")=0,CHAR(34)&amp;"NO_BLA"&amp;CHAR(34)&amp;",", "")</f>
        <v/>
      </c>
      <c r="FK18" s="48" t="str">
        <f>IF(AND(FH18&lt;&gt;"",FF18&lt;&gt;""),CHAR(34)&amp;"WHGRNO"&amp;CHAR(34)&amp;",","")</f>
        <v>"WHGRNO",</v>
      </c>
      <c r="FL18" s="48" t="str">
        <f>IF(AND(FI18&lt;&gt;"",FF18&lt;&gt;""),CHAR(34)&amp;"WHYENO"&amp;CHAR(34)&amp;",","")</f>
        <v/>
      </c>
      <c r="FM18" s="48" t="str">
        <f>IF(AND(FJ18&lt;&gt;"",FF18&lt;&gt;""),CHAR(34)&amp;"BAWHNO"&amp;CHAR(34)&amp;",","")</f>
        <v/>
      </c>
      <c r="FN18" s="48" t="str">
        <f>IF(AND(FE18&lt;&gt;"",FF18&lt;&gt;""),CHAR(34)&amp;"BLWHNO"&amp;CHAR(34)&amp;",","")</f>
        <v/>
      </c>
      <c r="FO18" s="48" t="str">
        <f>IF(AND(FE18&lt;&gt;"",FG18&lt;&gt;""),CHAR(34)&amp;"BLRENO"&amp;CHAR(34)&amp;",","")</f>
        <v/>
      </c>
      <c r="FP18" s="48" t="str">
        <f>IF(AND(FF18&lt;&gt;"",FF18&lt;&gt;""),CHAR(34)&amp;"WHRENO"&amp;CHAR(34)&amp;",","")</f>
        <v>"WHRENO",</v>
      </c>
      <c r="FQ18" s="48" t="str">
        <f>IF(LEN(BF18)=3,CHAR(34)&amp;"001"&amp;BF18&amp;CHAR(34)&amp;",","")</f>
        <v/>
      </c>
      <c r="FR18" s="48" t="str">
        <f>IF(LEN(BG18)=3,CHAR(34)&amp;"002"&amp;BG18&amp;CHAR(34)&amp;",","")</f>
        <v/>
      </c>
      <c r="FS18" s="48" t="str">
        <f>IF(LEN(BH18)=3,CHAR(34)&amp;"003"&amp;BH18&amp;CHAR(34)&amp;",","")</f>
        <v/>
      </c>
      <c r="FT18" s="48" t="str">
        <f>CHAR(34)&amp;"myr"&amp;BD18&amp;CHAR(34)&amp;","</f>
        <v>"myrYEL",</v>
      </c>
      <c r="FU18" s="48" t="str">
        <f>IF(AY18="y",CHAR(34)&amp;"island"&amp;CHAR(34)&amp;",","")</f>
        <v/>
      </c>
      <c r="FV18" s="48" t="str">
        <f>IF(BZ18="y",CHAR(34)&amp;"landlo"&amp;CHAR(34)&amp;",","")</f>
        <v/>
      </c>
      <c r="FW18" s="48" t="str">
        <f>IF(CA18="y",CHAR(34)&amp;"eunion"&amp;CHAR(34)&amp;",","")</f>
        <v/>
      </c>
      <c r="FX18" s="48" t="str">
        <f>SUBSTITUTE(IFERROR(SEARCH("[",A18),IFERROR(IF(AND(CA18&lt;&gt;"y",SEARCH("Europe",R18)&gt;0),CHAR(34)&amp;"noeuni"&amp;CHAR(34)&amp;",",""),"")),"1","")</f>
        <v/>
      </c>
      <c r="FY18" s="48" t="str">
        <f>IFERROR(IF(SEARCH("Arabic",CB18)&gt;0,CHAR(34)&amp;"arabic"&amp;CHAR(34)&amp;",",""),"")</f>
        <v/>
      </c>
      <c r="FZ18" s="48" t="str">
        <f>IFERROR(IF(SEARCH("English",CB18)&gt;0,CHAR(34)&amp;"englis"&amp;CHAR(34)&amp;",",""),"")</f>
        <v/>
      </c>
      <c r="GA18" s="48" t="str">
        <f>IFERROR(IF(SEARCH("French",CB18)&gt;0,CHAR(34)&amp;"french"&amp;CHAR(34)&amp;",",""),"")</f>
        <v/>
      </c>
      <c r="GB18" s="48" t="str">
        <f>IFERROR(IF(SEARCH("Spanish",CB18)&gt;0,CHAR(34)&amp;"spanis"&amp;CHAR(34)&amp;",",""),"")</f>
        <v/>
      </c>
      <c r="GC18" s="48" t="str">
        <f>IFERROR(IF(SEARCH("Portuguese",CB18)&gt;0,CHAR(34)&amp;"portug"&amp;CHAR(34)&amp;",",""),"")</f>
        <v/>
      </c>
      <c r="GD18" s="48" t="str">
        <f>IFERROR(IF(SEARCH("German",CB18)&gt;0,CHAR(34)&amp;"german"&amp;CHAR(34)&amp;",",""),"")</f>
        <v/>
      </c>
      <c r="GE18" s="48" t="str">
        <f>IFERROR(IF(SEARCH("Dutch",CB18)&gt;0,CHAR(34)&amp;"dutchs"&amp;CHAR(34)&amp;",",""),"")</f>
        <v/>
      </c>
      <c r="GF18" s="48" t="str">
        <f>IFERROR(IF(SEARCH("Historical",AU18)&gt;0,CHAR(34)&amp;"histor"&amp;CHAR(34)&amp;",",""),"")</f>
        <v/>
      </c>
      <c r="GG18" s="48" t="str">
        <f>IF(BU18="y",CHAR(34)&amp;"unjack"&amp;CHAR(34)&amp;",","")</f>
        <v/>
      </c>
      <c r="GH18" s="48" t="str">
        <f>IF(CD18=1,CHAR(34)&amp;"southc"&amp;CHAR(34)&amp;",","")</f>
        <v/>
      </c>
      <c r="GI18" s="48" t="str">
        <f>IF(CE18=1,CHAR(34)&amp;"hasmap"&amp;CHAR(34)&amp;",","")</f>
        <v/>
      </c>
      <c r="GJ18" s="48" t="str">
        <f>IF(CP18="y",CHAR(34)&amp;CP$1&amp;CHAR(34)&amp;",","")</f>
        <v/>
      </c>
      <c r="GK18" s="48" t="str">
        <f>IF(GJ18="",CHAR(34)&amp;"HasSta"&amp;CHAR(34)&amp;",","")</f>
        <v>"HasSta",</v>
      </c>
      <c r="GL18" s="48" t="str">
        <f t="shared" si="106"/>
        <v/>
      </c>
      <c r="GM18" s="48" t="str">
        <f t="shared" si="106"/>
        <v/>
      </c>
      <c r="GN18" s="48" t="str">
        <f t="shared" si="106"/>
        <v>"3+Star",</v>
      </c>
      <c r="GP18" s="48" t="str">
        <f>CHAR(34)&amp;AU18&amp;CHAR(34)</f>
        <v>"City"</v>
      </c>
      <c r="GS18" s="48" t="str">
        <f>SUBSTITUTE("["&amp;_xlfn.CONCAT(CW18:GN18)&amp;"]",",]","]")</f>
        <v>["4Color","lets08","startB","year19","NoBand","Horizo","Vertic","Animal","staYEL","NO_WHI","NO_GRE","WHGRNO","WHRENO","myrYEL","HasSta","3+Star"]</v>
      </c>
      <c r="GT18" s="48" t="str">
        <f t="shared" ref="GT18:HB22" si="109">IF(BL18&lt;&gt;"",CHAR(34)&amp;"cl_"&amp;BL18&amp;CHAR(34)&amp;",","")</f>
        <v>"cl_BLA",</v>
      </c>
      <c r="GU18" s="48" t="str">
        <f t="shared" si="109"/>
        <v>"cl_BLU",</v>
      </c>
      <c r="GV18" s="48" t="str">
        <f t="shared" si="109"/>
        <v/>
      </c>
      <c r="GW18" s="48" t="str">
        <f t="shared" si="109"/>
        <v>"cl_RED",</v>
      </c>
      <c r="GX18" s="48" t="str">
        <f t="shared" si="109"/>
        <v>"cl_YEL",</v>
      </c>
      <c r="GY18" s="48" t="str">
        <f t="shared" si="109"/>
        <v/>
      </c>
      <c r="GZ18" s="48" t="str">
        <f t="shared" si="109"/>
        <v/>
      </c>
      <c r="HA18" s="48" t="str">
        <f t="shared" si="109"/>
        <v/>
      </c>
      <c r="HB18" s="48" t="str">
        <f t="shared" si="109"/>
        <v/>
      </c>
      <c r="HC18" s="48" t="str">
        <f>SUBSTITUTE("["&amp;_xlfn.CONCAT(GT18:HB18)&amp;"]",",]","]")</f>
        <v>["cl_BLA","cl_BLU","cl_RED","cl_YEL"]</v>
      </c>
      <c r="HE18" s="71"/>
      <c r="HF18" s="72" t="str">
        <f>"{couname:"&amp;CT18&amp;(IF(HK18&lt;&gt;"",",subtype:"&amp;CHAR(34)&amp;HK18&amp;CHAR(34),""))&amp;",year:"&amp;HJ18&amp;",region:"&amp;CU18&amp;",Colors:"&amp;HC18&amp;",Items:"&amp;GS18&amp;",Flag:"&amp;CV18&amp;",HDFlag:"&amp;CHAR(34)&amp;E18&amp;CHAR(34)&amp;",type:"&amp;GP18&amp;", describe: "&amp;HH18&amp;", isnew:"&amp;CHAR(34)&amp;F18&amp;CHAR(34)&amp;", links: "&amp;HL18&amp;"},"</f>
        <v>{couname:"[AUS] Brisbane",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links: "https://en.m.wikipedia.org/wiki/Flag_of_Brisbane"},</v>
      </c>
      <c r="HG18" s="73" t="str">
        <f>"{couname:"&amp;CT18&amp;(IF(HK18&lt;&gt;"",",subtype:"&amp;CHAR(34)&amp;HK18&amp;CHAR(34),""))&amp;",year:"&amp;HJ18&amp;",region:"&amp;CU18&amp;",Colors:"&amp;HC18&amp;",Items:"&amp;GS18&amp;",Flag:"&amp;CV18&amp;",HDFlag:"&amp;CHAR(34)&amp;E18&amp;CHAR(34)&amp;",type:"&amp;GP18&amp;", describe: "&amp;HI18&amp;", links: "&amp;HL18&amp;"},"</f>
        <v>{couname:"[AUS] Brisbane",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links: "https://en.m.wikipedia.org/wiki/Flag_of_Brisbane"},</v>
      </c>
      <c r="HH18" s="48" t="str">
        <f>IF(P18&lt;&gt;"",CHAR(34)&amp;"\n"&amp;P18&amp;CHAR(34),CHAR(34)&amp;CHAR(34))</f>
        <v>"\nThe two primary colours used are blue and gold, with blue representing the sea and the Brisbane River which flows through the city, and gold representing the sun and the city's warm climate."</v>
      </c>
      <c r="HI18" s="48" t="str">
        <f>IF(J18=0,CHAR(34)&amp;CHAR(34),HH18)</f>
        <v>"\nThe two primary colours used are blue and gold, with blue representing the sea and the Brisbane River which flows through the city, and gold representing the sun and the city's warm climate."</v>
      </c>
      <c r="HJ18" s="48" t="str">
        <f>CHAR(34)&amp;O18&amp;CHAR(34)</f>
        <v>"1996"</v>
      </c>
      <c r="HL18" s="48" t="str">
        <f>CHAR(34)&amp;I18&amp;CHAR(34)</f>
        <v>"https://en.m.wikipedia.org/wiki/Flag_of_Brisbane"</v>
      </c>
      <c r="HM18" s="72"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"&amp;HH18&amp;", "&amp;CHAR(34)&amp;"isnew"&amp;CHAR(34)&amp;": "&amp;CHAR(34)&amp;F18&amp;CHAR(34)&amp;", "&amp;CHAR(34)&amp;"links"&amp;CHAR(34)&amp;": "&amp;HL18&amp;"},"</f>
        <v>{"couname":"[AUS] Brisbane","subtype":"[AUS] Queensland","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 "links": "https://en.m.wikipedia.org/wiki/Flag_of_Brisbane"},</v>
      </c>
      <c r="HN18" s="74" t="str">
        <f>"{"&amp;CHAR(34)&amp;"couname"&amp;CHAR(34)&amp;":"&amp;CT18&amp;(IF(H18&lt;&gt;"",","&amp;CHAR(34)&amp;"subtype"&amp;CHAR(34)&amp;":"&amp;CHAR(34)&amp;H18&amp;CHAR(34),""))&amp;","&amp;CHAR(34)&amp;"year"&amp;CHAR(34)&amp;":"&amp;HJ18&amp;","&amp;CHAR(34)&amp;"region"&amp;CHAR(34)&amp;":"&amp;CU18&amp;","&amp;CHAR(34)&amp;"Colors"&amp;CHAR(34)&amp;":"&amp;HC18&amp;","&amp;CHAR(34)&amp;"Items"&amp;CHAR(34)&amp;":"&amp;GS18&amp;","&amp;CHAR(34)&amp;"Flag"&amp;CHAR(34)&amp;":"&amp;CV18&amp;","&amp;CHAR(34)&amp;"HDFlag"&amp;CHAR(34)&amp;":"&amp;CHAR(34)&amp;E18&amp;CHAR(34)&amp;","&amp;CHAR(34)&amp;"type"&amp;CHAR(34)&amp;":"&amp;GP18&amp;", "&amp;CHAR(34)&amp;"describe"&amp;CHAR(34)&amp;": "&amp;HI18&amp;", "&amp;CHAR(34)&amp;"isnew"&amp;CHAR(34)&amp;": "&amp;CHAR(34)&amp;F18&amp;CHAR(34)&amp;", "&amp;CHAR(34)&amp;"links"&amp;CHAR(34)&amp;": "&amp;HL18&amp;"},"</f>
        <v>{"couname":"[AUS] Brisbane","subtype":"[AUS] Queensland","year":"1996","region":"rgn_Oceania","Colors":["cl_BLA","cl_BLU","cl_RED","cl_YEL"],"Items":["4Color","lets08","startB","year19","NoBand","Horizo","Vertic","Animal","staYEL","NO_WHI","NO_GRE","WHGRNO","WHRENO","myrYEL","HasSta","3+Star"],"Flag":"https://upload.wikimedia.org/wikipedia/commons/thumb/d/df/Flag_of_Brisbane.svg/640px-Flag_of_Brisbane.svg.png","HDFlag":"https://upload.wikimedia.org/wikipedia/commons/thumb/d/df/Flag_of_Brisbane.svg/2560px-Flag_of_Brisbane.svg.png","type":"City", "describe": "\nThe two primary colours used are blue and gold, with blue representing the sea and the Brisbane River which flows through the city, and gold representing the sun and the city's warm climate.", "isnew": ".", "links": "https://en.m.wikipedia.org/wiki/Flag_of_Brisbane"},</v>
      </c>
      <c r="HO18" s="75">
        <v>45576</v>
      </c>
      <c r="HP18" s="48" t="str" cm="1">
        <f t="array" ref="HP18">IF(_xlfn.TEXTJOIN(", ", TRUE, IF(ISNUMBER(SEARCH("BLA", BL18:BT18)), COLUMN(BL18:BT18) - COLUMN(BL18) + 1, ""))&lt;&gt;"","BLA","")</f>
        <v>BLA</v>
      </c>
      <c r="HQ18" s="48" t="str" cm="1">
        <f t="array" ref="HQ18">IF(_xlfn.TEXTJOIN(", ", TRUE, IF(ISNUMBER(SEARCH("BLU", BL18:BT18)), COLUMN(BL18:BT18) - COLUMN(BL18) + 1, ""))&lt;&gt;"","BLU","")</f>
        <v>BLU</v>
      </c>
      <c r="HR18" s="48" t="str" cm="1">
        <f t="array" ref="HR18">IF(_xlfn.TEXTJOIN(", ", TRUE, IF(ISNUMBER(SEARCH("GRE", BL18:BT18)), COLUMN(BL18:BT18) - COLUMN(BL18) + 1, ""))&lt;&gt;"","GRE","")</f>
        <v/>
      </c>
      <c r="HS18" s="48" t="str" cm="1">
        <f t="array" ref="HS18">IF(_xlfn.TEXTJOIN(", ", TRUE, IF(ISNUMBER(SEARCH("RED", BL18:BT18)), COLUMN(BL18:BT18) - COLUMN(BL18) + 1, ""))&lt;&gt;"","RED","")</f>
        <v>RED</v>
      </c>
      <c r="HT18" s="48" t="str" cm="1">
        <f t="array" ref="HT18">IF(_xlfn.TEXTJOIN(", ", TRUE, IF(ISNUMBER(SEARCH("YEL", BL18:BT18)), COLUMN(BL18:BT18) - COLUMN(BL18) + 1, ""))&lt;&gt;"","YEL","")</f>
        <v>YEL</v>
      </c>
      <c r="HU18" s="48" t="str" cm="1">
        <f t="array" ref="HU18">IF(_xlfn.TEXTJOIN(", ", TRUE, IF(ISNUMBER(SEARCH("ORA", BL18:BT18)), COLUMN(BL18:BT18) - COLUMN(BL18) + 1, ""))&lt;&gt;"","ORA","")</f>
        <v/>
      </c>
      <c r="HV18" s="48" t="str" cm="1">
        <f t="array" ref="HV18">IF(_xlfn.TEXTJOIN(", ", TRUE, IF(ISNUMBER(SEARCH("BRO", BL18:BT18)), COLUMN(BL18:BT18) - COLUMN(BL18) + 1, ""))&lt;&gt;"","BRO","")</f>
        <v/>
      </c>
      <c r="HW18" s="48" t="str" cm="1">
        <f t="array" ref="HW18">IF(_xlfn.TEXTJOIN(", ", TRUE, IF(ISNUMBER(SEARCH("PUR", BL18:BT18)), COLUMN(BL18:BT18) - COLUMN(BL18) + 1, ""))&lt;&gt;"","PUR","")</f>
        <v/>
      </c>
      <c r="HX18" s="48" t="str" cm="1">
        <f t="array" ref="HX18">IF(_xlfn.TEXTJOIN(", ", TRUE, IF(ISNUMBER(SEARCH("WHI", BL18:BT18)), COLUMN(BL18:BT18) - COLUMN(BL18) + 1, ""))&lt;&gt;"","WHI","")</f>
        <v/>
      </c>
      <c r="HY18" s="76"/>
      <c r="HZ18" s="76"/>
      <c r="IA18" s="6"/>
      <c r="IB18" s="6"/>
      <c r="IC18" s="77"/>
      <c r="ID18" s="77"/>
      <c r="IE18" s="77"/>
      <c r="IF18" s="77"/>
      <c r="IG18" s="77"/>
      <c r="IH18" s="77"/>
      <c r="II18" s="77"/>
      <c r="IJ18" s="77"/>
      <c r="IK18" s="77"/>
      <c r="IL18" s="48">
        <f>SUM(IC18:IK18)</f>
        <v>0</v>
      </c>
      <c r="IM18" s="45">
        <f>COUNTIF(IC18:IK18,"&gt;0")-CG18</f>
        <v>-4</v>
      </c>
      <c r="IN18" s="78" t="str">
        <f>"http://mkweb.bcgsc.ca/color-summarizer/?url="&amp;D18&amp;"&amp;precision=low&amp;num_clusters="&amp;CG18&amp;"&amp;text=1"</f>
        <v>http://mkweb.bcgsc.ca/color-summarizer/?url=https://upload.wikimedia.org/wikipedia/commons/thumb/d/df/Flag_of_Brisbane.svg/640px-Flag_of_Brisbane.svg.png&amp;precision=low&amp;num_clusters=4&amp;text=1</v>
      </c>
      <c r="IO18" s="48" t="str">
        <f>IF(HP18&lt;&gt;"",CHAR(34)&amp;"black"&amp;CHAR(34),"")</f>
        <v>"black"</v>
      </c>
      <c r="IP18" s="48" t="str">
        <f>IF(HQ18&lt;&gt;"",CHAR(34)&amp;"blue"&amp;CHAR(34),"")</f>
        <v>"blue"</v>
      </c>
      <c r="IQ18" s="48" t="str">
        <f>IF(HR18&lt;&gt;"",CHAR(34)&amp;"green"&amp;CHAR(34),"")</f>
        <v/>
      </c>
      <c r="IR18" s="48" t="str">
        <f>IF(HS18&lt;&gt;"",CHAR(34)&amp;"red"&amp;CHAR(34),"")</f>
        <v>"red"</v>
      </c>
      <c r="IS18" s="48" t="str">
        <f>IF(HT18&lt;&gt;"",CHAR(34)&amp;"yellow"&amp;CHAR(34),"")</f>
        <v>"yellow"</v>
      </c>
      <c r="IT18" s="48" t="str">
        <f>IF(HU18&lt;&gt;"",CHAR(34)&amp;"orange"&amp;CHAR(34),"")</f>
        <v/>
      </c>
      <c r="IU18" s="48" t="str">
        <f>IF(HV18&lt;&gt;"",CHAR(34)&amp;"brown"&amp;CHAR(34),"")</f>
        <v/>
      </c>
      <c r="IV18" s="48" t="str">
        <f>IF(HW18&lt;&gt;"",CHAR(34)&amp;"purple"&amp;CHAR(34),"")</f>
        <v/>
      </c>
      <c r="IW18" s="48" t="str">
        <f>IF(HX18&lt;&gt;"",CHAR(34)&amp;"white"&amp;CHAR(34),"")</f>
        <v/>
      </c>
      <c r="IX18" s="48" t="str">
        <f>"{"&amp;CHAR(34)&amp;"url"&amp;CHAR(34)&amp;":"&amp;CHAR(34)&amp;IN18&amp;CHAR(34)&amp;","&amp;CHAR(34)&amp;"name"&amp;CHAR(34)&amp;":"&amp;CHAR(34)&amp;A18&amp;CHAR(34)&amp;"},"</f>
        <v>{"url":"http://mkweb.bcgsc.ca/color-summarizer/?url=https://upload.wikimedia.org/wikipedia/commons/thumb/d/df/Flag_of_Brisbane.svg/640px-Flag_of_Brisbane.svg.png&amp;precision=low&amp;num_clusters=4&amp;text=1","name":"[AUS] Brisbane"},</v>
      </c>
      <c r="IY18" s="48">
        <v>692</v>
      </c>
    </row>
    <row r="19" spans="1:259" s="48" customFormat="1" ht="38.4" customHeight="1" thickBot="1" x14ac:dyDescent="0.35">
      <c r="A19" s="81" t="s">
        <v>701</v>
      </c>
      <c r="B19" s="40" t="e" vm="20">
        <v>#VALUE!</v>
      </c>
      <c r="C19" s="41">
        <v>3</v>
      </c>
      <c r="D19" s="42" t="s">
        <v>702</v>
      </c>
      <c r="E19" s="43" t="s">
        <v>703</v>
      </c>
      <c r="F19" s="44" t="s">
        <v>166</v>
      </c>
      <c r="G19" s="45">
        <f>COUNTIF($A$1:$A$8359,A19)</f>
        <v>1</v>
      </c>
      <c r="H19" s="46" t="s">
        <v>369</v>
      </c>
      <c r="I19" s="47" t="s">
        <v>704</v>
      </c>
      <c r="J19" s="48" t="str">
        <f>""</f>
        <v/>
      </c>
      <c r="K19" s="49"/>
      <c r="L19" s="50"/>
      <c r="M19" s="50"/>
      <c r="N19" s="51" t="s">
        <v>169</v>
      </c>
      <c r="O19" s="52">
        <v>1982</v>
      </c>
      <c r="P19" s="53" t="s">
        <v>705</v>
      </c>
      <c r="Q19" s="54">
        <v>1</v>
      </c>
      <c r="R19" s="55" t="s">
        <v>169</v>
      </c>
      <c r="S19" s="56">
        <v>4</v>
      </c>
      <c r="T19" s="57" t="s">
        <v>173</v>
      </c>
      <c r="U19" s="58" t="s">
        <v>172</v>
      </c>
      <c r="V19" s="58" t="s">
        <v>172</v>
      </c>
      <c r="W19" s="58" t="s">
        <v>172</v>
      </c>
      <c r="X19" s="58" t="s">
        <v>173</v>
      </c>
      <c r="Y19" s="58" t="s">
        <v>172</v>
      </c>
      <c r="Z19" s="58" t="s">
        <v>173</v>
      </c>
      <c r="AA19" s="58" t="s">
        <v>172</v>
      </c>
      <c r="AB19" s="58" t="s">
        <v>173</v>
      </c>
      <c r="AC19" s="58" t="s">
        <v>173</v>
      </c>
      <c r="AD19" s="58" t="s">
        <v>173</v>
      </c>
      <c r="AE19" s="58" t="s">
        <v>173</v>
      </c>
      <c r="AF19" s="59" t="s">
        <v>173</v>
      </c>
      <c r="AG19" s="59" t="s">
        <v>173</v>
      </c>
      <c r="AH19" s="59" t="s">
        <v>173</v>
      </c>
      <c r="AI19" s="59" t="s">
        <v>173</v>
      </c>
      <c r="AJ19" s="59" t="s">
        <v>173</v>
      </c>
      <c r="AK19" s="59" t="s">
        <v>173</v>
      </c>
      <c r="AL19" s="59" t="s">
        <v>173</v>
      </c>
      <c r="AM19" s="59" t="s">
        <v>173</v>
      </c>
      <c r="AN19" s="59" t="s">
        <v>173</v>
      </c>
      <c r="AO19" s="59" t="s">
        <v>173</v>
      </c>
      <c r="AP19" s="59" t="s">
        <v>172</v>
      </c>
      <c r="AQ19" s="59" t="s">
        <v>173</v>
      </c>
      <c r="AR19" s="59" t="s">
        <v>173</v>
      </c>
      <c r="AS19" s="59" t="s">
        <v>173</v>
      </c>
      <c r="AT19" s="60">
        <v>0</v>
      </c>
      <c r="AU19" s="59" t="s">
        <v>357</v>
      </c>
      <c r="AV19" s="59" t="str">
        <f>IF(LEFT(A19,1)="[",LEFT(A19,5)&amp;AU19&amp;A19,"")</f>
        <v>[AUS]City[AUS] Adelaide</v>
      </c>
      <c r="AW19" s="59" t="str">
        <f>C19&amp;H19&amp;A19</f>
        <v>3[AUS] South Australia[AUS] Adelaide</v>
      </c>
      <c r="AX19" s="61" t="str">
        <f>_xlfn.TEXTJOIN(";",TRUE,AU19:AW19)</f>
        <v>City;[AUS]City[AUS] Adelaide;3[AUS] South Australia[AUS] Adelaide</v>
      </c>
      <c r="AY19" s="61"/>
      <c r="AZ19" s="62" t="s">
        <v>155</v>
      </c>
      <c r="BA19" s="62"/>
      <c r="BB19" s="62"/>
      <c r="BC19" s="63"/>
      <c r="BD19" s="64" t="s">
        <v>408</v>
      </c>
      <c r="BE19" s="47"/>
      <c r="BF19" s="64" t="s">
        <v>154</v>
      </c>
      <c r="BG19" s="64" t="s">
        <v>159</v>
      </c>
      <c r="BH19" s="64" t="s">
        <v>152</v>
      </c>
      <c r="BI19" s="64"/>
      <c r="BJ19" s="64"/>
      <c r="BK19" s="47"/>
      <c r="BL19" s="64" t="s">
        <v>154</v>
      </c>
      <c r="BM19" s="64" t="s">
        <v>159</v>
      </c>
      <c r="BN19" s="64" t="s">
        <v>152</v>
      </c>
      <c r="BO19" s="64" t="s">
        <v>153</v>
      </c>
      <c r="BP19" s="64" t="s">
        <v>155</v>
      </c>
      <c r="BQ19" s="64" t="s">
        <v>151</v>
      </c>
      <c r="BR19" s="64"/>
      <c r="BS19" s="64"/>
      <c r="BT19" s="64"/>
      <c r="BU19" s="65"/>
      <c r="BV19" s="66" t="s">
        <v>172</v>
      </c>
      <c r="BW19" s="66" t="s">
        <v>174</v>
      </c>
      <c r="BX19" s="47"/>
      <c r="BZ19" s="48" t="s">
        <v>172</v>
      </c>
      <c r="CB19" s="6" t="s">
        <v>706</v>
      </c>
      <c r="CC19" s="6"/>
      <c r="CD19" s="67">
        <v>0</v>
      </c>
      <c r="CE19" s="67">
        <v>0</v>
      </c>
      <c r="CF19" s="67" t="e">
        <v>#REF!</v>
      </c>
      <c r="CG19" s="68" cm="1">
        <f t="array" ref="CG19">SUMPRODUCT(--(LEN(TRIM(BL19:BT19))&gt;0))</f>
        <v>6</v>
      </c>
      <c r="CH19" s="59" t="str">
        <f>IF(CG19=2,"y","n")</f>
        <v>n</v>
      </c>
      <c r="CI19" s="59" t="str">
        <f>IF(CG19=3,"y","n")</f>
        <v>n</v>
      </c>
      <c r="CJ19" s="59" t="str">
        <f>IF(CG19=4,"y","n")</f>
        <v>n</v>
      </c>
      <c r="CK19" s="59" t="str">
        <f>IF(CG19&gt;4,"y","n")</f>
        <v>y</v>
      </c>
      <c r="CL19" s="59" t="str">
        <f>IF(S19=0,"y","n")</f>
        <v>n</v>
      </c>
      <c r="CM19" s="59" t="str">
        <f>IF(S19=2,"y","n")</f>
        <v>n</v>
      </c>
      <c r="CN19" s="59" t="str">
        <f>IF(S19=3,"y","n")</f>
        <v>n</v>
      </c>
      <c r="CO19" s="59" t="str">
        <f>IF(S19&gt;=4,"y","n")</f>
        <v>y</v>
      </c>
      <c r="CP19" s="59" t="str">
        <f>IF(AT19=0,"y","n")</f>
        <v>y</v>
      </c>
      <c r="CQ19" s="59" t="str">
        <f>IF(AT19=1,"y","n")</f>
        <v>n</v>
      </c>
      <c r="CR19" s="59" t="str">
        <f>IF(AT19=2,"y","n")</f>
        <v>n</v>
      </c>
      <c r="CS19" s="59" t="str">
        <f>IF(AT19&gt;=3,"y","n")</f>
        <v>n</v>
      </c>
      <c r="CT19" s="69" t="str">
        <f>CHAR(34)&amp;A19&amp;CHAR(34)</f>
        <v>"[AUS] Adelaide"</v>
      </c>
      <c r="CU19" s="70" t="str">
        <f>CHAR(34)&amp;"rgn_"&amp;R19&amp;CHAR(34)</f>
        <v>"rgn_Oceania"</v>
      </c>
      <c r="CV19" s="48" t="str">
        <f>CHAR(34)&amp;D19&amp;CHAR(34)</f>
        <v>"https://upload.wikimedia.org/wikipedia/commons/thumb/6/69/Flag_of_Adelaide.svg/640px-Flag_of_Adelaide.svg.png"</v>
      </c>
      <c r="CW19" s="48" t="str">
        <f t="shared" si="103"/>
        <v/>
      </c>
      <c r="CX19" s="48" t="str">
        <f t="shared" si="103"/>
        <v/>
      </c>
      <c r="CY19" s="48" t="str">
        <f t="shared" si="103"/>
        <v/>
      </c>
      <c r="CZ19" s="48" t="str">
        <f t="shared" si="103"/>
        <v>"5+Colo",</v>
      </c>
      <c r="DA19" s="48" t="str">
        <f>IF(Q19&gt;1,CHAR(34)&amp;"words2"&amp;CHAR(34)&amp;",","")</f>
        <v/>
      </c>
      <c r="DB19" s="48" t="str">
        <f>IF(Q19&gt;2,CHAR(34)&amp;"words3"&amp;CHAR(34)&amp;",","")</f>
        <v/>
      </c>
      <c r="DC19" s="48" t="str">
        <f>IF(Q19=2,CHAR(34)&amp;"exact2"&amp;CHAR(34)&amp;",","")</f>
        <v/>
      </c>
      <c r="DD19" s="48" t="str">
        <f>IF(LEN(CHAR(34)&amp;"lets"&amp;LEN(SUBSTITUTE(SUBSTITUTE(IFERROR(TRIM(SUBSTITUTE(SUBSTITUTE(SUBSTITUTE(IFERROR(TRIM(SUBSTITUTE(A19,MID(A19,FIND("(",A19),FIND(")",A19)-FIND("(",A19)+1),"")),A19),"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",""),"-",""))&amp;CHAR(34)&amp;",")=9,CHAR(34)&amp;"lets"&amp;LEN(SUBSTITUTE(SUBSTITUTE(IFERROR(TRIM(SUBSTITUTE(SUBSTITUTE(SUBSTITUTE(IFERROR(TRIM(SUBSTITUTE(A19,MID(A19,FIND("(",A19),FIND(")",A19)-FIND("(",A19)+1),"")),A19),"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",""),"-",""))&amp;CHAR(34)&amp;",",CHAR(34)&amp;"lets0"&amp;LEN(SUBSTITUTE(SUBSTITUTE(IFERROR(TRIM(SUBSTITUTE(SUBSTITUTE(SUBSTITUTE(IFERROR(TRIM(SUBSTITUTE(A19,MID(A19,FIND("(",A19),FIND(")",A19)-FIND("(",A19)+1),"")),A19)," ",""),"-",""),MID(SUBSTITUTE(SUBSTITUTE(IFERROR(TRIM(SUBSTITUTE(A19,MID(A19,FIND("(",A19),FIND(")",A19)-FIND("(",A19)+1),"")),A19)," ",""),"-",""),FIND("[",SUBSTITUTE(SUBSTITUTE(IFERROR(TRIM(SUBSTITUTE(A19,MID(A19,FIND("(",A19),FIND(")",A19)-FIND("(",A19)+1),"")),A19)," ",""),"-","")),FIND("]",SUBSTITUTE(SUBSTITUTE(IFERROR(TRIM(SUBSTITUTE(A19,MID(A19,FIND("(",A19),FIND(")",A19)-FIND("(",A19)+1),"")),A19)," ",""),"-",""))-FIND("[",SUBSTITUTE(SUBSTITUTE(IFERROR(TRIM(SUBSTITUTE(A19,MID(A19,FIND("(",A19),FIND(")",A19)-FIND("(",A19)+1),"")),A19)," ",""),"-",""))+1),"")),SUBSTITUTE(SUBSTITUTE(IFERROR(TRIM(SUBSTITUTE(A19,MID(A19,FIND("(",A19),FIND(")",A19)-FIND("(",A19)+1),"")),A19)," ",""),"-",""))," ",""),"-",""))&amp;CHAR(34)&amp;",")</f>
        <v>"lets08",</v>
      </c>
      <c r="DE19" s="48" t="str">
        <f>IFERROR(CHAR(34)&amp;"start"&amp;LEFT(TRIM(SUBSTITUTE(SUBSTITUTE(TRIM(SUBSTITUTE(SUBSTITUTE(A19, MID(A19, FIND("[", A19), FIND("]", A19) - FIND("[", A19) + 1), ""), "  ", " ")), MID(TRIM(SUBSTITUTE(SUBSTITUTE(A19, MID(A19, FIND("[", A19), FIND("]", A19) - FIND("[", A19) + 1), ""), "  ", " ")), FIND("[", TRIM(SUBSTITUTE(SUBSTITUTE(A19, MID(A19, FIND("[", A19), FIND("]", A19) - FIND("[", A19) + 1), ""), "  ", " "))), FIND("]", TRIM(SUBSTITUTE(SUBSTITUTE(A19, MID(A19, FIND("[", A19), FIND("]", A19) - FIND("[", A19) + 1), ""), "  ", " "))) - FIND("[", TRIM(SUBSTITUTE(SUBSTITUTE(A19, MID(A19, FIND("[", A19), FIND("]", A19) - FIND("[", A19) + 1), ""), "  ", " "))) + 1), ""), "  ", " ")),1)&amp;CHAR(34)&amp;",",CHAR(34)&amp;"start"&amp;IFERROR(LEFT(SUBSTITUTE(A19,"["&amp;MID(A19,FIND("[",A19)+1,FIND("]",A19)-FIND("[",A19)-1)&amp;"] ",""),1),LEFT(A19,1))&amp;CHAR(34)&amp;",")</f>
        <v>"startA",</v>
      </c>
      <c r="DF19" s="48" t="str">
        <f>IFERROR(IF(SEARCH("tan",A19)&gt;0,CHAR(34)&amp;"withtn"&amp;CHAR(34)&amp;",",""),"")</f>
        <v/>
      </c>
      <c r="DG19" s="48" t="str">
        <f>IFERROR(IF(SEARCH("q",A19)&gt;0,CHAR(34)&amp;"with_q"&amp;CHAR(34)&amp;",",""),"")</f>
        <v/>
      </c>
      <c r="DH19" s="48" t="str">
        <f>IFERROR(IF(SEARCH("v",A19)&gt;0,CHAR(34)&amp;"with_v"&amp;CHAR(34)&amp;",",""),"")</f>
        <v/>
      </c>
      <c r="DI19" s="48" t="str">
        <f>IFERROR(IF(SEARCH("w",A19)&gt;0,CHAR(34)&amp;"with_w"&amp;CHAR(34)&amp;",",""),"")</f>
        <v/>
      </c>
      <c r="DJ19" s="48" t="str">
        <f>IFERROR(IF(SEARCH("y",A19)&gt;0,CHAR(34)&amp;"with_y"&amp;CHAR(34)&amp;",",""),"")</f>
        <v/>
      </c>
      <c r="DK19" s="48" t="str">
        <f>IFERROR(IF(SEARCH("z",A19)&gt;0,CHAR(34)&amp;"with_z"&amp;CHAR(34)&amp;",",""),"")</f>
        <v/>
      </c>
      <c r="DL19" s="48" t="str">
        <f>IF(CG19=2, CHAR(34) &amp; _xlfn.TEXTJOIN("", TRUE, _xlfn._xlws.SORT(HP19:HX19)) &amp; CHAR(34) &amp; ",", "")</f>
        <v/>
      </c>
      <c r="DM19" s="48" t="str" cm="1">
        <f t="array" ref="DM19">IF(CG19=3,CHAR(34) &amp; _xlfn.TEXTJOIN("", TRUE, RIGHT(HP19:HX19, 2)) &amp; CHAR(34) &amp; ",", "")</f>
        <v/>
      </c>
      <c r="DN19" s="48" t="str">
        <f>IF(AND(ISNUMBER(SEARCH("18", O19)), ISERROR(SEARCH("1918", O19)), ISERROR(SEARCH("2018", O19))), CHAR(34) &amp; "year18" &amp; CHAR(34) &amp; ",", "")</f>
        <v/>
      </c>
      <c r="DO19" s="48" t="str">
        <f>IF(AND(ISNUMBER(SEARCH("19", O19)), ISERROR(SEARCH("1819", O19)),  ISERROR(SEARCH("1219", O19)),ISERROR(SEARCH("1119", O19)),ISERROR(SEARCH("1190", O19)),ISERROR(SEARCH("2019", O19))), CHAR(34) &amp; "year19" &amp; CHAR(34) &amp; ",", "")</f>
        <v>"year19",</v>
      </c>
      <c r="DP19" s="6" t="str">
        <f>IF(AND(ISNUMBER(SEARCH("20", O19)), ISERROR(SEARCH("1920", O19))), CHAR(34)&amp;"year00"&amp;CHAR(34)&amp;",", "")</f>
        <v/>
      </c>
      <c r="DQ19" s="6" t="str">
        <f>IF(CC19="y",CHAR(34)&amp;"soviet"&amp;CHAR(34)&amp;",","")</f>
        <v/>
      </c>
      <c r="DR19" s="6" t="str">
        <f>IF(BY19="y",CHAR(34)&amp;"dgband"&amp;CHAR(34)&amp;",","")</f>
        <v/>
      </c>
      <c r="DS19" s="6" t="str">
        <f>IF(W19="y",IF(AND(V19="n",BY19&lt;&gt;"y"),CHAR(34)&amp;"allver"&amp;CHAR(34)&amp;",",""),"")</f>
        <v/>
      </c>
      <c r="DT19" s="6" t="str">
        <f>IF(V19="y",IF(AND(W19="n",BY19&lt;&gt;"y"),CHAR(34)&amp;"allhor"&amp;CHAR(34)&amp;",",""),"")</f>
        <v/>
      </c>
      <c r="DU19" s="6" t="str">
        <f>IF(BY19="y",IF(AND(W19="n",V19="n"),CHAR(34)&amp;"alldia"&amp;CHAR(34)&amp;",",""),"")</f>
        <v/>
      </c>
      <c r="DV19" s="48" t="str">
        <f>IF(IA19&lt;&gt;"",(IF(IA19="y",CHAR(34)&amp;"largec"&amp;CHAR(34)&amp;",",CHAR(34)&amp;"smallc"&amp;CHAR(34)&amp;",")),"")</f>
        <v/>
      </c>
      <c r="DW19" s="48" t="str">
        <f t="shared" si="104"/>
        <v/>
      </c>
      <c r="DX19" s="48" t="str">
        <f t="shared" si="104"/>
        <v/>
      </c>
      <c r="DY19" s="48" t="str">
        <f t="shared" si="104"/>
        <v/>
      </c>
      <c r="DZ19" s="48" t="str">
        <f t="shared" si="104"/>
        <v>"4+Band",</v>
      </c>
      <c r="EA19" s="48" t="str">
        <f t="shared" si="105"/>
        <v/>
      </c>
      <c r="EB19" s="48" t="str">
        <f t="shared" si="105"/>
        <v>"Crosse",</v>
      </c>
      <c r="EC19" s="48" t="str">
        <f t="shared" si="105"/>
        <v>"Horizo",</v>
      </c>
      <c r="ED19" s="48" t="str">
        <f t="shared" si="105"/>
        <v>"Vertic",</v>
      </c>
      <c r="EE19" s="48" t="str">
        <f t="shared" si="105"/>
        <v/>
      </c>
      <c r="EF19" s="48" t="str">
        <f>IF(AND(Y19&lt;&gt;"n",Y19&lt;&gt;""),CHAR(34)&amp;Y$1&amp;CHAR(34)&amp;",","")</f>
        <v>"Animal",</v>
      </c>
      <c r="EG19" s="48" t="str">
        <f t="shared" si="108"/>
        <v/>
      </c>
      <c r="EH19" s="48" t="str">
        <f t="shared" si="108"/>
        <v>"Plants",</v>
      </c>
      <c r="EI19" s="48" t="str">
        <f t="shared" si="108"/>
        <v/>
      </c>
      <c r="EJ19" s="48" t="str">
        <f t="shared" si="108"/>
        <v/>
      </c>
      <c r="EK19" s="48" t="str">
        <f t="shared" si="108"/>
        <v/>
      </c>
      <c r="EL19" s="48" t="str">
        <f t="shared" si="108"/>
        <v/>
      </c>
      <c r="EM19" s="48" t="str">
        <f t="shared" si="108"/>
        <v/>
      </c>
      <c r="EN19" s="48" t="str">
        <f t="shared" si="108"/>
        <v/>
      </c>
      <c r="EO19" s="48" t="str">
        <f t="shared" si="108"/>
        <v/>
      </c>
      <c r="EP19" s="48" t="str">
        <f t="shared" si="108"/>
        <v/>
      </c>
      <c r="EQ19" s="48" t="str">
        <f t="shared" si="108"/>
        <v/>
      </c>
      <c r="ER19" s="48" t="str">
        <f t="shared" si="108"/>
        <v/>
      </c>
      <c r="ES19" s="48" t="str">
        <f t="shared" si="108"/>
        <v/>
      </c>
      <c r="ET19" s="48" t="str">
        <f t="shared" si="108"/>
        <v/>
      </c>
      <c r="EU19" s="48" t="str">
        <f t="shared" si="108"/>
        <v/>
      </c>
      <c r="EV19" s="48" t="str">
        <f t="shared" si="108"/>
        <v/>
      </c>
      <c r="EW19" s="48" t="str">
        <f t="shared" si="107"/>
        <v>"Ships!",</v>
      </c>
      <c r="EX19" s="48" t="str">
        <f t="shared" si="107"/>
        <v/>
      </c>
      <c r="EY19" s="48" t="str">
        <f t="shared" si="107"/>
        <v/>
      </c>
      <c r="EZ19" s="48" t="str">
        <f t="shared" si="107"/>
        <v/>
      </c>
      <c r="FA19" s="48" t="str">
        <f>IF(AT19&gt;0,CHAR(34)&amp;"sta"&amp;AZ19&amp;CHAR(34)&amp;",","")</f>
        <v/>
      </c>
      <c r="FB19" s="48" t="str">
        <f>IF(AND(AT19&gt;0,BA19&lt;&gt;""),CHAR(34)&amp;"sta"&amp;BA19&amp;CHAR(34)&amp;",","")</f>
        <v/>
      </c>
      <c r="FC19" s="48" t="str">
        <f>IF(AND(AT19&gt;0,BB19&lt;&gt;""),CHAR(34)&amp;"sta"&amp;BB19&amp;CHAR(34)&amp;",","")</f>
        <v/>
      </c>
      <c r="FD19" s="48" t="str">
        <f>IF(BV19="n",CHAR(34)&amp;"tcWHYE"&amp;CHAR(34)&amp;",",IF(BV19="y",CHAR(34)&amp;FD$1&amp;CHAR(34)&amp;",",""))</f>
        <v>"ntWHYE",</v>
      </c>
      <c r="FE19" s="48" t="str">
        <f>IF(COUNTIF(BL19:BT19,"BLU")=0,CHAR(34)&amp;"NO_BLU"&amp;CHAR(34)&amp;",", "")</f>
        <v/>
      </c>
      <c r="FF19" s="48" t="str">
        <f>IF(COUNTIF(BL19:BT19,"WHI")=0,CHAR(34)&amp;"NO_WHI"&amp;CHAR(34)&amp;",", "")</f>
        <v/>
      </c>
      <c r="FG19" s="48" t="str">
        <f>IF(COUNTIF(BL19:BT19,"RED")=0,CHAR(34)&amp;"NO_RED"&amp;CHAR(34)&amp;",", "")</f>
        <v/>
      </c>
      <c r="FH19" s="48" t="str">
        <f>IF(COUNTIF(BL19:BS19,"GRE")=0,CHAR(34)&amp;"NO_GRE"&amp;CHAR(34)&amp;",", "")</f>
        <v/>
      </c>
      <c r="FI19" s="48" t="str">
        <f>IF(COUNTIF(BL19:BT19,"YEL")=0,CHAR(34)&amp;"NO_YEL"&amp;CHAR(34)&amp;",", "")</f>
        <v/>
      </c>
      <c r="FJ19" s="48" t="str">
        <f>IF(COUNTIF(BL19:BT19,"BLA")=0,CHAR(34)&amp;"NO_BLA"&amp;CHAR(34)&amp;",", "")</f>
        <v/>
      </c>
      <c r="FK19" s="48" t="str">
        <f>IF(AND(FH19&lt;&gt;"",FF19&lt;&gt;""),CHAR(34)&amp;"WHGRNO"&amp;CHAR(34)&amp;",","")</f>
        <v/>
      </c>
      <c r="FL19" s="48" t="str">
        <f>IF(AND(FI19&lt;&gt;"",FF19&lt;&gt;""),CHAR(34)&amp;"WHYENO"&amp;CHAR(34)&amp;",","")</f>
        <v/>
      </c>
      <c r="FM19" s="48" t="str">
        <f>IF(AND(FJ19&lt;&gt;"",FF19&lt;&gt;""),CHAR(34)&amp;"BAWHNO"&amp;CHAR(34)&amp;",","")</f>
        <v/>
      </c>
      <c r="FN19" s="48" t="str">
        <f>IF(AND(FE19&lt;&gt;"",FF19&lt;&gt;""),CHAR(34)&amp;"BLWHNO"&amp;CHAR(34)&amp;",","")</f>
        <v/>
      </c>
      <c r="FO19" s="48" t="str">
        <f>IF(AND(FE19&lt;&gt;"",FG19&lt;&gt;""),CHAR(34)&amp;"BLRENO"&amp;CHAR(34)&amp;",","")</f>
        <v/>
      </c>
      <c r="FP19" s="48" t="str">
        <f>IF(AND(FF19&lt;&gt;"",FF19&lt;&gt;""),CHAR(34)&amp;"WHRENO"&amp;CHAR(34)&amp;",","")</f>
        <v/>
      </c>
      <c r="FQ19" s="48" t="str">
        <f>IF(LEN(BF19)=3,CHAR(34)&amp;"001"&amp;BF19&amp;CHAR(34)&amp;",","")</f>
        <v>"001RED",</v>
      </c>
      <c r="FR19" s="48" t="str">
        <f>IF(LEN(BG19)=3,CHAR(34)&amp;"002"&amp;BG19&amp;CHAR(34)&amp;",","")</f>
        <v>"002WHI",</v>
      </c>
      <c r="FS19" s="48" t="str">
        <f>IF(LEN(BH19)=3,CHAR(34)&amp;"003"&amp;BH19&amp;CHAR(34)&amp;",","")</f>
        <v>"003BLU",</v>
      </c>
      <c r="FT19" s="48" t="str">
        <f>CHAR(34)&amp;"myr"&amp;BD19&amp;CHAR(34)&amp;","</f>
        <v>"myrEQ",</v>
      </c>
      <c r="FU19" s="48" t="str">
        <f>IF(AY19="y",CHAR(34)&amp;"island"&amp;CHAR(34)&amp;",","")</f>
        <v/>
      </c>
      <c r="FV19" s="48" t="str">
        <f>IF(BZ19="y",CHAR(34)&amp;"landlo"&amp;CHAR(34)&amp;",","")</f>
        <v>"landlo",</v>
      </c>
      <c r="FW19" s="48" t="str">
        <f>IF(CA19="y",CHAR(34)&amp;"eunion"&amp;CHAR(34)&amp;",","")</f>
        <v/>
      </c>
      <c r="FX19" s="48" t="str">
        <f>SUBSTITUTE(IFERROR(SEARCH("[",A19),IFERROR(IF(AND(CA19&lt;&gt;"y",SEARCH("Europe",R19)&gt;0),CHAR(34)&amp;"noeuni"&amp;CHAR(34)&amp;",",""),"")),"1","")</f>
        <v/>
      </c>
      <c r="FY19" s="48" t="str">
        <f>IFERROR(IF(SEARCH("Arabic",CB19)&gt;0,CHAR(34)&amp;"arabic"&amp;CHAR(34)&amp;",",""),"")</f>
        <v/>
      </c>
      <c r="FZ19" s="48" t="str">
        <f>IFERROR(IF(SEARCH("English",CB19)&gt;0,CHAR(34)&amp;"englis"&amp;CHAR(34)&amp;",",""),"")</f>
        <v/>
      </c>
      <c r="GA19" s="48" t="str">
        <f>IFERROR(IF(SEARCH("French",CB19)&gt;0,CHAR(34)&amp;"french"&amp;CHAR(34)&amp;",",""),"")</f>
        <v/>
      </c>
      <c r="GB19" s="48" t="str">
        <f>IFERROR(IF(SEARCH("Spanish",CB19)&gt;0,CHAR(34)&amp;"spanis"&amp;CHAR(34)&amp;",",""),"")</f>
        <v>"spanis",</v>
      </c>
      <c r="GC19" s="48" t="str">
        <f>IFERROR(IF(SEARCH("Portuguese",CB19)&gt;0,CHAR(34)&amp;"portug"&amp;CHAR(34)&amp;",",""),"")</f>
        <v/>
      </c>
      <c r="GD19" s="48" t="str">
        <f>IFERROR(IF(SEARCH("German",CB19)&gt;0,CHAR(34)&amp;"german"&amp;CHAR(34)&amp;",",""),"")</f>
        <v/>
      </c>
      <c r="GE19" s="48" t="str">
        <f>IFERROR(IF(SEARCH("Dutch",CB19)&gt;0,CHAR(34)&amp;"dutchs"&amp;CHAR(34)&amp;",",""),"")</f>
        <v/>
      </c>
      <c r="GF19" s="48" t="str">
        <f>IFERROR(IF(SEARCH("Histor",AU19)&gt;0,CHAR(34)&amp;"histor"&amp;CHAR(34)&amp;",",""),"")</f>
        <v/>
      </c>
      <c r="GG19" s="48" t="str">
        <f>IF(BU19="y",CHAR(34)&amp;"unjack"&amp;CHAR(34)&amp;",","")</f>
        <v/>
      </c>
      <c r="GH19" s="48" t="str">
        <f>IF(CD19=1,CHAR(34)&amp;"southc"&amp;CHAR(34)&amp;",","")</f>
        <v/>
      </c>
      <c r="GI19" s="48" t="str">
        <f>IF(CE19=1,CHAR(34)&amp;"hasmap"&amp;CHAR(34)&amp;",","")</f>
        <v/>
      </c>
      <c r="GJ19" s="48" t="str">
        <f>IF(CP19="y",CHAR(34)&amp;CP$1&amp;CHAR(34)&amp;",","")</f>
        <v>"NoStar",</v>
      </c>
      <c r="GK19" s="48" t="str">
        <f>IF(GJ19="",CHAR(34)&amp;"HasSta"&amp;CHAR(34)&amp;",","")</f>
        <v/>
      </c>
      <c r="GL19" s="48" t="str">
        <f t="shared" si="106"/>
        <v/>
      </c>
      <c r="GM19" s="48" t="str">
        <f t="shared" si="106"/>
        <v/>
      </c>
      <c r="GN19" s="48" t="str">
        <f t="shared" si="106"/>
        <v/>
      </c>
      <c r="GP19" s="48" t="str">
        <f>CHAR(34)&amp;AU19&amp;CHAR(34)</f>
        <v>"City"</v>
      </c>
      <c r="GS19" s="48" t="str">
        <f>SUBSTITUTE("["&amp;_xlfn.CONCAT(CW19:GN19)&amp;"]",",]","]")</f>
        <v>["5+Colo","lets08","startA","year19","4+Band","Crosse","Horizo","Vertic","Animal","Plants","Ships!","ntWHYE","001RED","002WHI","003BLU","myrEQ","landlo","spanis","NoStar"]</v>
      </c>
      <c r="GT19" s="48" t="str">
        <f t="shared" si="109"/>
        <v>"cl_RED",</v>
      </c>
      <c r="GU19" s="48" t="str">
        <f t="shared" si="109"/>
        <v>"cl_WHI",</v>
      </c>
      <c r="GV19" s="48" t="str">
        <f t="shared" si="109"/>
        <v>"cl_BLU",</v>
      </c>
      <c r="GW19" s="48" t="str">
        <f t="shared" si="109"/>
        <v>"cl_GRE",</v>
      </c>
      <c r="GX19" s="48" t="str">
        <f t="shared" si="109"/>
        <v>"cl_YEL",</v>
      </c>
      <c r="GY19" s="48" t="str">
        <f t="shared" si="109"/>
        <v>"cl_BLA",</v>
      </c>
      <c r="GZ19" s="48" t="str">
        <f t="shared" si="109"/>
        <v/>
      </c>
      <c r="HA19" s="48" t="str">
        <f t="shared" si="109"/>
        <v/>
      </c>
      <c r="HB19" s="48" t="str">
        <f t="shared" si="109"/>
        <v/>
      </c>
      <c r="HC19" s="48" t="str">
        <f>SUBSTITUTE("["&amp;_xlfn.CONCAT(GT19:HB19)&amp;"]",",]","]")</f>
        <v>["cl_RED","cl_WHI","cl_BLU","cl_GRE","cl_YEL","cl_BLA"]</v>
      </c>
      <c r="HE19" s="71"/>
      <c r="HF19" s="72" t="str">
        <f>"{couname:"&amp;CT19&amp;(IF(HK19&lt;&gt;"",",subtype:"&amp;CHAR(34)&amp;HK19&amp;CHAR(34),""))&amp;",year:"&amp;HJ19&amp;",region:"&amp;CU19&amp;",Colors:"&amp;HC19&amp;",Items:"&amp;GS19&amp;",Flag:"&amp;CV19&amp;",HDFlag:"&amp;CHAR(34)&amp;E19&amp;CHAR(34)&amp;",type:"&amp;GP19&amp;", describe: "&amp;HH19&amp;", isnew:"&amp;CHAR(34)&amp;F19&amp;CHAR(34)&amp;", links: "&amp;HL19&amp;"},"</f>
        <v>{couname:"[AUS] Adelaide",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links: "https://en.m.wikipedia.org/wiki/Flag_of_Adelaide"},</v>
      </c>
      <c r="HG19" s="73" t="str">
        <f>"{couname:"&amp;CT19&amp;(IF(HK19&lt;&gt;"",",subtype:"&amp;CHAR(34)&amp;HK19&amp;CHAR(34),""))&amp;",year:"&amp;HJ19&amp;",region:"&amp;CU19&amp;",Colors:"&amp;HC19&amp;",Items:"&amp;GS19&amp;",Flag:"&amp;CV19&amp;",HDFlag:"&amp;CHAR(34)&amp;E19&amp;CHAR(34)&amp;",type:"&amp;GP19&amp;", describe: "&amp;HI19&amp;", links: "&amp;HL19&amp;"},"</f>
        <v>{couname:"[AUS] Adelaide",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links: "https://en.m.wikipedia.org/wiki/Flag_of_Adelaide"},</v>
      </c>
      <c r="HH19" s="48" t="str">
        <f>IF(P19&lt;&gt;"",CHAR(34)&amp;"\n"&amp;P19&amp;CHAR(34),CHAR(34)&amp;CHAR(34))</f>
        <v>"\nNavy blue background divided into four quarters by a Saint George's Cross outlined in gold overlain with the Arms of the City of Adelaide. The flag is bordered on three sides by diagonal blue and gold stripes."</v>
      </c>
      <c r="HI19" s="48" t="str">
        <f>IF(J19=0,CHAR(34)&amp;CHAR(34),HH19)</f>
        <v>"\nNavy blue background divided into four quarters by a Saint George's Cross outlined in gold overlain with the Arms of the City of Adelaide. The flag is bordered on three sides by diagonal blue and gold stripes."</v>
      </c>
      <c r="HJ19" s="48" t="str">
        <f>CHAR(34)&amp;O19&amp;CHAR(34)</f>
        <v>"1982"</v>
      </c>
      <c r="HL19" s="48" t="str">
        <f>CHAR(34)&amp;I19&amp;CHAR(34)</f>
        <v>"https://en.m.wikipedia.org/wiki/Flag_of_Adelaide"</v>
      </c>
      <c r="HM19" s="72"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"&amp;HH19&amp;", "&amp;CHAR(34)&amp;"isnew"&amp;CHAR(34)&amp;": "&amp;CHAR(34)&amp;F19&amp;CHAR(34)&amp;", "&amp;CHAR(34)&amp;"links"&amp;CHAR(34)&amp;": "&amp;HL19&amp;"},"</f>
        <v>{"couname":"[AUS] Adelaide","subtype":"[AUS] South Australia","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 "links": "https://en.m.wikipedia.org/wiki/Flag_of_Adelaide"},</v>
      </c>
      <c r="HN19" s="74" t="str">
        <f>"{"&amp;CHAR(34)&amp;"couname"&amp;CHAR(34)&amp;":"&amp;CT19&amp;(IF(H19&lt;&gt;"",","&amp;CHAR(34)&amp;"subtype"&amp;CHAR(34)&amp;":"&amp;CHAR(34)&amp;H19&amp;CHAR(34),""))&amp;","&amp;CHAR(34)&amp;"year"&amp;CHAR(34)&amp;":"&amp;HJ19&amp;","&amp;CHAR(34)&amp;"region"&amp;CHAR(34)&amp;":"&amp;CU19&amp;","&amp;CHAR(34)&amp;"Colors"&amp;CHAR(34)&amp;":"&amp;HC19&amp;","&amp;CHAR(34)&amp;"Items"&amp;CHAR(34)&amp;":"&amp;GS19&amp;","&amp;CHAR(34)&amp;"Flag"&amp;CHAR(34)&amp;":"&amp;CV19&amp;","&amp;CHAR(34)&amp;"HDFlag"&amp;CHAR(34)&amp;":"&amp;CHAR(34)&amp;E19&amp;CHAR(34)&amp;","&amp;CHAR(34)&amp;"type"&amp;CHAR(34)&amp;":"&amp;GP19&amp;", "&amp;CHAR(34)&amp;"describe"&amp;CHAR(34)&amp;": "&amp;HI19&amp;", "&amp;CHAR(34)&amp;"isnew"&amp;CHAR(34)&amp;": "&amp;CHAR(34)&amp;F19&amp;CHAR(34)&amp;", "&amp;CHAR(34)&amp;"links"&amp;CHAR(34)&amp;": "&amp;HL19&amp;"},"</f>
        <v>{"couname":"[AUS] Adelaide","subtype":"[AUS] South Australia","year":"1982","region":"rgn_Oceania","Colors":["cl_RED","cl_WHI","cl_BLU","cl_GRE","cl_YEL","cl_BLA"],"Items":["5+Colo","lets08","startA","year19","4+Band","Crosse","Horizo","Vertic","Animal","Plants","Ships!","ntWHYE","001RED","002WHI","003BLU","myrEQ","landlo","spanis","NoStar"],"Flag":"https://upload.wikimedia.org/wikipedia/commons/thumb/6/69/Flag_of_Adelaide.svg/640px-Flag_of_Adelaide.svg.png","HDFlag":"https://upload.wikimedia.org/wikipedia/commons/thumb/6/69/Flag_of_Adelaide.svg/2560px-Flag_of_Adelaide.svg.png","type":"City", "describe": "\nNavy blue background divided into four quarters by a Saint George's Cross outlined in gold overlain with the Arms of the City of Adelaide. The flag is bordered on three sides by diagonal blue and gold stripes.", "isnew": ".", "links": "https://en.m.wikipedia.org/wiki/Flag_of_Adelaide"},</v>
      </c>
      <c r="HO19" s="75"/>
      <c r="HP19" s="48" t="str" cm="1">
        <f t="array" ref="HP19">IF(_xlfn.TEXTJOIN(", ", TRUE, IF(ISNUMBER(SEARCH("BLA", BL19:BT19)), COLUMN(BL19:BT19) - COLUMN(BL19) + 1, ""))&lt;&gt;"","BLA","")</f>
        <v>BLA</v>
      </c>
      <c r="HQ19" s="48" t="str" cm="1">
        <f t="array" ref="HQ19">IF(_xlfn.TEXTJOIN(", ", TRUE, IF(ISNUMBER(SEARCH("BLU", BL19:BT19)), COLUMN(BL19:BT19) - COLUMN(BL19) + 1, ""))&lt;&gt;"","BLU","")</f>
        <v>BLU</v>
      </c>
      <c r="HR19" s="48" t="str" cm="1">
        <f t="array" ref="HR19">IF(_xlfn.TEXTJOIN(", ", TRUE, IF(ISNUMBER(SEARCH("GRE", BL19:BT19)), COLUMN(BL19:BT19) - COLUMN(BL19) + 1, ""))&lt;&gt;"","GRE","")</f>
        <v>GRE</v>
      </c>
      <c r="HS19" s="48" t="str" cm="1">
        <f t="array" ref="HS19">IF(_xlfn.TEXTJOIN(", ", TRUE, IF(ISNUMBER(SEARCH("RED", BL19:BT19)), COLUMN(BL19:BT19) - COLUMN(BL19) + 1, ""))&lt;&gt;"","RED","")</f>
        <v>RED</v>
      </c>
      <c r="HT19" s="48" t="str" cm="1">
        <f t="array" ref="HT19">IF(_xlfn.TEXTJOIN(", ", TRUE, IF(ISNUMBER(SEARCH("YEL", BL19:BT19)), COLUMN(BL19:BT19) - COLUMN(BL19) + 1, ""))&lt;&gt;"","YEL","")</f>
        <v>YEL</v>
      </c>
      <c r="HU19" s="48" t="str" cm="1">
        <f t="array" ref="HU19">IF(_xlfn.TEXTJOIN(", ", TRUE, IF(ISNUMBER(SEARCH("ORA", BL19:BT19)), COLUMN(BL19:BT19) - COLUMN(BL19) + 1, ""))&lt;&gt;"","ORA","")</f>
        <v/>
      </c>
      <c r="HV19" s="48" t="str" cm="1">
        <f t="array" ref="HV19">IF(_xlfn.TEXTJOIN(", ", TRUE, IF(ISNUMBER(SEARCH("BRO", BL19:BT19)), COLUMN(BL19:BT19) - COLUMN(BL19) + 1, ""))&lt;&gt;"","BRO","")</f>
        <v/>
      </c>
      <c r="HW19" s="48" t="str" cm="1">
        <f t="array" ref="HW19">IF(_xlfn.TEXTJOIN(", ", TRUE, IF(ISNUMBER(SEARCH("PUR", BL19:BT19)), COLUMN(BL19:BT19) - COLUMN(BL19) + 1, ""))&lt;&gt;"","PUR","")</f>
        <v/>
      </c>
      <c r="HX19" s="48" t="str" cm="1">
        <f t="array" ref="HX19">IF(_xlfn.TEXTJOIN(", ", TRUE, IF(ISNUMBER(SEARCH("WHI", BL19:BT19)), COLUMN(BL19:BT19) - COLUMN(BL19) + 1, ""))&lt;&gt;"","WHI","")</f>
        <v>WHI</v>
      </c>
      <c r="HY19" s="76"/>
      <c r="HZ19" s="76"/>
      <c r="IA19" s="6"/>
      <c r="IB19" s="6"/>
      <c r="IC19" s="77"/>
      <c r="ID19" s="77"/>
      <c r="IE19" s="77"/>
      <c r="IF19" s="77"/>
      <c r="IG19" s="77"/>
      <c r="IH19" s="77"/>
      <c r="II19" s="77"/>
      <c r="IJ19" s="77"/>
      <c r="IK19" s="77"/>
      <c r="IL19" s="48">
        <f>SUM(IC19:IK19)</f>
        <v>0</v>
      </c>
      <c r="IM19" s="45">
        <f>COUNTIF(IC19:IK19,"&gt;0")-CG19</f>
        <v>-6</v>
      </c>
      <c r="IN19" s="78" t="str">
        <f>"http://mkweb.bcgsc.ca/color-summarizer/?url="&amp;D19&amp;"&amp;precision=low&amp;num_clusters="&amp;CG19&amp;"&amp;text=1"</f>
        <v>http://mkweb.bcgsc.ca/color-summarizer/?url=https://upload.wikimedia.org/wikipedia/commons/thumb/6/69/Flag_of_Adelaide.svg/640px-Flag_of_Adelaide.svg.png&amp;precision=low&amp;num_clusters=6&amp;text=1</v>
      </c>
      <c r="IO19" s="48" t="str">
        <f>IF(HP19&lt;&gt;"",CHAR(34)&amp;"black"&amp;CHAR(34),"")</f>
        <v>"black"</v>
      </c>
      <c r="IP19" s="48" t="str">
        <f>IF(HQ19&lt;&gt;"",CHAR(34)&amp;"blue"&amp;CHAR(34),"")</f>
        <v>"blue"</v>
      </c>
      <c r="IQ19" s="48" t="str">
        <f>IF(HR19&lt;&gt;"",CHAR(34)&amp;"green"&amp;CHAR(34),"")</f>
        <v>"green"</v>
      </c>
      <c r="IR19" s="48" t="str">
        <f>IF(HS19&lt;&gt;"",CHAR(34)&amp;"red"&amp;CHAR(34),"")</f>
        <v>"red"</v>
      </c>
      <c r="IS19" s="48" t="str">
        <f>IF(HT19&lt;&gt;"",CHAR(34)&amp;"yellow"&amp;CHAR(34),"")</f>
        <v>"yellow"</v>
      </c>
      <c r="IT19" s="48" t="str">
        <f>IF(HU19&lt;&gt;"",CHAR(34)&amp;"orange"&amp;CHAR(34),"")</f>
        <v/>
      </c>
      <c r="IU19" s="48" t="str">
        <f>IF(HV19&lt;&gt;"",CHAR(34)&amp;"brown"&amp;CHAR(34),"")</f>
        <v/>
      </c>
      <c r="IV19" s="48" t="str">
        <f>IF(HW19&lt;&gt;"",CHAR(34)&amp;"purple"&amp;CHAR(34),"")</f>
        <v/>
      </c>
      <c r="IW19" s="48" t="str">
        <f>IF(HX19&lt;&gt;"",CHAR(34)&amp;"white"&amp;CHAR(34),"")</f>
        <v>"white"</v>
      </c>
      <c r="IX19" s="48" t="str">
        <f>"{"&amp;CHAR(34)&amp;"url"&amp;CHAR(34)&amp;":"&amp;CHAR(34)&amp;IN19&amp;CHAR(34)&amp;","&amp;CHAR(34)&amp;"name"&amp;CHAR(34)&amp;":"&amp;CHAR(34)&amp;A19&amp;CHAR(34)&amp;"},"</f>
        <v>{"url":"http://mkweb.bcgsc.ca/color-summarizer/?url=https://upload.wikimedia.org/wikipedia/commons/thumb/6/69/Flag_of_Adelaide.svg/640px-Flag_of_Adelaide.svg.png&amp;precision=low&amp;num_clusters=6&amp;text=1","name":"[AUS] Adelaide"},</v>
      </c>
      <c r="IY19" s="48">
        <v>170</v>
      </c>
    </row>
    <row r="20" spans="1:259" s="48" customFormat="1" ht="38.4" customHeight="1" thickBot="1" x14ac:dyDescent="0.35">
      <c r="A20" s="81" t="s">
        <v>707</v>
      </c>
      <c r="B20" s="40" t="e" vm="21">
        <v>#VALUE!</v>
      </c>
      <c r="C20" s="41">
        <v>3</v>
      </c>
      <c r="D20" s="42" t="s">
        <v>708</v>
      </c>
      <c r="E20" s="43" t="s">
        <v>709</v>
      </c>
      <c r="F20" s="44" t="s">
        <v>166</v>
      </c>
      <c r="G20" s="45">
        <f>COUNTIF($A$1:$A$8359,A20)</f>
        <v>1</v>
      </c>
      <c r="H20" s="46" t="s">
        <v>375</v>
      </c>
      <c r="I20" s="47" t="s">
        <v>710</v>
      </c>
      <c r="J20" s="48" t="str">
        <f>""</f>
        <v/>
      </c>
      <c r="K20" s="49"/>
      <c r="L20" s="50"/>
      <c r="M20" s="50"/>
      <c r="N20" s="51" t="s">
        <v>169</v>
      </c>
      <c r="O20" s="52" t="s">
        <v>711</v>
      </c>
      <c r="P20" s="53" t="s">
        <v>712</v>
      </c>
      <c r="Q20" s="54">
        <v>1</v>
      </c>
      <c r="R20" s="55" t="s">
        <v>169</v>
      </c>
      <c r="S20" s="56">
        <v>2</v>
      </c>
      <c r="T20" s="57" t="s">
        <v>173</v>
      </c>
      <c r="U20" s="58" t="s">
        <v>173</v>
      </c>
      <c r="V20" s="58" t="s">
        <v>172</v>
      </c>
      <c r="W20" s="58" t="s">
        <v>173</v>
      </c>
      <c r="X20" s="58" t="s">
        <v>173</v>
      </c>
      <c r="Y20" s="58" t="s">
        <v>172</v>
      </c>
      <c r="Z20" s="58" t="s">
        <v>173</v>
      </c>
      <c r="AA20" s="58" t="s">
        <v>173</v>
      </c>
      <c r="AB20" s="58" t="s">
        <v>173</v>
      </c>
      <c r="AC20" s="58" t="s">
        <v>173</v>
      </c>
      <c r="AD20" s="58" t="s">
        <v>173</v>
      </c>
      <c r="AE20" s="58" t="s">
        <v>173</v>
      </c>
      <c r="AF20" s="59" t="s">
        <v>173</v>
      </c>
      <c r="AG20" s="59" t="s">
        <v>173</v>
      </c>
      <c r="AH20" s="59" t="s">
        <v>173</v>
      </c>
      <c r="AI20" s="59" t="s">
        <v>173</v>
      </c>
      <c r="AJ20" s="59" t="s">
        <v>173</v>
      </c>
      <c r="AK20" s="59" t="s">
        <v>173</v>
      </c>
      <c r="AL20" s="59" t="s">
        <v>173</v>
      </c>
      <c r="AM20" s="59" t="s">
        <v>173</v>
      </c>
      <c r="AN20" s="59" t="s">
        <v>173</v>
      </c>
      <c r="AO20" s="59" t="s">
        <v>173</v>
      </c>
      <c r="AP20" s="59" t="s">
        <v>173</v>
      </c>
      <c r="AQ20" s="59" t="s">
        <v>173</v>
      </c>
      <c r="AR20" s="59" t="s">
        <v>173</v>
      </c>
      <c r="AS20" s="59" t="s">
        <v>173</v>
      </c>
      <c r="AT20" s="60">
        <v>1</v>
      </c>
      <c r="AU20" s="59" t="s">
        <v>357</v>
      </c>
      <c r="AV20" s="59" t="str">
        <f>IF(LEFT(A20,1)="[",LEFT(A20,5)&amp;AU20&amp;A20,"")</f>
        <v>[AUS]City[AUS] Hobart</v>
      </c>
      <c r="AW20" s="59" t="str">
        <f>C20&amp;H20&amp;A20</f>
        <v>3[AUS] Tasmania[AUS] Hobart</v>
      </c>
      <c r="AX20" s="61"/>
      <c r="AY20" s="61"/>
      <c r="AZ20" s="62" t="s">
        <v>192</v>
      </c>
      <c r="BA20" s="62" t="s">
        <v>192</v>
      </c>
      <c r="BB20" s="62"/>
      <c r="BC20" s="63"/>
      <c r="BD20" s="64" t="s">
        <v>154</v>
      </c>
      <c r="BE20" s="47"/>
      <c r="BF20" s="64" t="s">
        <v>154</v>
      </c>
      <c r="BG20" s="64" t="s">
        <v>159</v>
      </c>
      <c r="BH20" s="64" t="s">
        <v>154</v>
      </c>
      <c r="BI20" s="64"/>
      <c r="BJ20" s="64"/>
      <c r="BK20" s="47"/>
      <c r="BL20" s="64" t="s">
        <v>151</v>
      </c>
      <c r="BM20" s="64" t="s">
        <v>152</v>
      </c>
      <c r="BN20" s="64" t="s">
        <v>192</v>
      </c>
      <c r="BO20" s="64" t="s">
        <v>154</v>
      </c>
      <c r="BP20" s="64" t="s">
        <v>192</v>
      </c>
      <c r="BQ20" s="64" t="s">
        <v>192</v>
      </c>
      <c r="BR20" s="64" t="s">
        <v>192</v>
      </c>
      <c r="BS20" s="64" t="s">
        <v>192</v>
      </c>
      <c r="BT20" s="64" t="s">
        <v>159</v>
      </c>
      <c r="BU20" s="65"/>
      <c r="BV20" s="66"/>
      <c r="BW20" s="66">
        <v>0</v>
      </c>
      <c r="BX20" s="47"/>
      <c r="CB20" s="6"/>
      <c r="CC20" s="6"/>
      <c r="CD20" s="67">
        <v>0</v>
      </c>
      <c r="CE20" s="67">
        <v>0</v>
      </c>
      <c r="CF20" s="67" t="e">
        <v>#REF!</v>
      </c>
      <c r="CG20" s="68" cm="1">
        <f t="array" ref="CG20">SUMPRODUCT(--(LEN(TRIM(BL20:BT20))&gt;0))</f>
        <v>4</v>
      </c>
      <c r="CH20" s="59" t="str">
        <f>IF(CG20=2,"y","n")</f>
        <v>n</v>
      </c>
      <c r="CI20" s="59" t="str">
        <f>IF(CG20=3,"y","n")</f>
        <v>n</v>
      </c>
      <c r="CJ20" s="59" t="str">
        <f>IF(CG20=4,"y","n")</f>
        <v>y</v>
      </c>
      <c r="CK20" s="59" t="str">
        <f>IF(CG20&gt;4,"y","n")</f>
        <v>n</v>
      </c>
      <c r="CL20" s="59" t="str">
        <f>IF(S20=0,"y","n")</f>
        <v>n</v>
      </c>
      <c r="CM20" s="59" t="str">
        <f>IF(S20=2,"y","n")</f>
        <v>y</v>
      </c>
      <c r="CN20" s="59" t="str">
        <f>IF(S20=3,"y","n")</f>
        <v>n</v>
      </c>
      <c r="CO20" s="59" t="str">
        <f>IF(S20&gt;=4,"y","n")</f>
        <v>n</v>
      </c>
      <c r="CP20" s="59" t="str">
        <f>IF(AT20=0,"y","n")</f>
        <v>n</v>
      </c>
      <c r="CQ20" s="59" t="str">
        <f>IF(AT20=1,"y","n")</f>
        <v>y</v>
      </c>
      <c r="CR20" s="59" t="str">
        <f>IF(AT20=2,"y","n")</f>
        <v>n</v>
      </c>
      <c r="CS20" s="59" t="str">
        <f>IF(AT20&gt;=3,"y","n")</f>
        <v>n</v>
      </c>
      <c r="CT20" s="69" t="str">
        <f>CHAR(34)&amp;A20&amp;CHAR(34)</f>
        <v>"[AUS] Hobart"</v>
      </c>
      <c r="CU20" s="70" t="str">
        <f>CHAR(34)&amp;"rgn_"&amp;R20&amp;CHAR(34)</f>
        <v>"rgn_Oceania"</v>
      </c>
      <c r="CV20" s="48" t="str">
        <f>CHAR(34)&amp;D20&amp;CHAR(34)</f>
        <v>"https://upload.wikimedia.org/wikipedia/commons/thumb/5/54/City_of_Hobart_Flag.svg/640px-City_of_Hobart_Flag.svg.png"</v>
      </c>
      <c r="CW20" s="48" t="str">
        <f t="shared" si="103"/>
        <v/>
      </c>
      <c r="CX20" s="48" t="str">
        <f t="shared" si="103"/>
        <v/>
      </c>
      <c r="CY20" s="48" t="str">
        <f t="shared" si="103"/>
        <v>"4Color",</v>
      </c>
      <c r="CZ20" s="48" t="str">
        <f t="shared" si="103"/>
        <v/>
      </c>
      <c r="DA20" s="48" t="str">
        <f>IF(Q20&gt;1,CHAR(34)&amp;"words2"&amp;CHAR(34)&amp;",","")</f>
        <v/>
      </c>
      <c r="DB20" s="48" t="str">
        <f>IF(Q20&gt;2,CHAR(34)&amp;"words3"&amp;CHAR(34)&amp;",","")</f>
        <v/>
      </c>
      <c r="DD20" s="48" t="str">
        <f>IF(LEN(CHAR(34)&amp;"lets"&amp;LEN(SUBSTITUTE(SUBSTITUTE(IFERROR(TRIM(SUBSTITUTE(A20,MID(A20,FIND("[",A20),FIND("]",A20)-FIND("[",A20)+1),"")),A20)," ",""),"-",""))&amp;CHAR(34)&amp;",")=9,CHAR(34)&amp;"lets"&amp;LEN(SUBSTITUTE(SUBSTITUTE(IFERROR(TRIM(SUBSTITUTE(A20,MID(A20,FIND("[",A20),FIND("]",A20)-FIND("[",A20)+1),"")),A20)," ",""),"-",""))&amp;CHAR(34)&amp;",",CHAR(34)&amp;"lets0"&amp;LEN(SUBSTITUTE(SUBSTITUTE(IFERROR(TRIM(SUBSTITUTE(A20,MID(A20,FIND("[",A20),FIND("]",A20)-FIND("[",A20)+1),"")),A20)," ",""),"-",""))&amp;CHAR(34)&amp;",")</f>
        <v>"lets06",</v>
      </c>
      <c r="DE20" s="48" t="str">
        <f>CHAR(34)&amp;"start"&amp;IFERROR(LEFT(SUBSTITUTE(A20,"["&amp;MID(A20,FIND("[",A20)+1,FIND("]",A20)-FIND("[",A20)-1)&amp;"] ",""),1),LEFT(A20,1))&amp;CHAR(34)&amp;","</f>
        <v>"startH",</v>
      </c>
      <c r="DF20" s="48" t="str">
        <f>IFERROR(IF(SEARCH("tan",A20)&gt;0,CHAR(34)&amp;"withtn"&amp;CHAR(34)&amp;",",""),"")</f>
        <v/>
      </c>
      <c r="DG20" s="48" t="str">
        <f>IFERROR(IF(SEARCH("q",A20)&gt;0,CHAR(34)&amp;"with_q"&amp;CHAR(34)&amp;",",""),"")</f>
        <v/>
      </c>
      <c r="DH20" s="48" t="str">
        <f>IFERROR(IF(SEARCH("v",A20)&gt;0,CHAR(34)&amp;"with_v"&amp;CHAR(34)&amp;",",""),"")</f>
        <v/>
      </c>
      <c r="DI20" s="48" t="str">
        <f>IFERROR(IF(SEARCH("w",A20)&gt;0,CHAR(34)&amp;"with_w"&amp;CHAR(34)&amp;",",""),"")</f>
        <v/>
      </c>
      <c r="DJ20" s="48" t="str">
        <f>IFERROR(IF(SEARCH("y",A20)&gt;0,CHAR(34)&amp;"with_y"&amp;CHAR(34)&amp;",",""),"")</f>
        <v/>
      </c>
      <c r="DK20" s="48" t="str">
        <f>IFERROR(IF(SEARCH("z",A20)&gt;0,CHAR(34)&amp;"with_z"&amp;CHAR(34)&amp;",",""),"")</f>
        <v/>
      </c>
      <c r="DL20" s="48" t="str">
        <f>IF(CG20=2, CHAR(34) &amp; _xlfn.TEXTJOIN("", TRUE, _xlfn._xlws.SORT(HP20:HX20)) &amp; CHAR(34) &amp; ",", "")</f>
        <v/>
      </c>
      <c r="DM20" s="48" t="str" cm="1">
        <f t="array" ref="DM20">IF(CG20=3,CHAR(34) &amp; _xlfn.TEXTJOIN("", TRUE, RIGHT(HP20:HX20, 2)) &amp; CHAR(34) &amp; ",", "")</f>
        <v/>
      </c>
      <c r="DN20" s="48" t="str">
        <f>IF(AND(ISNUMBER(SEARCH("18", O20)), ISERROR(SEARCH("1918", O20)), ISERROR(SEARCH("2018", O20))), CHAR(34) &amp; "year18" &amp; CHAR(34) &amp; ",", "")</f>
        <v/>
      </c>
      <c r="DO20" s="48" t="str">
        <f>IF(AND(ISNUMBER(SEARCH("19", O20)), ISERROR(SEARCH("1819", O20)),  ISERROR(SEARCH("1219", O20)),ISERROR(SEARCH("1119", O20)),ISERROR(SEARCH("1190", O20)),ISERROR(SEARCH("2019", O20))), CHAR(34) &amp; "year19" &amp; CHAR(34) &amp; ",", "")</f>
        <v>"year19",</v>
      </c>
      <c r="DP20" s="6" t="str">
        <f>IF(AND(ISNUMBER(SEARCH("20", O20)), ISERROR(SEARCH("1920", O20))), CHAR(34)&amp;"year00"&amp;CHAR(34)&amp;",", "")</f>
        <v/>
      </c>
      <c r="DQ20" s="6" t="str">
        <f>IF(CC20="y",CHAR(34)&amp;"soviet"&amp;CHAR(34)&amp;",","")</f>
        <v/>
      </c>
      <c r="DR20" s="6" t="str">
        <f>IF(BY20="y",CHAR(34)&amp;"dgband"&amp;CHAR(34)&amp;",","")</f>
        <v/>
      </c>
      <c r="DS20" s="6" t="str">
        <f>IF(W20="y",IF(AND(V20="n",BY20&lt;&gt;"y"),CHAR(34)&amp;"allver"&amp;CHAR(34)&amp;",",""),"")</f>
        <v/>
      </c>
      <c r="DT20" s="6" t="str">
        <f>IF(V20="y",IF(AND(W20="n",BY20&lt;&gt;"y"),CHAR(34)&amp;"allhor"&amp;CHAR(34)&amp;",",""),"")</f>
        <v>"allhor",</v>
      </c>
      <c r="DU20" s="6" t="str">
        <f>IF(BY20="y",IF(AND(W20="n",V20="n"),CHAR(34)&amp;"alldia"&amp;CHAR(34)&amp;",",""),"")</f>
        <v/>
      </c>
      <c r="DW20" s="48" t="str">
        <f t="shared" si="104"/>
        <v/>
      </c>
      <c r="DX20" s="48" t="str">
        <f t="shared" si="104"/>
        <v>"2Bands",</v>
      </c>
      <c r="DY20" s="48" t="str">
        <f t="shared" si="104"/>
        <v/>
      </c>
      <c r="DZ20" s="48" t="str">
        <f t="shared" si="104"/>
        <v/>
      </c>
      <c r="EA20" s="48" t="str">
        <f t="shared" si="105"/>
        <v/>
      </c>
      <c r="EB20" s="48" t="str">
        <f t="shared" si="105"/>
        <v/>
      </c>
      <c r="EC20" s="48" t="str">
        <f t="shared" si="105"/>
        <v>"Horizo",</v>
      </c>
      <c r="ED20" s="48" t="str">
        <f t="shared" si="105"/>
        <v/>
      </c>
      <c r="EE20" s="48" t="str">
        <f t="shared" si="105"/>
        <v/>
      </c>
      <c r="EF20" s="48" t="str">
        <f>IF(AND(Y20&lt;&gt;"n",Y20&lt;&gt;""),CHAR(34)&amp;Y$1&amp;CHAR(34)&amp;",","")</f>
        <v>"Animal",</v>
      </c>
      <c r="EG20" s="48" t="str">
        <f t="shared" si="108"/>
        <v/>
      </c>
      <c r="EH20" s="48" t="str">
        <f t="shared" si="108"/>
        <v/>
      </c>
      <c r="EI20" s="48" t="str">
        <f t="shared" si="108"/>
        <v/>
      </c>
      <c r="EJ20" s="48" t="str">
        <f t="shared" si="108"/>
        <v/>
      </c>
      <c r="EK20" s="48" t="str">
        <f t="shared" si="108"/>
        <v/>
      </c>
      <c r="EL20" s="48" t="str">
        <f t="shared" si="108"/>
        <v/>
      </c>
      <c r="EM20" s="48" t="str">
        <f t="shared" si="108"/>
        <v/>
      </c>
      <c r="EN20" s="48" t="str">
        <f t="shared" si="108"/>
        <v/>
      </c>
      <c r="EO20" s="48" t="str">
        <f t="shared" si="108"/>
        <v/>
      </c>
      <c r="EP20" s="48" t="str">
        <f t="shared" si="108"/>
        <v/>
      </c>
      <c r="EQ20" s="48" t="str">
        <f t="shared" si="108"/>
        <v/>
      </c>
      <c r="ER20" s="48" t="str">
        <f t="shared" si="108"/>
        <v/>
      </c>
      <c r="ES20" s="48" t="str">
        <f t="shared" si="108"/>
        <v/>
      </c>
      <c r="ET20" s="48" t="str">
        <f t="shared" si="108"/>
        <v/>
      </c>
      <c r="EU20" s="48" t="str">
        <f t="shared" si="108"/>
        <v/>
      </c>
      <c r="EV20" s="48" t="str">
        <f t="shared" si="108"/>
        <v/>
      </c>
      <c r="EW20" s="48" t="str">
        <f t="shared" si="107"/>
        <v/>
      </c>
      <c r="EX20" s="48" t="str">
        <f t="shared" si="107"/>
        <v/>
      </c>
      <c r="EY20" s="48" t="str">
        <f t="shared" si="107"/>
        <v/>
      </c>
      <c r="EZ20" s="48" t="str">
        <f t="shared" si="107"/>
        <v/>
      </c>
      <c r="FA20" s="48" t="str">
        <f>IF(AT20&gt;0,CHAR(34)&amp;"sta"&amp;AZ20&amp;CHAR(34)&amp;",","")</f>
        <v>"sta",</v>
      </c>
      <c r="FB20" s="48" t="str">
        <f>IF(AND(AT20&gt;0,BA20&lt;&gt;""),CHAR(34)&amp;"sta"&amp;BA20&amp;CHAR(34)&amp;",","")</f>
        <v/>
      </c>
      <c r="FD20" s="48" t="str">
        <f>IF(BV20="n",CHAR(34)&amp;"tcWHYE"&amp;CHAR(34)&amp;",",IF(BV20="y",CHAR(34)&amp;FD$1&amp;CHAR(34)&amp;",",""))</f>
        <v/>
      </c>
      <c r="FE20" s="48" t="str">
        <f>IF(COUNTIF(BL20:BT20,"BLU")=0,CHAR(34)&amp;"NO_BLU"&amp;CHAR(34)&amp;",", "")</f>
        <v/>
      </c>
      <c r="FF20" s="48" t="str">
        <f>IF(COUNTIF(BL20:BT20,"WHI")=0,CHAR(34)&amp;"NO_WHI"&amp;CHAR(34)&amp;",", "")</f>
        <v/>
      </c>
      <c r="FG20" s="48" t="str">
        <f>IF(COUNTIF(BL20:BT20,"RED")=0,CHAR(34)&amp;"NO_RED"&amp;CHAR(34)&amp;",", "")</f>
        <v/>
      </c>
      <c r="FH20" s="48" t="str">
        <f>IF(COUNTIF(BL20:BS20,"GRE")=0,CHAR(34)&amp;"NO_GRE"&amp;CHAR(34)&amp;",", "")</f>
        <v>"NO_GRE",</v>
      </c>
      <c r="FI20" s="48" t="str">
        <f>IF(COUNTIF(BL20:BT20,"YEL")=0,CHAR(34)&amp;"NO_YEL"&amp;CHAR(34)&amp;",", "")</f>
        <v>"NO_YEL",</v>
      </c>
      <c r="FJ20" s="48" t="str">
        <f>IF(COUNTIF(BL20:BT20,"BLA")=0,CHAR(34)&amp;"NO_BLA"&amp;CHAR(34)&amp;",", "")</f>
        <v/>
      </c>
      <c r="FK20" s="48" t="str">
        <f>IF(AND(FH20&lt;&gt;"",FF20&lt;&gt;""),CHAR(34)&amp;"WHGRNO"&amp;CHAR(34)&amp;",","")</f>
        <v/>
      </c>
      <c r="FL20" s="48" t="str">
        <f>IF(AND(FI20&lt;&gt;"",FF20&lt;&gt;""),CHAR(34)&amp;"WHYENO"&amp;CHAR(34)&amp;",","")</f>
        <v/>
      </c>
      <c r="FM20" s="48" t="str">
        <f>IF(AND(FJ20&lt;&gt;"",FF20&lt;&gt;""),CHAR(34)&amp;"BAWHNO"&amp;CHAR(34)&amp;",","")</f>
        <v/>
      </c>
      <c r="FN20" s="48" t="str">
        <f>IF(AND(FE20&lt;&gt;"",FF20&lt;&gt;""),CHAR(34)&amp;"BLWHNO"&amp;CHAR(34)&amp;",","")</f>
        <v/>
      </c>
      <c r="FO20" s="48" t="str">
        <f>IF(AND(FE20&lt;&gt;"",FG20&lt;&gt;""),CHAR(34)&amp;"BLRENO"&amp;CHAR(34)&amp;",","")</f>
        <v/>
      </c>
      <c r="FP20" s="48" t="str">
        <f>IF(AND(FF20&lt;&gt;"",FF20&lt;&gt;""),CHAR(34)&amp;"WHRENO"&amp;CHAR(34)&amp;",","")</f>
        <v/>
      </c>
      <c r="FQ20" s="48" t="str">
        <f>IF(LEN(BF20)=3,CHAR(34)&amp;"001"&amp;BF20&amp;CHAR(34)&amp;",","")</f>
        <v>"001RED",</v>
      </c>
      <c r="FR20" s="48" t="str">
        <f>IF(LEN(BG20)=3,CHAR(34)&amp;"002"&amp;BG20&amp;CHAR(34)&amp;",","")</f>
        <v>"002WHI",</v>
      </c>
      <c r="FS20" s="48" t="str">
        <f>IF(LEN(BH20)=3,CHAR(34)&amp;"003"&amp;BH20&amp;CHAR(34)&amp;",","")</f>
        <v>"003RED",</v>
      </c>
      <c r="FT20" s="48" t="str">
        <f>CHAR(34)&amp;"myr"&amp;BD20&amp;CHAR(34)&amp;","</f>
        <v>"myrRED",</v>
      </c>
      <c r="FU20" s="48" t="str">
        <f>IF(AY20="y",CHAR(34)&amp;"island"&amp;CHAR(34)&amp;",","")</f>
        <v/>
      </c>
      <c r="FV20" s="48" t="str">
        <f>IF(BZ20="y",CHAR(34)&amp;"landlo"&amp;CHAR(34)&amp;",","")</f>
        <v/>
      </c>
      <c r="FW20" s="48" t="str">
        <f>IF(CA20="y",CHAR(34)&amp;"eunion"&amp;CHAR(34)&amp;",","")</f>
        <v/>
      </c>
      <c r="FY20" s="48" t="str">
        <f>IFERROR(IF(SEARCH("Arabic",CB20)&gt;0,CHAR(34)&amp;"arabic"&amp;CHAR(34)&amp;",",""),"")</f>
        <v/>
      </c>
      <c r="FZ20" s="48" t="str">
        <f>IFERROR(IF(SEARCH("English",CB20)&gt;0,CHAR(34)&amp;"englis"&amp;CHAR(34)&amp;",",""),"")</f>
        <v/>
      </c>
      <c r="GA20" s="48" t="str">
        <f>IFERROR(IF(SEARCH("French",CB20)&gt;0,CHAR(34)&amp;"french"&amp;CHAR(34)&amp;",",""),"")</f>
        <v/>
      </c>
      <c r="GB20" s="48" t="str">
        <f>IFERROR(IF(SEARCH("Spanish",CB20)&gt;0,CHAR(34)&amp;"spanis"&amp;CHAR(34)&amp;",",""),"")</f>
        <v/>
      </c>
      <c r="GE20" s="48" t="str">
        <f>IFERROR(IF(SEARCH("Dutch",CB20)&gt;0,CHAR(34)&amp;"dutchs"&amp;CHAR(34)&amp;",",""),"")</f>
        <v/>
      </c>
      <c r="GF20" s="48" t="str">
        <f>IFERROR(IF(SEARCH("Historical",AU20)&gt;0,CHAR(34)&amp;"histor"&amp;CHAR(34)&amp;",",""),"")</f>
        <v/>
      </c>
      <c r="GG20" s="48" t="str">
        <f>IF(BU20="y",CHAR(34)&amp;"unjack"&amp;CHAR(34)&amp;",","")</f>
        <v/>
      </c>
      <c r="GH20" s="48" t="str">
        <f>IF(CD20=1,CHAR(34)&amp;"southc"&amp;CHAR(34)&amp;",","")</f>
        <v/>
      </c>
      <c r="GI20" s="48" t="str">
        <f>IF(CE20=1,CHAR(34)&amp;"hasmap"&amp;CHAR(34)&amp;",","")</f>
        <v/>
      </c>
      <c r="GJ20" s="48" t="str">
        <f>IF(CP20="y",CHAR(34)&amp;CP$1&amp;CHAR(34)&amp;",","")</f>
        <v/>
      </c>
      <c r="GK20" s="48" t="str">
        <f>IF(GJ20="",CHAR(34)&amp;"HasSta"&amp;CHAR(34)&amp;",","")</f>
        <v>"HasSta",</v>
      </c>
      <c r="GL20" s="48" t="str">
        <f t="shared" si="106"/>
        <v>"1Stars",</v>
      </c>
      <c r="GM20" s="48" t="str">
        <f t="shared" si="106"/>
        <v/>
      </c>
      <c r="GN20" s="48" t="str">
        <f t="shared" si="106"/>
        <v/>
      </c>
      <c r="GP20" s="48" t="str">
        <f>CHAR(34)&amp;AU20&amp;CHAR(34)</f>
        <v>"City"</v>
      </c>
      <c r="GS20" s="48" t="str">
        <f>SUBSTITUTE("["&amp;_xlfn.CONCAT(CW20:GN20)&amp;"]",",]","]")</f>
        <v>["4Color","lets06","startH","year19","allhor","2Bands","Horizo","Animal","sta","NO_GRE","NO_YEL","001RED","002WHI","003RED","myrRED","HasSta","1Stars"]</v>
      </c>
      <c r="GT20" s="48" t="str">
        <f t="shared" si="109"/>
        <v>"cl_BLA",</v>
      </c>
      <c r="GU20" s="48" t="str">
        <f t="shared" si="109"/>
        <v>"cl_BLU",</v>
      </c>
      <c r="GV20" s="48" t="str">
        <f t="shared" si="109"/>
        <v/>
      </c>
      <c r="GW20" s="48" t="str">
        <f t="shared" si="109"/>
        <v>"cl_RED",</v>
      </c>
      <c r="GX20" s="48" t="str">
        <f t="shared" si="109"/>
        <v/>
      </c>
      <c r="GY20" s="48" t="str">
        <f t="shared" si="109"/>
        <v/>
      </c>
      <c r="GZ20" s="48" t="str">
        <f t="shared" si="109"/>
        <v/>
      </c>
      <c r="HA20" s="48" t="str">
        <f t="shared" si="109"/>
        <v/>
      </c>
      <c r="HB20" s="48" t="str">
        <f t="shared" si="109"/>
        <v>"cl_WHI",</v>
      </c>
      <c r="HC20" s="48" t="str">
        <f>SUBSTITUTE("["&amp;_xlfn.CONCAT(GT20:HB20)&amp;"]",",]","]")</f>
        <v>["cl_BLA","cl_BLU","cl_RED","cl_WHI"]</v>
      </c>
      <c r="HE20" s="71"/>
      <c r="HF20" s="72" t="str">
        <f>"{couname:"&amp;CT20&amp;(IF(HK20&lt;&gt;"",",subtype:"&amp;CHAR(34)&amp;HK20&amp;CHAR(34),""))&amp;",year:"&amp;HJ20&amp;",region:"&amp;CU20&amp;",Colors:"&amp;HC20&amp;",Items:"&amp;GS20&amp;",Flag:"&amp;CV20&amp;",HDFlag:"&amp;CHAR(34)&amp;E20&amp;CHAR(34)&amp;",type:"&amp;GP20&amp;", describe: "&amp;HH20&amp;", isnew:"&amp;CHAR(34)&amp;F20&amp;CHAR(34)&amp;", links: "&amp;HL20&amp;"},"</f>
        <v>{couname:"[AUS] Hobart",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links: "https://en.m.wikipedia.org/wiki/List_of_Australian_flags"},</v>
      </c>
      <c r="HG20" s="73" t="str">
        <f>"{couname:"&amp;CT20&amp;(IF(HK20&lt;&gt;"",",subtype:"&amp;CHAR(34)&amp;HK20&amp;CHAR(34),""))&amp;",year:"&amp;HJ20&amp;",region:"&amp;CU20&amp;",Colors:"&amp;HC20&amp;",Items:"&amp;GS20&amp;",Flag:"&amp;CV20&amp;",HDFlag:"&amp;CHAR(34)&amp;E20&amp;CHAR(34)&amp;",type:"&amp;GP20&amp;", describe: "&amp;HI20&amp;", links: "&amp;HL20&amp;"},"</f>
        <v>{couname:"[AUS] Hobart",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links: "https://en.m.wikipedia.org/wiki/List_of_Australian_flags"},</v>
      </c>
      <c r="HH20" s="48" t="str">
        <f>IF(P20&lt;&gt;"",CHAR(34)&amp;"\n"&amp;P20&amp;CHAR(34),CHAR(34)&amp;CHAR(34))</f>
        <v>"\nThe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v>
      </c>
      <c r="HI20" s="48" t="str">
        <f>IF(J20=0,CHAR(34)&amp;CHAR(34),HH20)</f>
        <v>"\nThe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v>
      </c>
      <c r="HJ20" s="48" t="str">
        <f>CHAR(34)&amp;O20&amp;CHAR(34)</f>
        <v>"1953"</v>
      </c>
      <c r="HL20" s="48" t="str">
        <f>CHAR(34)&amp;I20&amp;CHAR(34)</f>
        <v>"https://en.m.wikipedia.org/wiki/List_of_Australian_flags"</v>
      </c>
      <c r="HM20" s="72"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"&amp;HH20&amp;", "&amp;CHAR(34)&amp;"isnew"&amp;CHAR(34)&amp;": "&amp;CHAR(34)&amp;F20&amp;CHAR(34)&amp;", "&amp;CHAR(34)&amp;"links"&amp;CHAR(34)&amp;": "&amp;HL20&amp;"},"</f>
        <v>{"couname":"[AUS] Hobart","subtype":"[AUS] Tasmania","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 "links": "https://en.m.wikipedia.org/wiki/List_of_Australian_flags"},</v>
      </c>
      <c r="HN20" s="74" t="str">
        <f>"{"&amp;CHAR(34)&amp;"couname"&amp;CHAR(34)&amp;":"&amp;CT20&amp;(IF(H20&lt;&gt;"",","&amp;CHAR(34)&amp;"subtype"&amp;CHAR(34)&amp;":"&amp;CHAR(34)&amp;H20&amp;CHAR(34),""))&amp;","&amp;CHAR(34)&amp;"year"&amp;CHAR(34)&amp;":"&amp;HJ20&amp;","&amp;CHAR(34)&amp;"region"&amp;CHAR(34)&amp;":"&amp;CU20&amp;","&amp;CHAR(34)&amp;"Colors"&amp;CHAR(34)&amp;":"&amp;HC20&amp;","&amp;CHAR(34)&amp;"Items"&amp;CHAR(34)&amp;":"&amp;GS20&amp;","&amp;CHAR(34)&amp;"Flag"&amp;CHAR(34)&amp;":"&amp;CV20&amp;","&amp;CHAR(34)&amp;"HDFlag"&amp;CHAR(34)&amp;":"&amp;CHAR(34)&amp;E20&amp;CHAR(34)&amp;","&amp;CHAR(34)&amp;"type"&amp;CHAR(34)&amp;":"&amp;GP20&amp;", "&amp;CHAR(34)&amp;"describe"&amp;CHAR(34)&amp;": "&amp;HI20&amp;", "&amp;CHAR(34)&amp;"isnew"&amp;CHAR(34)&amp;": "&amp;CHAR(34)&amp;F20&amp;CHAR(34)&amp;", "&amp;CHAR(34)&amp;"links"&amp;CHAR(34)&amp;": "&amp;HL20&amp;"},"</f>
        <v>{"couname":"[AUS] Hobart","subtype":"[AUS] Tasmania","year":"1953","region":"rgn_Oceania","Colors":["cl_BLA","cl_BLU","cl_RED","cl_WHI"],"Items":["4Color","lets06","startH","year19","allhor","2Bands","Horizo","Animal","sta","NO_GRE","NO_YEL","001RED","002WHI","003RED","myrRED","HasSta","1Stars"],"Flag":"https://upload.wikimedia.org/wikipedia/commons/thumb/5/54/City_of_Hobart_Flag.svg/640px-City_of_Hobart_Flag.svg.png","HDFlag":"https://upload.wikimedia.org/wikipedia/commons/thumb/5/54/City_of_Hobart_Flag.svg/2560px-City_of_Hobart_Flag.svg.png","type":"City", "describe": "\nThe flag of Hobart City Council, of Tasmania, Australia. Designed in 1951 by Hobart architect and alderman, I.G. Anderson and first flown in 1953.\n\nThe star is derived from the arms of Lord Hobart, 4th Earl of Buckinghamshire (1760-1816), Secretary of State for War and the Colonies at the time of colonial settlement (1804), and after whom Hobart is named. The colour used on the arms Lord Hobart was, in fact, sable (black), rather than blue.\n\nThe red lion is from the Tasmanian flag - and its location at the top of the shield signifies Hobart's position as the Capital City.", "isnew": ".", "links": "https://en.m.wikipedia.org/wiki/List_of_Australian_flags"},</v>
      </c>
      <c r="HO20" s="75">
        <v>45618</v>
      </c>
      <c r="HP20" s="48" t="str" cm="1">
        <f t="array" ref="HP20">IF(_xlfn.TEXTJOIN(", ", TRUE, IF(ISNUMBER(SEARCH("BLA", BL20:BT20)), COLUMN(BL20:BT20) - COLUMN(BL20) + 1, ""))&lt;&gt;"","BLA","")</f>
        <v>BLA</v>
      </c>
      <c r="HQ20" s="48" t="str" cm="1">
        <f t="array" ref="HQ20">IF(_xlfn.TEXTJOIN(", ", TRUE, IF(ISNUMBER(SEARCH("BLU", BL20:BT20)), COLUMN(BL20:BT20) - COLUMN(BL20) + 1, ""))&lt;&gt;"","BLU","")</f>
        <v>BLU</v>
      </c>
      <c r="HR20" s="48" t="str" cm="1">
        <f t="array" ref="HR20">IF(_xlfn.TEXTJOIN(", ", TRUE, IF(ISNUMBER(SEARCH("GRE", BL20:BT20)), COLUMN(BL20:BT20) - COLUMN(BL20) + 1, ""))&lt;&gt;"","GRE","")</f>
        <v/>
      </c>
      <c r="HS20" s="48" t="str" cm="1">
        <f t="array" ref="HS20">IF(_xlfn.TEXTJOIN(", ", TRUE, IF(ISNUMBER(SEARCH("RED", BL20:BT20)), COLUMN(BL20:BT20) - COLUMN(BL20) + 1, ""))&lt;&gt;"","RED","")</f>
        <v>RED</v>
      </c>
      <c r="HT20" s="48" t="str" cm="1">
        <f t="array" ref="HT20">IF(_xlfn.TEXTJOIN(", ", TRUE, IF(ISNUMBER(SEARCH("YEL", BL20:BT20)), COLUMN(BL20:BT20) - COLUMN(BL20) + 1, ""))&lt;&gt;"","YEL","")</f>
        <v/>
      </c>
      <c r="HU20" s="48" t="str" cm="1">
        <f t="array" ref="HU20">IF(_xlfn.TEXTJOIN(", ", TRUE, IF(ISNUMBER(SEARCH("ORA", BL20:BT20)), COLUMN(BL20:BT20) - COLUMN(BL20) + 1, ""))&lt;&gt;"","ORA","")</f>
        <v/>
      </c>
      <c r="HV20" s="48" t="str" cm="1">
        <f t="array" ref="HV20">IF(_xlfn.TEXTJOIN(", ", TRUE, IF(ISNUMBER(SEARCH("BRO", BL20:BT20)), COLUMN(BL20:BT20) - COLUMN(BL20) + 1, ""))&lt;&gt;"","BRO","")</f>
        <v/>
      </c>
      <c r="HW20" s="48" t="str" cm="1">
        <f t="array" ref="HW20">IF(_xlfn.TEXTJOIN(", ", TRUE, IF(ISNUMBER(SEARCH("PUR", BL20:BT20)), COLUMN(BL20:BT20) - COLUMN(BL20) + 1, ""))&lt;&gt;"","PUR","")</f>
        <v/>
      </c>
      <c r="HX20" s="48" t="str" cm="1">
        <f t="array" ref="HX20">IF(_xlfn.TEXTJOIN(", ", TRUE, IF(ISNUMBER(SEARCH("WHI", BL20:BT20)), COLUMN(BL20:BT20) - COLUMN(BL20) + 1, ""))&lt;&gt;"","WHI","")</f>
        <v>WHI</v>
      </c>
      <c r="HY20" s="76"/>
      <c r="HZ20" s="76"/>
      <c r="IA20" s="6"/>
      <c r="IB20" s="6"/>
      <c r="IC20" s="77"/>
      <c r="ID20" s="77"/>
      <c r="IE20" s="77"/>
      <c r="IF20" s="77"/>
      <c r="IG20" s="77"/>
      <c r="IH20" s="77"/>
      <c r="II20" s="77"/>
      <c r="IJ20" s="77"/>
      <c r="IK20" s="77"/>
      <c r="IM20" s="45">
        <f>COUNTIF(IC20:IK20,"&gt;0")-CG20</f>
        <v>-4</v>
      </c>
      <c r="IN20" s="78" t="str">
        <f>"http://mkweb.bcgsc.ca/color-summarizer/?url="&amp;D20&amp;"&amp;precision=low&amp;num_clusters="&amp;CG20&amp;"&amp;text=1"</f>
        <v>http://mkweb.bcgsc.ca/color-summarizer/?url=https://upload.wikimedia.org/wikipedia/commons/thumb/5/54/City_of_Hobart_Flag.svg/640px-City_of_Hobart_Flag.svg.png&amp;precision=low&amp;num_clusters=4&amp;text=1</v>
      </c>
      <c r="IO20" s="48" t="str">
        <f>IF(HP20&lt;&gt;"",CHAR(34)&amp;"black"&amp;CHAR(34),"")</f>
        <v>"black"</v>
      </c>
      <c r="IP20" s="48" t="str">
        <f>IF(HQ20&lt;&gt;"",CHAR(34)&amp;"blue"&amp;CHAR(34),"")</f>
        <v>"blue"</v>
      </c>
      <c r="IQ20" s="48" t="str">
        <f>IF(HR20&lt;&gt;"",CHAR(34)&amp;"green"&amp;CHAR(34),"")</f>
        <v/>
      </c>
      <c r="IR20" s="48" t="str">
        <f>IF(HS20&lt;&gt;"",CHAR(34)&amp;"red"&amp;CHAR(34),"")</f>
        <v>"red"</v>
      </c>
      <c r="IS20" s="48" t="str">
        <f>IF(HT20&lt;&gt;"",CHAR(34)&amp;"yellow"&amp;CHAR(34),"")</f>
        <v/>
      </c>
      <c r="IT20" s="48" t="str">
        <f>IF(HU20&lt;&gt;"",CHAR(34)&amp;"orange"&amp;CHAR(34),"")</f>
        <v/>
      </c>
      <c r="IU20" s="48" t="str">
        <f>IF(HV20&lt;&gt;"",CHAR(34)&amp;"brown"&amp;CHAR(34),"")</f>
        <v/>
      </c>
      <c r="IV20" s="48" t="str">
        <f>IF(HW20&lt;&gt;"",CHAR(34)&amp;"purple"&amp;CHAR(34),"")</f>
        <v/>
      </c>
      <c r="IW20" s="48" t="str">
        <f>IF(HX20&lt;&gt;"",CHAR(34)&amp;"white"&amp;CHAR(34),"")</f>
        <v>"white"</v>
      </c>
      <c r="IX20" s="48" t="str">
        <f>"{"&amp;CHAR(34)&amp;"url"&amp;CHAR(34)&amp;":"&amp;CHAR(34)&amp;IN20&amp;CHAR(34)&amp;","&amp;CHAR(34)&amp;"name"&amp;CHAR(34)&amp;":"&amp;CHAR(34)&amp;A20&amp;CHAR(34)&amp;"},"</f>
        <v>{"url":"http://mkweb.bcgsc.ca/color-summarizer/?url=https://upload.wikimedia.org/wikipedia/commons/thumb/5/54/City_of_Hobart_Flag.svg/640px-City_of_Hobart_Flag.svg.png&amp;precision=low&amp;num_clusters=4&amp;text=1","name":"[AUS] Hobart"},</v>
      </c>
      <c r="IY20" s="48">
        <v>1083</v>
      </c>
    </row>
    <row r="21" spans="1:259" s="48" customFormat="1" ht="38.4" customHeight="1" thickBot="1" x14ac:dyDescent="0.35">
      <c r="A21" s="81" t="s">
        <v>713</v>
      </c>
      <c r="B21" s="40" t="e" vm="22">
        <v>#VALUE!</v>
      </c>
      <c r="C21" s="41">
        <v>3</v>
      </c>
      <c r="D21" s="42" t="s">
        <v>714</v>
      </c>
      <c r="E21" s="43" t="s">
        <v>715</v>
      </c>
      <c r="F21" s="44" t="s">
        <v>166</v>
      </c>
      <c r="G21" s="45">
        <f>COUNTIF($A$1:$A$8359,A21)</f>
        <v>1</v>
      </c>
      <c r="H21" s="46" t="s">
        <v>381</v>
      </c>
      <c r="I21" s="47" t="s">
        <v>716</v>
      </c>
      <c r="J21" s="48" t="str">
        <f>""</f>
        <v/>
      </c>
      <c r="K21" s="49"/>
      <c r="L21" s="50"/>
      <c r="M21" s="50"/>
      <c r="N21" s="51" t="s">
        <v>169</v>
      </c>
      <c r="O21" s="52">
        <v>1970</v>
      </c>
      <c r="P21" s="53" t="s">
        <v>717</v>
      </c>
      <c r="Q21" s="54">
        <v>1</v>
      </c>
      <c r="R21" s="55" t="s">
        <v>169</v>
      </c>
      <c r="S21" s="56">
        <v>6</v>
      </c>
      <c r="T21" s="57" t="s">
        <v>173</v>
      </c>
      <c r="U21" s="58" t="s">
        <v>172</v>
      </c>
      <c r="V21" s="58" t="s">
        <v>172</v>
      </c>
      <c r="W21" s="58" t="s">
        <v>172</v>
      </c>
      <c r="X21" s="58" t="s">
        <v>173</v>
      </c>
      <c r="Y21" s="58" t="s">
        <v>172</v>
      </c>
      <c r="Z21" s="58" t="s">
        <v>172</v>
      </c>
      <c r="AA21" s="58" t="s">
        <v>172</v>
      </c>
      <c r="AB21" s="58" t="s">
        <v>173</v>
      </c>
      <c r="AC21" s="58" t="s">
        <v>173</v>
      </c>
      <c r="AD21" s="58" t="s">
        <v>173</v>
      </c>
      <c r="AE21" s="58" t="s">
        <v>173</v>
      </c>
      <c r="AF21" s="59" t="s">
        <v>173</v>
      </c>
      <c r="AG21" s="59" t="s">
        <v>173</v>
      </c>
      <c r="AH21" s="59" t="s">
        <v>173</v>
      </c>
      <c r="AI21" s="59" t="s">
        <v>173</v>
      </c>
      <c r="AJ21" s="59" t="s">
        <v>173</v>
      </c>
      <c r="AK21" s="59" t="s">
        <v>173</v>
      </c>
      <c r="AL21" s="59" t="s">
        <v>173</v>
      </c>
      <c r="AM21" s="59" t="s">
        <v>173</v>
      </c>
      <c r="AN21" s="59" t="s">
        <v>173</v>
      </c>
      <c r="AO21" s="59" t="s">
        <v>173</v>
      </c>
      <c r="AP21" s="59" t="s">
        <v>172</v>
      </c>
      <c r="AQ21" s="59" t="s">
        <v>172</v>
      </c>
      <c r="AR21" s="59" t="s">
        <v>173</v>
      </c>
      <c r="AS21" s="59" t="s">
        <v>173</v>
      </c>
      <c r="AT21" s="60">
        <v>0</v>
      </c>
      <c r="AU21" s="59" t="s">
        <v>357</v>
      </c>
      <c r="AV21" s="59" t="str">
        <f>IF(LEFT(A21,1)="[",LEFT(A21,5)&amp;AU21&amp;A21,"")</f>
        <v>[AUS]City[AUS] Melbourne</v>
      </c>
      <c r="AW21" s="59" t="str">
        <f>C21&amp;H21&amp;A21</f>
        <v>3[AUS] Victoria[AUS] Melbourne</v>
      </c>
      <c r="AX21" s="61"/>
      <c r="AY21" s="61"/>
      <c r="AZ21" s="62"/>
      <c r="BA21" s="62"/>
      <c r="BB21" s="62"/>
      <c r="BC21" s="63"/>
      <c r="BD21" s="64" t="s">
        <v>408</v>
      </c>
      <c r="BE21" s="47"/>
      <c r="BF21" s="64" t="s">
        <v>154</v>
      </c>
      <c r="BG21" s="64" t="s">
        <v>159</v>
      </c>
      <c r="BH21" s="64" t="s">
        <v>152</v>
      </c>
      <c r="BI21" s="64"/>
      <c r="BJ21" s="64"/>
      <c r="BK21" s="47"/>
      <c r="BL21" s="64" t="s">
        <v>154</v>
      </c>
      <c r="BM21" s="64" t="s">
        <v>159</v>
      </c>
      <c r="BN21" s="64" t="s">
        <v>152</v>
      </c>
      <c r="BO21" s="64" t="s">
        <v>151</v>
      </c>
      <c r="BP21" s="64" t="s">
        <v>155</v>
      </c>
      <c r="BQ21" s="64" t="s">
        <v>157</v>
      </c>
      <c r="BR21" s="64"/>
      <c r="BS21" s="64"/>
      <c r="BT21" s="64"/>
      <c r="BU21" s="65"/>
      <c r="BV21" s="66"/>
      <c r="BW21" s="66">
        <v>0</v>
      </c>
      <c r="BX21" s="47"/>
      <c r="CB21" s="6"/>
      <c r="CC21" s="6"/>
      <c r="CD21" s="67">
        <v>0</v>
      </c>
      <c r="CE21" s="67">
        <v>0</v>
      </c>
      <c r="CF21" s="67" t="e">
        <v>#REF!</v>
      </c>
      <c r="CG21" s="68" cm="1">
        <f t="array" ref="CG21">SUMPRODUCT(--(LEN(TRIM(BL21:BT21))&gt;0))</f>
        <v>6</v>
      </c>
      <c r="CH21" s="59" t="str">
        <f>IF(CG21=2,"y","n")</f>
        <v>n</v>
      </c>
      <c r="CI21" s="59" t="str">
        <f>IF(CG21=3,"y","n")</f>
        <v>n</v>
      </c>
      <c r="CJ21" s="59" t="str">
        <f>IF(CG21=4,"y","n")</f>
        <v>n</v>
      </c>
      <c r="CK21" s="59" t="str">
        <f>IF(CG21&gt;4,"y","n")</f>
        <v>y</v>
      </c>
      <c r="CL21" s="59" t="str">
        <f>IF(S21=0,"y","n")</f>
        <v>n</v>
      </c>
      <c r="CM21" s="59" t="str">
        <f>IF(S21=2,"y","n")</f>
        <v>n</v>
      </c>
      <c r="CN21" s="59" t="str">
        <f>IF(S21=3,"y","n")</f>
        <v>n</v>
      </c>
      <c r="CO21" s="59" t="str">
        <f>IF(S21&gt;=4,"y","n")</f>
        <v>y</v>
      </c>
      <c r="CP21" s="59" t="str">
        <f>IF(AT21=0,"y","n")</f>
        <v>y</v>
      </c>
      <c r="CQ21" s="59" t="str">
        <f>IF(AT21=1,"y","n")</f>
        <v>n</v>
      </c>
      <c r="CR21" s="59" t="str">
        <f>IF(AT21=2,"y","n")</f>
        <v>n</v>
      </c>
      <c r="CS21" s="59" t="str">
        <f>IF(AT21&gt;=3,"y","n")</f>
        <v>n</v>
      </c>
      <c r="CT21" s="69" t="str">
        <f>CHAR(34)&amp;A21&amp;CHAR(34)</f>
        <v>"[AUS] Melbourne"</v>
      </c>
      <c r="CU21" s="70" t="str">
        <f>CHAR(34)&amp;"rgn_"&amp;R21&amp;CHAR(34)</f>
        <v>"rgn_Oceania"</v>
      </c>
      <c r="CV21" s="48" t="str">
        <f>CHAR(34)&amp;D21&amp;CHAR(34)</f>
        <v>"https://upload.wikimedia.org/wikipedia/commons/thumb/6/6f/Flag_of_Melbourne.svg/640px-Flag_of_Melbourne.svg.png"</v>
      </c>
      <c r="CW21" s="48" t="str">
        <f t="shared" si="103"/>
        <v/>
      </c>
      <c r="CX21" s="48" t="str">
        <f t="shared" si="103"/>
        <v/>
      </c>
      <c r="CY21" s="48" t="str">
        <f t="shared" si="103"/>
        <v/>
      </c>
      <c r="CZ21" s="48" t="str">
        <f t="shared" si="103"/>
        <v>"5+Colo",</v>
      </c>
      <c r="DA21" s="48" t="str">
        <f>IF(Q21&gt;1,CHAR(34)&amp;"words2"&amp;CHAR(34)&amp;",","")</f>
        <v/>
      </c>
      <c r="DB21" s="48" t="str">
        <f>IF(Q21&gt;2,CHAR(34)&amp;"words3"&amp;CHAR(34)&amp;",","")</f>
        <v/>
      </c>
      <c r="DD21" s="48" t="str">
        <f>IF(LEN(CHAR(34)&amp;"lets"&amp;LEN(SUBSTITUTE(SUBSTITUTE(IFERROR(TRIM(SUBSTITUTE(A21,MID(A21,FIND("[",A21),FIND("]",A21)-FIND("[",A21)+1),"")),A21)," ",""),"-",""))&amp;CHAR(34)&amp;",")=9,CHAR(34)&amp;"lets"&amp;LEN(SUBSTITUTE(SUBSTITUTE(IFERROR(TRIM(SUBSTITUTE(A21,MID(A21,FIND("[",A21),FIND("]",A21)-FIND("[",A21)+1),"")),A21)," ",""),"-",""))&amp;CHAR(34)&amp;",",CHAR(34)&amp;"lets0"&amp;LEN(SUBSTITUTE(SUBSTITUTE(IFERROR(TRIM(SUBSTITUTE(A21,MID(A21,FIND("[",A21),FIND("]",A21)-FIND("[",A21)+1),"")),A21)," ",""),"-",""))&amp;CHAR(34)&amp;",")</f>
        <v>"lets09",</v>
      </c>
      <c r="DE21" s="48" t="str">
        <f>CHAR(34)&amp;"start"&amp;IFERROR(LEFT(SUBSTITUTE(A21,"["&amp;MID(A21,FIND("[",A21)+1,FIND("]",A21)-FIND("[",A21)-1)&amp;"] ",""),1),LEFT(A21,1))&amp;CHAR(34)&amp;","</f>
        <v>"startM",</v>
      </c>
      <c r="DF21" s="48" t="str">
        <f>IFERROR(IF(SEARCH("tan",A21)&gt;0,CHAR(34)&amp;"withtn"&amp;CHAR(34)&amp;",",""),"")</f>
        <v/>
      </c>
      <c r="DG21" s="48" t="str">
        <f>IFERROR(IF(SEARCH("q",A21)&gt;0,CHAR(34)&amp;"with_q"&amp;CHAR(34)&amp;",",""),"")</f>
        <v/>
      </c>
      <c r="DH21" s="48" t="str">
        <f>IFERROR(IF(SEARCH("v",A21)&gt;0,CHAR(34)&amp;"with_v"&amp;CHAR(34)&amp;",",""),"")</f>
        <v/>
      </c>
      <c r="DI21" s="48" t="str">
        <f>IFERROR(IF(SEARCH("w",A21)&gt;0,CHAR(34)&amp;"with_w"&amp;CHAR(34)&amp;",",""),"")</f>
        <v/>
      </c>
      <c r="DJ21" s="48" t="str">
        <f>IFERROR(IF(SEARCH("y",A21)&gt;0,CHAR(34)&amp;"with_y"&amp;CHAR(34)&amp;",",""),"")</f>
        <v/>
      </c>
      <c r="DK21" s="48" t="str">
        <f>IFERROR(IF(SEARCH("z",A21)&gt;0,CHAR(34)&amp;"with_z"&amp;CHAR(34)&amp;",",""),"")</f>
        <v/>
      </c>
      <c r="DL21" s="48" t="str">
        <f>IF(CG21=2, CHAR(34) &amp; _xlfn.TEXTJOIN("", TRUE, _xlfn._xlws.SORT(HP21:HX21)) &amp; CHAR(34) &amp; ",", "")</f>
        <v/>
      </c>
      <c r="DM21" s="48" t="str" cm="1">
        <f t="array" ref="DM21">IF(CG21=3,CHAR(34) &amp; _xlfn.TEXTJOIN("", TRUE, RIGHT(HP21:HX21, 2)) &amp; CHAR(34) &amp; ",", "")</f>
        <v/>
      </c>
      <c r="DN21" s="48" t="str">
        <f>IF(AND(ISNUMBER(SEARCH("18", O21)), ISERROR(SEARCH("1918", O21)), ISERROR(SEARCH("2018", O21))), CHAR(34) &amp; "year18" &amp; CHAR(34) &amp; ",", "")</f>
        <v/>
      </c>
      <c r="DO21" s="48" t="str">
        <f>IF(AND(ISNUMBER(SEARCH("19", O21)), ISERROR(SEARCH("1819", O21)),  ISERROR(SEARCH("1219", O21)),ISERROR(SEARCH("1119", O21)),ISERROR(SEARCH("1190", O21)),ISERROR(SEARCH("2019", O21))), CHAR(34) &amp; "year19" &amp; CHAR(34) &amp; ",", "")</f>
        <v>"year19",</v>
      </c>
      <c r="DP21" s="6" t="str">
        <f>IF(AND(ISNUMBER(SEARCH("20", O21)), ISERROR(SEARCH("1920", O21))), CHAR(34)&amp;"year00"&amp;CHAR(34)&amp;",", "")</f>
        <v/>
      </c>
      <c r="DQ21" s="6" t="str">
        <f>IF(CC21="y",CHAR(34)&amp;"soviet"&amp;CHAR(34)&amp;",","")</f>
        <v/>
      </c>
      <c r="DR21" s="6" t="str">
        <f>IF(BY21="y",CHAR(34)&amp;"dgband"&amp;CHAR(34)&amp;",","")</f>
        <v/>
      </c>
      <c r="DS21" s="6" t="str">
        <f>IF(W21="y",IF(AND(V21="n",BY21&lt;&gt;"y"),CHAR(34)&amp;"allver"&amp;CHAR(34)&amp;",",""),"")</f>
        <v/>
      </c>
      <c r="DT21" s="6" t="str">
        <f>IF(V21="y",IF(AND(W21="n",BY21&lt;&gt;"y"),CHAR(34)&amp;"allhor"&amp;CHAR(34)&amp;",",""),"")</f>
        <v/>
      </c>
      <c r="DU21" s="6" t="str">
        <f>IF(BY21="y",IF(AND(W21="n",V21="n"),CHAR(34)&amp;"alldia"&amp;CHAR(34)&amp;",",""),"")</f>
        <v/>
      </c>
      <c r="DW21" s="48" t="str">
        <f t="shared" si="104"/>
        <v/>
      </c>
      <c r="DX21" s="48" t="str">
        <f t="shared" si="104"/>
        <v/>
      </c>
      <c r="DY21" s="48" t="str">
        <f t="shared" si="104"/>
        <v/>
      </c>
      <c r="DZ21" s="48" t="str">
        <f t="shared" si="104"/>
        <v>"4+Band",</v>
      </c>
      <c r="EA21" s="48" t="str">
        <f t="shared" si="105"/>
        <v/>
      </c>
      <c r="EB21" s="48" t="str">
        <f t="shared" si="105"/>
        <v>"Crosse",</v>
      </c>
      <c r="EC21" s="48" t="str">
        <f t="shared" si="105"/>
        <v>"Horizo",</v>
      </c>
      <c r="ED21" s="48" t="str">
        <f t="shared" si="105"/>
        <v>"Vertic",</v>
      </c>
      <c r="EE21" s="48" t="str">
        <f t="shared" si="105"/>
        <v/>
      </c>
      <c r="EF21" s="48" t="str">
        <f>IF(AND(Y21&lt;&gt;"n",Y21&lt;&gt;""),CHAR(34)&amp;Y$1&amp;CHAR(34)&amp;",","")</f>
        <v>"Animal",</v>
      </c>
      <c r="EG21" s="48" t="str">
        <f t="shared" si="108"/>
        <v>"Bird",</v>
      </c>
      <c r="EH21" s="48" t="str">
        <f t="shared" si="108"/>
        <v>"Plants",</v>
      </c>
      <c r="EI21" s="48" t="str">
        <f t="shared" si="108"/>
        <v/>
      </c>
      <c r="EJ21" s="48" t="str">
        <f t="shared" si="108"/>
        <v/>
      </c>
      <c r="EK21" s="48" t="str">
        <f t="shared" si="108"/>
        <v/>
      </c>
      <c r="EL21" s="48" t="str">
        <f t="shared" si="108"/>
        <v/>
      </c>
      <c r="EM21" s="48" t="str">
        <f t="shared" si="108"/>
        <v/>
      </c>
      <c r="EN21" s="48" t="str">
        <f t="shared" si="108"/>
        <v/>
      </c>
      <c r="EO21" s="48" t="str">
        <f t="shared" si="108"/>
        <v/>
      </c>
      <c r="EP21" s="48" t="str">
        <f t="shared" si="108"/>
        <v/>
      </c>
      <c r="EQ21" s="48" t="str">
        <f t="shared" si="108"/>
        <v/>
      </c>
      <c r="ER21" s="48" t="str">
        <f t="shared" si="108"/>
        <v/>
      </c>
      <c r="ES21" s="48" t="str">
        <f t="shared" si="108"/>
        <v/>
      </c>
      <c r="ET21" s="48" t="str">
        <f t="shared" si="108"/>
        <v/>
      </c>
      <c r="EU21" s="48" t="str">
        <f t="shared" si="108"/>
        <v/>
      </c>
      <c r="EV21" s="48" t="str">
        <f t="shared" si="108"/>
        <v/>
      </c>
      <c r="EW21" s="48" t="str">
        <f t="shared" si="107"/>
        <v>"Ships!",</v>
      </c>
      <c r="EX21" s="48" t="str">
        <f t="shared" si="107"/>
        <v>"Crowns",</v>
      </c>
      <c r="EY21" s="48" t="str">
        <f t="shared" si="107"/>
        <v/>
      </c>
      <c r="EZ21" s="48" t="str">
        <f t="shared" si="107"/>
        <v/>
      </c>
      <c r="FA21" s="48" t="str">
        <f>IF(AT21&gt;0,CHAR(34)&amp;"sta"&amp;AZ21&amp;CHAR(34)&amp;",","")</f>
        <v/>
      </c>
      <c r="FB21" s="48" t="str">
        <f>IF(AND(AT21&gt;0,BA21&lt;&gt;""),CHAR(34)&amp;"sta"&amp;BA21&amp;CHAR(34)&amp;",","")</f>
        <v/>
      </c>
      <c r="FD21" s="48" t="str">
        <f>IF(BV21="n",CHAR(34)&amp;"tcWHYE"&amp;CHAR(34)&amp;",",IF(BV21="y",CHAR(34)&amp;FD$1&amp;CHAR(34)&amp;",",""))</f>
        <v/>
      </c>
      <c r="FE21" s="48" t="str">
        <f>IF(COUNTIF(BL21:BT21,"BLU")=0,CHAR(34)&amp;"NO_BLU"&amp;CHAR(34)&amp;",", "")</f>
        <v/>
      </c>
      <c r="FF21" s="48" t="str">
        <f>IF(COUNTIF(BL21:BT21,"WHI")=0,CHAR(34)&amp;"NO_WHI"&amp;CHAR(34)&amp;",", "")</f>
        <v/>
      </c>
      <c r="FG21" s="48" t="str">
        <f>IF(COUNTIF(BL21:BT21,"RED")=0,CHAR(34)&amp;"NO_RED"&amp;CHAR(34)&amp;",", "")</f>
        <v/>
      </c>
      <c r="FH21" s="48" t="str">
        <f>IF(COUNTIF(BL21:BS21,"GRE")=0,CHAR(34)&amp;"NO_GRE"&amp;CHAR(34)&amp;",", "")</f>
        <v>"NO_GRE",</v>
      </c>
      <c r="FI21" s="48" t="str">
        <f>IF(COUNTIF(BL21:BT21,"YEL")=0,CHAR(34)&amp;"NO_YEL"&amp;CHAR(34)&amp;",", "")</f>
        <v/>
      </c>
      <c r="FJ21" s="48" t="str">
        <f>IF(COUNTIF(BL21:BT21,"BLA")=0,CHAR(34)&amp;"NO_BLA"&amp;CHAR(34)&amp;",", "")</f>
        <v/>
      </c>
      <c r="FK21" s="48" t="str">
        <f>IF(AND(FH21&lt;&gt;"",FF21&lt;&gt;""),CHAR(34)&amp;"WHGRNO"&amp;CHAR(34)&amp;",","")</f>
        <v/>
      </c>
      <c r="FL21" s="48" t="str">
        <f>IF(AND(FI21&lt;&gt;"",FF21&lt;&gt;""),CHAR(34)&amp;"WHYENO"&amp;CHAR(34)&amp;",","")</f>
        <v/>
      </c>
      <c r="FM21" s="48" t="str">
        <f>IF(AND(FJ21&lt;&gt;"",FF21&lt;&gt;""),CHAR(34)&amp;"BAWHNO"&amp;CHAR(34)&amp;",","")</f>
        <v/>
      </c>
      <c r="FN21" s="48" t="str">
        <f>IF(AND(FE21&lt;&gt;"",FF21&lt;&gt;""),CHAR(34)&amp;"BLWHNO"&amp;CHAR(34)&amp;",","")</f>
        <v/>
      </c>
      <c r="FO21" s="48" t="str">
        <f>IF(AND(FE21&lt;&gt;"",FG21&lt;&gt;""),CHAR(34)&amp;"BLRENO"&amp;CHAR(34)&amp;",","")</f>
        <v/>
      </c>
      <c r="FP21" s="48" t="str">
        <f>IF(AND(FF21&lt;&gt;"",FF21&lt;&gt;""),CHAR(34)&amp;"WHRENO"&amp;CHAR(34)&amp;",","")</f>
        <v/>
      </c>
      <c r="FQ21" s="48" t="str">
        <f>IF(LEN(BF21)=3,CHAR(34)&amp;"001"&amp;BF21&amp;CHAR(34)&amp;",","")</f>
        <v>"001RED",</v>
      </c>
      <c r="FR21" s="48" t="str">
        <f>IF(LEN(BG21)=3,CHAR(34)&amp;"002"&amp;BG21&amp;CHAR(34)&amp;",","")</f>
        <v>"002WHI",</v>
      </c>
      <c r="FS21" s="48" t="str">
        <f>IF(LEN(BH21)=3,CHAR(34)&amp;"003"&amp;BH21&amp;CHAR(34)&amp;",","")</f>
        <v>"003BLU",</v>
      </c>
      <c r="FT21" s="48" t="str">
        <f>CHAR(34)&amp;"myr"&amp;BD21&amp;CHAR(34)&amp;","</f>
        <v>"myrEQ",</v>
      </c>
      <c r="FU21" s="48" t="str">
        <f>IF(AY21="y",CHAR(34)&amp;"island"&amp;CHAR(34)&amp;",","")</f>
        <v/>
      </c>
      <c r="FV21" s="48" t="str">
        <f>IF(BZ21="y",CHAR(34)&amp;"landlo"&amp;CHAR(34)&amp;",","")</f>
        <v/>
      </c>
      <c r="FW21" s="48" t="str">
        <f>IF(CA21="y",CHAR(34)&amp;"eunion"&amp;CHAR(34)&amp;",","")</f>
        <v/>
      </c>
      <c r="FY21" s="48" t="str">
        <f>IFERROR(IF(SEARCH("Arabic",CB21)&gt;0,CHAR(34)&amp;"arabic"&amp;CHAR(34)&amp;",",""),"")</f>
        <v/>
      </c>
      <c r="FZ21" s="48" t="str">
        <f>IFERROR(IF(SEARCH("English",CB21)&gt;0,CHAR(34)&amp;"englis"&amp;CHAR(34)&amp;",",""),"")</f>
        <v/>
      </c>
      <c r="GA21" s="48" t="str">
        <f>IFERROR(IF(SEARCH("French",CB21)&gt;0,CHAR(34)&amp;"french"&amp;CHAR(34)&amp;",",""),"")</f>
        <v/>
      </c>
      <c r="GB21" s="48" t="str">
        <f>IFERROR(IF(SEARCH("Spanish",CB21)&gt;0,CHAR(34)&amp;"spanis"&amp;CHAR(34)&amp;",",""),"")</f>
        <v/>
      </c>
      <c r="GE21" s="48" t="str">
        <f>IFERROR(IF(SEARCH("Dutch",CB21)&gt;0,CHAR(34)&amp;"dutchs"&amp;CHAR(34)&amp;",",""),"")</f>
        <v/>
      </c>
      <c r="GF21" s="48" t="str">
        <f>IFERROR(IF(SEARCH("Historical",AU21)&gt;0,CHAR(34)&amp;"histor"&amp;CHAR(34)&amp;",",""),"")</f>
        <v/>
      </c>
      <c r="GG21" s="48" t="str">
        <f>IF(BU21="y",CHAR(34)&amp;"unjack"&amp;CHAR(34)&amp;",","")</f>
        <v/>
      </c>
      <c r="GH21" s="48" t="str">
        <f>IF(CD21=1,CHAR(34)&amp;"southc"&amp;CHAR(34)&amp;",","")</f>
        <v/>
      </c>
      <c r="GI21" s="48" t="str">
        <f>IF(CE21=1,CHAR(34)&amp;"hasmap"&amp;CHAR(34)&amp;",","")</f>
        <v/>
      </c>
      <c r="GJ21" s="48" t="str">
        <f>IF(CP21="y",CHAR(34)&amp;CP$1&amp;CHAR(34)&amp;",","")</f>
        <v>"NoStar",</v>
      </c>
      <c r="GK21" s="48" t="str">
        <f>IF(GJ21="",CHAR(34)&amp;"HasSta"&amp;CHAR(34)&amp;",","")</f>
        <v/>
      </c>
      <c r="GL21" s="48" t="str">
        <f t="shared" si="106"/>
        <v/>
      </c>
      <c r="GM21" s="48" t="str">
        <f t="shared" si="106"/>
        <v/>
      </c>
      <c r="GN21" s="48" t="str">
        <f t="shared" si="106"/>
        <v/>
      </c>
      <c r="GP21" s="48" t="str">
        <f>CHAR(34)&amp;AU21&amp;CHAR(34)</f>
        <v>"City"</v>
      </c>
      <c r="GS21" s="48" t="str">
        <f>SUBSTITUTE("["&amp;_xlfn.CONCAT(CW21:GN21)&amp;"]",",]","]")</f>
        <v>["5+Colo","lets09","startM","year19","4+Band","Crosse","Horizo","Vertic","Animal","Bird","Plants","Ships!","Crowns","NO_GRE","001RED","002WHI","003BLU","myrEQ","NoStar"]</v>
      </c>
      <c r="GT21" s="48" t="str">
        <f t="shared" si="109"/>
        <v>"cl_RED",</v>
      </c>
      <c r="GU21" s="48" t="str">
        <f t="shared" si="109"/>
        <v>"cl_WHI",</v>
      </c>
      <c r="GV21" s="48" t="str">
        <f t="shared" si="109"/>
        <v>"cl_BLU",</v>
      </c>
      <c r="GW21" s="48" t="str">
        <f t="shared" si="109"/>
        <v>"cl_BLA",</v>
      </c>
      <c r="GX21" s="48" t="str">
        <f t="shared" si="109"/>
        <v>"cl_YEL",</v>
      </c>
      <c r="GY21" s="48" t="str">
        <f t="shared" si="109"/>
        <v>"cl_BRO",</v>
      </c>
      <c r="GZ21" s="48" t="str">
        <f t="shared" si="109"/>
        <v/>
      </c>
      <c r="HA21" s="48" t="str">
        <f t="shared" si="109"/>
        <v/>
      </c>
      <c r="HB21" s="48" t="str">
        <f t="shared" si="109"/>
        <v/>
      </c>
      <c r="HC21" s="48" t="str">
        <f>SUBSTITUTE("["&amp;_xlfn.CONCAT(GT21:HB21)&amp;"]",",]","]")</f>
        <v>["cl_RED","cl_WHI","cl_BLU","cl_BLA","cl_YEL","cl_BRO"]</v>
      </c>
      <c r="HE21" s="71"/>
      <c r="HF21" s="72" t="str">
        <f>"{couname:"&amp;CT21&amp;(IF(HK21&lt;&gt;"",",subtype:"&amp;CHAR(34)&amp;HK21&amp;CHAR(34),""))&amp;",year:"&amp;HJ21&amp;",region:"&amp;CU21&amp;",Colors:"&amp;HC21&amp;",Items:"&amp;GS21&amp;",Flag:"&amp;CV21&amp;",HDFlag:"&amp;CHAR(34)&amp;E21&amp;CHAR(34)&amp;",type:"&amp;GP21&amp;", describe: "&amp;HH21&amp;", isnew:"&amp;CHAR(34)&amp;F21&amp;CHAR(34)&amp;", links: "&amp;HL21&amp;"},"</f>
        <v>{couname:"[AUS] Melbourne",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links: "https://en.m.wikipedia.org/wiki/Flag_of_Melbourne"},</v>
      </c>
      <c r="HG21" s="73" t="str">
        <f>"{couname:"&amp;CT21&amp;(IF(HK21&lt;&gt;"",",subtype:"&amp;CHAR(34)&amp;HK21&amp;CHAR(34),""))&amp;",year:"&amp;HJ21&amp;",region:"&amp;CU21&amp;",Colors:"&amp;HC21&amp;",Items:"&amp;GS21&amp;",Flag:"&amp;CV21&amp;",HDFlag:"&amp;CHAR(34)&amp;E21&amp;CHAR(34)&amp;",type:"&amp;GP21&amp;", describe: "&amp;HI21&amp;", links: "&amp;HL21&amp;"},"</f>
        <v>{couname:"[AUS] Melbourne",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links: "https://en.m.wikipedia.org/wiki/Flag_of_Melbourne"},</v>
      </c>
      <c r="HH21" s="48" t="str">
        <f>IF(P21&lt;&gt;"",CHAR(34)&amp;"\n"&amp;P21&amp;CHAR(34),CHAR(34)&amp;CHAR(34))</f>
        <v>"\nWhite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v>
      </c>
      <c r="HI21" s="48" t="str">
        <f>IF(J21=0,CHAR(34)&amp;CHAR(34),HH21)</f>
        <v>"\nWhite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v>
      </c>
      <c r="HJ21" s="48" t="str">
        <f>CHAR(34)&amp;O21&amp;CHAR(34)</f>
        <v>"1970"</v>
      </c>
      <c r="HL21" s="48" t="str">
        <f>CHAR(34)&amp;I21&amp;CHAR(34)</f>
        <v>"https://en.m.wikipedia.org/wiki/Flag_of_Melbourne"</v>
      </c>
      <c r="HM21" s="72"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"&amp;HH21&amp;", "&amp;CHAR(34)&amp;"isnew"&amp;CHAR(34)&amp;": "&amp;CHAR(34)&amp;F21&amp;CHAR(34)&amp;", "&amp;CHAR(34)&amp;"links"&amp;CHAR(34)&amp;": "&amp;HL21&amp;"},"</f>
        <v>{"couname":"[AUS] Melbourne","subtype":"[AUS] Victoria","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 "links": "https://en.m.wikipedia.org/wiki/Flag_of_Melbourne"},</v>
      </c>
      <c r="HN21" s="74" t="str">
        <f>"{"&amp;CHAR(34)&amp;"couname"&amp;CHAR(34)&amp;":"&amp;CT21&amp;(IF(H21&lt;&gt;"",","&amp;CHAR(34)&amp;"subtype"&amp;CHAR(34)&amp;":"&amp;CHAR(34)&amp;H21&amp;CHAR(34),""))&amp;","&amp;CHAR(34)&amp;"year"&amp;CHAR(34)&amp;":"&amp;HJ21&amp;","&amp;CHAR(34)&amp;"region"&amp;CHAR(34)&amp;":"&amp;CU21&amp;","&amp;CHAR(34)&amp;"Colors"&amp;CHAR(34)&amp;":"&amp;HC21&amp;","&amp;CHAR(34)&amp;"Items"&amp;CHAR(34)&amp;":"&amp;GS21&amp;","&amp;CHAR(34)&amp;"Flag"&amp;CHAR(34)&amp;":"&amp;CV21&amp;","&amp;CHAR(34)&amp;"HDFlag"&amp;CHAR(34)&amp;":"&amp;CHAR(34)&amp;E21&amp;CHAR(34)&amp;","&amp;CHAR(34)&amp;"type"&amp;CHAR(34)&amp;":"&amp;GP21&amp;", "&amp;CHAR(34)&amp;"describe"&amp;CHAR(34)&amp;": "&amp;HI21&amp;", "&amp;CHAR(34)&amp;"isnew"&amp;CHAR(34)&amp;": "&amp;CHAR(34)&amp;F21&amp;CHAR(34)&amp;", "&amp;CHAR(34)&amp;"links"&amp;CHAR(34)&amp;": "&amp;HL21&amp;"},"</f>
        <v>{"couname":"[AUS] Melbourne","subtype":"[AUS] Victoria","year":"1970","region":"rgn_Oceania","Colors":["cl_RED","cl_WHI","cl_BLU","cl_BLA","cl_YEL","cl_BRO"],"Items":["5+Colo","lets09","startM","year19","4+Band","Crosse","Horizo","Vertic","Animal","Bird","Plants","Ships!","Crowns","NO_GRE","001RED","002WHI","003BLU","myrEQ","NoStar"],"Flag":"https://upload.wikimedia.org/wikipedia/commons/thumb/6/6f/Flag_of_Melbourne.svg/640px-Flag_of_Melbourne.svg.png","HDFlag":"https://upload.wikimedia.org/wikipedia/commons/thumb/6/6f/Flag_of_Melbourne.svg/2560px-Flag_of_Melbourne.svg.png","type":"City", "describe": "\nWhite background divided into four quadrants by the red cross of Saint George, patron saint of England. On both sides of each arm of the cross are narrow red bars known as a cotise. In the centre there is the Royal Crown, signifying the monarchy. Each of the four quadrants divided by the cross feature a design representing an important sector of Melbourne's economy in the mid 19th century.", "isnew": ".", "links": "https://en.m.wikipedia.org/wiki/Flag_of_Melbourne"},</v>
      </c>
      <c r="HO21" s="75">
        <v>45596</v>
      </c>
      <c r="HP21" s="48" t="str" cm="1">
        <f t="array" ref="HP21">IF(_xlfn.TEXTJOIN(", ", TRUE, IF(ISNUMBER(SEARCH("BLA", BL21:BT21)), COLUMN(BL21:BT21) - COLUMN(BL21) + 1, ""))&lt;&gt;"","BLA","")</f>
        <v>BLA</v>
      </c>
      <c r="HQ21" s="48" t="str" cm="1">
        <f t="array" ref="HQ21">IF(_xlfn.TEXTJOIN(", ", TRUE, IF(ISNUMBER(SEARCH("BLU", BL21:BT21)), COLUMN(BL21:BT21) - COLUMN(BL21) + 1, ""))&lt;&gt;"","BLU","")</f>
        <v>BLU</v>
      </c>
      <c r="HR21" s="48" t="str" cm="1">
        <f t="array" ref="HR21">IF(_xlfn.TEXTJOIN(", ", TRUE, IF(ISNUMBER(SEARCH("GRE", BL21:BT21)), COLUMN(BL21:BT21) - COLUMN(BL21) + 1, ""))&lt;&gt;"","GRE","")</f>
        <v/>
      </c>
      <c r="HS21" s="48" t="str" cm="1">
        <f t="array" ref="HS21">IF(_xlfn.TEXTJOIN(", ", TRUE, IF(ISNUMBER(SEARCH("RED", BL21:BT21)), COLUMN(BL21:BT21) - COLUMN(BL21) + 1, ""))&lt;&gt;"","RED","")</f>
        <v>RED</v>
      </c>
      <c r="HT21" s="48" t="str" cm="1">
        <f t="array" ref="HT21">IF(_xlfn.TEXTJOIN(", ", TRUE, IF(ISNUMBER(SEARCH("YEL", BL21:BT21)), COLUMN(BL21:BT21) - COLUMN(BL21) + 1, ""))&lt;&gt;"","YEL","")</f>
        <v>YEL</v>
      </c>
      <c r="HU21" s="48" t="str" cm="1">
        <f t="array" ref="HU21">IF(_xlfn.TEXTJOIN(", ", TRUE, IF(ISNUMBER(SEARCH("ORA", BL21:BT21)), COLUMN(BL21:BT21) - COLUMN(BL21) + 1, ""))&lt;&gt;"","ORA","")</f>
        <v/>
      </c>
      <c r="HV21" s="48" t="str" cm="1">
        <f t="array" ref="HV21">IF(_xlfn.TEXTJOIN(", ", TRUE, IF(ISNUMBER(SEARCH("BRO", BL21:BT21)), COLUMN(BL21:BT21) - COLUMN(BL21) + 1, ""))&lt;&gt;"","BRO","")</f>
        <v>BRO</v>
      </c>
      <c r="HW21" s="48" t="str" cm="1">
        <f t="array" ref="HW21">IF(_xlfn.TEXTJOIN(", ", TRUE, IF(ISNUMBER(SEARCH("PUR", BL21:BT21)), COLUMN(BL21:BT21) - COLUMN(BL21) + 1, ""))&lt;&gt;"","PUR","")</f>
        <v/>
      </c>
      <c r="HX21" s="48" t="str" cm="1">
        <f t="array" ref="HX21">IF(_xlfn.TEXTJOIN(", ", TRUE, IF(ISNUMBER(SEARCH("WHI", BL21:BT21)), COLUMN(BL21:BT21) - COLUMN(BL21) + 1, ""))&lt;&gt;"","WHI","")</f>
        <v>WHI</v>
      </c>
      <c r="HY21" s="76"/>
      <c r="HZ21" s="76"/>
      <c r="IA21" s="6"/>
      <c r="IB21" s="6"/>
      <c r="IC21" s="77"/>
      <c r="ID21" s="77"/>
      <c r="IE21" s="77"/>
      <c r="IF21" s="77"/>
      <c r="IG21" s="77"/>
      <c r="IH21" s="77"/>
      <c r="II21" s="77"/>
      <c r="IJ21" s="77"/>
      <c r="IK21" s="77"/>
      <c r="IM21" s="45">
        <f>COUNTIF(IC21:IK21,"&gt;0")-CG21</f>
        <v>-6</v>
      </c>
      <c r="IN21" s="78" t="str">
        <f>"http://mkweb.bcgsc.ca/color-summarizer/?url="&amp;D21&amp;"&amp;precision=low&amp;num_clusters="&amp;CG21&amp;"&amp;text=1"</f>
        <v>http://mkweb.bcgsc.ca/color-summarizer/?url=https://upload.wikimedia.org/wikipedia/commons/thumb/6/6f/Flag_of_Melbourne.svg/640px-Flag_of_Melbourne.svg.png&amp;precision=low&amp;num_clusters=6&amp;text=1</v>
      </c>
      <c r="IO21" s="48" t="str">
        <f>IF(HP21&lt;&gt;"",CHAR(34)&amp;"black"&amp;CHAR(34),"")</f>
        <v>"black"</v>
      </c>
      <c r="IP21" s="48" t="str">
        <f>IF(HQ21&lt;&gt;"",CHAR(34)&amp;"blue"&amp;CHAR(34),"")</f>
        <v>"blue"</v>
      </c>
      <c r="IQ21" s="48" t="str">
        <f>IF(HR21&lt;&gt;"",CHAR(34)&amp;"green"&amp;CHAR(34),"")</f>
        <v/>
      </c>
      <c r="IR21" s="48" t="str">
        <f>IF(HS21&lt;&gt;"",CHAR(34)&amp;"red"&amp;CHAR(34),"")</f>
        <v>"red"</v>
      </c>
      <c r="IS21" s="48" t="str">
        <f>IF(HT21&lt;&gt;"",CHAR(34)&amp;"yellow"&amp;CHAR(34),"")</f>
        <v>"yellow"</v>
      </c>
      <c r="IT21" s="48" t="str">
        <f>IF(HU21&lt;&gt;"",CHAR(34)&amp;"orange"&amp;CHAR(34),"")</f>
        <v/>
      </c>
      <c r="IU21" s="48" t="str">
        <f>IF(HV21&lt;&gt;"",CHAR(34)&amp;"brown"&amp;CHAR(34),"")</f>
        <v>"brown"</v>
      </c>
      <c r="IV21" s="48" t="str">
        <f>IF(HW21&lt;&gt;"",CHAR(34)&amp;"purple"&amp;CHAR(34),"")</f>
        <v/>
      </c>
      <c r="IW21" s="48" t="str">
        <f>IF(HX21&lt;&gt;"",CHAR(34)&amp;"white"&amp;CHAR(34),"")</f>
        <v>"white"</v>
      </c>
      <c r="IX21" s="48" t="str">
        <f>"{"&amp;CHAR(34)&amp;"url"&amp;CHAR(34)&amp;":"&amp;CHAR(34)&amp;IN21&amp;CHAR(34)&amp;","&amp;CHAR(34)&amp;"name"&amp;CHAR(34)&amp;":"&amp;CHAR(34)&amp;A21&amp;CHAR(34)&amp;"},"</f>
        <v>{"url":"http://mkweb.bcgsc.ca/color-summarizer/?url=https://upload.wikimedia.org/wikipedia/commons/thumb/6/6f/Flag_of_Melbourne.svg/640px-Flag_of_Melbourne.svg.png&amp;precision=low&amp;num_clusters=6&amp;text=1","name":"[AUS] Melbourne"},</v>
      </c>
      <c r="IY21" s="48">
        <v>1391</v>
      </c>
    </row>
    <row r="22" spans="1:259" s="48" customFormat="1" ht="38.4" customHeight="1" thickBot="1" x14ac:dyDescent="0.35">
      <c r="A22" s="81" t="s">
        <v>718</v>
      </c>
      <c r="B22" s="40" t="e" vm="23">
        <v>#VALUE!</v>
      </c>
      <c r="C22" s="41">
        <v>3</v>
      </c>
      <c r="D22" s="42" t="s">
        <v>719</v>
      </c>
      <c r="E22" s="43" t="s">
        <v>719</v>
      </c>
      <c r="F22" s="44" t="s">
        <v>166</v>
      </c>
      <c r="G22" s="45">
        <f>COUNTIF($A$1:$A$8359,A22)</f>
        <v>1</v>
      </c>
      <c r="H22" s="46" t="s">
        <v>386</v>
      </c>
      <c r="I22" s="47" t="s">
        <v>720</v>
      </c>
      <c r="J22" s="48" t="str">
        <f>""</f>
        <v/>
      </c>
      <c r="K22" s="49"/>
      <c r="L22" s="50"/>
      <c r="M22" s="50"/>
      <c r="N22" s="51" t="s">
        <v>169</v>
      </c>
      <c r="O22" s="52">
        <v>1975</v>
      </c>
      <c r="P22" s="53" t="s">
        <v>721</v>
      </c>
      <c r="Q22" s="54">
        <v>1</v>
      </c>
      <c r="R22" s="55" t="s">
        <v>169</v>
      </c>
      <c r="S22" s="56">
        <v>2</v>
      </c>
      <c r="T22" s="57" t="s">
        <v>173</v>
      </c>
      <c r="U22" s="58" t="s">
        <v>172</v>
      </c>
      <c r="V22" s="58" t="s">
        <v>172</v>
      </c>
      <c r="W22" s="58" t="s">
        <v>172</v>
      </c>
      <c r="X22" s="58" t="s">
        <v>172</v>
      </c>
      <c r="Y22" s="58" t="s">
        <v>172</v>
      </c>
      <c r="Z22" s="58" t="s">
        <v>172</v>
      </c>
      <c r="AA22" s="58" t="s">
        <v>173</v>
      </c>
      <c r="AB22" s="58" t="s">
        <v>172</v>
      </c>
      <c r="AC22" s="58" t="s">
        <v>173</v>
      </c>
      <c r="AD22" s="58" t="s">
        <v>173</v>
      </c>
      <c r="AE22" s="58" t="s">
        <v>173</v>
      </c>
      <c r="AF22" s="59" t="s">
        <v>173</v>
      </c>
      <c r="AG22" s="59" t="s">
        <v>173</v>
      </c>
      <c r="AH22" s="59" t="s">
        <v>172</v>
      </c>
      <c r="AI22" s="59" t="s">
        <v>173</v>
      </c>
      <c r="AJ22" s="59" t="s">
        <v>173</v>
      </c>
      <c r="AK22" s="59" t="s">
        <v>173</v>
      </c>
      <c r="AL22" s="59" t="s">
        <v>173</v>
      </c>
      <c r="AM22" s="59" t="s">
        <v>173</v>
      </c>
      <c r="AN22" s="59" t="s">
        <v>173</v>
      </c>
      <c r="AO22" s="59" t="s">
        <v>173</v>
      </c>
      <c r="AP22" s="59" t="s">
        <v>173</v>
      </c>
      <c r="AQ22" s="59" t="s">
        <v>172</v>
      </c>
      <c r="AR22" s="59" t="s">
        <v>173</v>
      </c>
      <c r="AS22" s="59" t="s">
        <v>173</v>
      </c>
      <c r="AT22" s="60">
        <v>0</v>
      </c>
      <c r="AU22" s="59" t="s">
        <v>357</v>
      </c>
      <c r="AV22" s="59" t="str">
        <f>IF(LEFT(A22,1)="[",LEFT(A22,5)&amp;AU22&amp;A22,"")</f>
        <v>[AUS]City[AUS] Perth</v>
      </c>
      <c r="AW22" s="59" t="str">
        <f>C22&amp;H22&amp;A22</f>
        <v>3[AUS] Western Australia[AUS] Perth</v>
      </c>
      <c r="AX22" s="61" t="str">
        <f>_xlfn.TEXTJOIN(";",TRUE,AU22:AW22)</f>
        <v>City;[AUS]City[AUS] Perth;3[AUS] Western Australia[AUS] Perth</v>
      </c>
      <c r="AY22" s="61"/>
      <c r="AZ22" s="62" t="s">
        <v>155</v>
      </c>
      <c r="BA22" s="62"/>
      <c r="BB22" s="62"/>
      <c r="BC22" s="63"/>
      <c r="BD22" s="64" t="s">
        <v>153</v>
      </c>
      <c r="BE22" s="47"/>
      <c r="BF22" s="64" t="s">
        <v>153</v>
      </c>
      <c r="BG22" s="64" t="s">
        <v>154</v>
      </c>
      <c r="BH22" s="64" t="s">
        <v>153</v>
      </c>
      <c r="BI22" s="64" t="s">
        <v>159</v>
      </c>
      <c r="BJ22" s="64"/>
      <c r="BK22" s="47"/>
      <c r="BL22" s="64" t="s">
        <v>153</v>
      </c>
      <c r="BM22" s="64" t="s">
        <v>159</v>
      </c>
      <c r="BN22" s="64" t="s">
        <v>154</v>
      </c>
      <c r="BO22" s="64" t="s">
        <v>155</v>
      </c>
      <c r="BP22" s="64"/>
      <c r="BQ22" s="64"/>
      <c r="BR22" s="64"/>
      <c r="BS22" s="64"/>
      <c r="BT22" s="64"/>
      <c r="BU22" s="65"/>
      <c r="BV22" s="66" t="s">
        <v>172</v>
      </c>
      <c r="BW22" s="66" t="s">
        <v>174</v>
      </c>
      <c r="BX22" s="47"/>
      <c r="CB22" s="6" t="s">
        <v>141</v>
      </c>
      <c r="CC22" s="6"/>
      <c r="CD22" s="67">
        <v>0</v>
      </c>
      <c r="CE22" s="67">
        <v>0</v>
      </c>
      <c r="CF22" s="67" t="e">
        <v>#REF!</v>
      </c>
      <c r="CG22" s="68" cm="1">
        <f t="array" ref="CG22">SUMPRODUCT(--(LEN(TRIM(BL22:BT22))&gt;0))</f>
        <v>4</v>
      </c>
      <c r="CH22" s="59" t="str">
        <f>IF(CG22=2,"y","n")</f>
        <v>n</v>
      </c>
      <c r="CI22" s="59" t="str">
        <f>IF(CG22=3,"y","n")</f>
        <v>n</v>
      </c>
      <c r="CJ22" s="59" t="str">
        <f>IF(CG22=4,"y","n")</f>
        <v>y</v>
      </c>
      <c r="CK22" s="59" t="str">
        <f>IF(CG22&gt;4,"y","n")</f>
        <v>n</v>
      </c>
      <c r="CL22" s="59" t="str">
        <f>IF(S22=0,"y","n")</f>
        <v>n</v>
      </c>
      <c r="CM22" s="59" t="str">
        <f>IF(S22=2,"y","n")</f>
        <v>y</v>
      </c>
      <c r="CN22" s="59" t="str">
        <f>IF(S22=3,"y","n")</f>
        <v>n</v>
      </c>
      <c r="CO22" s="59" t="str">
        <f>IF(S22&gt;=4,"y","n")</f>
        <v>n</v>
      </c>
      <c r="CP22" s="59" t="str">
        <f>IF(AT22=0,"y","n")</f>
        <v>y</v>
      </c>
      <c r="CQ22" s="59" t="str">
        <f>IF(AT22=1,"y","n")</f>
        <v>n</v>
      </c>
      <c r="CR22" s="59" t="str">
        <f>IF(AT22=2,"y","n")</f>
        <v>n</v>
      </c>
      <c r="CS22" s="59" t="str">
        <f>IF(AT22&gt;=3,"y","n")</f>
        <v>n</v>
      </c>
      <c r="CT22" s="69" t="str">
        <f>CHAR(34)&amp;A22&amp;CHAR(34)</f>
        <v>"[AUS] Perth"</v>
      </c>
      <c r="CU22" s="70" t="str">
        <f>CHAR(34)&amp;"rgn_"&amp;R22&amp;CHAR(34)</f>
        <v>"rgn_Oceania"</v>
      </c>
      <c r="CV22" s="48" t="str">
        <f>CHAR(34)&amp;D22&amp;CHAR(34)</f>
        <v>"https://upload.wikimedia.org/wikipedia/commons/thumb/4/43/Flag_of_Perth.svg/640px-Flag_of_Perth.svg.png"</v>
      </c>
      <c r="CW22" s="48" t="str">
        <f t="shared" ref="CW22:CZ22" si="110">IF(CH22="y",CHAR(34)&amp;CH$1&amp;CHAR(34)&amp;",","")</f>
        <v/>
      </c>
      <c r="CX22" s="48" t="str">
        <f t="shared" si="110"/>
        <v/>
      </c>
      <c r="CY22" s="48" t="str">
        <f t="shared" si="110"/>
        <v>"4Color",</v>
      </c>
      <c r="CZ22" s="48" t="str">
        <f t="shared" si="110"/>
        <v/>
      </c>
      <c r="DA22" s="48" t="str">
        <f>IF(Q22&gt;1,CHAR(34)&amp;"words2"&amp;CHAR(34)&amp;",","")</f>
        <v/>
      </c>
      <c r="DB22" s="48" t="str">
        <f>IF(Q22&gt;2,CHAR(34)&amp;"words3"&amp;CHAR(34)&amp;",","")</f>
        <v/>
      </c>
      <c r="DC22" s="48" t="str">
        <f>IF(Q22=2,CHAR(34)&amp;"exact2"&amp;CHAR(34)&amp;",","")</f>
        <v/>
      </c>
      <c r="DD22" s="48" t="str">
        <f>IF(LEN(CHAR(34)&amp;"lets"&amp;LEN(SUBSTITUTE(SUBSTITUTE(IFERROR(TRIM(SUBSTITUTE(SUBSTITUTE(SUBSTITUTE(IFERROR(TRIM(SUBSTITUTE(A22,MID(A22,FIND("(",A22),FIND(")",A22)-FIND("(",A22)+1),"")),A22),"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",""),"-",""))&amp;CHAR(34)&amp;",")=9,CHAR(34)&amp;"lets"&amp;LEN(SUBSTITUTE(SUBSTITUTE(IFERROR(TRIM(SUBSTITUTE(SUBSTITUTE(SUBSTITUTE(IFERROR(TRIM(SUBSTITUTE(A22,MID(A22,FIND("(",A22),FIND(")",A22)-FIND("(",A22)+1),"")),A22),"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",""),"-",""))&amp;CHAR(34)&amp;",",CHAR(34)&amp;"lets0"&amp;LEN(SUBSTITUTE(SUBSTITUTE(IFERROR(TRIM(SUBSTITUTE(SUBSTITUTE(SUBSTITUTE(IFERROR(TRIM(SUBSTITUTE(A22,MID(A22,FIND("(",A22),FIND(")",A22)-FIND("(",A22)+1),"")),A22)," ",""),"-",""),MID(SUBSTITUTE(SUBSTITUTE(IFERROR(TRIM(SUBSTITUTE(A22,MID(A22,FIND("(",A22),FIND(")",A22)-FIND("(",A22)+1),"")),A22)," ",""),"-",""),FIND("[",SUBSTITUTE(SUBSTITUTE(IFERROR(TRIM(SUBSTITUTE(A22,MID(A22,FIND("(",A22),FIND(")",A22)-FIND("(",A22)+1),"")),A22)," ",""),"-","")),FIND("]",SUBSTITUTE(SUBSTITUTE(IFERROR(TRIM(SUBSTITUTE(A22,MID(A22,FIND("(",A22),FIND(")",A22)-FIND("(",A22)+1),"")),A22)," ",""),"-",""))-FIND("[",SUBSTITUTE(SUBSTITUTE(IFERROR(TRIM(SUBSTITUTE(A22,MID(A22,FIND("(",A22),FIND(")",A22)-FIND("(",A22)+1),"")),A22)," ",""),"-",""))+1),"")),SUBSTITUTE(SUBSTITUTE(IFERROR(TRIM(SUBSTITUTE(A22,MID(A22,FIND("(",A22),FIND(")",A22)-FIND("(",A22)+1),"")),A22)," ",""),"-",""))," ",""),"-",""))&amp;CHAR(34)&amp;",")</f>
        <v>"lets05",</v>
      </c>
      <c r="DE22" s="48" t="str">
        <f>IFERROR(CHAR(34)&amp;"start"&amp;LEFT(TRIM(SUBSTITUTE(SUBSTITUTE(TRIM(SUBSTITUTE(SUBSTITUTE(A22, MID(A22, FIND("[", A22), FIND("]", A22) - FIND("[", A22) + 1), ""), "  ", " ")), MID(TRIM(SUBSTITUTE(SUBSTITUTE(A22, MID(A22, FIND("[", A22), FIND("]", A22) - FIND("[", A22) + 1), ""), "  ", " ")), FIND("[", TRIM(SUBSTITUTE(SUBSTITUTE(A22, MID(A22, FIND("[", A22), FIND("]", A22) - FIND("[", A22) + 1), ""), "  ", " "))), FIND("]", TRIM(SUBSTITUTE(SUBSTITUTE(A22, MID(A22, FIND("[", A22), FIND("]", A22) - FIND("[", A22) + 1), ""), "  ", " "))) - FIND("[", TRIM(SUBSTITUTE(SUBSTITUTE(A22, MID(A22, FIND("[", A22), FIND("]", A22) - FIND("[", A22) + 1), ""), "  ", " "))) + 1), ""), "  ", " ")),1)&amp;CHAR(34)&amp;",",CHAR(34)&amp;"start"&amp;IFERROR(LEFT(SUBSTITUTE(A22,"["&amp;MID(A22,FIND("[",A22)+1,FIND("]",A22)-FIND("[",A22)-1)&amp;"] ",""),1),LEFT(A22,1))&amp;CHAR(34)&amp;",")</f>
        <v>"startP",</v>
      </c>
      <c r="DF22" s="48" t="str">
        <f>IFERROR(IF(SEARCH("tan",A22)&gt;0,CHAR(34)&amp;"withtn"&amp;CHAR(34)&amp;",",""),"")</f>
        <v/>
      </c>
      <c r="DG22" s="48" t="str">
        <f>IFERROR(IF(SEARCH("q",A22)&gt;0,CHAR(34)&amp;"with_q"&amp;CHAR(34)&amp;",",""),"")</f>
        <v/>
      </c>
      <c r="DH22" s="48" t="str">
        <f>IFERROR(IF(SEARCH("v",A22)&gt;0,CHAR(34)&amp;"with_v"&amp;CHAR(34)&amp;",",""),"")</f>
        <v/>
      </c>
      <c r="DI22" s="48" t="str">
        <f>IFERROR(IF(SEARCH("w",A22)&gt;0,CHAR(34)&amp;"with_w"&amp;CHAR(34)&amp;",",""),"")</f>
        <v/>
      </c>
      <c r="DJ22" s="48" t="str">
        <f>IFERROR(IF(SEARCH("y",A22)&gt;0,CHAR(34)&amp;"with_y"&amp;CHAR(34)&amp;",",""),"")</f>
        <v/>
      </c>
      <c r="DK22" s="48" t="str">
        <f>IFERROR(IF(SEARCH("z",A22)&gt;0,CHAR(34)&amp;"with_z"&amp;CHAR(34)&amp;",",""),"")</f>
        <v/>
      </c>
      <c r="DL22" s="48" t="str">
        <f>IF(CG22=2, CHAR(34) &amp; _xlfn.TEXTJOIN("", TRUE, _xlfn._xlws.SORT(HP22:HX22)) &amp; CHAR(34) &amp; ",", "")</f>
        <v/>
      </c>
      <c r="DM22" s="48" t="str" cm="1">
        <f t="array" ref="DM22">IF(CG22=3,CHAR(34) &amp; _xlfn.TEXTJOIN("", TRUE, RIGHT(HP22:HX22, 2)) &amp; CHAR(34) &amp; ",", "")</f>
        <v/>
      </c>
      <c r="DN22" s="48" t="str">
        <f>IF(AND(ISNUMBER(SEARCH("18", O22)), ISERROR(SEARCH("1918", O22)), ISERROR(SEARCH("2018", O22))), CHAR(34) &amp; "year18" &amp; CHAR(34) &amp; ",", "")</f>
        <v/>
      </c>
      <c r="DO22" s="48" t="str">
        <f>IF(AND(ISNUMBER(SEARCH("19", O22)), ISERROR(SEARCH("1819", O22)),  ISERROR(SEARCH("1219", O22)),ISERROR(SEARCH("1119", O22)),ISERROR(SEARCH("1190", O22)),ISERROR(SEARCH("2019", O22))), CHAR(34) &amp; "year19" &amp; CHAR(34) &amp; ",", "")</f>
        <v>"year19",</v>
      </c>
      <c r="DP22" s="6" t="str">
        <f>IF(AND(ISNUMBER(SEARCH("20", O22)), ISERROR(SEARCH("1920", O22))), CHAR(34)&amp;"year00"&amp;CHAR(34)&amp;",", "")</f>
        <v/>
      </c>
      <c r="DQ22" s="6" t="str">
        <f>IF(CC22="y",CHAR(34)&amp;"soviet"&amp;CHAR(34)&amp;",","")</f>
        <v/>
      </c>
      <c r="DR22" s="6" t="str">
        <f>IF(BY22="y",CHAR(34)&amp;"dgband"&amp;CHAR(34)&amp;",","")</f>
        <v/>
      </c>
      <c r="DS22" s="6" t="str">
        <f>IF(W22="y",IF(AND(V22="n",BY22&lt;&gt;"y"),CHAR(34)&amp;"allver"&amp;CHAR(34)&amp;",",""),"")</f>
        <v/>
      </c>
      <c r="DT22" s="6" t="str">
        <f>IF(V22="y",IF(AND(W22="n",BY22&lt;&gt;"y"),CHAR(34)&amp;"allhor"&amp;CHAR(34)&amp;",",""),"")</f>
        <v/>
      </c>
      <c r="DU22" s="6" t="str">
        <f>IF(BY22="y",IF(AND(W22="n",V22="n"),CHAR(34)&amp;"alldia"&amp;CHAR(34)&amp;",",""),"")</f>
        <v/>
      </c>
      <c r="DV22" s="48" t="str">
        <f>IF(IA22&lt;&gt;"",(IF(IA22="y",CHAR(34)&amp;"largec"&amp;CHAR(34)&amp;",",CHAR(34)&amp;"smallc"&amp;CHAR(34)&amp;",")),"")</f>
        <v/>
      </c>
      <c r="DW22" s="48" t="str">
        <f t="shared" ref="DW22:DZ22" si="111">IF(CL22="y",CHAR(34)&amp;CL$1&amp;CHAR(34)&amp;",","")</f>
        <v/>
      </c>
      <c r="DX22" s="48" t="str">
        <f t="shared" si="111"/>
        <v>"2Bands",</v>
      </c>
      <c r="DY22" s="48" t="str">
        <f t="shared" si="111"/>
        <v/>
      </c>
      <c r="DZ22" s="48" t="str">
        <f t="shared" si="111"/>
        <v/>
      </c>
      <c r="EA22" s="48" t="str">
        <f t="shared" ref="EA22:EE22" si="112">IF(T22="y",CHAR(34)&amp;T$1&amp;CHAR(34)&amp;",","")</f>
        <v/>
      </c>
      <c r="EB22" s="48" t="str">
        <f t="shared" si="112"/>
        <v>"Crosse",</v>
      </c>
      <c r="EC22" s="48" t="str">
        <f t="shared" si="112"/>
        <v>"Horizo",</v>
      </c>
      <c r="ED22" s="48" t="str">
        <f t="shared" si="112"/>
        <v>"Vertic",</v>
      </c>
      <c r="EE22" s="48" t="str">
        <f t="shared" si="112"/>
        <v>"Circle",</v>
      </c>
      <c r="EF22" s="48" t="str">
        <f>IF(AND(Y22&lt;&gt;"n",Y22&lt;&gt;""),CHAR(34)&amp;Y$1&amp;CHAR(34)&amp;",","")</f>
        <v>"Animal",</v>
      </c>
      <c r="EG22" s="48" t="str">
        <f t="shared" si="108"/>
        <v>"Bird",</v>
      </c>
      <c r="EH22" s="48" t="str">
        <f t="shared" si="108"/>
        <v/>
      </c>
      <c r="EI22" s="48" t="str">
        <f t="shared" si="108"/>
        <v>"Texted",</v>
      </c>
      <c r="EJ22" s="48" t="str">
        <f t="shared" si="108"/>
        <v/>
      </c>
      <c r="EK22" s="48" t="str">
        <f t="shared" si="108"/>
        <v/>
      </c>
      <c r="EL22" s="48" t="str">
        <f t="shared" si="108"/>
        <v/>
      </c>
      <c r="EM22" s="48" t="str">
        <f t="shared" si="108"/>
        <v/>
      </c>
      <c r="EN22" s="48" t="str">
        <f t="shared" si="108"/>
        <v/>
      </c>
      <c r="EO22" s="48" t="str">
        <f t="shared" si="108"/>
        <v>"Center",</v>
      </c>
      <c r="EP22" s="48" t="str">
        <f t="shared" si="108"/>
        <v/>
      </c>
      <c r="EQ22" s="48" t="str">
        <f t="shared" si="108"/>
        <v/>
      </c>
      <c r="ER22" s="48" t="str">
        <f t="shared" si="108"/>
        <v/>
      </c>
      <c r="ES22" s="48" t="str">
        <f t="shared" si="108"/>
        <v/>
      </c>
      <c r="ET22" s="48" t="str">
        <f t="shared" si="108"/>
        <v/>
      </c>
      <c r="EU22" s="48" t="str">
        <f t="shared" si="108"/>
        <v/>
      </c>
      <c r="EV22" s="48" t="str">
        <f t="shared" si="108"/>
        <v/>
      </c>
      <c r="EW22" s="48" t="str">
        <f t="shared" si="107"/>
        <v/>
      </c>
      <c r="EX22" s="48" t="str">
        <f t="shared" si="107"/>
        <v>"Crowns",</v>
      </c>
      <c r="EY22" s="48" t="str">
        <f t="shared" si="107"/>
        <v/>
      </c>
      <c r="EZ22" s="48" t="str">
        <f t="shared" si="107"/>
        <v/>
      </c>
      <c r="FA22" s="48" t="str">
        <f>IF(AT22&gt;0,CHAR(34)&amp;"sta"&amp;AZ22&amp;CHAR(34)&amp;",","")</f>
        <v/>
      </c>
      <c r="FB22" s="48" t="str">
        <f>IF(AND(AT22&gt;0,BA22&lt;&gt;""),CHAR(34)&amp;"sta"&amp;BA22&amp;CHAR(34)&amp;",","")</f>
        <v/>
      </c>
      <c r="FC22" s="48" t="str">
        <f>IF(AND(AT22&gt;0,BB22&lt;&gt;""),CHAR(34)&amp;"sta"&amp;BB22&amp;CHAR(34)&amp;",","")</f>
        <v/>
      </c>
      <c r="FD22" s="48" t="str">
        <f>IF(BV22="n",CHAR(34)&amp;"tcWHYE"&amp;CHAR(34)&amp;",",IF(BV22="y",CHAR(34)&amp;FD$1&amp;CHAR(34)&amp;",",""))</f>
        <v>"ntWHYE",</v>
      </c>
      <c r="FE22" s="48" t="str">
        <f>IF(COUNTIF(BL22:BT22,"BLU")=0,CHAR(34)&amp;"NO_BLU"&amp;CHAR(34)&amp;",", "")</f>
        <v>"NO_BLU",</v>
      </c>
      <c r="FF22" s="48" t="str">
        <f>IF(COUNTIF(BL22:BT22,"WHI")=0,CHAR(34)&amp;"NO_WHI"&amp;CHAR(34)&amp;",", "")</f>
        <v/>
      </c>
      <c r="FG22" s="48" t="str">
        <f>IF(COUNTIF(BL22:BT22,"RED")=0,CHAR(34)&amp;"NO_RED"&amp;CHAR(34)&amp;",", "")</f>
        <v/>
      </c>
      <c r="FH22" s="48" t="str">
        <f>IF(COUNTIF(BL22:BS22,"GRE")=0,CHAR(34)&amp;"NO_GRE"&amp;CHAR(34)&amp;",", "")</f>
        <v/>
      </c>
      <c r="FI22" s="48" t="str">
        <f>IF(COUNTIF(BL22:BT22,"YEL")=0,CHAR(34)&amp;"NO_YEL"&amp;CHAR(34)&amp;",", "")</f>
        <v/>
      </c>
      <c r="FJ22" s="48" t="str">
        <f>IF(COUNTIF(BL22:BT22,"BLA")=0,CHAR(34)&amp;"NO_BLA"&amp;CHAR(34)&amp;",", "")</f>
        <v>"NO_BLA",</v>
      </c>
      <c r="FK22" s="48" t="str">
        <f>IF(AND(FH22&lt;&gt;"",FF22&lt;&gt;""),CHAR(34)&amp;"WHGRNO"&amp;CHAR(34)&amp;",","")</f>
        <v/>
      </c>
      <c r="FL22" s="48" t="str">
        <f>IF(AND(FI22&lt;&gt;"",FF22&lt;&gt;""),CHAR(34)&amp;"WHYENO"&amp;CHAR(34)&amp;",","")</f>
        <v/>
      </c>
      <c r="FM22" s="48" t="str">
        <f>IF(AND(FJ22&lt;&gt;"",FF22&lt;&gt;""),CHAR(34)&amp;"BAWHNO"&amp;CHAR(34)&amp;",","")</f>
        <v/>
      </c>
      <c r="FN22" s="48" t="str">
        <f>IF(AND(FE22&lt;&gt;"",FF22&lt;&gt;""),CHAR(34)&amp;"BLWHNO"&amp;CHAR(34)&amp;",","")</f>
        <v/>
      </c>
      <c r="FO22" s="48" t="str">
        <f>IF(AND(FE22&lt;&gt;"",FG22&lt;&gt;""),CHAR(34)&amp;"BLRENO"&amp;CHAR(34)&amp;",","")</f>
        <v/>
      </c>
      <c r="FP22" s="48" t="str">
        <f>IF(AND(FF22&lt;&gt;"",FF22&lt;&gt;""),CHAR(34)&amp;"WHRENO"&amp;CHAR(34)&amp;",","")</f>
        <v/>
      </c>
      <c r="FQ22" s="48" t="str">
        <f>IF(LEN(BF22)=3,CHAR(34)&amp;"001"&amp;BF22&amp;CHAR(34)&amp;",","")</f>
        <v>"001GRE",</v>
      </c>
      <c r="FR22" s="48" t="str">
        <f>IF(LEN(BG22)=3,CHAR(34)&amp;"002"&amp;BG22&amp;CHAR(34)&amp;",","")</f>
        <v>"002RED",</v>
      </c>
      <c r="FS22" s="48" t="str">
        <f>IF(LEN(BH22)=3,CHAR(34)&amp;"003"&amp;BH22&amp;CHAR(34)&amp;",","")</f>
        <v>"003GRE",</v>
      </c>
      <c r="FT22" s="48" t="str">
        <f>CHAR(34)&amp;"myr"&amp;BD22&amp;CHAR(34)&amp;","</f>
        <v>"myrGRE",</v>
      </c>
      <c r="FU22" s="48" t="str">
        <f>IF(AY22="y",CHAR(34)&amp;"island"&amp;CHAR(34)&amp;",","")</f>
        <v/>
      </c>
      <c r="FV22" s="48" t="str">
        <f>IF(BZ22="y",CHAR(34)&amp;"landlo"&amp;CHAR(34)&amp;",","")</f>
        <v/>
      </c>
      <c r="FW22" s="48" t="str">
        <f>IF(CA22="y",CHAR(34)&amp;"eunion"&amp;CHAR(34)&amp;",","")</f>
        <v/>
      </c>
      <c r="FX22" s="48" t="str">
        <f>SUBSTITUTE(IFERROR(SEARCH("[",A22),IFERROR(IF(AND(CA22&lt;&gt;"y",SEARCH("Europe",R22)&gt;0),CHAR(34)&amp;"noeuni"&amp;CHAR(34)&amp;",",""),"")),"1","")</f>
        <v/>
      </c>
      <c r="FY22" s="48" t="str">
        <f>IFERROR(IF(SEARCH("Arabic",CB22)&gt;0,CHAR(34)&amp;"arabic"&amp;CHAR(34)&amp;",",""),"")</f>
        <v/>
      </c>
      <c r="FZ22" s="48" t="str">
        <f>IFERROR(IF(SEARCH("English",CB22)&gt;0,CHAR(34)&amp;"englis"&amp;CHAR(34)&amp;",",""),"")</f>
        <v/>
      </c>
      <c r="GA22" s="48" t="str">
        <f>IFERROR(IF(SEARCH("French",CB22)&gt;0,CHAR(34)&amp;"french"&amp;CHAR(34)&amp;",",""),"")</f>
        <v/>
      </c>
      <c r="GB22" s="48" t="str">
        <f>IFERROR(IF(SEARCH("Spanish",CB22)&gt;0,CHAR(34)&amp;"spanis"&amp;CHAR(34)&amp;",",""),"")</f>
        <v/>
      </c>
      <c r="GC22" s="48" t="str">
        <f>IFERROR(IF(SEARCH("Portuguese",CB22)&gt;0,CHAR(34)&amp;"portug"&amp;CHAR(34)&amp;",",""),"")</f>
        <v/>
      </c>
      <c r="GD22" s="48" t="str">
        <f>IFERROR(IF(SEARCH("German",CB22)&gt;0,CHAR(34)&amp;"german"&amp;CHAR(34)&amp;",",""),"")</f>
        <v/>
      </c>
      <c r="GE22" s="48" t="str">
        <f>IFERROR(IF(SEARCH("Dutch",CB22)&gt;0,CHAR(34)&amp;"dutchs"&amp;CHAR(34)&amp;",",""),"")</f>
        <v>"dutchs",</v>
      </c>
      <c r="GF22" s="48" t="str">
        <f>IFERROR(IF(SEARCH("Histor",AU22)&gt;0,CHAR(34)&amp;"histor"&amp;CHAR(34)&amp;",",""),"")</f>
        <v/>
      </c>
      <c r="GG22" s="48" t="str">
        <f>IF(BU22="y",CHAR(34)&amp;"unjack"&amp;CHAR(34)&amp;",","")</f>
        <v/>
      </c>
      <c r="GH22" s="48" t="str">
        <f>IF(CD22=1,CHAR(34)&amp;"southc"&amp;CHAR(34)&amp;",","")</f>
        <v/>
      </c>
      <c r="GI22" s="48" t="str">
        <f>IF(CE22=1,CHAR(34)&amp;"hasmap"&amp;CHAR(34)&amp;",","")</f>
        <v/>
      </c>
      <c r="GJ22" s="48" t="str">
        <f>IF(CP22="y",CHAR(34)&amp;CP$1&amp;CHAR(34)&amp;",","")</f>
        <v>"NoStar",</v>
      </c>
      <c r="GK22" s="48" t="str">
        <f>IF(GJ22="",CHAR(34)&amp;"HasSta"&amp;CHAR(34)&amp;",","")</f>
        <v/>
      </c>
      <c r="GL22" s="48" t="str">
        <f t="shared" ref="GL22:GN22" si="113">IF(CQ22="y",CHAR(34)&amp;CQ$1&amp;CHAR(34)&amp;",","")</f>
        <v/>
      </c>
      <c r="GM22" s="48" t="str">
        <f t="shared" si="113"/>
        <v/>
      </c>
      <c r="GN22" s="48" t="str">
        <f t="shared" si="113"/>
        <v/>
      </c>
      <c r="GP22" s="48" t="str">
        <f>CHAR(34)&amp;AU22&amp;CHAR(34)</f>
        <v>"City"</v>
      </c>
      <c r="GS22" s="48" t="str">
        <f>SUBSTITUTE("["&amp;_xlfn.CONCAT(CW22:GN22)&amp;"]",",]","]")</f>
        <v>["4Color","lets05","startP","year19","2Bands","Crosse","Horizo","Vertic","Circle","Animal","Bird","Texted","Center","Crowns","ntWHYE","NO_BLU","NO_BLA","001GRE","002RED","003GRE","myrGRE","dutchs","NoStar"]</v>
      </c>
      <c r="GT22" s="48" t="str">
        <f t="shared" si="109"/>
        <v>"cl_GRE",</v>
      </c>
      <c r="GU22" s="48" t="str">
        <f t="shared" si="109"/>
        <v>"cl_WHI",</v>
      </c>
      <c r="GV22" s="48" t="str">
        <f t="shared" si="109"/>
        <v>"cl_RED",</v>
      </c>
      <c r="GW22" s="48" t="str">
        <f t="shared" si="109"/>
        <v>"cl_YEL",</v>
      </c>
      <c r="GX22" s="48" t="str">
        <f t="shared" si="109"/>
        <v/>
      </c>
      <c r="GY22" s="48" t="str">
        <f t="shared" si="109"/>
        <v/>
      </c>
      <c r="GZ22" s="48" t="str">
        <f t="shared" si="109"/>
        <v/>
      </c>
      <c r="HA22" s="48" t="str">
        <f t="shared" si="109"/>
        <v/>
      </c>
      <c r="HB22" s="48" t="str">
        <f t="shared" si="109"/>
        <v/>
      </c>
      <c r="HC22" s="48" t="str">
        <f>SUBSTITUTE("["&amp;_xlfn.CONCAT(GT22:HB22)&amp;"]",",]","]")</f>
        <v>["cl_GRE","cl_WHI","cl_RED","cl_YEL"]</v>
      </c>
      <c r="HE22" s="71"/>
      <c r="HF22" s="72" t="str">
        <f>"{couname:"&amp;CT22&amp;(IF(HK22&lt;&gt;"",",subtype:"&amp;CHAR(34)&amp;HK22&amp;CHAR(34),""))&amp;",year:"&amp;HJ22&amp;",region:"&amp;CU22&amp;",Colors:"&amp;HC22&amp;",Items:"&amp;GS22&amp;",Flag:"&amp;CV22&amp;",HDFlag:"&amp;CHAR(34)&amp;E22&amp;CHAR(34)&amp;",type:"&amp;GP22&amp;", describe: "&amp;HH22&amp;", isnew:"&amp;CHAR(34)&amp;F22&amp;CHAR(34)&amp;", links: "&amp;HL22&amp;"},"</f>
        <v>{couname:"[AUS] Perth",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links: "https://en.wikipedia.org/wiki/City_of_Perth"},</v>
      </c>
      <c r="HG22" s="73" t="str">
        <f>"{couname:"&amp;CT22&amp;(IF(HK22&lt;&gt;"",",subtype:"&amp;CHAR(34)&amp;HK22&amp;CHAR(34),""))&amp;",year:"&amp;HJ22&amp;",region:"&amp;CU22&amp;",Colors:"&amp;HC22&amp;",Items:"&amp;GS22&amp;",Flag:"&amp;CV22&amp;",HDFlag:"&amp;CHAR(34)&amp;E22&amp;CHAR(34)&amp;",type:"&amp;GP22&amp;", describe: "&amp;HI22&amp;", links: "&amp;HL22&amp;"},"</f>
        <v>{couname:"[AUS] Perth",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links: "https://en.wikipedia.org/wiki/City_of_Perth"},</v>
      </c>
      <c r="HH22" s="48" t="str">
        <f>IF(P22&lt;&gt;"",CHAR(34)&amp;"\n"&amp;P22&amp;CHAR(34),CHAR(34)&amp;CHAR(34))</f>
        <v>"\nThe Saint George's Cross overlaid with the coat of arms of Perth in the centre."</v>
      </c>
      <c r="HI22" s="48" t="str">
        <f>IF(J22=0,CHAR(34)&amp;CHAR(34),HH22)</f>
        <v>"\nThe Saint George's Cross overlaid with the coat of arms of Perth in the centre."</v>
      </c>
      <c r="HJ22" s="48" t="str">
        <f>CHAR(34)&amp;O22&amp;CHAR(34)</f>
        <v>"1975"</v>
      </c>
      <c r="HL22" s="48" t="str">
        <f>CHAR(34)&amp;I22&amp;CHAR(34)</f>
        <v>"https://en.wikipedia.org/wiki/City_of_Perth"</v>
      </c>
      <c r="HM22" s="72"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"&amp;HH22&amp;", "&amp;CHAR(34)&amp;"isnew"&amp;CHAR(34)&amp;": "&amp;CHAR(34)&amp;F22&amp;CHAR(34)&amp;", "&amp;CHAR(34)&amp;"links"&amp;CHAR(34)&amp;": "&amp;HL22&amp;"},"</f>
        <v>{"couname":"[AUS] Perth","subtype":"[AUS] Western Australia","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 "links": "https://en.wikipedia.org/wiki/City_of_Perth"},</v>
      </c>
      <c r="HN22" s="74" t="str">
        <f>"{"&amp;CHAR(34)&amp;"couname"&amp;CHAR(34)&amp;":"&amp;CT22&amp;(IF(H22&lt;&gt;"",","&amp;CHAR(34)&amp;"subtype"&amp;CHAR(34)&amp;":"&amp;CHAR(34)&amp;H22&amp;CHAR(34),""))&amp;","&amp;CHAR(34)&amp;"year"&amp;CHAR(34)&amp;":"&amp;HJ22&amp;","&amp;CHAR(34)&amp;"region"&amp;CHAR(34)&amp;":"&amp;CU22&amp;","&amp;CHAR(34)&amp;"Colors"&amp;CHAR(34)&amp;":"&amp;HC22&amp;","&amp;CHAR(34)&amp;"Items"&amp;CHAR(34)&amp;":"&amp;GS22&amp;","&amp;CHAR(34)&amp;"Flag"&amp;CHAR(34)&amp;":"&amp;CV22&amp;","&amp;CHAR(34)&amp;"HDFlag"&amp;CHAR(34)&amp;":"&amp;CHAR(34)&amp;E22&amp;CHAR(34)&amp;","&amp;CHAR(34)&amp;"type"&amp;CHAR(34)&amp;":"&amp;GP22&amp;", "&amp;CHAR(34)&amp;"describe"&amp;CHAR(34)&amp;": "&amp;HI22&amp;", "&amp;CHAR(34)&amp;"isnew"&amp;CHAR(34)&amp;": "&amp;CHAR(34)&amp;F22&amp;CHAR(34)&amp;", "&amp;CHAR(34)&amp;"links"&amp;CHAR(34)&amp;": "&amp;HL22&amp;"},"</f>
        <v>{"couname":"[AUS] Perth","subtype":"[AUS] Western Australia","year":"1975","region":"rgn_Oceania","Colors":["cl_GRE","cl_WHI","cl_RED","cl_YEL"],"Items":["4Color","lets05","startP","year19","2Bands","Crosse","Horizo","Vertic","Circle","Animal","Bird","Texted","Center","Crowns","ntWHYE","NO_BLU","NO_BLA","001GRE","002RED","003GRE","myrGRE","dutchs","NoStar"],"Flag":"https://upload.wikimedia.org/wikipedia/commons/thumb/4/43/Flag_of_Perth.svg/640px-Flag_of_Perth.svg.png","HDFlag":"https://upload.wikimedia.org/wikipedia/commons/thumb/4/43/Flag_of_Perth.svg/640px-Flag_of_Perth.svg.png","type":"City", "describe": "\nThe Saint George's Cross overlaid with the coat of arms of Perth in the centre.", "isnew": ".", "links": "https://en.wikipedia.org/wiki/City_of_Perth"},</v>
      </c>
      <c r="HO22" s="75"/>
      <c r="HP22" s="48" t="str" cm="1">
        <f t="array" ref="HP22">IF(_xlfn.TEXTJOIN(", ", TRUE, IF(ISNUMBER(SEARCH("BLA", BL22:BT22)), COLUMN(BL22:BT22) - COLUMN(BL22) + 1, ""))&lt;&gt;"","BLA","")</f>
        <v/>
      </c>
      <c r="HQ22" s="48" t="str" cm="1">
        <f t="array" ref="HQ22">IF(_xlfn.TEXTJOIN(", ", TRUE, IF(ISNUMBER(SEARCH("BLU", BL22:BT22)), COLUMN(BL22:BT22) - COLUMN(BL22) + 1, ""))&lt;&gt;"","BLU","")</f>
        <v/>
      </c>
      <c r="HR22" s="48" t="str" cm="1">
        <f t="array" ref="HR22">IF(_xlfn.TEXTJOIN(", ", TRUE, IF(ISNUMBER(SEARCH("GRE", BL22:BT22)), COLUMN(BL22:BT22) - COLUMN(BL22) + 1, ""))&lt;&gt;"","GRE","")</f>
        <v>GRE</v>
      </c>
      <c r="HS22" s="48" t="str" cm="1">
        <f t="array" ref="HS22">IF(_xlfn.TEXTJOIN(", ", TRUE, IF(ISNUMBER(SEARCH("RED", BL22:BT22)), COLUMN(BL22:BT22) - COLUMN(BL22) + 1, ""))&lt;&gt;"","RED","")</f>
        <v>RED</v>
      </c>
      <c r="HT22" s="48" t="str" cm="1">
        <f t="array" ref="HT22">IF(_xlfn.TEXTJOIN(", ", TRUE, IF(ISNUMBER(SEARCH("YEL", BL22:BT22)), COLUMN(BL22:BT22) - COLUMN(BL22) + 1, ""))&lt;&gt;"","YEL","")</f>
        <v>YEL</v>
      </c>
      <c r="HU22" s="48" t="str" cm="1">
        <f t="array" ref="HU22">IF(_xlfn.TEXTJOIN(", ", TRUE, IF(ISNUMBER(SEARCH("ORA", BL22:BT22)), COLUMN(BL22:BT22) - COLUMN(BL22) + 1, ""))&lt;&gt;"","ORA","")</f>
        <v/>
      </c>
      <c r="HV22" s="48" t="str" cm="1">
        <f t="array" ref="HV22">IF(_xlfn.TEXTJOIN(", ", TRUE, IF(ISNUMBER(SEARCH("BRO", BL22:BT22)), COLUMN(BL22:BT22) - COLUMN(BL22) + 1, ""))&lt;&gt;"","BRO","")</f>
        <v/>
      </c>
      <c r="HW22" s="48" t="str" cm="1">
        <f t="array" ref="HW22">IF(_xlfn.TEXTJOIN(", ", TRUE, IF(ISNUMBER(SEARCH("PUR", BL22:BT22)), COLUMN(BL22:BT22) - COLUMN(BL22) + 1, ""))&lt;&gt;"","PUR","")</f>
        <v/>
      </c>
      <c r="HX22" s="48" t="str" cm="1">
        <f t="array" ref="HX22">IF(_xlfn.TEXTJOIN(", ", TRUE, IF(ISNUMBER(SEARCH("WHI", BL22:BT22)), COLUMN(BL22:BT22) - COLUMN(BL22) + 1, ""))&lt;&gt;"","WHI","")</f>
        <v>WHI</v>
      </c>
      <c r="HY22" s="76"/>
      <c r="HZ22" s="76"/>
      <c r="IA22" s="6"/>
      <c r="IB22" s="6"/>
      <c r="IC22" s="77"/>
      <c r="ID22" s="77"/>
      <c r="IE22" s="77"/>
      <c r="IF22" s="77"/>
      <c r="IG22" s="77"/>
      <c r="IH22" s="77"/>
      <c r="II22" s="77"/>
      <c r="IJ22" s="77"/>
      <c r="IK22" s="77"/>
      <c r="IL22" s="48">
        <f>SUM(IC22:IK22)</f>
        <v>0</v>
      </c>
      <c r="IM22" s="45">
        <f>COUNTIF(IC22:IK22,"&gt;0")-CG22</f>
        <v>-4</v>
      </c>
      <c r="IN22" s="78" t="str">
        <f>"http://mkweb.bcgsc.ca/color-summarizer/?url="&amp;D22&amp;"&amp;precision=low&amp;num_clusters="&amp;CG22&amp;"&amp;text=1"</f>
        <v>http://mkweb.bcgsc.ca/color-summarizer/?url=https://upload.wikimedia.org/wikipedia/commons/thumb/4/43/Flag_of_Perth.svg/640px-Flag_of_Perth.svg.png&amp;precision=low&amp;num_clusters=4&amp;text=1</v>
      </c>
      <c r="IO22" s="48" t="str">
        <f>IF(HP22&lt;&gt;"",CHAR(34)&amp;"black"&amp;CHAR(34),"")</f>
        <v/>
      </c>
      <c r="IP22" s="48" t="str">
        <f>IF(HQ22&lt;&gt;"",CHAR(34)&amp;"blue"&amp;CHAR(34),"")</f>
        <v/>
      </c>
      <c r="IQ22" s="48" t="str">
        <f>IF(HR22&lt;&gt;"",CHAR(34)&amp;"green"&amp;CHAR(34),"")</f>
        <v>"green"</v>
      </c>
      <c r="IR22" s="48" t="str">
        <f>IF(HS22&lt;&gt;"",CHAR(34)&amp;"red"&amp;CHAR(34),"")</f>
        <v>"red"</v>
      </c>
      <c r="IS22" s="48" t="str">
        <f>IF(HT22&lt;&gt;"",CHAR(34)&amp;"yellow"&amp;CHAR(34),"")</f>
        <v>"yellow"</v>
      </c>
      <c r="IT22" s="48" t="str">
        <f>IF(HU22&lt;&gt;"",CHAR(34)&amp;"orange"&amp;CHAR(34),"")</f>
        <v/>
      </c>
      <c r="IU22" s="48" t="str">
        <f>IF(HV22&lt;&gt;"",CHAR(34)&amp;"brown"&amp;CHAR(34),"")</f>
        <v/>
      </c>
      <c r="IV22" s="48" t="str">
        <f>IF(HW22&lt;&gt;"",CHAR(34)&amp;"purple"&amp;CHAR(34),"")</f>
        <v/>
      </c>
      <c r="IW22" s="48" t="str">
        <f>IF(HX22&lt;&gt;"",CHAR(34)&amp;"white"&amp;CHAR(34),"")</f>
        <v>"white"</v>
      </c>
      <c r="IX22" s="48" t="str">
        <f>"{"&amp;CHAR(34)&amp;"url"&amp;CHAR(34)&amp;":"&amp;CHAR(34)&amp;IN22&amp;CHAR(34)&amp;","&amp;CHAR(34)&amp;"name"&amp;CHAR(34)&amp;":"&amp;CHAR(34)&amp;A22&amp;CHAR(34)&amp;"},"</f>
        <v>{"url":"http://mkweb.bcgsc.ca/color-summarizer/?url=https://upload.wikimedia.org/wikipedia/commons/thumb/4/43/Flag_of_Perth.svg/640px-Flag_of_Perth.svg.png&amp;precision=low&amp;num_clusters=4&amp;text=1","name":"[AUS] Perth"},</v>
      </c>
      <c r="IY22" s="48">
        <v>210</v>
      </c>
    </row>
  </sheetData>
  <conditionalFormatting sqref="H1 CW1:GS1 IA1:IB1">
    <cfRule type="cellIs" dxfId="4793" priority="803" operator="greaterThan">
      <formula>0</formula>
    </cfRule>
  </conditionalFormatting>
  <conditionalFormatting sqref="H1">
    <cfRule type="cellIs" dxfId="4792" priority="769" stopIfTrue="1" operator="notEqual">
      <formula>""</formula>
    </cfRule>
  </conditionalFormatting>
  <conditionalFormatting sqref="T1:BK1">
    <cfRule type="cellIs" dxfId="4791" priority="806" operator="greaterThan">
      <formula>0</formula>
    </cfRule>
  </conditionalFormatting>
  <conditionalFormatting sqref="BV1:BW1">
    <cfRule type="cellIs" dxfId="4790" priority="805" operator="equal">
      <formula>"nc"</formula>
    </cfRule>
  </conditionalFormatting>
  <conditionalFormatting sqref="HF1:HG1">
    <cfRule type="cellIs" dxfId="4789" priority="807" operator="greaterThan">
      <formula>0</formula>
    </cfRule>
  </conditionalFormatting>
  <conditionalFormatting sqref="HK1">
    <cfRule type="cellIs" dxfId="4788" priority="804" operator="greaterThan">
      <formula>0</formula>
    </cfRule>
  </conditionalFormatting>
  <conditionalFormatting sqref="HP1:HX1">
    <cfRule type="cellIs" dxfId="4787" priority="781" operator="equal">
      <formula>"PIN"</formula>
    </cfRule>
    <cfRule type="cellIs" dxfId="4786" priority="782" operator="equal">
      <formula>"ORA"</formula>
    </cfRule>
    <cfRule type="cellIs" dxfId="4785" priority="783" operator="equal">
      <formula>"GRA"</formula>
    </cfRule>
    <cfRule type="cellIs" dxfId="4784" priority="784" operator="equal">
      <formula>"PUR"</formula>
    </cfRule>
    <cfRule type="cellIs" dxfId="4783" priority="785" operator="equal">
      <formula>"BRO"</formula>
    </cfRule>
    <cfRule type="cellIs" dxfId="4782" priority="786" operator="equal">
      <formula>"YEL"</formula>
    </cfRule>
    <cfRule type="cellIs" dxfId="4781" priority="787" operator="equal">
      <formula>"BLU"</formula>
    </cfRule>
    <cfRule type="cellIs" dxfId="4780" priority="788" operator="equal">
      <formula>"WHI"</formula>
    </cfRule>
    <cfRule type="cellIs" dxfId="4779" priority="789" operator="equal">
      <formula>"GRE"</formula>
    </cfRule>
    <cfRule type="cellIs" dxfId="4778" priority="790" operator="equal">
      <formula>"RED"</formula>
    </cfRule>
    <cfRule type="cellIs" dxfId="4777" priority="791" operator="equal">
      <formula>"BLA"</formula>
    </cfRule>
  </conditionalFormatting>
  <conditionalFormatting sqref="IC1:IK1">
    <cfRule type="cellIs" dxfId="4776" priority="792" operator="equal">
      <formula>"PIN"</formula>
    </cfRule>
    <cfRule type="cellIs" dxfId="4775" priority="793" operator="equal">
      <formula>"ORA"</formula>
    </cfRule>
    <cfRule type="cellIs" dxfId="4774" priority="794" operator="equal">
      <formula>"GRA"</formula>
    </cfRule>
    <cfRule type="cellIs" dxfId="4773" priority="795" operator="equal">
      <formula>"PUR"</formula>
    </cfRule>
    <cfRule type="cellIs" dxfId="4772" priority="796" operator="equal">
      <formula>"BRO"</formula>
    </cfRule>
    <cfRule type="cellIs" dxfId="4771" priority="797" operator="equal">
      <formula>"YEL"</formula>
    </cfRule>
    <cfRule type="cellIs" dxfId="4770" priority="798" operator="equal">
      <formula>"BLU"</formula>
    </cfRule>
    <cfRule type="cellIs" dxfId="4769" priority="799" operator="equal">
      <formula>"WHI"</formula>
    </cfRule>
    <cfRule type="cellIs" dxfId="4768" priority="800" operator="equal">
      <formula>"GRE"</formula>
    </cfRule>
    <cfRule type="cellIs" dxfId="4767" priority="801" operator="equal">
      <formula>"RED"</formula>
    </cfRule>
    <cfRule type="cellIs" dxfId="4766" priority="802" operator="equal">
      <formula>"BLA"</formula>
    </cfRule>
  </conditionalFormatting>
  <conditionalFormatting sqref="IO1:IW1">
    <cfRule type="cellIs" dxfId="4765" priority="770" operator="equal">
      <formula>"PIN"</formula>
    </cfRule>
    <cfRule type="cellIs" dxfId="4764" priority="771" operator="equal">
      <formula>"ORA"</formula>
    </cfRule>
    <cfRule type="cellIs" dxfId="4763" priority="772" operator="equal">
      <formula>"GRA"</formula>
    </cfRule>
    <cfRule type="cellIs" dxfId="4762" priority="773" operator="equal">
      <formula>"PUR"</formula>
    </cfRule>
    <cfRule type="cellIs" dxfId="4761" priority="774" operator="equal">
      <formula>"BRO"</formula>
    </cfRule>
    <cfRule type="cellIs" dxfId="4760" priority="775" operator="equal">
      <formula>"YEL"</formula>
    </cfRule>
    <cfRule type="cellIs" dxfId="4759" priority="776" operator="equal">
      <formula>"BLU"</formula>
    </cfRule>
    <cfRule type="cellIs" dxfId="4758" priority="777" operator="equal">
      <formula>"WHI"</formula>
    </cfRule>
    <cfRule type="cellIs" dxfId="4757" priority="778" operator="equal">
      <formula>"GRE"</formula>
    </cfRule>
    <cfRule type="cellIs" dxfId="4756" priority="779" operator="equal">
      <formula>"RED"</formula>
    </cfRule>
    <cfRule type="cellIs" dxfId="4755" priority="780" operator="equal">
      <formula>"BLA"</formula>
    </cfRule>
  </conditionalFormatting>
  <conditionalFormatting sqref="H2">
    <cfRule type="cellIs" dxfId="4754" priority="738" stopIfTrue="1" operator="notEqual">
      <formula>""</formula>
    </cfRule>
  </conditionalFormatting>
  <conditionalFormatting sqref="R2 CU2">
    <cfRule type="cellIs" dxfId="4753" priority="740" operator="greaterThan">
      <formula>0</formula>
    </cfRule>
  </conditionalFormatting>
  <conditionalFormatting sqref="T2:AS2 CH2:CS2">
    <cfRule type="cellIs" dxfId="4752" priority="735" stopIfTrue="1" operator="equal">
      <formula>"n"</formula>
    </cfRule>
    <cfRule type="cellIs" dxfId="4751" priority="736" stopIfTrue="1" operator="equal">
      <formula>"y"</formula>
    </cfRule>
    <cfRule type="cellIs" dxfId="4750" priority="737" operator="greaterThan">
      <formula>0</formula>
    </cfRule>
  </conditionalFormatting>
  <conditionalFormatting sqref="AZ2:BB2">
    <cfRule type="expression" dxfId="4749" priority="734">
      <formula>$AT2=0</formula>
    </cfRule>
  </conditionalFormatting>
  <conditionalFormatting sqref="AZ2:BU2">
    <cfRule type="cellIs" dxfId="4748" priority="743" operator="equal">
      <formula>"PIN"</formula>
    </cfRule>
    <cfRule type="cellIs" dxfId="4747" priority="744" operator="equal">
      <formula>"ORA"</formula>
    </cfRule>
    <cfRule type="cellIs" dxfId="4746" priority="745" operator="equal">
      <formula>"GRA"</formula>
    </cfRule>
    <cfRule type="cellIs" dxfId="4745" priority="746" operator="equal">
      <formula>"PUR"</formula>
    </cfRule>
    <cfRule type="cellIs" dxfId="4744" priority="747" operator="equal">
      <formula>"BRO"</formula>
    </cfRule>
    <cfRule type="cellIs" dxfId="4743" priority="748" operator="equal">
      <formula>"YEL"</formula>
    </cfRule>
    <cfRule type="cellIs" dxfId="4742" priority="749" operator="equal">
      <formula>"BLU"</formula>
    </cfRule>
    <cfRule type="cellIs" dxfId="4741" priority="750" operator="equal">
      <formula>"WHI"</formula>
    </cfRule>
    <cfRule type="cellIs" dxfId="4740" priority="751" operator="equal">
      <formula>"GRE"</formula>
    </cfRule>
    <cfRule type="cellIs" dxfId="4739" priority="752" operator="equal">
      <formula>"RED"</formula>
    </cfRule>
    <cfRule type="cellIs" dxfId="4738" priority="753" operator="equal">
      <formula>"BLA"</formula>
    </cfRule>
  </conditionalFormatting>
  <conditionalFormatting sqref="BV2">
    <cfRule type="cellIs" dxfId="4737" priority="765" operator="equal">
      <formula>"nc"</formula>
    </cfRule>
  </conditionalFormatting>
  <conditionalFormatting sqref="BX2:CA2 CD2:CF2">
    <cfRule type="cellIs" dxfId="4736" priority="739" operator="equal">
      <formula>"y"</formula>
    </cfRule>
    <cfRule type="cellIs" dxfId="4735" priority="754" operator="equal">
      <formula>"PIN"</formula>
    </cfRule>
    <cfRule type="cellIs" dxfId="4734" priority="755" operator="equal">
      <formula>"ORA"</formula>
    </cfRule>
    <cfRule type="cellIs" dxfId="4733" priority="756" operator="equal">
      <formula>"GRA"</formula>
    </cfRule>
    <cfRule type="cellIs" dxfId="4732" priority="757" operator="equal">
      <formula>"PUR"</formula>
    </cfRule>
    <cfRule type="cellIs" dxfId="4731" priority="758" operator="equal">
      <formula>"BRO"</formula>
    </cfRule>
    <cfRule type="cellIs" dxfId="4730" priority="759" operator="equal">
      <formula>"YEL"</formula>
    </cfRule>
    <cfRule type="cellIs" dxfId="4729" priority="760" operator="equal">
      <formula>"BLU"</formula>
    </cfRule>
    <cfRule type="cellIs" dxfId="4728" priority="761" operator="equal">
      <formula>"WHI"</formula>
    </cfRule>
    <cfRule type="cellIs" dxfId="4727" priority="762" operator="equal">
      <formula>"GRE"</formula>
    </cfRule>
    <cfRule type="cellIs" dxfId="4726" priority="763" operator="equal">
      <formula>"RED"</formula>
    </cfRule>
    <cfRule type="cellIs" dxfId="4725" priority="764" operator="equal">
      <formula>"BLA"</formula>
    </cfRule>
  </conditionalFormatting>
  <conditionalFormatting sqref="BZ2:CA2 CD2:CF2">
    <cfRule type="cellIs" dxfId="4724" priority="741" operator="greaterThan">
      <formula>0</formula>
    </cfRule>
  </conditionalFormatting>
  <conditionalFormatting sqref="IC2:IK2">
    <cfRule type="expression" dxfId="4723" priority="742">
      <formula>$IL2&gt;0</formula>
    </cfRule>
  </conditionalFormatting>
  <conditionalFormatting sqref="S2">
    <cfRule type="colorScale" priority="766">
      <colorScale>
        <cfvo type="min"/>
        <cfvo type="max"/>
        <color rgb="FFFCFCFF"/>
        <color rgb="FF754BFB"/>
      </colorScale>
    </cfRule>
  </conditionalFormatting>
  <conditionalFormatting sqref="AT2">
    <cfRule type="colorScale" priority="767">
      <colorScale>
        <cfvo type="min"/>
        <cfvo type="max"/>
        <color rgb="FFFCFCFF"/>
        <color theme="8" tint="0.39997558519241921"/>
      </colorScale>
    </cfRule>
  </conditionalFormatting>
  <conditionalFormatting sqref="CG2">
    <cfRule type="colorScale" priority="768">
      <colorScale>
        <cfvo type="min"/>
        <cfvo type="max"/>
        <color rgb="FFFCFCFF"/>
        <color rgb="FF63BE7B"/>
      </colorScale>
    </cfRule>
  </conditionalFormatting>
  <conditionalFormatting sqref="J2">
    <cfRule type="colorScale" priority="733">
      <colorScale>
        <cfvo type="min"/>
        <cfvo type="percentile" val="50"/>
        <cfvo type="max"/>
        <color rgb="FFF8696B"/>
        <color rgb="FFFFEB84"/>
        <color rgb="FF63BE7B"/>
      </colorScale>
    </cfRule>
  </conditionalFormatting>
  <conditionalFormatting sqref="H3">
    <cfRule type="cellIs" dxfId="2986" priority="702" stopIfTrue="1" operator="notEqual">
      <formula>""</formula>
    </cfRule>
  </conditionalFormatting>
  <conditionalFormatting sqref="R3 CU3">
    <cfRule type="cellIs" dxfId="2985" priority="704" operator="greaterThan">
      <formula>0</formula>
    </cfRule>
  </conditionalFormatting>
  <conditionalFormatting sqref="T3:AS3 CH3:CS3">
    <cfRule type="cellIs" dxfId="2984" priority="699" stopIfTrue="1" operator="equal">
      <formula>"n"</formula>
    </cfRule>
    <cfRule type="cellIs" dxfId="2983" priority="700" stopIfTrue="1" operator="equal">
      <formula>"y"</formula>
    </cfRule>
    <cfRule type="cellIs" dxfId="2982" priority="701" operator="greaterThan">
      <formula>0</formula>
    </cfRule>
  </conditionalFormatting>
  <conditionalFormatting sqref="AZ3:BB3">
    <cfRule type="expression" dxfId="2981" priority="698">
      <formula>$AT3=0</formula>
    </cfRule>
  </conditionalFormatting>
  <conditionalFormatting sqref="AZ3:BU3">
    <cfRule type="cellIs" dxfId="2980" priority="707" operator="equal">
      <formula>"PIN"</formula>
    </cfRule>
    <cfRule type="cellIs" dxfId="2979" priority="708" operator="equal">
      <formula>"ORA"</formula>
    </cfRule>
    <cfRule type="cellIs" dxfId="2978" priority="709" operator="equal">
      <formula>"GRA"</formula>
    </cfRule>
    <cfRule type="cellIs" dxfId="2977" priority="710" operator="equal">
      <formula>"PUR"</formula>
    </cfRule>
    <cfRule type="cellIs" dxfId="2976" priority="711" operator="equal">
      <formula>"BRO"</formula>
    </cfRule>
    <cfRule type="cellIs" dxfId="2975" priority="712" operator="equal">
      <formula>"YEL"</formula>
    </cfRule>
    <cfRule type="cellIs" dxfId="2974" priority="713" operator="equal">
      <formula>"BLU"</formula>
    </cfRule>
    <cfRule type="cellIs" dxfId="2973" priority="714" operator="equal">
      <formula>"WHI"</formula>
    </cfRule>
    <cfRule type="cellIs" dxfId="2972" priority="715" operator="equal">
      <formula>"GRE"</formula>
    </cfRule>
    <cfRule type="cellIs" dxfId="2971" priority="716" operator="equal">
      <formula>"RED"</formula>
    </cfRule>
    <cfRule type="cellIs" dxfId="2970" priority="717" operator="equal">
      <formula>"BLA"</formula>
    </cfRule>
  </conditionalFormatting>
  <conditionalFormatting sqref="BV3:BW3">
    <cfRule type="cellIs" dxfId="2969" priority="729" operator="equal">
      <formula>"nc"</formula>
    </cfRule>
  </conditionalFormatting>
  <conditionalFormatting sqref="BX3:CA3 CD3:CF3">
    <cfRule type="cellIs" dxfId="2968" priority="703" operator="equal">
      <formula>"y"</formula>
    </cfRule>
    <cfRule type="cellIs" dxfId="2967" priority="718" operator="equal">
      <formula>"PIN"</formula>
    </cfRule>
    <cfRule type="cellIs" dxfId="2966" priority="719" operator="equal">
      <formula>"ORA"</formula>
    </cfRule>
    <cfRule type="cellIs" dxfId="2965" priority="720" operator="equal">
      <formula>"GRA"</formula>
    </cfRule>
    <cfRule type="cellIs" dxfId="2964" priority="721" operator="equal">
      <formula>"PUR"</formula>
    </cfRule>
    <cfRule type="cellIs" dxfId="2963" priority="722" operator="equal">
      <formula>"BRO"</formula>
    </cfRule>
    <cfRule type="cellIs" dxfId="2962" priority="723" operator="equal">
      <formula>"YEL"</formula>
    </cfRule>
    <cfRule type="cellIs" dxfId="2961" priority="724" operator="equal">
      <formula>"BLU"</formula>
    </cfRule>
    <cfRule type="cellIs" dxfId="2960" priority="725" operator="equal">
      <formula>"WHI"</formula>
    </cfRule>
    <cfRule type="cellIs" dxfId="2959" priority="726" operator="equal">
      <formula>"GRE"</formula>
    </cfRule>
    <cfRule type="cellIs" dxfId="2958" priority="727" operator="equal">
      <formula>"RED"</formula>
    </cfRule>
    <cfRule type="cellIs" dxfId="2957" priority="728" operator="equal">
      <formula>"BLA"</formula>
    </cfRule>
  </conditionalFormatting>
  <conditionalFormatting sqref="BZ3:CA3 CD3:CF3">
    <cfRule type="cellIs" dxfId="2956" priority="705" operator="greaterThan">
      <formula>0</formula>
    </cfRule>
  </conditionalFormatting>
  <conditionalFormatting sqref="IC3:IK3">
    <cfRule type="expression" dxfId="2955" priority="706">
      <formula>$IL3&gt;0</formula>
    </cfRule>
  </conditionalFormatting>
  <conditionalFormatting sqref="S3">
    <cfRule type="colorScale" priority="730">
      <colorScale>
        <cfvo type="min"/>
        <cfvo type="max"/>
        <color rgb="FFFCFCFF"/>
        <color rgb="FF754BFB"/>
      </colorScale>
    </cfRule>
  </conditionalFormatting>
  <conditionalFormatting sqref="AT3">
    <cfRule type="colorScale" priority="731">
      <colorScale>
        <cfvo type="min"/>
        <cfvo type="max"/>
        <color rgb="FFFCFCFF"/>
        <color theme="8" tint="0.39997558519241921"/>
      </colorScale>
    </cfRule>
  </conditionalFormatting>
  <conditionalFormatting sqref="CG3">
    <cfRule type="colorScale" priority="732">
      <colorScale>
        <cfvo type="min"/>
        <cfvo type="max"/>
        <color rgb="FFFCFCFF"/>
        <color rgb="FF63BE7B"/>
      </colorScale>
    </cfRule>
  </conditionalFormatting>
  <conditionalFormatting sqref="J3">
    <cfRule type="colorScale" priority="697">
      <colorScale>
        <cfvo type="min"/>
        <cfvo type="percentile" val="50"/>
        <cfvo type="max"/>
        <color rgb="FFF8696B"/>
        <color rgb="FFFFEB84"/>
        <color rgb="FF63BE7B"/>
      </colorScale>
    </cfRule>
  </conditionalFormatting>
  <conditionalFormatting sqref="H4">
    <cfRule type="cellIs" dxfId="2954" priority="666" stopIfTrue="1" operator="notEqual">
      <formula>""</formula>
    </cfRule>
  </conditionalFormatting>
  <conditionalFormatting sqref="R4 CU4">
    <cfRule type="cellIs" dxfId="2953" priority="668" operator="greaterThan">
      <formula>0</formula>
    </cfRule>
  </conditionalFormatting>
  <conditionalFormatting sqref="T4:AS4 CH4:CS4">
    <cfRule type="cellIs" dxfId="2952" priority="663" stopIfTrue="1" operator="equal">
      <formula>"n"</formula>
    </cfRule>
    <cfRule type="cellIs" dxfId="2951" priority="664" stopIfTrue="1" operator="equal">
      <formula>"y"</formula>
    </cfRule>
    <cfRule type="cellIs" dxfId="2950" priority="665" operator="greaterThan">
      <formula>0</formula>
    </cfRule>
  </conditionalFormatting>
  <conditionalFormatting sqref="AZ4:BB4">
    <cfRule type="expression" dxfId="2949" priority="662">
      <formula>$AT4=0</formula>
    </cfRule>
  </conditionalFormatting>
  <conditionalFormatting sqref="AZ4:BU4">
    <cfRule type="cellIs" dxfId="2948" priority="671" operator="equal">
      <formula>"PIN"</formula>
    </cfRule>
    <cfRule type="cellIs" dxfId="2947" priority="672" operator="equal">
      <formula>"ORA"</formula>
    </cfRule>
    <cfRule type="cellIs" dxfId="2946" priority="673" operator="equal">
      <formula>"GRA"</formula>
    </cfRule>
    <cfRule type="cellIs" dxfId="2945" priority="674" operator="equal">
      <formula>"PUR"</formula>
    </cfRule>
    <cfRule type="cellIs" dxfId="2944" priority="675" operator="equal">
      <formula>"BRO"</formula>
    </cfRule>
    <cfRule type="cellIs" dxfId="2943" priority="676" operator="equal">
      <formula>"YEL"</formula>
    </cfRule>
    <cfRule type="cellIs" dxfId="2942" priority="677" operator="equal">
      <formula>"BLU"</formula>
    </cfRule>
    <cfRule type="cellIs" dxfId="2941" priority="678" operator="equal">
      <formula>"WHI"</formula>
    </cfRule>
    <cfRule type="cellIs" dxfId="2940" priority="679" operator="equal">
      <formula>"GRE"</formula>
    </cfRule>
    <cfRule type="cellIs" dxfId="2939" priority="680" operator="equal">
      <formula>"RED"</formula>
    </cfRule>
    <cfRule type="cellIs" dxfId="2938" priority="681" operator="equal">
      <formula>"BLA"</formula>
    </cfRule>
  </conditionalFormatting>
  <conditionalFormatting sqref="BV4:BW4">
    <cfRule type="cellIs" dxfId="2937" priority="693" operator="equal">
      <formula>"nc"</formula>
    </cfRule>
  </conditionalFormatting>
  <conditionalFormatting sqref="BX4:CA4 CD4:CF4">
    <cfRule type="cellIs" dxfId="2936" priority="667" operator="equal">
      <formula>"y"</formula>
    </cfRule>
    <cfRule type="cellIs" dxfId="2935" priority="682" operator="equal">
      <formula>"PIN"</formula>
    </cfRule>
    <cfRule type="cellIs" dxfId="2934" priority="683" operator="equal">
      <formula>"ORA"</formula>
    </cfRule>
    <cfRule type="cellIs" dxfId="2933" priority="684" operator="equal">
      <formula>"GRA"</formula>
    </cfRule>
    <cfRule type="cellIs" dxfId="2932" priority="685" operator="equal">
      <formula>"PUR"</formula>
    </cfRule>
    <cfRule type="cellIs" dxfId="2931" priority="686" operator="equal">
      <formula>"BRO"</formula>
    </cfRule>
    <cfRule type="cellIs" dxfId="2930" priority="687" operator="equal">
      <formula>"YEL"</formula>
    </cfRule>
    <cfRule type="cellIs" dxfId="2929" priority="688" operator="equal">
      <formula>"BLU"</formula>
    </cfRule>
    <cfRule type="cellIs" dxfId="2928" priority="689" operator="equal">
      <formula>"WHI"</formula>
    </cfRule>
    <cfRule type="cellIs" dxfId="2927" priority="690" operator="equal">
      <formula>"GRE"</formula>
    </cfRule>
    <cfRule type="cellIs" dxfId="2926" priority="691" operator="equal">
      <formula>"RED"</formula>
    </cfRule>
    <cfRule type="cellIs" dxfId="2925" priority="692" operator="equal">
      <formula>"BLA"</formula>
    </cfRule>
  </conditionalFormatting>
  <conditionalFormatting sqref="BZ4:CA4 CD4:CF4">
    <cfRule type="cellIs" dxfId="2924" priority="669" operator="greaterThan">
      <formula>0</formula>
    </cfRule>
  </conditionalFormatting>
  <conditionalFormatting sqref="IC4:IK4">
    <cfRule type="expression" dxfId="2923" priority="670">
      <formula>$IL4&gt;0</formula>
    </cfRule>
  </conditionalFormatting>
  <conditionalFormatting sqref="S4">
    <cfRule type="colorScale" priority="694">
      <colorScale>
        <cfvo type="min"/>
        <cfvo type="max"/>
        <color rgb="FFFCFCFF"/>
        <color rgb="FF754BFB"/>
      </colorScale>
    </cfRule>
  </conditionalFormatting>
  <conditionalFormatting sqref="AT4">
    <cfRule type="colorScale" priority="695">
      <colorScale>
        <cfvo type="min"/>
        <cfvo type="max"/>
        <color rgb="FFFCFCFF"/>
        <color theme="8" tint="0.39997558519241921"/>
      </colorScale>
    </cfRule>
  </conditionalFormatting>
  <conditionalFormatting sqref="CG4">
    <cfRule type="colorScale" priority="696">
      <colorScale>
        <cfvo type="min"/>
        <cfvo type="max"/>
        <color rgb="FFFCFCFF"/>
        <color rgb="FF63BE7B"/>
      </colorScale>
    </cfRule>
  </conditionalFormatting>
  <conditionalFormatting sqref="J4">
    <cfRule type="colorScale" priority="661">
      <colorScale>
        <cfvo type="min"/>
        <cfvo type="percentile" val="50"/>
        <cfvo type="max"/>
        <color rgb="FFF8696B"/>
        <color rgb="FFFFEB84"/>
        <color rgb="FF63BE7B"/>
      </colorScale>
    </cfRule>
  </conditionalFormatting>
  <conditionalFormatting sqref="H5">
    <cfRule type="cellIs" dxfId="2922" priority="630" stopIfTrue="1" operator="notEqual">
      <formula>""</formula>
    </cfRule>
  </conditionalFormatting>
  <conditionalFormatting sqref="R5 CU5">
    <cfRule type="cellIs" dxfId="2921" priority="632" operator="greaterThan">
      <formula>0</formula>
    </cfRule>
  </conditionalFormatting>
  <conditionalFormatting sqref="T5:AS5 CH5:CS5">
    <cfRule type="cellIs" dxfId="2920" priority="627" stopIfTrue="1" operator="equal">
      <formula>"n"</formula>
    </cfRule>
    <cfRule type="cellIs" dxfId="2919" priority="628" stopIfTrue="1" operator="equal">
      <formula>"y"</formula>
    </cfRule>
    <cfRule type="cellIs" dxfId="2918" priority="629" operator="greaterThan">
      <formula>0</formula>
    </cfRule>
  </conditionalFormatting>
  <conditionalFormatting sqref="AZ5:BB5">
    <cfRule type="expression" dxfId="2917" priority="626">
      <formula>$AT5=0</formula>
    </cfRule>
  </conditionalFormatting>
  <conditionalFormatting sqref="AZ5:BU5">
    <cfRule type="cellIs" dxfId="2916" priority="635" operator="equal">
      <formula>"PIN"</formula>
    </cfRule>
    <cfRule type="cellIs" dxfId="2915" priority="636" operator="equal">
      <formula>"ORA"</formula>
    </cfRule>
    <cfRule type="cellIs" dxfId="2914" priority="637" operator="equal">
      <formula>"GRA"</formula>
    </cfRule>
    <cfRule type="cellIs" dxfId="2913" priority="638" operator="equal">
      <formula>"PUR"</formula>
    </cfRule>
    <cfRule type="cellIs" dxfId="2912" priority="639" operator="equal">
      <formula>"BRO"</formula>
    </cfRule>
    <cfRule type="cellIs" dxfId="2911" priority="640" operator="equal">
      <formula>"YEL"</formula>
    </cfRule>
    <cfRule type="cellIs" dxfId="2910" priority="641" operator="equal">
      <formula>"BLU"</formula>
    </cfRule>
    <cfRule type="cellIs" dxfId="2909" priority="642" operator="equal">
      <formula>"WHI"</formula>
    </cfRule>
    <cfRule type="cellIs" dxfId="2908" priority="643" operator="equal">
      <formula>"GRE"</formula>
    </cfRule>
    <cfRule type="cellIs" dxfId="2907" priority="644" operator="equal">
      <formula>"RED"</formula>
    </cfRule>
    <cfRule type="cellIs" dxfId="2906" priority="645" operator="equal">
      <formula>"BLA"</formula>
    </cfRule>
  </conditionalFormatting>
  <conditionalFormatting sqref="BV5:BW5">
    <cfRule type="cellIs" dxfId="2905" priority="657" operator="equal">
      <formula>"nc"</formula>
    </cfRule>
  </conditionalFormatting>
  <conditionalFormatting sqref="BX5:CA5 CD5:CF5">
    <cfRule type="cellIs" dxfId="2904" priority="631" operator="equal">
      <formula>"y"</formula>
    </cfRule>
    <cfRule type="cellIs" dxfId="2903" priority="646" operator="equal">
      <formula>"PIN"</formula>
    </cfRule>
    <cfRule type="cellIs" dxfId="2902" priority="647" operator="equal">
      <formula>"ORA"</formula>
    </cfRule>
    <cfRule type="cellIs" dxfId="2901" priority="648" operator="equal">
      <formula>"GRA"</formula>
    </cfRule>
    <cfRule type="cellIs" dxfId="2900" priority="649" operator="equal">
      <formula>"PUR"</formula>
    </cfRule>
    <cfRule type="cellIs" dxfId="2899" priority="650" operator="equal">
      <formula>"BRO"</formula>
    </cfRule>
    <cfRule type="cellIs" dxfId="2898" priority="651" operator="equal">
      <formula>"YEL"</formula>
    </cfRule>
    <cfRule type="cellIs" dxfId="2897" priority="652" operator="equal">
      <formula>"BLU"</formula>
    </cfRule>
    <cfRule type="cellIs" dxfId="2896" priority="653" operator="equal">
      <formula>"WHI"</formula>
    </cfRule>
    <cfRule type="cellIs" dxfId="2895" priority="654" operator="equal">
      <formula>"GRE"</formula>
    </cfRule>
    <cfRule type="cellIs" dxfId="2894" priority="655" operator="equal">
      <formula>"RED"</formula>
    </cfRule>
    <cfRule type="cellIs" dxfId="2893" priority="656" operator="equal">
      <formula>"BLA"</formula>
    </cfRule>
  </conditionalFormatting>
  <conditionalFormatting sqref="BZ5:CA5 CD5:CF5">
    <cfRule type="cellIs" dxfId="2892" priority="633" operator="greaterThan">
      <formula>0</formula>
    </cfRule>
  </conditionalFormatting>
  <conditionalFormatting sqref="IC5:IK5">
    <cfRule type="expression" dxfId="2891" priority="634">
      <formula>$IL5&gt;0</formula>
    </cfRule>
  </conditionalFormatting>
  <conditionalFormatting sqref="S5">
    <cfRule type="colorScale" priority="658">
      <colorScale>
        <cfvo type="min"/>
        <cfvo type="max"/>
        <color rgb="FFFCFCFF"/>
        <color rgb="FF754BFB"/>
      </colorScale>
    </cfRule>
  </conditionalFormatting>
  <conditionalFormatting sqref="AT5">
    <cfRule type="colorScale" priority="659">
      <colorScale>
        <cfvo type="min"/>
        <cfvo type="max"/>
        <color rgb="FFFCFCFF"/>
        <color theme="8" tint="0.39997558519241921"/>
      </colorScale>
    </cfRule>
  </conditionalFormatting>
  <conditionalFormatting sqref="CG5">
    <cfRule type="colorScale" priority="660">
      <colorScale>
        <cfvo type="min"/>
        <cfvo type="max"/>
        <color rgb="FFFCFCFF"/>
        <color rgb="FF63BE7B"/>
      </colorScale>
    </cfRule>
  </conditionalFormatting>
  <conditionalFormatting sqref="J5">
    <cfRule type="colorScale" priority="625">
      <colorScale>
        <cfvo type="min"/>
        <cfvo type="percentile" val="50"/>
        <cfvo type="max"/>
        <color rgb="FFF8696B"/>
        <color rgb="FFFFEB84"/>
        <color rgb="FF63BE7B"/>
      </colorScale>
    </cfRule>
  </conditionalFormatting>
  <conditionalFormatting sqref="H6">
    <cfRule type="cellIs" dxfId="2890" priority="594" stopIfTrue="1" operator="notEqual">
      <formula>""</formula>
    </cfRule>
  </conditionalFormatting>
  <conditionalFormatting sqref="R6 CU6">
    <cfRule type="cellIs" dxfId="2889" priority="596" operator="greaterThan">
      <formula>0</formula>
    </cfRule>
  </conditionalFormatting>
  <conditionalFormatting sqref="T6:AS6 CH6:CS6">
    <cfRule type="cellIs" dxfId="2888" priority="591" stopIfTrue="1" operator="equal">
      <formula>"n"</formula>
    </cfRule>
    <cfRule type="cellIs" dxfId="2887" priority="592" stopIfTrue="1" operator="equal">
      <formula>"y"</formula>
    </cfRule>
    <cfRule type="cellIs" dxfId="2886" priority="593" operator="greaterThan">
      <formula>0</formula>
    </cfRule>
  </conditionalFormatting>
  <conditionalFormatting sqref="AZ6:BB6">
    <cfRule type="expression" dxfId="2885" priority="590">
      <formula>$AT6=0</formula>
    </cfRule>
  </conditionalFormatting>
  <conditionalFormatting sqref="AZ6:BU6">
    <cfRule type="cellIs" dxfId="2884" priority="599" operator="equal">
      <formula>"PIN"</formula>
    </cfRule>
    <cfRule type="cellIs" dxfId="2883" priority="600" operator="equal">
      <formula>"ORA"</formula>
    </cfRule>
    <cfRule type="cellIs" dxfId="2882" priority="601" operator="equal">
      <formula>"GRA"</formula>
    </cfRule>
    <cfRule type="cellIs" dxfId="2881" priority="602" operator="equal">
      <formula>"PUR"</formula>
    </cfRule>
    <cfRule type="cellIs" dxfId="2880" priority="603" operator="equal">
      <formula>"BRO"</formula>
    </cfRule>
    <cfRule type="cellIs" dxfId="2879" priority="604" operator="equal">
      <formula>"YEL"</formula>
    </cfRule>
    <cfRule type="cellIs" dxfId="2878" priority="605" operator="equal">
      <formula>"BLU"</formula>
    </cfRule>
    <cfRule type="cellIs" dxfId="2877" priority="606" operator="equal">
      <formula>"WHI"</formula>
    </cfRule>
    <cfRule type="cellIs" dxfId="2876" priority="607" operator="equal">
      <formula>"GRE"</formula>
    </cfRule>
    <cfRule type="cellIs" dxfId="2875" priority="608" operator="equal">
      <formula>"RED"</formula>
    </cfRule>
    <cfRule type="cellIs" dxfId="2874" priority="609" operator="equal">
      <formula>"BLA"</formula>
    </cfRule>
  </conditionalFormatting>
  <conditionalFormatting sqref="BV6:BW6">
    <cfRule type="cellIs" dxfId="2873" priority="621" operator="equal">
      <formula>"nc"</formula>
    </cfRule>
  </conditionalFormatting>
  <conditionalFormatting sqref="BX6:CA6 CD6:CF6">
    <cfRule type="cellIs" dxfId="2872" priority="595" operator="equal">
      <formula>"y"</formula>
    </cfRule>
    <cfRule type="cellIs" dxfId="2871" priority="610" operator="equal">
      <formula>"PIN"</formula>
    </cfRule>
    <cfRule type="cellIs" dxfId="2870" priority="611" operator="equal">
      <formula>"ORA"</formula>
    </cfRule>
    <cfRule type="cellIs" dxfId="2869" priority="612" operator="equal">
      <formula>"GRA"</formula>
    </cfRule>
    <cfRule type="cellIs" dxfId="2868" priority="613" operator="equal">
      <formula>"PUR"</formula>
    </cfRule>
    <cfRule type="cellIs" dxfId="2867" priority="614" operator="equal">
      <formula>"BRO"</formula>
    </cfRule>
    <cfRule type="cellIs" dxfId="2866" priority="615" operator="equal">
      <formula>"YEL"</formula>
    </cfRule>
    <cfRule type="cellIs" dxfId="2865" priority="616" operator="equal">
      <formula>"BLU"</formula>
    </cfRule>
    <cfRule type="cellIs" dxfId="2864" priority="617" operator="equal">
      <formula>"WHI"</formula>
    </cfRule>
    <cfRule type="cellIs" dxfId="2863" priority="618" operator="equal">
      <formula>"GRE"</formula>
    </cfRule>
    <cfRule type="cellIs" dxfId="2862" priority="619" operator="equal">
      <formula>"RED"</formula>
    </cfRule>
    <cfRule type="cellIs" dxfId="2861" priority="620" operator="equal">
      <formula>"BLA"</formula>
    </cfRule>
  </conditionalFormatting>
  <conditionalFormatting sqref="BZ6:CA6 CD6:CF6">
    <cfRule type="cellIs" dxfId="2860" priority="597" operator="greaterThan">
      <formula>0</formula>
    </cfRule>
  </conditionalFormatting>
  <conditionalFormatting sqref="IC6:IK6">
    <cfRule type="expression" dxfId="2859" priority="598">
      <formula>$IL6&gt;0</formula>
    </cfRule>
  </conditionalFormatting>
  <conditionalFormatting sqref="S6">
    <cfRule type="colorScale" priority="622">
      <colorScale>
        <cfvo type="min"/>
        <cfvo type="max"/>
        <color rgb="FFFCFCFF"/>
        <color rgb="FF754BFB"/>
      </colorScale>
    </cfRule>
  </conditionalFormatting>
  <conditionalFormatting sqref="AT6">
    <cfRule type="colorScale" priority="623">
      <colorScale>
        <cfvo type="min"/>
        <cfvo type="max"/>
        <color rgb="FFFCFCFF"/>
        <color theme="8" tint="0.39997558519241921"/>
      </colorScale>
    </cfRule>
  </conditionalFormatting>
  <conditionalFormatting sqref="CG6">
    <cfRule type="colorScale" priority="624">
      <colorScale>
        <cfvo type="min"/>
        <cfvo type="max"/>
        <color rgb="FFFCFCFF"/>
        <color rgb="FF63BE7B"/>
      </colorScale>
    </cfRule>
  </conditionalFormatting>
  <conditionalFormatting sqref="J6">
    <cfRule type="colorScale" priority="589">
      <colorScale>
        <cfvo type="min"/>
        <cfvo type="percentile" val="50"/>
        <cfvo type="max"/>
        <color rgb="FFF8696B"/>
        <color rgb="FFFFEB84"/>
        <color rgb="FF63BE7B"/>
      </colorScale>
    </cfRule>
  </conditionalFormatting>
  <conditionalFormatting sqref="H7">
    <cfRule type="cellIs" dxfId="2858" priority="558" stopIfTrue="1" operator="notEqual">
      <formula>""</formula>
    </cfRule>
  </conditionalFormatting>
  <conditionalFormatting sqref="R7 CU7">
    <cfRule type="cellIs" dxfId="2857" priority="560" operator="greaterThan">
      <formula>0</formula>
    </cfRule>
  </conditionalFormatting>
  <conditionalFormatting sqref="T7:AS7 CH7:CS7">
    <cfRule type="cellIs" dxfId="2856" priority="555" stopIfTrue="1" operator="equal">
      <formula>"n"</formula>
    </cfRule>
    <cfRule type="cellIs" dxfId="2855" priority="556" stopIfTrue="1" operator="equal">
      <formula>"y"</formula>
    </cfRule>
    <cfRule type="cellIs" dxfId="2854" priority="557" operator="greaterThan">
      <formula>0</formula>
    </cfRule>
  </conditionalFormatting>
  <conditionalFormatting sqref="AZ7:BB7">
    <cfRule type="expression" dxfId="2853" priority="554">
      <formula>$AT7=0</formula>
    </cfRule>
  </conditionalFormatting>
  <conditionalFormatting sqref="AZ7:BU7">
    <cfRule type="cellIs" dxfId="2852" priority="563" operator="equal">
      <formula>"PIN"</formula>
    </cfRule>
    <cfRule type="cellIs" dxfId="2851" priority="564" operator="equal">
      <formula>"ORA"</formula>
    </cfRule>
    <cfRule type="cellIs" dxfId="2850" priority="565" operator="equal">
      <formula>"GRA"</formula>
    </cfRule>
    <cfRule type="cellIs" dxfId="2849" priority="566" operator="equal">
      <formula>"PUR"</formula>
    </cfRule>
    <cfRule type="cellIs" dxfId="2848" priority="567" operator="equal">
      <formula>"BRO"</formula>
    </cfRule>
    <cfRule type="cellIs" dxfId="2847" priority="568" operator="equal">
      <formula>"YEL"</formula>
    </cfRule>
    <cfRule type="cellIs" dxfId="2846" priority="569" operator="equal">
      <formula>"BLU"</formula>
    </cfRule>
    <cfRule type="cellIs" dxfId="2845" priority="570" operator="equal">
      <formula>"WHI"</formula>
    </cfRule>
    <cfRule type="cellIs" dxfId="2844" priority="571" operator="equal">
      <formula>"GRE"</formula>
    </cfRule>
    <cfRule type="cellIs" dxfId="2843" priority="572" operator="equal">
      <formula>"RED"</formula>
    </cfRule>
    <cfRule type="cellIs" dxfId="2842" priority="573" operator="equal">
      <formula>"BLA"</formula>
    </cfRule>
  </conditionalFormatting>
  <conditionalFormatting sqref="BV7:BW7">
    <cfRule type="cellIs" dxfId="2841" priority="585" operator="equal">
      <formula>"nc"</formula>
    </cfRule>
  </conditionalFormatting>
  <conditionalFormatting sqref="BX7:CA7 CD7:CF7">
    <cfRule type="cellIs" dxfId="2840" priority="559" operator="equal">
      <formula>"y"</formula>
    </cfRule>
    <cfRule type="cellIs" dxfId="2839" priority="574" operator="equal">
      <formula>"PIN"</formula>
    </cfRule>
    <cfRule type="cellIs" dxfId="2838" priority="575" operator="equal">
      <formula>"ORA"</formula>
    </cfRule>
    <cfRule type="cellIs" dxfId="2837" priority="576" operator="equal">
      <formula>"GRA"</formula>
    </cfRule>
    <cfRule type="cellIs" dxfId="2836" priority="577" operator="equal">
      <formula>"PUR"</formula>
    </cfRule>
    <cfRule type="cellIs" dxfId="2835" priority="578" operator="equal">
      <formula>"BRO"</formula>
    </cfRule>
    <cfRule type="cellIs" dxfId="2834" priority="579" operator="equal">
      <formula>"YEL"</formula>
    </cfRule>
    <cfRule type="cellIs" dxfId="2833" priority="580" operator="equal">
      <formula>"BLU"</formula>
    </cfRule>
    <cfRule type="cellIs" dxfId="2832" priority="581" operator="equal">
      <formula>"WHI"</formula>
    </cfRule>
    <cfRule type="cellIs" dxfId="2831" priority="582" operator="equal">
      <formula>"GRE"</formula>
    </cfRule>
    <cfRule type="cellIs" dxfId="2830" priority="583" operator="equal">
      <formula>"RED"</formula>
    </cfRule>
    <cfRule type="cellIs" dxfId="2829" priority="584" operator="equal">
      <formula>"BLA"</formula>
    </cfRule>
  </conditionalFormatting>
  <conditionalFormatting sqref="BZ7:CA7 CD7:CF7">
    <cfRule type="cellIs" dxfId="2828" priority="561" operator="greaterThan">
      <formula>0</formula>
    </cfRule>
  </conditionalFormatting>
  <conditionalFormatting sqref="IC7:IK7">
    <cfRule type="expression" dxfId="2827" priority="562">
      <formula>$IL7&gt;0</formula>
    </cfRule>
  </conditionalFormatting>
  <conditionalFormatting sqref="S7">
    <cfRule type="colorScale" priority="586">
      <colorScale>
        <cfvo type="min"/>
        <cfvo type="max"/>
        <color rgb="FFFCFCFF"/>
        <color rgb="FF754BFB"/>
      </colorScale>
    </cfRule>
  </conditionalFormatting>
  <conditionalFormatting sqref="AT7">
    <cfRule type="colorScale" priority="587">
      <colorScale>
        <cfvo type="min"/>
        <cfvo type="max"/>
        <color rgb="FFFCFCFF"/>
        <color theme="8" tint="0.39997558519241921"/>
      </colorScale>
    </cfRule>
  </conditionalFormatting>
  <conditionalFormatting sqref="CG7">
    <cfRule type="colorScale" priority="588">
      <colorScale>
        <cfvo type="min"/>
        <cfvo type="max"/>
        <color rgb="FFFCFCFF"/>
        <color rgb="FF63BE7B"/>
      </colorScale>
    </cfRule>
  </conditionalFormatting>
  <conditionalFormatting sqref="J7">
    <cfRule type="colorScale" priority="553">
      <colorScale>
        <cfvo type="min"/>
        <cfvo type="percentile" val="50"/>
        <cfvo type="max"/>
        <color rgb="FFF8696B"/>
        <color rgb="FFFFEB84"/>
        <color rgb="FF63BE7B"/>
      </colorScale>
    </cfRule>
  </conditionalFormatting>
  <conditionalFormatting sqref="H8">
    <cfRule type="cellIs" dxfId="2826" priority="522" stopIfTrue="1" operator="notEqual">
      <formula>""</formula>
    </cfRule>
  </conditionalFormatting>
  <conditionalFormatting sqref="R8 CU8">
    <cfRule type="cellIs" dxfId="2825" priority="524" operator="greaterThan">
      <formula>0</formula>
    </cfRule>
  </conditionalFormatting>
  <conditionalFormatting sqref="T8:AS8 CH8:CS8">
    <cfRule type="cellIs" dxfId="2824" priority="519" stopIfTrue="1" operator="equal">
      <formula>"n"</formula>
    </cfRule>
    <cfRule type="cellIs" dxfId="2823" priority="520" stopIfTrue="1" operator="equal">
      <formula>"y"</formula>
    </cfRule>
    <cfRule type="cellIs" dxfId="2822" priority="521" operator="greaterThan">
      <formula>0</formula>
    </cfRule>
  </conditionalFormatting>
  <conditionalFormatting sqref="AZ8:BB8">
    <cfRule type="expression" dxfId="2821" priority="518">
      <formula>$AT8=0</formula>
    </cfRule>
  </conditionalFormatting>
  <conditionalFormatting sqref="AZ8:BU8">
    <cfRule type="cellIs" dxfId="2820" priority="527" operator="equal">
      <formula>"PIN"</formula>
    </cfRule>
    <cfRule type="cellIs" dxfId="2819" priority="528" operator="equal">
      <formula>"ORA"</formula>
    </cfRule>
    <cfRule type="cellIs" dxfId="2818" priority="529" operator="equal">
      <formula>"GRA"</formula>
    </cfRule>
    <cfRule type="cellIs" dxfId="2817" priority="530" operator="equal">
      <formula>"PUR"</formula>
    </cfRule>
    <cfRule type="cellIs" dxfId="2816" priority="531" operator="equal">
      <formula>"BRO"</formula>
    </cfRule>
    <cfRule type="cellIs" dxfId="2815" priority="532" operator="equal">
      <formula>"YEL"</formula>
    </cfRule>
    <cfRule type="cellIs" dxfId="2814" priority="533" operator="equal">
      <formula>"BLU"</formula>
    </cfRule>
    <cfRule type="cellIs" dxfId="2813" priority="534" operator="equal">
      <formula>"WHI"</formula>
    </cfRule>
    <cfRule type="cellIs" dxfId="2812" priority="535" operator="equal">
      <formula>"GRE"</formula>
    </cfRule>
    <cfRule type="cellIs" dxfId="2811" priority="536" operator="equal">
      <formula>"RED"</formula>
    </cfRule>
    <cfRule type="cellIs" dxfId="2810" priority="537" operator="equal">
      <formula>"BLA"</formula>
    </cfRule>
  </conditionalFormatting>
  <conditionalFormatting sqref="BV8:BW8">
    <cfRule type="cellIs" dxfId="2809" priority="549" operator="equal">
      <formula>"nc"</formula>
    </cfRule>
  </conditionalFormatting>
  <conditionalFormatting sqref="BX8:CA8 CD8:CF8">
    <cfRule type="cellIs" dxfId="2808" priority="523" operator="equal">
      <formula>"y"</formula>
    </cfRule>
    <cfRule type="cellIs" dxfId="2807" priority="538" operator="equal">
      <formula>"PIN"</formula>
    </cfRule>
    <cfRule type="cellIs" dxfId="2806" priority="539" operator="equal">
      <formula>"ORA"</formula>
    </cfRule>
    <cfRule type="cellIs" dxfId="2805" priority="540" operator="equal">
      <formula>"GRA"</formula>
    </cfRule>
    <cfRule type="cellIs" dxfId="2804" priority="541" operator="equal">
      <formula>"PUR"</formula>
    </cfRule>
    <cfRule type="cellIs" dxfId="2803" priority="542" operator="equal">
      <formula>"BRO"</formula>
    </cfRule>
    <cfRule type="cellIs" dxfId="2802" priority="543" operator="equal">
      <formula>"YEL"</formula>
    </cfRule>
    <cfRule type="cellIs" dxfId="2801" priority="544" operator="equal">
      <formula>"BLU"</formula>
    </cfRule>
    <cfRule type="cellIs" dxfId="2800" priority="545" operator="equal">
      <formula>"WHI"</formula>
    </cfRule>
    <cfRule type="cellIs" dxfId="2799" priority="546" operator="equal">
      <formula>"GRE"</formula>
    </cfRule>
    <cfRule type="cellIs" dxfId="2798" priority="547" operator="equal">
      <formula>"RED"</formula>
    </cfRule>
    <cfRule type="cellIs" dxfId="2797" priority="548" operator="equal">
      <formula>"BLA"</formula>
    </cfRule>
  </conditionalFormatting>
  <conditionalFormatting sqref="BZ8:CA8 CD8:CF8">
    <cfRule type="cellIs" dxfId="2796" priority="525" operator="greaterThan">
      <formula>0</formula>
    </cfRule>
  </conditionalFormatting>
  <conditionalFormatting sqref="IC8:IK8">
    <cfRule type="expression" dxfId="2795" priority="526">
      <formula>$IL8&gt;0</formula>
    </cfRule>
  </conditionalFormatting>
  <conditionalFormatting sqref="S8">
    <cfRule type="colorScale" priority="550">
      <colorScale>
        <cfvo type="min"/>
        <cfvo type="max"/>
        <color rgb="FFFCFCFF"/>
        <color rgb="FF754BFB"/>
      </colorScale>
    </cfRule>
  </conditionalFormatting>
  <conditionalFormatting sqref="AT8">
    <cfRule type="colorScale" priority="551">
      <colorScale>
        <cfvo type="min"/>
        <cfvo type="max"/>
        <color rgb="FFFCFCFF"/>
        <color theme="8" tint="0.39997558519241921"/>
      </colorScale>
    </cfRule>
  </conditionalFormatting>
  <conditionalFormatting sqref="CG8">
    <cfRule type="colorScale" priority="552">
      <colorScale>
        <cfvo type="min"/>
        <cfvo type="max"/>
        <color rgb="FFFCFCFF"/>
        <color rgb="FF63BE7B"/>
      </colorScale>
    </cfRule>
  </conditionalFormatting>
  <conditionalFormatting sqref="J8">
    <cfRule type="colorScale" priority="517">
      <colorScale>
        <cfvo type="min"/>
        <cfvo type="percentile" val="50"/>
        <cfvo type="max"/>
        <color rgb="FFF8696B"/>
        <color rgb="FFFFEB84"/>
        <color rgb="FF63BE7B"/>
      </colorScale>
    </cfRule>
  </conditionalFormatting>
  <conditionalFormatting sqref="H9">
    <cfRule type="cellIs" dxfId="1290" priority="485" stopIfTrue="1" operator="notEqual">
      <formula>""</formula>
    </cfRule>
  </conditionalFormatting>
  <conditionalFormatting sqref="R9 CU9">
    <cfRule type="cellIs" dxfId="1289" priority="487" operator="greaterThan">
      <formula>0</formula>
    </cfRule>
  </conditionalFormatting>
  <conditionalFormatting sqref="T9:AS9 CH9:CS9">
    <cfRule type="cellIs" dxfId="1288" priority="482" stopIfTrue="1" operator="equal">
      <formula>"n"</formula>
    </cfRule>
    <cfRule type="cellIs" dxfId="1287" priority="483" stopIfTrue="1" operator="equal">
      <formula>"y"</formula>
    </cfRule>
    <cfRule type="cellIs" dxfId="1286" priority="484" operator="greaterThan">
      <formula>0</formula>
    </cfRule>
  </conditionalFormatting>
  <conditionalFormatting sqref="AZ9:BB9">
    <cfRule type="expression" dxfId="1285" priority="481">
      <formula>$AT9=0</formula>
    </cfRule>
  </conditionalFormatting>
  <conditionalFormatting sqref="AZ9:BU9">
    <cfRule type="cellIs" dxfId="1284" priority="490" operator="equal">
      <formula>"PIN"</formula>
    </cfRule>
    <cfRule type="cellIs" dxfId="1283" priority="491" operator="equal">
      <formula>"ORA"</formula>
    </cfRule>
    <cfRule type="cellIs" dxfId="1282" priority="492" operator="equal">
      <formula>"GRA"</formula>
    </cfRule>
    <cfRule type="cellIs" dxfId="1281" priority="493" operator="equal">
      <formula>"PUR"</formula>
    </cfRule>
    <cfRule type="cellIs" dxfId="1280" priority="494" operator="equal">
      <formula>"BRO"</formula>
    </cfRule>
    <cfRule type="cellIs" dxfId="1279" priority="495" operator="equal">
      <formula>"YEL"</formula>
    </cfRule>
    <cfRule type="cellIs" dxfId="1278" priority="496" operator="equal">
      <formula>"BLU"</formula>
    </cfRule>
    <cfRule type="cellIs" dxfId="1277" priority="497" operator="equal">
      <formula>"WHI"</formula>
    </cfRule>
    <cfRule type="cellIs" dxfId="1276" priority="498" operator="equal">
      <formula>"GRE"</formula>
    </cfRule>
    <cfRule type="cellIs" dxfId="1275" priority="499" operator="equal">
      <formula>"RED"</formula>
    </cfRule>
    <cfRule type="cellIs" dxfId="1274" priority="500" operator="equal">
      <formula>"BLA"</formula>
    </cfRule>
  </conditionalFormatting>
  <conditionalFormatting sqref="BV9">
    <cfRule type="cellIs" dxfId="1273" priority="512" operator="equal">
      <formula>"nc"</formula>
    </cfRule>
  </conditionalFormatting>
  <conditionalFormatting sqref="BX9:CA9 CD9:CF9">
    <cfRule type="cellIs" dxfId="1272" priority="486" operator="equal">
      <formula>"y"</formula>
    </cfRule>
    <cfRule type="cellIs" dxfId="1271" priority="501" operator="equal">
      <formula>"PIN"</formula>
    </cfRule>
    <cfRule type="cellIs" dxfId="1270" priority="502" operator="equal">
      <formula>"ORA"</formula>
    </cfRule>
    <cfRule type="cellIs" dxfId="1269" priority="503" operator="equal">
      <formula>"GRA"</formula>
    </cfRule>
    <cfRule type="cellIs" dxfId="1268" priority="504" operator="equal">
      <formula>"PUR"</formula>
    </cfRule>
    <cfRule type="cellIs" dxfId="1267" priority="505" operator="equal">
      <formula>"BRO"</formula>
    </cfRule>
    <cfRule type="cellIs" dxfId="1266" priority="506" operator="equal">
      <formula>"YEL"</formula>
    </cfRule>
    <cfRule type="cellIs" dxfId="1265" priority="507" operator="equal">
      <formula>"BLU"</formula>
    </cfRule>
    <cfRule type="cellIs" dxfId="1264" priority="508" operator="equal">
      <formula>"WHI"</formula>
    </cfRule>
    <cfRule type="cellIs" dxfId="1263" priority="509" operator="equal">
      <formula>"GRE"</formula>
    </cfRule>
    <cfRule type="cellIs" dxfId="1262" priority="510" operator="equal">
      <formula>"RED"</formula>
    </cfRule>
    <cfRule type="cellIs" dxfId="1261" priority="511" operator="equal">
      <formula>"BLA"</formula>
    </cfRule>
  </conditionalFormatting>
  <conditionalFormatting sqref="BZ9:CA9 CD9:CF9">
    <cfRule type="cellIs" dxfId="1260" priority="488" operator="greaterThan">
      <formula>0</formula>
    </cfRule>
  </conditionalFormatting>
  <conditionalFormatting sqref="IC9:IK9">
    <cfRule type="expression" dxfId="1259" priority="489">
      <formula>$IL9&gt;0</formula>
    </cfRule>
  </conditionalFormatting>
  <conditionalFormatting sqref="J9">
    <cfRule type="colorScale" priority="513">
      <colorScale>
        <cfvo type="min"/>
        <cfvo type="percentile" val="50"/>
        <cfvo type="max"/>
        <color rgb="FFF8696B"/>
        <color rgb="FFFFEB84"/>
        <color rgb="FF63BE7B"/>
      </colorScale>
    </cfRule>
  </conditionalFormatting>
  <conditionalFormatting sqref="S9">
    <cfRule type="colorScale" priority="514">
      <colorScale>
        <cfvo type="min"/>
        <cfvo type="max"/>
        <color rgb="FFFCFCFF"/>
        <color rgb="FF754BFB"/>
      </colorScale>
    </cfRule>
  </conditionalFormatting>
  <conditionalFormatting sqref="AT9">
    <cfRule type="colorScale" priority="515">
      <colorScale>
        <cfvo type="min"/>
        <cfvo type="max"/>
        <color rgb="FFFCFCFF"/>
        <color theme="8" tint="0.39997558519241921"/>
      </colorScale>
    </cfRule>
  </conditionalFormatting>
  <conditionalFormatting sqref="CG9">
    <cfRule type="colorScale" priority="516">
      <colorScale>
        <cfvo type="min"/>
        <cfvo type="max"/>
        <color rgb="FFFCFCFF"/>
        <color rgb="FF63BE7B"/>
      </colorScale>
    </cfRule>
  </conditionalFormatting>
  <conditionalFormatting sqref="H10">
    <cfRule type="cellIs" dxfId="1258" priority="449" stopIfTrue="1" operator="notEqual">
      <formula>""</formula>
    </cfRule>
  </conditionalFormatting>
  <conditionalFormatting sqref="R10 CU10">
    <cfRule type="cellIs" dxfId="1257" priority="451" operator="greaterThan">
      <formula>0</formula>
    </cfRule>
  </conditionalFormatting>
  <conditionalFormatting sqref="T10:AS10 CH10:CS10">
    <cfRule type="cellIs" dxfId="1256" priority="446" stopIfTrue="1" operator="equal">
      <formula>"n"</formula>
    </cfRule>
    <cfRule type="cellIs" dxfId="1255" priority="447" stopIfTrue="1" operator="equal">
      <formula>"y"</formula>
    </cfRule>
    <cfRule type="cellIs" dxfId="1254" priority="448" operator="greaterThan">
      <formula>0</formula>
    </cfRule>
  </conditionalFormatting>
  <conditionalFormatting sqref="AZ10:BB10">
    <cfRule type="expression" dxfId="1253" priority="445">
      <formula>$AT10=0</formula>
    </cfRule>
  </conditionalFormatting>
  <conditionalFormatting sqref="AZ10:BU10">
    <cfRule type="cellIs" dxfId="1252" priority="454" operator="equal">
      <formula>"PIN"</formula>
    </cfRule>
    <cfRule type="cellIs" dxfId="1251" priority="455" operator="equal">
      <formula>"ORA"</formula>
    </cfRule>
    <cfRule type="cellIs" dxfId="1250" priority="456" operator="equal">
      <formula>"GRA"</formula>
    </cfRule>
    <cfRule type="cellIs" dxfId="1249" priority="457" operator="equal">
      <formula>"PUR"</formula>
    </cfRule>
    <cfRule type="cellIs" dxfId="1248" priority="458" operator="equal">
      <formula>"BRO"</formula>
    </cfRule>
    <cfRule type="cellIs" dxfId="1247" priority="459" operator="equal">
      <formula>"YEL"</formula>
    </cfRule>
    <cfRule type="cellIs" dxfId="1246" priority="460" operator="equal">
      <formula>"BLU"</formula>
    </cfRule>
    <cfRule type="cellIs" dxfId="1245" priority="461" operator="equal">
      <formula>"WHI"</formula>
    </cfRule>
    <cfRule type="cellIs" dxfId="1244" priority="462" operator="equal">
      <formula>"GRE"</formula>
    </cfRule>
    <cfRule type="cellIs" dxfId="1243" priority="463" operator="equal">
      <formula>"RED"</formula>
    </cfRule>
    <cfRule type="cellIs" dxfId="1242" priority="464" operator="equal">
      <formula>"BLA"</formula>
    </cfRule>
  </conditionalFormatting>
  <conditionalFormatting sqref="BV10">
    <cfRule type="cellIs" dxfId="1241" priority="476" operator="equal">
      <formula>"nc"</formula>
    </cfRule>
  </conditionalFormatting>
  <conditionalFormatting sqref="BX10:CA10 CD10:CF10">
    <cfRule type="cellIs" dxfId="1240" priority="450" operator="equal">
      <formula>"y"</formula>
    </cfRule>
    <cfRule type="cellIs" dxfId="1239" priority="465" operator="equal">
      <formula>"PIN"</formula>
    </cfRule>
    <cfRule type="cellIs" dxfId="1238" priority="466" operator="equal">
      <formula>"ORA"</formula>
    </cfRule>
    <cfRule type="cellIs" dxfId="1237" priority="467" operator="equal">
      <formula>"GRA"</formula>
    </cfRule>
    <cfRule type="cellIs" dxfId="1236" priority="468" operator="equal">
      <formula>"PUR"</formula>
    </cfRule>
    <cfRule type="cellIs" dxfId="1235" priority="469" operator="equal">
      <formula>"BRO"</formula>
    </cfRule>
    <cfRule type="cellIs" dxfId="1234" priority="470" operator="equal">
      <formula>"YEL"</formula>
    </cfRule>
    <cfRule type="cellIs" dxfId="1233" priority="471" operator="equal">
      <formula>"BLU"</formula>
    </cfRule>
    <cfRule type="cellIs" dxfId="1232" priority="472" operator="equal">
      <formula>"WHI"</formula>
    </cfRule>
    <cfRule type="cellIs" dxfId="1231" priority="473" operator="equal">
      <formula>"GRE"</formula>
    </cfRule>
    <cfRule type="cellIs" dxfId="1230" priority="474" operator="equal">
      <formula>"RED"</formula>
    </cfRule>
    <cfRule type="cellIs" dxfId="1229" priority="475" operator="equal">
      <formula>"BLA"</formula>
    </cfRule>
  </conditionalFormatting>
  <conditionalFormatting sqref="BZ10:CA10 CD10:CF10">
    <cfRule type="cellIs" dxfId="1228" priority="452" operator="greaterThan">
      <formula>0</formula>
    </cfRule>
  </conditionalFormatting>
  <conditionalFormatting sqref="IC10:IK10">
    <cfRule type="expression" dxfId="1227" priority="453">
      <formula>$IL10&gt;0</formula>
    </cfRule>
  </conditionalFormatting>
  <conditionalFormatting sqref="J10">
    <cfRule type="colorScale" priority="477">
      <colorScale>
        <cfvo type="min"/>
        <cfvo type="percentile" val="50"/>
        <cfvo type="max"/>
        <color rgb="FFF8696B"/>
        <color rgb="FFFFEB84"/>
        <color rgb="FF63BE7B"/>
      </colorScale>
    </cfRule>
  </conditionalFormatting>
  <conditionalFormatting sqref="S10">
    <cfRule type="colorScale" priority="478">
      <colorScale>
        <cfvo type="min"/>
        <cfvo type="max"/>
        <color rgb="FFFCFCFF"/>
        <color rgb="FF754BFB"/>
      </colorScale>
    </cfRule>
  </conditionalFormatting>
  <conditionalFormatting sqref="AT10">
    <cfRule type="colorScale" priority="479">
      <colorScale>
        <cfvo type="min"/>
        <cfvo type="max"/>
        <color rgb="FFFCFCFF"/>
        <color theme="8" tint="0.39997558519241921"/>
      </colorScale>
    </cfRule>
  </conditionalFormatting>
  <conditionalFormatting sqref="CG10">
    <cfRule type="colorScale" priority="480">
      <colorScale>
        <cfvo type="min"/>
        <cfvo type="max"/>
        <color rgb="FFFCFCFF"/>
        <color rgb="FF63BE7B"/>
      </colorScale>
    </cfRule>
  </conditionalFormatting>
  <conditionalFormatting sqref="H11">
    <cfRule type="cellIs" dxfId="1130" priority="413" stopIfTrue="1" operator="notEqual">
      <formula>""</formula>
    </cfRule>
  </conditionalFormatting>
  <conditionalFormatting sqref="R11 CU11">
    <cfRule type="cellIs" dxfId="1129" priority="415" operator="greaterThan">
      <formula>0</formula>
    </cfRule>
  </conditionalFormatting>
  <conditionalFormatting sqref="T11:AS11 CH11:CS11">
    <cfRule type="cellIs" dxfId="1128" priority="410" stopIfTrue="1" operator="equal">
      <formula>"n"</formula>
    </cfRule>
    <cfRule type="cellIs" dxfId="1127" priority="411" stopIfTrue="1" operator="equal">
      <formula>"y"</formula>
    </cfRule>
    <cfRule type="cellIs" dxfId="1126" priority="412" operator="greaterThan">
      <formula>0</formula>
    </cfRule>
  </conditionalFormatting>
  <conditionalFormatting sqref="AZ11:BB11">
    <cfRule type="expression" dxfId="1125" priority="409">
      <formula>$AT11=0</formula>
    </cfRule>
  </conditionalFormatting>
  <conditionalFormatting sqref="AZ11:BU11">
    <cfRule type="cellIs" dxfId="1124" priority="418" operator="equal">
      <formula>"PIN"</formula>
    </cfRule>
    <cfRule type="cellIs" dxfId="1123" priority="419" operator="equal">
      <formula>"ORA"</formula>
    </cfRule>
    <cfRule type="cellIs" dxfId="1122" priority="420" operator="equal">
      <formula>"GRA"</formula>
    </cfRule>
    <cfRule type="cellIs" dxfId="1121" priority="421" operator="equal">
      <formula>"PUR"</formula>
    </cfRule>
    <cfRule type="cellIs" dxfId="1120" priority="422" operator="equal">
      <formula>"BRO"</formula>
    </cfRule>
    <cfRule type="cellIs" dxfId="1119" priority="423" operator="equal">
      <formula>"YEL"</formula>
    </cfRule>
    <cfRule type="cellIs" dxfId="1118" priority="424" operator="equal">
      <formula>"BLU"</formula>
    </cfRule>
    <cfRule type="cellIs" dxfId="1117" priority="425" operator="equal">
      <formula>"WHI"</formula>
    </cfRule>
    <cfRule type="cellIs" dxfId="1116" priority="426" operator="equal">
      <formula>"GRE"</formula>
    </cfRule>
    <cfRule type="cellIs" dxfId="1115" priority="427" operator="equal">
      <formula>"RED"</formula>
    </cfRule>
    <cfRule type="cellIs" dxfId="1114" priority="428" operator="equal">
      <formula>"BLA"</formula>
    </cfRule>
  </conditionalFormatting>
  <conditionalFormatting sqref="BV11">
    <cfRule type="cellIs" dxfId="1113" priority="440" operator="equal">
      <formula>"nc"</formula>
    </cfRule>
  </conditionalFormatting>
  <conditionalFormatting sqref="BX11:CA11 CD11:CF11">
    <cfRule type="cellIs" dxfId="1112" priority="414" operator="equal">
      <formula>"y"</formula>
    </cfRule>
    <cfRule type="cellIs" dxfId="1111" priority="429" operator="equal">
      <formula>"PIN"</formula>
    </cfRule>
    <cfRule type="cellIs" dxfId="1110" priority="430" operator="equal">
      <formula>"ORA"</formula>
    </cfRule>
    <cfRule type="cellIs" dxfId="1109" priority="431" operator="equal">
      <formula>"GRA"</formula>
    </cfRule>
    <cfRule type="cellIs" dxfId="1108" priority="432" operator="equal">
      <formula>"PUR"</formula>
    </cfRule>
    <cfRule type="cellIs" dxfId="1107" priority="433" operator="equal">
      <formula>"BRO"</formula>
    </cfRule>
    <cfRule type="cellIs" dxfId="1106" priority="434" operator="equal">
      <formula>"YEL"</formula>
    </cfRule>
    <cfRule type="cellIs" dxfId="1105" priority="435" operator="equal">
      <formula>"BLU"</formula>
    </cfRule>
    <cfRule type="cellIs" dxfId="1104" priority="436" operator="equal">
      <formula>"WHI"</formula>
    </cfRule>
    <cfRule type="cellIs" dxfId="1103" priority="437" operator="equal">
      <formula>"GRE"</formula>
    </cfRule>
    <cfRule type="cellIs" dxfId="1102" priority="438" operator="equal">
      <formula>"RED"</formula>
    </cfRule>
    <cfRule type="cellIs" dxfId="1101" priority="439" operator="equal">
      <formula>"BLA"</formula>
    </cfRule>
  </conditionalFormatting>
  <conditionalFormatting sqref="BZ11:CA11 CD11:CF11">
    <cfRule type="cellIs" dxfId="1100" priority="416" operator="greaterThan">
      <formula>0</formula>
    </cfRule>
  </conditionalFormatting>
  <conditionalFormatting sqref="IC11:IK11">
    <cfRule type="expression" dxfId="1099" priority="417">
      <formula>$IL11&gt;0</formula>
    </cfRule>
  </conditionalFormatting>
  <conditionalFormatting sqref="J11">
    <cfRule type="colorScale" priority="441">
      <colorScale>
        <cfvo type="min"/>
        <cfvo type="percentile" val="50"/>
        <cfvo type="max"/>
        <color rgb="FFF8696B"/>
        <color rgb="FFFFEB84"/>
        <color rgb="FF63BE7B"/>
      </colorScale>
    </cfRule>
  </conditionalFormatting>
  <conditionalFormatting sqref="S11">
    <cfRule type="colorScale" priority="442">
      <colorScale>
        <cfvo type="min"/>
        <cfvo type="max"/>
        <color rgb="FFFCFCFF"/>
        <color rgb="FF754BFB"/>
      </colorScale>
    </cfRule>
  </conditionalFormatting>
  <conditionalFormatting sqref="AT11">
    <cfRule type="colorScale" priority="443">
      <colorScale>
        <cfvo type="min"/>
        <cfvo type="max"/>
        <color rgb="FFFCFCFF"/>
        <color theme="8" tint="0.39997558519241921"/>
      </colorScale>
    </cfRule>
  </conditionalFormatting>
  <conditionalFormatting sqref="CG11">
    <cfRule type="colorScale" priority="444">
      <colorScale>
        <cfvo type="min"/>
        <cfvo type="max"/>
        <color rgb="FFFCFCFF"/>
        <color rgb="FF63BE7B"/>
      </colorScale>
    </cfRule>
  </conditionalFormatting>
  <conditionalFormatting sqref="H12">
    <cfRule type="cellIs" dxfId="1098" priority="377" stopIfTrue="1" operator="notEqual">
      <formula>""</formula>
    </cfRule>
  </conditionalFormatting>
  <conditionalFormatting sqref="R12 CU12">
    <cfRule type="cellIs" dxfId="1097" priority="379" operator="greaterThan">
      <formula>0</formula>
    </cfRule>
  </conditionalFormatting>
  <conditionalFormatting sqref="T12:AS12 CH12:CS12">
    <cfRule type="cellIs" dxfId="1096" priority="374" stopIfTrue="1" operator="equal">
      <formula>"n"</formula>
    </cfRule>
    <cfRule type="cellIs" dxfId="1095" priority="375" stopIfTrue="1" operator="equal">
      <formula>"y"</formula>
    </cfRule>
    <cfRule type="cellIs" dxfId="1094" priority="376" operator="greaterThan">
      <formula>0</formula>
    </cfRule>
  </conditionalFormatting>
  <conditionalFormatting sqref="AZ12:BB12">
    <cfRule type="expression" dxfId="1093" priority="373">
      <formula>$AT12=0</formula>
    </cfRule>
  </conditionalFormatting>
  <conditionalFormatting sqref="AZ12:BU12">
    <cfRule type="cellIs" dxfId="1092" priority="382" operator="equal">
      <formula>"PIN"</formula>
    </cfRule>
    <cfRule type="cellIs" dxfId="1091" priority="383" operator="equal">
      <formula>"ORA"</formula>
    </cfRule>
    <cfRule type="cellIs" dxfId="1090" priority="384" operator="equal">
      <formula>"GRA"</formula>
    </cfRule>
    <cfRule type="cellIs" dxfId="1089" priority="385" operator="equal">
      <formula>"PUR"</formula>
    </cfRule>
    <cfRule type="cellIs" dxfId="1088" priority="386" operator="equal">
      <formula>"BRO"</formula>
    </cfRule>
    <cfRule type="cellIs" dxfId="1087" priority="387" operator="equal">
      <formula>"YEL"</formula>
    </cfRule>
    <cfRule type="cellIs" dxfId="1086" priority="388" operator="equal">
      <formula>"BLU"</formula>
    </cfRule>
    <cfRule type="cellIs" dxfId="1085" priority="389" operator="equal">
      <formula>"WHI"</formula>
    </cfRule>
    <cfRule type="cellIs" dxfId="1084" priority="390" operator="equal">
      <formula>"GRE"</formula>
    </cfRule>
    <cfRule type="cellIs" dxfId="1083" priority="391" operator="equal">
      <formula>"RED"</formula>
    </cfRule>
    <cfRule type="cellIs" dxfId="1082" priority="392" operator="equal">
      <formula>"BLA"</formula>
    </cfRule>
  </conditionalFormatting>
  <conditionalFormatting sqref="BV12">
    <cfRule type="cellIs" dxfId="1081" priority="404" operator="equal">
      <formula>"nc"</formula>
    </cfRule>
  </conditionalFormatting>
  <conditionalFormatting sqref="BX12:CA12 CD12:CF12">
    <cfRule type="cellIs" dxfId="1080" priority="378" operator="equal">
      <formula>"y"</formula>
    </cfRule>
    <cfRule type="cellIs" dxfId="1079" priority="393" operator="equal">
      <formula>"PIN"</formula>
    </cfRule>
    <cfRule type="cellIs" dxfId="1078" priority="394" operator="equal">
      <formula>"ORA"</formula>
    </cfRule>
    <cfRule type="cellIs" dxfId="1077" priority="395" operator="equal">
      <formula>"GRA"</formula>
    </cfRule>
    <cfRule type="cellIs" dxfId="1076" priority="396" operator="equal">
      <formula>"PUR"</formula>
    </cfRule>
    <cfRule type="cellIs" dxfId="1075" priority="397" operator="equal">
      <formula>"BRO"</formula>
    </cfRule>
    <cfRule type="cellIs" dxfId="1074" priority="398" operator="equal">
      <formula>"YEL"</formula>
    </cfRule>
    <cfRule type="cellIs" dxfId="1073" priority="399" operator="equal">
      <formula>"BLU"</formula>
    </cfRule>
    <cfRule type="cellIs" dxfId="1072" priority="400" operator="equal">
      <formula>"WHI"</formula>
    </cfRule>
    <cfRule type="cellIs" dxfId="1071" priority="401" operator="equal">
      <formula>"GRE"</formula>
    </cfRule>
    <cfRule type="cellIs" dxfId="1070" priority="402" operator="equal">
      <formula>"RED"</formula>
    </cfRule>
    <cfRule type="cellIs" dxfId="1069" priority="403" operator="equal">
      <formula>"BLA"</formula>
    </cfRule>
  </conditionalFormatting>
  <conditionalFormatting sqref="BZ12:CA12 CD12:CF12">
    <cfRule type="cellIs" dxfId="1068" priority="380" operator="greaterThan">
      <formula>0</formula>
    </cfRule>
  </conditionalFormatting>
  <conditionalFormatting sqref="IC12:IK12">
    <cfRule type="expression" dxfId="1067" priority="381">
      <formula>$IL12&gt;0</formula>
    </cfRule>
  </conditionalFormatting>
  <conditionalFormatting sqref="J12">
    <cfRule type="colorScale" priority="405">
      <colorScale>
        <cfvo type="min"/>
        <cfvo type="percentile" val="50"/>
        <cfvo type="max"/>
        <color rgb="FFF8696B"/>
        <color rgb="FFFFEB84"/>
        <color rgb="FF63BE7B"/>
      </colorScale>
    </cfRule>
  </conditionalFormatting>
  <conditionalFormatting sqref="S12">
    <cfRule type="colorScale" priority="406">
      <colorScale>
        <cfvo type="min"/>
        <cfvo type="max"/>
        <color rgb="FFFCFCFF"/>
        <color rgb="FF754BFB"/>
      </colorScale>
    </cfRule>
  </conditionalFormatting>
  <conditionalFormatting sqref="AT12">
    <cfRule type="colorScale" priority="407">
      <colorScale>
        <cfvo type="min"/>
        <cfvo type="max"/>
        <color rgb="FFFCFCFF"/>
        <color theme="8" tint="0.39997558519241921"/>
      </colorScale>
    </cfRule>
  </conditionalFormatting>
  <conditionalFormatting sqref="CG12">
    <cfRule type="colorScale" priority="408">
      <colorScale>
        <cfvo type="min"/>
        <cfvo type="max"/>
        <color rgb="FFFCFCFF"/>
        <color rgb="FF63BE7B"/>
      </colorScale>
    </cfRule>
  </conditionalFormatting>
  <conditionalFormatting sqref="H13">
    <cfRule type="cellIs" dxfId="1066" priority="341" stopIfTrue="1" operator="notEqual">
      <formula>""</formula>
    </cfRule>
  </conditionalFormatting>
  <conditionalFormatting sqref="R13 CU13">
    <cfRule type="cellIs" dxfId="1065" priority="343" operator="greaterThan">
      <formula>0</formula>
    </cfRule>
  </conditionalFormatting>
  <conditionalFormatting sqref="T13:AS13 CH13:CS13">
    <cfRule type="cellIs" dxfId="1064" priority="338" stopIfTrue="1" operator="equal">
      <formula>"n"</formula>
    </cfRule>
    <cfRule type="cellIs" dxfId="1063" priority="339" stopIfTrue="1" operator="equal">
      <formula>"y"</formula>
    </cfRule>
    <cfRule type="cellIs" dxfId="1062" priority="340" operator="greaterThan">
      <formula>0</formula>
    </cfRule>
  </conditionalFormatting>
  <conditionalFormatting sqref="AZ13:BB13">
    <cfRule type="expression" dxfId="1061" priority="337">
      <formula>$AT13=0</formula>
    </cfRule>
  </conditionalFormatting>
  <conditionalFormatting sqref="AZ13:BU13">
    <cfRule type="cellIs" dxfId="1060" priority="346" operator="equal">
      <formula>"PIN"</formula>
    </cfRule>
    <cfRule type="cellIs" dxfId="1059" priority="347" operator="equal">
      <formula>"ORA"</formula>
    </cfRule>
    <cfRule type="cellIs" dxfId="1058" priority="348" operator="equal">
      <formula>"GRA"</formula>
    </cfRule>
    <cfRule type="cellIs" dxfId="1057" priority="349" operator="equal">
      <formula>"PUR"</formula>
    </cfRule>
    <cfRule type="cellIs" dxfId="1056" priority="350" operator="equal">
      <formula>"BRO"</formula>
    </cfRule>
    <cfRule type="cellIs" dxfId="1055" priority="351" operator="equal">
      <formula>"YEL"</formula>
    </cfRule>
    <cfRule type="cellIs" dxfId="1054" priority="352" operator="equal">
      <formula>"BLU"</formula>
    </cfRule>
    <cfRule type="cellIs" dxfId="1053" priority="353" operator="equal">
      <formula>"WHI"</formula>
    </cfRule>
    <cfRule type="cellIs" dxfId="1052" priority="354" operator="equal">
      <formula>"GRE"</formula>
    </cfRule>
    <cfRule type="cellIs" dxfId="1051" priority="355" operator="equal">
      <formula>"RED"</formula>
    </cfRule>
    <cfRule type="cellIs" dxfId="1050" priority="356" operator="equal">
      <formula>"BLA"</formula>
    </cfRule>
  </conditionalFormatting>
  <conditionalFormatting sqref="BV13">
    <cfRule type="cellIs" dxfId="1049" priority="368" operator="equal">
      <formula>"nc"</formula>
    </cfRule>
  </conditionalFormatting>
  <conditionalFormatting sqref="BX13:CA13 CD13:CF13">
    <cfRule type="cellIs" dxfId="1048" priority="342" operator="equal">
      <formula>"y"</formula>
    </cfRule>
    <cfRule type="cellIs" dxfId="1047" priority="357" operator="equal">
      <formula>"PIN"</formula>
    </cfRule>
    <cfRule type="cellIs" dxfId="1046" priority="358" operator="equal">
      <formula>"ORA"</formula>
    </cfRule>
    <cfRule type="cellIs" dxfId="1045" priority="359" operator="equal">
      <formula>"GRA"</formula>
    </cfRule>
    <cfRule type="cellIs" dxfId="1044" priority="360" operator="equal">
      <formula>"PUR"</formula>
    </cfRule>
    <cfRule type="cellIs" dxfId="1043" priority="361" operator="equal">
      <formula>"BRO"</formula>
    </cfRule>
    <cfRule type="cellIs" dxfId="1042" priority="362" operator="equal">
      <formula>"YEL"</formula>
    </cfRule>
    <cfRule type="cellIs" dxfId="1041" priority="363" operator="equal">
      <formula>"BLU"</formula>
    </cfRule>
    <cfRule type="cellIs" dxfId="1040" priority="364" operator="equal">
      <formula>"WHI"</formula>
    </cfRule>
    <cfRule type="cellIs" dxfId="1039" priority="365" operator="equal">
      <formula>"GRE"</formula>
    </cfRule>
    <cfRule type="cellIs" dxfId="1038" priority="366" operator="equal">
      <formula>"RED"</formula>
    </cfRule>
    <cfRule type="cellIs" dxfId="1037" priority="367" operator="equal">
      <formula>"BLA"</formula>
    </cfRule>
  </conditionalFormatting>
  <conditionalFormatting sqref="BZ13:CA13 CD13:CF13">
    <cfRule type="cellIs" dxfId="1036" priority="344" operator="greaterThan">
      <formula>0</formula>
    </cfRule>
  </conditionalFormatting>
  <conditionalFormatting sqref="IC13:IK13">
    <cfRule type="expression" dxfId="1035" priority="345">
      <formula>$IL13&gt;0</formula>
    </cfRule>
  </conditionalFormatting>
  <conditionalFormatting sqref="J13">
    <cfRule type="colorScale" priority="369">
      <colorScale>
        <cfvo type="min"/>
        <cfvo type="percentile" val="50"/>
        <cfvo type="max"/>
        <color rgb="FFF8696B"/>
        <color rgb="FFFFEB84"/>
        <color rgb="FF63BE7B"/>
      </colorScale>
    </cfRule>
  </conditionalFormatting>
  <conditionalFormatting sqref="S13">
    <cfRule type="colorScale" priority="370">
      <colorScale>
        <cfvo type="min"/>
        <cfvo type="max"/>
        <color rgb="FFFCFCFF"/>
        <color rgb="FF754BFB"/>
      </colorScale>
    </cfRule>
  </conditionalFormatting>
  <conditionalFormatting sqref="AT13">
    <cfRule type="colorScale" priority="371">
      <colorScale>
        <cfvo type="min"/>
        <cfvo type="max"/>
        <color rgb="FFFCFCFF"/>
        <color theme="8" tint="0.39997558519241921"/>
      </colorScale>
    </cfRule>
  </conditionalFormatting>
  <conditionalFormatting sqref="CG13">
    <cfRule type="colorScale" priority="372">
      <colorScale>
        <cfvo type="min"/>
        <cfvo type="max"/>
        <color rgb="FFFCFCFF"/>
        <color rgb="FF63BE7B"/>
      </colorScale>
    </cfRule>
  </conditionalFormatting>
  <conditionalFormatting sqref="H14">
    <cfRule type="cellIs" dxfId="1034" priority="305" stopIfTrue="1" operator="notEqual">
      <formula>""</formula>
    </cfRule>
  </conditionalFormatting>
  <conditionalFormatting sqref="R14 CU14">
    <cfRule type="cellIs" dxfId="1033" priority="307" operator="greaterThan">
      <formula>0</formula>
    </cfRule>
  </conditionalFormatting>
  <conditionalFormatting sqref="T14:AS14 CH14:CS14">
    <cfRule type="cellIs" dxfId="1032" priority="302" stopIfTrue="1" operator="equal">
      <formula>"n"</formula>
    </cfRule>
    <cfRule type="cellIs" dxfId="1031" priority="303" stopIfTrue="1" operator="equal">
      <formula>"y"</formula>
    </cfRule>
    <cfRule type="cellIs" dxfId="1030" priority="304" operator="greaterThan">
      <formula>0</formula>
    </cfRule>
  </conditionalFormatting>
  <conditionalFormatting sqref="AZ14:BB14">
    <cfRule type="expression" dxfId="1029" priority="301">
      <formula>$AT14=0</formula>
    </cfRule>
  </conditionalFormatting>
  <conditionalFormatting sqref="AZ14:BU14">
    <cfRule type="cellIs" dxfId="1028" priority="310" operator="equal">
      <formula>"PIN"</formula>
    </cfRule>
    <cfRule type="cellIs" dxfId="1027" priority="311" operator="equal">
      <formula>"ORA"</formula>
    </cfRule>
    <cfRule type="cellIs" dxfId="1026" priority="312" operator="equal">
      <formula>"GRA"</formula>
    </cfRule>
    <cfRule type="cellIs" dxfId="1025" priority="313" operator="equal">
      <formula>"PUR"</formula>
    </cfRule>
    <cfRule type="cellIs" dxfId="1024" priority="314" operator="equal">
      <formula>"BRO"</formula>
    </cfRule>
    <cfRule type="cellIs" dxfId="1023" priority="315" operator="equal">
      <formula>"YEL"</formula>
    </cfRule>
    <cfRule type="cellIs" dxfId="1022" priority="316" operator="equal">
      <formula>"BLU"</formula>
    </cfRule>
    <cfRule type="cellIs" dxfId="1021" priority="317" operator="equal">
      <formula>"WHI"</formula>
    </cfRule>
    <cfRule type="cellIs" dxfId="1020" priority="318" operator="equal">
      <formula>"GRE"</formula>
    </cfRule>
    <cfRule type="cellIs" dxfId="1019" priority="319" operator="equal">
      <formula>"RED"</formula>
    </cfRule>
    <cfRule type="cellIs" dxfId="1018" priority="320" operator="equal">
      <formula>"BLA"</formula>
    </cfRule>
  </conditionalFormatting>
  <conditionalFormatting sqref="BV14">
    <cfRule type="cellIs" dxfId="1017" priority="332" operator="equal">
      <formula>"nc"</formula>
    </cfRule>
  </conditionalFormatting>
  <conditionalFormatting sqref="BX14:CA14 CD14:CF14">
    <cfRule type="cellIs" dxfId="1016" priority="306" operator="equal">
      <formula>"y"</formula>
    </cfRule>
    <cfRule type="cellIs" dxfId="1015" priority="321" operator="equal">
      <formula>"PIN"</formula>
    </cfRule>
    <cfRule type="cellIs" dxfId="1014" priority="322" operator="equal">
      <formula>"ORA"</formula>
    </cfRule>
    <cfRule type="cellIs" dxfId="1013" priority="323" operator="equal">
      <formula>"GRA"</formula>
    </cfRule>
    <cfRule type="cellIs" dxfId="1012" priority="324" operator="equal">
      <formula>"PUR"</formula>
    </cfRule>
    <cfRule type="cellIs" dxfId="1011" priority="325" operator="equal">
      <formula>"BRO"</formula>
    </cfRule>
    <cfRule type="cellIs" dxfId="1010" priority="326" operator="equal">
      <formula>"YEL"</formula>
    </cfRule>
    <cfRule type="cellIs" dxfId="1009" priority="327" operator="equal">
      <formula>"BLU"</formula>
    </cfRule>
    <cfRule type="cellIs" dxfId="1008" priority="328" operator="equal">
      <formula>"WHI"</formula>
    </cfRule>
    <cfRule type="cellIs" dxfId="1007" priority="329" operator="equal">
      <formula>"GRE"</formula>
    </cfRule>
    <cfRule type="cellIs" dxfId="1006" priority="330" operator="equal">
      <formula>"RED"</formula>
    </cfRule>
    <cfRule type="cellIs" dxfId="1005" priority="331" operator="equal">
      <formula>"BLA"</formula>
    </cfRule>
  </conditionalFormatting>
  <conditionalFormatting sqref="BZ14:CA14 CD14:CF14">
    <cfRule type="cellIs" dxfId="1004" priority="308" operator="greaterThan">
      <formula>0</formula>
    </cfRule>
  </conditionalFormatting>
  <conditionalFormatting sqref="IC14:IK14">
    <cfRule type="expression" dxfId="1003" priority="309">
      <formula>$IL14&gt;0</formula>
    </cfRule>
  </conditionalFormatting>
  <conditionalFormatting sqref="J14">
    <cfRule type="colorScale" priority="333">
      <colorScale>
        <cfvo type="min"/>
        <cfvo type="percentile" val="50"/>
        <cfvo type="max"/>
        <color rgb="FFF8696B"/>
        <color rgb="FFFFEB84"/>
        <color rgb="FF63BE7B"/>
      </colorScale>
    </cfRule>
  </conditionalFormatting>
  <conditionalFormatting sqref="S14">
    <cfRule type="colorScale" priority="334">
      <colorScale>
        <cfvo type="min"/>
        <cfvo type="max"/>
        <color rgb="FFFCFCFF"/>
        <color rgb="FF754BFB"/>
      </colorScale>
    </cfRule>
  </conditionalFormatting>
  <conditionalFormatting sqref="AT14">
    <cfRule type="colorScale" priority="335">
      <colorScale>
        <cfvo type="min"/>
        <cfvo type="max"/>
        <color rgb="FFFCFCFF"/>
        <color theme="8" tint="0.39997558519241921"/>
      </colorScale>
    </cfRule>
  </conditionalFormatting>
  <conditionalFormatting sqref="CG14">
    <cfRule type="colorScale" priority="336">
      <colorScale>
        <cfvo type="min"/>
        <cfvo type="max"/>
        <color rgb="FFFCFCFF"/>
        <color rgb="FF63BE7B"/>
      </colorScale>
    </cfRule>
  </conditionalFormatting>
  <conditionalFormatting sqref="H15">
    <cfRule type="cellIs" dxfId="1002" priority="269" stopIfTrue="1" operator="notEqual">
      <formula>""</formula>
    </cfRule>
  </conditionalFormatting>
  <conditionalFormatting sqref="R15 CU15">
    <cfRule type="cellIs" dxfId="1001" priority="271" operator="greaterThan">
      <formula>0</formula>
    </cfRule>
  </conditionalFormatting>
  <conditionalFormatting sqref="T15:AS15 CH15:CS15">
    <cfRule type="cellIs" dxfId="1000" priority="266" stopIfTrue="1" operator="equal">
      <formula>"n"</formula>
    </cfRule>
    <cfRule type="cellIs" dxfId="999" priority="267" stopIfTrue="1" operator="equal">
      <formula>"y"</formula>
    </cfRule>
    <cfRule type="cellIs" dxfId="998" priority="268" operator="greaterThan">
      <formula>0</formula>
    </cfRule>
  </conditionalFormatting>
  <conditionalFormatting sqref="AZ15:BB15">
    <cfRule type="expression" dxfId="997" priority="265">
      <formula>$AT15=0</formula>
    </cfRule>
  </conditionalFormatting>
  <conditionalFormatting sqref="AZ15:BU15">
    <cfRule type="cellIs" dxfId="996" priority="274" operator="equal">
      <formula>"PIN"</formula>
    </cfRule>
    <cfRule type="cellIs" dxfId="995" priority="275" operator="equal">
      <formula>"ORA"</formula>
    </cfRule>
    <cfRule type="cellIs" dxfId="994" priority="276" operator="equal">
      <formula>"GRA"</formula>
    </cfRule>
    <cfRule type="cellIs" dxfId="993" priority="277" operator="equal">
      <formula>"PUR"</formula>
    </cfRule>
    <cfRule type="cellIs" dxfId="992" priority="278" operator="equal">
      <formula>"BRO"</formula>
    </cfRule>
    <cfRule type="cellIs" dxfId="991" priority="279" operator="equal">
      <formula>"YEL"</formula>
    </cfRule>
    <cfRule type="cellIs" dxfId="990" priority="280" operator="equal">
      <formula>"BLU"</formula>
    </cfRule>
    <cfRule type="cellIs" dxfId="989" priority="281" operator="equal">
      <formula>"WHI"</formula>
    </cfRule>
    <cfRule type="cellIs" dxfId="988" priority="282" operator="equal">
      <formula>"GRE"</formula>
    </cfRule>
    <cfRule type="cellIs" dxfId="987" priority="283" operator="equal">
      <formula>"RED"</formula>
    </cfRule>
    <cfRule type="cellIs" dxfId="986" priority="284" operator="equal">
      <formula>"BLA"</formula>
    </cfRule>
  </conditionalFormatting>
  <conditionalFormatting sqref="BV15">
    <cfRule type="cellIs" dxfId="985" priority="296" operator="equal">
      <formula>"nc"</formula>
    </cfRule>
  </conditionalFormatting>
  <conditionalFormatting sqref="BX15:CA15 CD15:CF15">
    <cfRule type="cellIs" dxfId="984" priority="270" operator="equal">
      <formula>"y"</formula>
    </cfRule>
    <cfRule type="cellIs" dxfId="983" priority="285" operator="equal">
      <formula>"PIN"</formula>
    </cfRule>
    <cfRule type="cellIs" dxfId="982" priority="286" operator="equal">
      <formula>"ORA"</formula>
    </cfRule>
    <cfRule type="cellIs" dxfId="981" priority="287" operator="equal">
      <formula>"GRA"</formula>
    </cfRule>
    <cfRule type="cellIs" dxfId="980" priority="288" operator="equal">
      <formula>"PUR"</formula>
    </cfRule>
    <cfRule type="cellIs" dxfId="979" priority="289" operator="equal">
      <formula>"BRO"</formula>
    </cfRule>
    <cfRule type="cellIs" dxfId="978" priority="290" operator="equal">
      <formula>"YEL"</formula>
    </cfRule>
    <cfRule type="cellIs" dxfId="977" priority="291" operator="equal">
      <formula>"BLU"</formula>
    </cfRule>
    <cfRule type="cellIs" dxfId="976" priority="292" operator="equal">
      <formula>"WHI"</formula>
    </cfRule>
    <cfRule type="cellIs" dxfId="975" priority="293" operator="equal">
      <formula>"GRE"</formula>
    </cfRule>
    <cfRule type="cellIs" dxfId="974" priority="294" operator="equal">
      <formula>"RED"</formula>
    </cfRule>
    <cfRule type="cellIs" dxfId="973" priority="295" operator="equal">
      <formula>"BLA"</formula>
    </cfRule>
  </conditionalFormatting>
  <conditionalFormatting sqref="BZ15:CA15 CD15:CF15">
    <cfRule type="cellIs" dxfId="972" priority="272" operator="greaterThan">
      <formula>0</formula>
    </cfRule>
  </conditionalFormatting>
  <conditionalFormatting sqref="IC15:IK15">
    <cfRule type="expression" dxfId="971" priority="273">
      <formula>$IL15&gt;0</formula>
    </cfRule>
  </conditionalFormatting>
  <conditionalFormatting sqref="J15">
    <cfRule type="colorScale" priority="297">
      <colorScale>
        <cfvo type="min"/>
        <cfvo type="percentile" val="50"/>
        <cfvo type="max"/>
        <color rgb="FFF8696B"/>
        <color rgb="FFFFEB84"/>
        <color rgb="FF63BE7B"/>
      </colorScale>
    </cfRule>
  </conditionalFormatting>
  <conditionalFormatting sqref="S15">
    <cfRule type="colorScale" priority="298">
      <colorScale>
        <cfvo type="min"/>
        <cfvo type="max"/>
        <color rgb="FFFCFCFF"/>
        <color rgb="FF754BFB"/>
      </colorScale>
    </cfRule>
  </conditionalFormatting>
  <conditionalFormatting sqref="AT15">
    <cfRule type="colorScale" priority="299">
      <colorScale>
        <cfvo type="min"/>
        <cfvo type="max"/>
        <color rgb="FFFCFCFF"/>
        <color theme="8" tint="0.39997558519241921"/>
      </colorScale>
    </cfRule>
  </conditionalFormatting>
  <conditionalFormatting sqref="CG15">
    <cfRule type="colorScale" priority="300">
      <colorScale>
        <cfvo type="min"/>
        <cfvo type="max"/>
        <color rgb="FFFCFCFF"/>
        <color rgb="FF63BE7B"/>
      </colorScale>
    </cfRule>
  </conditionalFormatting>
  <conditionalFormatting sqref="H16">
    <cfRule type="cellIs" dxfId="970" priority="233" stopIfTrue="1" operator="notEqual">
      <formula>""</formula>
    </cfRule>
  </conditionalFormatting>
  <conditionalFormatting sqref="R16 CU16">
    <cfRule type="cellIs" dxfId="969" priority="235" operator="greaterThan">
      <formula>0</formula>
    </cfRule>
  </conditionalFormatting>
  <conditionalFormatting sqref="T16:AS16 CH16:CS16">
    <cfRule type="cellIs" dxfId="968" priority="230" stopIfTrue="1" operator="equal">
      <formula>"n"</formula>
    </cfRule>
    <cfRule type="cellIs" dxfId="967" priority="231" stopIfTrue="1" operator="equal">
      <formula>"y"</formula>
    </cfRule>
    <cfRule type="cellIs" dxfId="966" priority="232" operator="greaterThan">
      <formula>0</formula>
    </cfRule>
  </conditionalFormatting>
  <conditionalFormatting sqref="AZ16:BB16">
    <cfRule type="expression" dxfId="965" priority="229">
      <formula>$AT16=0</formula>
    </cfRule>
  </conditionalFormatting>
  <conditionalFormatting sqref="AZ16:BU16">
    <cfRule type="cellIs" dxfId="964" priority="238" operator="equal">
      <formula>"PIN"</formula>
    </cfRule>
    <cfRule type="cellIs" dxfId="963" priority="239" operator="equal">
      <formula>"ORA"</formula>
    </cfRule>
    <cfRule type="cellIs" dxfId="962" priority="240" operator="equal">
      <formula>"GRA"</formula>
    </cfRule>
    <cfRule type="cellIs" dxfId="961" priority="241" operator="equal">
      <formula>"PUR"</formula>
    </cfRule>
    <cfRule type="cellIs" dxfId="960" priority="242" operator="equal">
      <formula>"BRO"</formula>
    </cfRule>
    <cfRule type="cellIs" dxfId="959" priority="243" operator="equal">
      <formula>"YEL"</formula>
    </cfRule>
    <cfRule type="cellIs" dxfId="958" priority="244" operator="equal">
      <formula>"BLU"</formula>
    </cfRule>
    <cfRule type="cellIs" dxfId="957" priority="245" operator="equal">
      <formula>"WHI"</formula>
    </cfRule>
    <cfRule type="cellIs" dxfId="956" priority="246" operator="equal">
      <formula>"GRE"</formula>
    </cfRule>
    <cfRule type="cellIs" dxfId="955" priority="247" operator="equal">
      <formula>"RED"</formula>
    </cfRule>
    <cfRule type="cellIs" dxfId="954" priority="248" operator="equal">
      <formula>"BLA"</formula>
    </cfRule>
  </conditionalFormatting>
  <conditionalFormatting sqref="BV16">
    <cfRule type="cellIs" dxfId="953" priority="260" operator="equal">
      <formula>"nc"</formula>
    </cfRule>
  </conditionalFormatting>
  <conditionalFormatting sqref="BX16:CA16 CD16:CF16">
    <cfRule type="cellIs" dxfId="952" priority="234" operator="equal">
      <formula>"y"</formula>
    </cfRule>
    <cfRule type="cellIs" dxfId="951" priority="249" operator="equal">
      <formula>"PIN"</formula>
    </cfRule>
    <cfRule type="cellIs" dxfId="950" priority="250" operator="equal">
      <formula>"ORA"</formula>
    </cfRule>
    <cfRule type="cellIs" dxfId="949" priority="251" operator="equal">
      <formula>"GRA"</formula>
    </cfRule>
    <cfRule type="cellIs" dxfId="948" priority="252" operator="equal">
      <formula>"PUR"</formula>
    </cfRule>
    <cfRule type="cellIs" dxfId="947" priority="253" operator="equal">
      <formula>"BRO"</formula>
    </cfRule>
    <cfRule type="cellIs" dxfId="946" priority="254" operator="equal">
      <formula>"YEL"</formula>
    </cfRule>
    <cfRule type="cellIs" dxfId="945" priority="255" operator="equal">
      <formula>"BLU"</formula>
    </cfRule>
    <cfRule type="cellIs" dxfId="944" priority="256" operator="equal">
      <formula>"WHI"</formula>
    </cfRule>
    <cfRule type="cellIs" dxfId="943" priority="257" operator="equal">
      <formula>"GRE"</formula>
    </cfRule>
    <cfRule type="cellIs" dxfId="942" priority="258" operator="equal">
      <formula>"RED"</formula>
    </cfRule>
    <cfRule type="cellIs" dxfId="941" priority="259" operator="equal">
      <formula>"BLA"</formula>
    </cfRule>
  </conditionalFormatting>
  <conditionalFormatting sqref="BZ16:CA16 CD16:CF16">
    <cfRule type="cellIs" dxfId="940" priority="236" operator="greaterThan">
      <formula>0</formula>
    </cfRule>
  </conditionalFormatting>
  <conditionalFormatting sqref="IC16:IK16">
    <cfRule type="expression" dxfId="939" priority="237">
      <formula>$IL16&gt;0</formula>
    </cfRule>
  </conditionalFormatting>
  <conditionalFormatting sqref="J16">
    <cfRule type="colorScale" priority="261">
      <colorScale>
        <cfvo type="min"/>
        <cfvo type="percentile" val="50"/>
        <cfvo type="max"/>
        <color rgb="FFF8696B"/>
        <color rgb="FFFFEB84"/>
        <color rgb="FF63BE7B"/>
      </colorScale>
    </cfRule>
  </conditionalFormatting>
  <conditionalFormatting sqref="S16">
    <cfRule type="colorScale" priority="262">
      <colorScale>
        <cfvo type="min"/>
        <cfvo type="max"/>
        <color rgb="FFFCFCFF"/>
        <color rgb="FF754BFB"/>
      </colorScale>
    </cfRule>
  </conditionalFormatting>
  <conditionalFormatting sqref="AT16">
    <cfRule type="colorScale" priority="263">
      <colorScale>
        <cfvo type="min"/>
        <cfvo type="max"/>
        <color rgb="FFFCFCFF"/>
        <color theme="8" tint="0.39997558519241921"/>
      </colorScale>
    </cfRule>
  </conditionalFormatting>
  <conditionalFormatting sqref="CG16">
    <cfRule type="colorScale" priority="264">
      <colorScale>
        <cfvo type="min"/>
        <cfvo type="max"/>
        <color rgb="FFFCFCFF"/>
        <color rgb="FF63BE7B"/>
      </colorScale>
    </cfRule>
  </conditionalFormatting>
  <conditionalFormatting sqref="H17">
    <cfRule type="cellIs" dxfId="938" priority="197" stopIfTrue="1" operator="notEqual">
      <formula>""</formula>
    </cfRule>
  </conditionalFormatting>
  <conditionalFormatting sqref="R17 CU17">
    <cfRule type="cellIs" dxfId="937" priority="199" operator="greaterThan">
      <formula>0</formula>
    </cfRule>
  </conditionalFormatting>
  <conditionalFormatting sqref="T17:AS17 CH17:CS17">
    <cfRule type="cellIs" dxfId="936" priority="194" stopIfTrue="1" operator="equal">
      <formula>"n"</formula>
    </cfRule>
    <cfRule type="cellIs" dxfId="935" priority="195" stopIfTrue="1" operator="equal">
      <formula>"y"</formula>
    </cfRule>
    <cfRule type="cellIs" dxfId="934" priority="196" operator="greaterThan">
      <formula>0</formula>
    </cfRule>
  </conditionalFormatting>
  <conditionalFormatting sqref="AZ17:BB17">
    <cfRule type="expression" dxfId="933" priority="193">
      <formula>$AT17=0</formula>
    </cfRule>
  </conditionalFormatting>
  <conditionalFormatting sqref="AZ17:BU17">
    <cfRule type="cellIs" dxfId="932" priority="202" operator="equal">
      <formula>"PIN"</formula>
    </cfRule>
    <cfRule type="cellIs" dxfId="931" priority="203" operator="equal">
      <formula>"ORA"</formula>
    </cfRule>
    <cfRule type="cellIs" dxfId="930" priority="204" operator="equal">
      <formula>"GRA"</formula>
    </cfRule>
    <cfRule type="cellIs" dxfId="929" priority="205" operator="equal">
      <formula>"PUR"</formula>
    </cfRule>
    <cfRule type="cellIs" dxfId="928" priority="206" operator="equal">
      <formula>"BRO"</formula>
    </cfRule>
    <cfRule type="cellIs" dxfId="927" priority="207" operator="equal">
      <formula>"YEL"</formula>
    </cfRule>
    <cfRule type="cellIs" dxfId="926" priority="208" operator="equal">
      <formula>"BLU"</formula>
    </cfRule>
    <cfRule type="cellIs" dxfId="925" priority="209" operator="equal">
      <formula>"WHI"</formula>
    </cfRule>
    <cfRule type="cellIs" dxfId="924" priority="210" operator="equal">
      <formula>"GRE"</formula>
    </cfRule>
    <cfRule type="cellIs" dxfId="923" priority="211" operator="equal">
      <formula>"RED"</formula>
    </cfRule>
    <cfRule type="cellIs" dxfId="922" priority="212" operator="equal">
      <formula>"BLA"</formula>
    </cfRule>
  </conditionalFormatting>
  <conditionalFormatting sqref="BV17">
    <cfRule type="cellIs" dxfId="921" priority="224" operator="equal">
      <formula>"nc"</formula>
    </cfRule>
  </conditionalFormatting>
  <conditionalFormatting sqref="BX17:CA17 CD17:CF17">
    <cfRule type="cellIs" dxfId="920" priority="198" operator="equal">
      <formula>"y"</formula>
    </cfRule>
    <cfRule type="cellIs" dxfId="919" priority="213" operator="equal">
      <formula>"PIN"</formula>
    </cfRule>
    <cfRule type="cellIs" dxfId="918" priority="214" operator="equal">
      <formula>"ORA"</formula>
    </cfRule>
    <cfRule type="cellIs" dxfId="917" priority="215" operator="equal">
      <formula>"GRA"</formula>
    </cfRule>
    <cfRule type="cellIs" dxfId="916" priority="216" operator="equal">
      <formula>"PUR"</formula>
    </cfRule>
    <cfRule type="cellIs" dxfId="915" priority="217" operator="equal">
      <formula>"BRO"</formula>
    </cfRule>
    <cfRule type="cellIs" dxfId="914" priority="218" operator="equal">
      <formula>"YEL"</formula>
    </cfRule>
    <cfRule type="cellIs" dxfId="913" priority="219" operator="equal">
      <formula>"BLU"</formula>
    </cfRule>
    <cfRule type="cellIs" dxfId="912" priority="220" operator="equal">
      <formula>"WHI"</formula>
    </cfRule>
    <cfRule type="cellIs" dxfId="911" priority="221" operator="equal">
      <formula>"GRE"</formula>
    </cfRule>
    <cfRule type="cellIs" dxfId="910" priority="222" operator="equal">
      <formula>"RED"</formula>
    </cfRule>
    <cfRule type="cellIs" dxfId="909" priority="223" operator="equal">
      <formula>"BLA"</formula>
    </cfRule>
  </conditionalFormatting>
  <conditionalFormatting sqref="BZ17:CA17 CD17:CF17">
    <cfRule type="cellIs" dxfId="908" priority="200" operator="greaterThan">
      <formula>0</formula>
    </cfRule>
  </conditionalFormatting>
  <conditionalFormatting sqref="IC17:IK17">
    <cfRule type="expression" dxfId="907" priority="201">
      <formula>$IL17&gt;0</formula>
    </cfRule>
  </conditionalFormatting>
  <conditionalFormatting sqref="J17">
    <cfRule type="colorScale" priority="225">
      <colorScale>
        <cfvo type="min"/>
        <cfvo type="percentile" val="50"/>
        <cfvo type="max"/>
        <color rgb="FFF8696B"/>
        <color rgb="FFFFEB84"/>
        <color rgb="FF63BE7B"/>
      </colorScale>
    </cfRule>
  </conditionalFormatting>
  <conditionalFormatting sqref="S17">
    <cfRule type="colorScale" priority="226">
      <colorScale>
        <cfvo type="min"/>
        <cfvo type="max"/>
        <color rgb="FFFCFCFF"/>
        <color rgb="FF754BFB"/>
      </colorScale>
    </cfRule>
  </conditionalFormatting>
  <conditionalFormatting sqref="AT17">
    <cfRule type="colorScale" priority="227">
      <colorScale>
        <cfvo type="min"/>
        <cfvo type="max"/>
        <color rgb="FFFCFCFF"/>
        <color theme="8" tint="0.39997558519241921"/>
      </colorScale>
    </cfRule>
  </conditionalFormatting>
  <conditionalFormatting sqref="CG17">
    <cfRule type="colorScale" priority="228">
      <colorScale>
        <cfvo type="min"/>
        <cfvo type="max"/>
        <color rgb="FFFCFCFF"/>
        <color rgb="FF63BE7B"/>
      </colorScale>
    </cfRule>
  </conditionalFormatting>
  <conditionalFormatting sqref="H18">
    <cfRule type="cellIs" dxfId="906" priority="161" stopIfTrue="1" operator="notEqual">
      <formula>""</formula>
    </cfRule>
  </conditionalFormatting>
  <conditionalFormatting sqref="R18 CU18">
    <cfRule type="cellIs" dxfId="905" priority="163" operator="greaterThan">
      <formula>0</formula>
    </cfRule>
  </conditionalFormatting>
  <conditionalFormatting sqref="T18:AS18 CH18:CS18">
    <cfRule type="cellIs" dxfId="904" priority="158" stopIfTrue="1" operator="equal">
      <formula>"n"</formula>
    </cfRule>
    <cfRule type="cellIs" dxfId="903" priority="159" stopIfTrue="1" operator="equal">
      <formula>"y"</formula>
    </cfRule>
    <cfRule type="cellIs" dxfId="902" priority="160" operator="greaterThan">
      <formula>0</formula>
    </cfRule>
  </conditionalFormatting>
  <conditionalFormatting sqref="AT18">
    <cfRule type="colorScale" priority="156">
      <colorScale>
        <cfvo type="min"/>
        <cfvo type="max"/>
        <color rgb="FFFCFCFF"/>
        <color theme="8" tint="0.39997558519241921"/>
      </colorScale>
    </cfRule>
  </conditionalFormatting>
  <conditionalFormatting sqref="AZ18:BB18">
    <cfRule type="expression" dxfId="901" priority="157">
      <formula>$AT18=0</formula>
    </cfRule>
  </conditionalFormatting>
  <conditionalFormatting sqref="AZ18:BU18">
    <cfRule type="cellIs" dxfId="900" priority="166" operator="equal">
      <formula>"PIN"</formula>
    </cfRule>
    <cfRule type="cellIs" dxfId="899" priority="167" operator="equal">
      <formula>"ORA"</formula>
    </cfRule>
    <cfRule type="cellIs" dxfId="898" priority="168" operator="equal">
      <formula>"GRA"</formula>
    </cfRule>
    <cfRule type="cellIs" dxfId="897" priority="169" operator="equal">
      <formula>"PUR"</formula>
    </cfRule>
    <cfRule type="cellIs" dxfId="896" priority="170" operator="equal">
      <formula>"BRO"</formula>
    </cfRule>
    <cfRule type="cellIs" dxfId="895" priority="171" operator="equal">
      <formula>"YEL"</formula>
    </cfRule>
    <cfRule type="cellIs" dxfId="894" priority="172" operator="equal">
      <formula>"BLU"</formula>
    </cfRule>
    <cfRule type="cellIs" dxfId="893" priority="173" operator="equal">
      <formula>"WHI"</formula>
    </cfRule>
    <cfRule type="cellIs" dxfId="892" priority="174" operator="equal">
      <formula>"GRE"</formula>
    </cfRule>
    <cfRule type="cellIs" dxfId="891" priority="175" operator="equal">
      <formula>"RED"</formula>
    </cfRule>
    <cfRule type="cellIs" dxfId="890" priority="176" operator="equal">
      <formula>"BLA"</formula>
    </cfRule>
  </conditionalFormatting>
  <conditionalFormatting sqref="AZ18:BU18">
    <cfRule type="cellIs" dxfId="889" priority="145" operator="equal">
      <formula>"PIN"</formula>
    </cfRule>
    <cfRule type="cellIs" dxfId="888" priority="146" operator="equal">
      <formula>"ORA"</formula>
    </cfRule>
    <cfRule type="cellIs" dxfId="887" priority="147" operator="equal">
      <formula>"GRA"</formula>
    </cfRule>
    <cfRule type="cellIs" dxfId="886" priority="148" operator="equal">
      <formula>"PUR"</formula>
    </cfRule>
    <cfRule type="cellIs" dxfId="885" priority="149" operator="equal">
      <formula>"BRO"</formula>
    </cfRule>
    <cfRule type="cellIs" dxfId="884" priority="150" operator="equal">
      <formula>"YEL"</formula>
    </cfRule>
    <cfRule type="cellIs" dxfId="883" priority="151" operator="equal">
      <formula>"BLU"</formula>
    </cfRule>
    <cfRule type="cellIs" dxfId="882" priority="152" operator="equal">
      <formula>"WHI"</formula>
    </cfRule>
    <cfRule type="cellIs" dxfId="881" priority="153" operator="equal">
      <formula>"GRE"</formula>
    </cfRule>
    <cfRule type="cellIs" dxfId="880" priority="154" operator="equal">
      <formula>"RED"</formula>
    </cfRule>
    <cfRule type="cellIs" dxfId="879" priority="155" operator="equal">
      <formula>"BLA"</formula>
    </cfRule>
  </conditionalFormatting>
  <conditionalFormatting sqref="BV18">
    <cfRule type="cellIs" dxfId="878" priority="188" operator="equal">
      <formula>"nc"</formula>
    </cfRule>
  </conditionalFormatting>
  <conditionalFormatting sqref="BX18:CA18 CD18:CF18">
    <cfRule type="cellIs" dxfId="877" priority="162" operator="equal">
      <formula>"y"</formula>
    </cfRule>
    <cfRule type="cellIs" dxfId="876" priority="177" operator="equal">
      <formula>"PIN"</formula>
    </cfRule>
    <cfRule type="cellIs" dxfId="875" priority="178" operator="equal">
      <formula>"ORA"</formula>
    </cfRule>
    <cfRule type="cellIs" dxfId="874" priority="179" operator="equal">
      <formula>"GRA"</formula>
    </cfRule>
    <cfRule type="cellIs" dxfId="873" priority="180" operator="equal">
      <formula>"PUR"</formula>
    </cfRule>
    <cfRule type="cellIs" dxfId="872" priority="181" operator="equal">
      <formula>"BRO"</formula>
    </cfRule>
    <cfRule type="cellIs" dxfId="871" priority="182" operator="equal">
      <formula>"YEL"</formula>
    </cfRule>
    <cfRule type="cellIs" dxfId="870" priority="183" operator="equal">
      <formula>"BLU"</formula>
    </cfRule>
    <cfRule type="cellIs" dxfId="869" priority="184" operator="equal">
      <formula>"WHI"</formula>
    </cfRule>
    <cfRule type="cellIs" dxfId="868" priority="185" operator="equal">
      <formula>"GRE"</formula>
    </cfRule>
    <cfRule type="cellIs" dxfId="867" priority="186" operator="equal">
      <formula>"RED"</formula>
    </cfRule>
    <cfRule type="cellIs" dxfId="866" priority="187" operator="equal">
      <formula>"BLA"</formula>
    </cfRule>
  </conditionalFormatting>
  <conditionalFormatting sqref="BZ18:CA18 CD18:CF18">
    <cfRule type="cellIs" dxfId="865" priority="164" operator="greaterThan">
      <formula>0</formula>
    </cfRule>
  </conditionalFormatting>
  <conditionalFormatting sqref="IC18:IK18">
    <cfRule type="expression" dxfId="864" priority="165">
      <formula>$IL18&gt;0</formula>
    </cfRule>
  </conditionalFormatting>
  <conditionalFormatting sqref="J18">
    <cfRule type="colorScale" priority="189">
      <colorScale>
        <cfvo type="min"/>
        <cfvo type="percentile" val="50"/>
        <cfvo type="max"/>
        <color rgb="FFF8696B"/>
        <color rgb="FFFFEB84"/>
        <color rgb="FF63BE7B"/>
      </colorScale>
    </cfRule>
  </conditionalFormatting>
  <conditionalFormatting sqref="S18">
    <cfRule type="colorScale" priority="190">
      <colorScale>
        <cfvo type="min"/>
        <cfvo type="max"/>
        <color rgb="FFFCFCFF"/>
        <color rgb="FF754BFB"/>
      </colorScale>
    </cfRule>
  </conditionalFormatting>
  <conditionalFormatting sqref="AT18">
    <cfRule type="colorScale" priority="191">
      <colorScale>
        <cfvo type="min"/>
        <cfvo type="max"/>
        <color rgb="FFFCFCFF"/>
        <color theme="8" tint="0.39997558519241921"/>
      </colorScale>
    </cfRule>
  </conditionalFormatting>
  <conditionalFormatting sqref="CG18">
    <cfRule type="colorScale" priority="192">
      <colorScale>
        <cfvo type="min"/>
        <cfvo type="max"/>
        <color rgb="FFFCFCFF"/>
        <color rgb="FF63BE7B"/>
      </colorScale>
    </cfRule>
  </conditionalFormatting>
  <conditionalFormatting sqref="H19">
    <cfRule type="cellIs" dxfId="863" priority="113" stopIfTrue="1" operator="notEqual">
      <formula>""</formula>
    </cfRule>
  </conditionalFormatting>
  <conditionalFormatting sqref="R19 CU19">
    <cfRule type="cellIs" dxfId="862" priority="115" operator="greaterThan">
      <formula>0</formula>
    </cfRule>
  </conditionalFormatting>
  <conditionalFormatting sqref="T19:AS19 CH19:CS19">
    <cfRule type="cellIs" dxfId="861" priority="110" stopIfTrue="1" operator="equal">
      <formula>"n"</formula>
    </cfRule>
    <cfRule type="cellIs" dxfId="860" priority="111" stopIfTrue="1" operator="equal">
      <formula>"y"</formula>
    </cfRule>
    <cfRule type="cellIs" dxfId="859" priority="112" operator="greaterThan">
      <formula>0</formula>
    </cfRule>
  </conditionalFormatting>
  <conditionalFormatting sqref="AZ19:BB19">
    <cfRule type="expression" dxfId="858" priority="109">
      <formula>$AT19=0</formula>
    </cfRule>
  </conditionalFormatting>
  <conditionalFormatting sqref="AZ19:BU19">
    <cfRule type="cellIs" dxfId="857" priority="118" operator="equal">
      <formula>"PIN"</formula>
    </cfRule>
    <cfRule type="cellIs" dxfId="856" priority="119" operator="equal">
      <formula>"ORA"</formula>
    </cfRule>
    <cfRule type="cellIs" dxfId="855" priority="120" operator="equal">
      <formula>"GRA"</formula>
    </cfRule>
    <cfRule type="cellIs" dxfId="854" priority="121" operator="equal">
      <formula>"PUR"</formula>
    </cfRule>
    <cfRule type="cellIs" dxfId="853" priority="122" operator="equal">
      <formula>"BRO"</formula>
    </cfRule>
    <cfRule type="cellIs" dxfId="852" priority="123" operator="equal">
      <formula>"YEL"</formula>
    </cfRule>
    <cfRule type="cellIs" dxfId="851" priority="124" operator="equal">
      <formula>"BLU"</formula>
    </cfRule>
    <cfRule type="cellIs" dxfId="850" priority="125" operator="equal">
      <formula>"WHI"</formula>
    </cfRule>
    <cfRule type="cellIs" dxfId="849" priority="126" operator="equal">
      <formula>"GRE"</formula>
    </cfRule>
    <cfRule type="cellIs" dxfId="848" priority="127" operator="equal">
      <formula>"RED"</formula>
    </cfRule>
    <cfRule type="cellIs" dxfId="847" priority="128" operator="equal">
      <formula>"BLA"</formula>
    </cfRule>
  </conditionalFormatting>
  <conditionalFormatting sqref="BV19">
    <cfRule type="cellIs" dxfId="846" priority="140" operator="equal">
      <formula>"nc"</formula>
    </cfRule>
  </conditionalFormatting>
  <conditionalFormatting sqref="BX19:CA19 CD19:CF19">
    <cfRule type="cellIs" dxfId="845" priority="114" operator="equal">
      <formula>"y"</formula>
    </cfRule>
    <cfRule type="cellIs" dxfId="844" priority="129" operator="equal">
      <formula>"PIN"</formula>
    </cfRule>
    <cfRule type="cellIs" dxfId="843" priority="130" operator="equal">
      <formula>"ORA"</formula>
    </cfRule>
    <cfRule type="cellIs" dxfId="842" priority="131" operator="equal">
      <formula>"GRA"</formula>
    </cfRule>
    <cfRule type="cellIs" dxfId="841" priority="132" operator="equal">
      <formula>"PUR"</formula>
    </cfRule>
    <cfRule type="cellIs" dxfId="840" priority="133" operator="equal">
      <formula>"BRO"</formula>
    </cfRule>
    <cfRule type="cellIs" dxfId="839" priority="134" operator="equal">
      <formula>"YEL"</formula>
    </cfRule>
    <cfRule type="cellIs" dxfId="838" priority="135" operator="equal">
      <formula>"BLU"</formula>
    </cfRule>
    <cfRule type="cellIs" dxfId="837" priority="136" operator="equal">
      <formula>"WHI"</formula>
    </cfRule>
    <cfRule type="cellIs" dxfId="836" priority="137" operator="equal">
      <formula>"GRE"</formula>
    </cfRule>
    <cfRule type="cellIs" dxfId="835" priority="138" operator="equal">
      <formula>"RED"</formula>
    </cfRule>
    <cfRule type="cellIs" dxfId="834" priority="139" operator="equal">
      <formula>"BLA"</formula>
    </cfRule>
  </conditionalFormatting>
  <conditionalFormatting sqref="BZ19:CA19 CD19:CF19">
    <cfRule type="cellIs" dxfId="833" priority="116" operator="greaterThan">
      <formula>0</formula>
    </cfRule>
  </conditionalFormatting>
  <conditionalFormatting sqref="IC19:IK19">
    <cfRule type="expression" dxfId="832" priority="117">
      <formula>$IL19&gt;0</formula>
    </cfRule>
  </conditionalFormatting>
  <conditionalFormatting sqref="J19">
    <cfRule type="colorScale" priority="141">
      <colorScale>
        <cfvo type="min"/>
        <cfvo type="percentile" val="50"/>
        <cfvo type="max"/>
        <color rgb="FFF8696B"/>
        <color rgb="FFFFEB84"/>
        <color rgb="FF63BE7B"/>
      </colorScale>
    </cfRule>
  </conditionalFormatting>
  <conditionalFormatting sqref="S19">
    <cfRule type="colorScale" priority="142">
      <colorScale>
        <cfvo type="min"/>
        <cfvo type="max"/>
        <color rgb="FFFCFCFF"/>
        <color rgb="FF754BFB"/>
      </colorScale>
    </cfRule>
  </conditionalFormatting>
  <conditionalFormatting sqref="AT19">
    <cfRule type="colorScale" priority="143">
      <colorScale>
        <cfvo type="min"/>
        <cfvo type="max"/>
        <color rgb="FFFCFCFF"/>
        <color theme="8" tint="0.39997558519241921"/>
      </colorScale>
    </cfRule>
  </conditionalFormatting>
  <conditionalFormatting sqref="CG19">
    <cfRule type="colorScale" priority="144">
      <colorScale>
        <cfvo type="min"/>
        <cfvo type="max"/>
        <color rgb="FFFCFCFF"/>
        <color rgb="FF63BE7B"/>
      </colorScale>
    </cfRule>
  </conditionalFormatting>
  <conditionalFormatting sqref="H20">
    <cfRule type="cellIs" dxfId="831" priority="77" stopIfTrue="1" operator="notEqual">
      <formula>""</formula>
    </cfRule>
  </conditionalFormatting>
  <conditionalFormatting sqref="R20 CU20">
    <cfRule type="cellIs" dxfId="830" priority="79" operator="greaterThan">
      <formula>0</formula>
    </cfRule>
  </conditionalFormatting>
  <conditionalFormatting sqref="T20:AS20 CH20:CS20">
    <cfRule type="cellIs" dxfId="829" priority="74" stopIfTrue="1" operator="equal">
      <formula>"n"</formula>
    </cfRule>
    <cfRule type="cellIs" dxfId="828" priority="75" stopIfTrue="1" operator="equal">
      <formula>"y"</formula>
    </cfRule>
    <cfRule type="cellIs" dxfId="827" priority="76" operator="greaterThan">
      <formula>0</formula>
    </cfRule>
  </conditionalFormatting>
  <conditionalFormatting sqref="AZ20:BB20">
    <cfRule type="expression" dxfId="826" priority="73">
      <formula>$AT20=0</formula>
    </cfRule>
  </conditionalFormatting>
  <conditionalFormatting sqref="AZ20:BU20">
    <cfRule type="cellIs" dxfId="825" priority="82" operator="equal">
      <formula>"PIN"</formula>
    </cfRule>
    <cfRule type="cellIs" dxfId="824" priority="83" operator="equal">
      <formula>"ORA"</formula>
    </cfRule>
    <cfRule type="cellIs" dxfId="823" priority="84" operator="equal">
      <formula>"GRA"</formula>
    </cfRule>
    <cfRule type="cellIs" dxfId="822" priority="85" operator="equal">
      <formula>"PUR"</formula>
    </cfRule>
    <cfRule type="cellIs" dxfId="821" priority="86" operator="equal">
      <formula>"BRO"</formula>
    </cfRule>
    <cfRule type="cellIs" dxfId="820" priority="87" operator="equal">
      <formula>"YEL"</formula>
    </cfRule>
    <cfRule type="cellIs" dxfId="819" priority="88" operator="equal">
      <formula>"BLU"</formula>
    </cfRule>
    <cfRule type="cellIs" dxfId="818" priority="89" operator="equal">
      <formula>"WHI"</formula>
    </cfRule>
    <cfRule type="cellIs" dxfId="817" priority="90" operator="equal">
      <formula>"GRE"</formula>
    </cfRule>
    <cfRule type="cellIs" dxfId="816" priority="91" operator="equal">
      <formula>"RED"</formula>
    </cfRule>
    <cfRule type="cellIs" dxfId="815" priority="92" operator="equal">
      <formula>"BLA"</formula>
    </cfRule>
  </conditionalFormatting>
  <conditionalFormatting sqref="BV20">
    <cfRule type="cellIs" dxfId="814" priority="104" operator="equal">
      <formula>"nc"</formula>
    </cfRule>
  </conditionalFormatting>
  <conditionalFormatting sqref="BX20:CA20 CD20:CF20">
    <cfRule type="cellIs" dxfId="813" priority="78" operator="equal">
      <formula>"y"</formula>
    </cfRule>
    <cfRule type="cellIs" dxfId="812" priority="93" operator="equal">
      <formula>"PIN"</formula>
    </cfRule>
    <cfRule type="cellIs" dxfId="811" priority="94" operator="equal">
      <formula>"ORA"</formula>
    </cfRule>
    <cfRule type="cellIs" dxfId="810" priority="95" operator="equal">
      <formula>"GRA"</formula>
    </cfRule>
    <cfRule type="cellIs" dxfId="809" priority="96" operator="equal">
      <formula>"PUR"</formula>
    </cfRule>
    <cfRule type="cellIs" dxfId="808" priority="97" operator="equal">
      <formula>"BRO"</formula>
    </cfRule>
    <cfRule type="cellIs" dxfId="807" priority="98" operator="equal">
      <formula>"YEL"</formula>
    </cfRule>
    <cfRule type="cellIs" dxfId="806" priority="99" operator="equal">
      <formula>"BLU"</formula>
    </cfRule>
    <cfRule type="cellIs" dxfId="805" priority="100" operator="equal">
      <formula>"WHI"</formula>
    </cfRule>
    <cfRule type="cellIs" dxfId="804" priority="101" operator="equal">
      <formula>"GRE"</formula>
    </cfRule>
    <cfRule type="cellIs" dxfId="803" priority="102" operator="equal">
      <formula>"RED"</formula>
    </cfRule>
    <cfRule type="cellIs" dxfId="802" priority="103" operator="equal">
      <formula>"BLA"</formula>
    </cfRule>
  </conditionalFormatting>
  <conditionalFormatting sqref="BZ20:CA20 CD20:CF20">
    <cfRule type="cellIs" dxfId="801" priority="80" operator="greaterThan">
      <formula>0</formula>
    </cfRule>
  </conditionalFormatting>
  <conditionalFormatting sqref="IC20:IK20">
    <cfRule type="expression" dxfId="800" priority="81">
      <formula>$IL20&gt;0</formula>
    </cfRule>
  </conditionalFormatting>
  <conditionalFormatting sqref="J20">
    <cfRule type="colorScale" priority="105">
      <colorScale>
        <cfvo type="min"/>
        <cfvo type="percentile" val="50"/>
        <cfvo type="max"/>
        <color rgb="FFF8696B"/>
        <color rgb="FFFFEB84"/>
        <color rgb="FF63BE7B"/>
      </colorScale>
    </cfRule>
  </conditionalFormatting>
  <conditionalFormatting sqref="S20">
    <cfRule type="colorScale" priority="106">
      <colorScale>
        <cfvo type="min"/>
        <cfvo type="max"/>
        <color rgb="FFFCFCFF"/>
        <color rgb="FF754BFB"/>
      </colorScale>
    </cfRule>
  </conditionalFormatting>
  <conditionalFormatting sqref="AT20">
    <cfRule type="colorScale" priority="107">
      <colorScale>
        <cfvo type="min"/>
        <cfvo type="max"/>
        <color rgb="FFFCFCFF"/>
        <color theme="8" tint="0.39997558519241921"/>
      </colorScale>
    </cfRule>
  </conditionalFormatting>
  <conditionalFormatting sqref="CG20">
    <cfRule type="colorScale" priority="108">
      <colorScale>
        <cfvo type="min"/>
        <cfvo type="max"/>
        <color rgb="FFFCFCFF"/>
        <color rgb="FF63BE7B"/>
      </colorScale>
    </cfRule>
  </conditionalFormatting>
  <conditionalFormatting sqref="H21">
    <cfRule type="cellIs" dxfId="799" priority="41" stopIfTrue="1" operator="notEqual">
      <formula>""</formula>
    </cfRule>
  </conditionalFormatting>
  <conditionalFormatting sqref="R21 CU21">
    <cfRule type="cellIs" dxfId="798" priority="43" operator="greaterThan">
      <formula>0</formula>
    </cfRule>
  </conditionalFormatting>
  <conditionalFormatting sqref="T21:AS21 CH21:CS21">
    <cfRule type="cellIs" dxfId="797" priority="38" stopIfTrue="1" operator="equal">
      <formula>"n"</formula>
    </cfRule>
    <cfRule type="cellIs" dxfId="796" priority="39" stopIfTrue="1" operator="equal">
      <formula>"y"</formula>
    </cfRule>
    <cfRule type="cellIs" dxfId="795" priority="40" operator="greaterThan">
      <formula>0</formula>
    </cfRule>
  </conditionalFormatting>
  <conditionalFormatting sqref="AZ21:BB21">
    <cfRule type="expression" dxfId="794" priority="37">
      <formula>$AT21=0</formula>
    </cfRule>
  </conditionalFormatting>
  <conditionalFormatting sqref="AZ21:BU21">
    <cfRule type="cellIs" dxfId="793" priority="46" operator="equal">
      <formula>"PIN"</formula>
    </cfRule>
    <cfRule type="cellIs" dxfId="792" priority="47" operator="equal">
      <formula>"ORA"</formula>
    </cfRule>
    <cfRule type="cellIs" dxfId="791" priority="48" operator="equal">
      <formula>"GRA"</formula>
    </cfRule>
    <cfRule type="cellIs" dxfId="790" priority="49" operator="equal">
      <formula>"PUR"</formula>
    </cfRule>
    <cfRule type="cellIs" dxfId="789" priority="50" operator="equal">
      <formula>"BRO"</formula>
    </cfRule>
    <cfRule type="cellIs" dxfId="788" priority="51" operator="equal">
      <formula>"YEL"</formula>
    </cfRule>
    <cfRule type="cellIs" dxfId="787" priority="52" operator="equal">
      <formula>"BLU"</formula>
    </cfRule>
    <cfRule type="cellIs" dxfId="786" priority="53" operator="equal">
      <formula>"WHI"</formula>
    </cfRule>
    <cfRule type="cellIs" dxfId="785" priority="54" operator="equal">
      <formula>"GRE"</formula>
    </cfRule>
    <cfRule type="cellIs" dxfId="784" priority="55" operator="equal">
      <formula>"RED"</formula>
    </cfRule>
    <cfRule type="cellIs" dxfId="783" priority="56" operator="equal">
      <formula>"BLA"</formula>
    </cfRule>
  </conditionalFormatting>
  <conditionalFormatting sqref="BV21">
    <cfRule type="cellIs" dxfId="782" priority="68" operator="equal">
      <formula>"nc"</formula>
    </cfRule>
  </conditionalFormatting>
  <conditionalFormatting sqref="BX21:CA21 CD21:CF21">
    <cfRule type="cellIs" dxfId="781" priority="42" operator="equal">
      <formula>"y"</formula>
    </cfRule>
    <cfRule type="cellIs" dxfId="780" priority="57" operator="equal">
      <formula>"PIN"</formula>
    </cfRule>
    <cfRule type="cellIs" dxfId="779" priority="58" operator="equal">
      <formula>"ORA"</formula>
    </cfRule>
    <cfRule type="cellIs" dxfId="778" priority="59" operator="equal">
      <formula>"GRA"</formula>
    </cfRule>
    <cfRule type="cellIs" dxfId="777" priority="60" operator="equal">
      <formula>"PUR"</formula>
    </cfRule>
    <cfRule type="cellIs" dxfId="776" priority="61" operator="equal">
      <formula>"BRO"</formula>
    </cfRule>
    <cfRule type="cellIs" dxfId="775" priority="62" operator="equal">
      <formula>"YEL"</formula>
    </cfRule>
    <cfRule type="cellIs" dxfId="774" priority="63" operator="equal">
      <formula>"BLU"</formula>
    </cfRule>
    <cfRule type="cellIs" dxfId="773" priority="64" operator="equal">
      <formula>"WHI"</formula>
    </cfRule>
    <cfRule type="cellIs" dxfId="772" priority="65" operator="equal">
      <formula>"GRE"</formula>
    </cfRule>
    <cfRule type="cellIs" dxfId="771" priority="66" operator="equal">
      <formula>"RED"</formula>
    </cfRule>
    <cfRule type="cellIs" dxfId="770" priority="67" operator="equal">
      <formula>"BLA"</formula>
    </cfRule>
  </conditionalFormatting>
  <conditionalFormatting sqref="BZ21:CA21 CD21:CF21">
    <cfRule type="cellIs" dxfId="769" priority="44" operator="greaterThan">
      <formula>0</formula>
    </cfRule>
  </conditionalFormatting>
  <conditionalFormatting sqref="IC21:IK21">
    <cfRule type="expression" dxfId="768" priority="45">
      <formula>$IL21&gt;0</formula>
    </cfRule>
  </conditionalFormatting>
  <conditionalFormatting sqref="J21">
    <cfRule type="colorScale" priority="69">
      <colorScale>
        <cfvo type="min"/>
        <cfvo type="percentile" val="50"/>
        <cfvo type="max"/>
        <color rgb="FFF8696B"/>
        <color rgb="FFFFEB84"/>
        <color rgb="FF63BE7B"/>
      </colorScale>
    </cfRule>
  </conditionalFormatting>
  <conditionalFormatting sqref="S21">
    <cfRule type="colorScale" priority="70">
      <colorScale>
        <cfvo type="min"/>
        <cfvo type="max"/>
        <color rgb="FFFCFCFF"/>
        <color rgb="FF754BFB"/>
      </colorScale>
    </cfRule>
  </conditionalFormatting>
  <conditionalFormatting sqref="AT21">
    <cfRule type="colorScale" priority="71">
      <colorScale>
        <cfvo type="min"/>
        <cfvo type="max"/>
        <color rgb="FFFCFCFF"/>
        <color theme="8" tint="0.39997558519241921"/>
      </colorScale>
    </cfRule>
  </conditionalFormatting>
  <conditionalFormatting sqref="CG21">
    <cfRule type="colorScale" priority="72">
      <colorScale>
        <cfvo type="min"/>
        <cfvo type="max"/>
        <color rgb="FFFCFCFF"/>
        <color rgb="FF63BE7B"/>
      </colorScale>
    </cfRule>
  </conditionalFormatting>
  <conditionalFormatting sqref="H22">
    <cfRule type="cellIs" dxfId="767" priority="5" stopIfTrue="1" operator="notEqual">
      <formula>""</formula>
    </cfRule>
  </conditionalFormatting>
  <conditionalFormatting sqref="R22 CU22">
    <cfRule type="cellIs" dxfId="766" priority="7" operator="greaterThan">
      <formula>0</formula>
    </cfRule>
  </conditionalFormatting>
  <conditionalFormatting sqref="T22:AS22 CH22:CS22">
    <cfRule type="cellIs" dxfId="765" priority="2" stopIfTrue="1" operator="equal">
      <formula>"n"</formula>
    </cfRule>
    <cfRule type="cellIs" dxfId="764" priority="3" stopIfTrue="1" operator="equal">
      <formula>"y"</formula>
    </cfRule>
    <cfRule type="cellIs" dxfId="763" priority="4" operator="greaterThan">
      <formula>0</formula>
    </cfRule>
  </conditionalFormatting>
  <conditionalFormatting sqref="AZ22:BB22">
    <cfRule type="expression" dxfId="762" priority="1">
      <formula>$AT22=0</formula>
    </cfRule>
  </conditionalFormatting>
  <conditionalFormatting sqref="AZ22:BU22">
    <cfRule type="cellIs" dxfId="761" priority="10" operator="equal">
      <formula>"PIN"</formula>
    </cfRule>
    <cfRule type="cellIs" dxfId="760" priority="11" operator="equal">
      <formula>"ORA"</formula>
    </cfRule>
    <cfRule type="cellIs" dxfId="759" priority="12" operator="equal">
      <formula>"GRA"</formula>
    </cfRule>
    <cfRule type="cellIs" dxfId="758" priority="13" operator="equal">
      <formula>"PUR"</formula>
    </cfRule>
    <cfRule type="cellIs" dxfId="757" priority="14" operator="equal">
      <formula>"BRO"</formula>
    </cfRule>
    <cfRule type="cellIs" dxfId="756" priority="15" operator="equal">
      <formula>"YEL"</formula>
    </cfRule>
    <cfRule type="cellIs" dxfId="755" priority="16" operator="equal">
      <formula>"BLU"</formula>
    </cfRule>
    <cfRule type="cellIs" dxfId="754" priority="17" operator="equal">
      <formula>"WHI"</formula>
    </cfRule>
    <cfRule type="cellIs" dxfId="753" priority="18" operator="equal">
      <formula>"GRE"</formula>
    </cfRule>
    <cfRule type="cellIs" dxfId="752" priority="19" operator="equal">
      <formula>"RED"</formula>
    </cfRule>
    <cfRule type="cellIs" dxfId="751" priority="20" operator="equal">
      <formula>"BLA"</formula>
    </cfRule>
  </conditionalFormatting>
  <conditionalFormatting sqref="BV22">
    <cfRule type="cellIs" dxfId="750" priority="32" operator="equal">
      <formula>"nc"</formula>
    </cfRule>
  </conditionalFormatting>
  <conditionalFormatting sqref="BX22:CA22 CD22:CF22">
    <cfRule type="cellIs" dxfId="749" priority="6" operator="equal">
      <formula>"y"</formula>
    </cfRule>
    <cfRule type="cellIs" dxfId="748" priority="21" operator="equal">
      <formula>"PIN"</formula>
    </cfRule>
    <cfRule type="cellIs" dxfId="747" priority="22" operator="equal">
      <formula>"ORA"</formula>
    </cfRule>
    <cfRule type="cellIs" dxfId="746" priority="23" operator="equal">
      <formula>"GRA"</formula>
    </cfRule>
    <cfRule type="cellIs" dxfId="745" priority="24" operator="equal">
      <formula>"PUR"</formula>
    </cfRule>
    <cfRule type="cellIs" dxfId="744" priority="25" operator="equal">
      <formula>"BRO"</formula>
    </cfRule>
    <cfRule type="cellIs" dxfId="743" priority="26" operator="equal">
      <formula>"YEL"</formula>
    </cfRule>
    <cfRule type="cellIs" dxfId="742" priority="27" operator="equal">
      <formula>"BLU"</formula>
    </cfRule>
    <cfRule type="cellIs" dxfId="741" priority="28" operator="equal">
      <formula>"WHI"</formula>
    </cfRule>
    <cfRule type="cellIs" dxfId="740" priority="29" operator="equal">
      <formula>"GRE"</formula>
    </cfRule>
    <cfRule type="cellIs" dxfId="739" priority="30" operator="equal">
      <formula>"RED"</formula>
    </cfRule>
    <cfRule type="cellIs" dxfId="738" priority="31" operator="equal">
      <formula>"BLA"</formula>
    </cfRule>
  </conditionalFormatting>
  <conditionalFormatting sqref="BZ22:CA22 CD22:CF22">
    <cfRule type="cellIs" dxfId="737" priority="8" operator="greaterThan">
      <formula>0</formula>
    </cfRule>
  </conditionalFormatting>
  <conditionalFormatting sqref="IC22:IK22">
    <cfRule type="expression" dxfId="736" priority="9">
      <formula>$IL22&gt;0</formula>
    </cfRule>
  </conditionalFormatting>
  <conditionalFormatting sqref="J22">
    <cfRule type="colorScale" priority="33">
      <colorScale>
        <cfvo type="min"/>
        <cfvo type="percentile" val="50"/>
        <cfvo type="max"/>
        <color rgb="FFF8696B"/>
        <color rgb="FFFFEB84"/>
        <color rgb="FF63BE7B"/>
      </colorScale>
    </cfRule>
  </conditionalFormatting>
  <conditionalFormatting sqref="S22">
    <cfRule type="colorScale" priority="34">
      <colorScale>
        <cfvo type="min"/>
        <cfvo type="max"/>
        <color rgb="FFFCFCFF"/>
        <color rgb="FF754BFB"/>
      </colorScale>
    </cfRule>
  </conditionalFormatting>
  <conditionalFormatting sqref="AT22">
    <cfRule type="colorScale" priority="35">
      <colorScale>
        <cfvo type="min"/>
        <cfvo type="max"/>
        <color rgb="FFFCFCFF"/>
        <color theme="8" tint="0.39997558519241921"/>
      </colorScale>
    </cfRule>
  </conditionalFormatting>
  <conditionalFormatting sqref="CG22">
    <cfRule type="colorScale" priority="36">
      <colorScale>
        <cfvo type="min"/>
        <cfvo type="max"/>
        <color rgb="FFFCFCFF"/>
        <color rgb="FF63BE7B"/>
      </colorScale>
    </cfRule>
  </conditionalFormatting>
  <hyperlinks>
    <hyperlink ref="A2" r:id="rId1" display="https://fbref.com/en/country/AUS/Australia-Football" xr:uid="{41485327-5D0B-4E8C-879A-7F8B836C1373}"/>
    <hyperlink ref="D15" r:id="rId2" xr:uid="{56CE99B8-D437-4F04-8C4C-2DD66DB7DC66}"/>
    <hyperlink ref="I15" r:id="rId3" xr:uid="{24DF18C1-62CB-4988-A358-51B2EB75CB0E}"/>
    <hyperlink ref="E15" r:id="rId4" xr:uid="{BE15CA40-84A1-43F2-A0B5-15DD2C591AE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2E0F0-DA83-4812-8D76-9CB321F211DB}">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184</v>
      </c>
      <c r="B2" s="40" t="e" vm="24">
        <v>#VALUE!</v>
      </c>
      <c r="C2" s="41">
        <v>1</v>
      </c>
      <c r="D2" s="42" t="s">
        <v>185</v>
      </c>
      <c r="E2" s="43" t="s">
        <v>186</v>
      </c>
      <c r="F2" s="44" t="s">
        <v>166</v>
      </c>
      <c r="G2" s="45">
        <f>COUNTIF($A$1:$A$8270,A2)</f>
        <v>1</v>
      </c>
      <c r="H2" s="46"/>
      <c r="I2" s="47" t="s">
        <v>187</v>
      </c>
      <c r="J2" s="48" t="str">
        <f>""</f>
        <v/>
      </c>
      <c r="K2" s="49">
        <v>1402</v>
      </c>
      <c r="L2" s="50">
        <v>0</v>
      </c>
      <c r="M2" s="50" t="s">
        <v>188</v>
      </c>
      <c r="N2" s="51" t="s">
        <v>169</v>
      </c>
      <c r="O2" s="52" t="s">
        <v>189</v>
      </c>
      <c r="P2" s="53" t="s">
        <v>190</v>
      </c>
      <c r="Q2" s="54">
        <v>2</v>
      </c>
      <c r="R2" s="55" t="s">
        <v>191</v>
      </c>
      <c r="S2" s="56">
        <v>2</v>
      </c>
      <c r="T2" s="57" t="s">
        <v>172</v>
      </c>
      <c r="U2" s="58" t="s">
        <v>173</v>
      </c>
      <c r="V2" s="58" t="s">
        <v>173</v>
      </c>
      <c r="W2" s="58" t="s">
        <v>173</v>
      </c>
      <c r="X2" s="58" t="s">
        <v>172</v>
      </c>
      <c r="Y2" s="58" t="s">
        <v>172</v>
      </c>
      <c r="Z2" s="58" t="s">
        <v>172</v>
      </c>
      <c r="AA2" s="58" t="s">
        <v>173</v>
      </c>
      <c r="AB2" s="58" t="s">
        <v>173</v>
      </c>
      <c r="AC2" s="58" t="s">
        <v>173</v>
      </c>
      <c r="AD2" s="58" t="s">
        <v>173</v>
      </c>
      <c r="AE2" s="58" t="s">
        <v>173</v>
      </c>
      <c r="AF2" s="59" t="s">
        <v>173</v>
      </c>
      <c r="AG2" s="59" t="s">
        <v>173</v>
      </c>
      <c r="AH2" s="59" t="s">
        <v>173</v>
      </c>
      <c r="AI2" s="59" t="s">
        <v>173</v>
      </c>
      <c r="AJ2" s="59" t="s">
        <v>173</v>
      </c>
      <c r="AK2" s="59" t="s">
        <v>173</v>
      </c>
      <c r="AL2" s="59" t="s">
        <v>173</v>
      </c>
      <c r="AM2" s="59" t="s">
        <v>172</v>
      </c>
      <c r="AN2" s="59" t="s">
        <v>173</v>
      </c>
      <c r="AO2" s="59" t="s">
        <v>173</v>
      </c>
      <c r="AP2" s="59" t="s">
        <v>173</v>
      </c>
      <c r="AQ2" s="59" t="s">
        <v>173</v>
      </c>
      <c r="AR2" s="59" t="s">
        <v>173</v>
      </c>
      <c r="AS2" s="59" t="s">
        <v>173</v>
      </c>
      <c r="AT2" s="60">
        <v>5</v>
      </c>
      <c r="AU2" s="59"/>
      <c r="AV2" s="59" t="str">
        <f>IF(LEFT(A2,1)="[",LEFT(A2,5)&amp;AU2&amp;A2,"")</f>
        <v/>
      </c>
      <c r="AW2" s="59" t="str">
        <f>C2&amp;H2&amp;A2</f>
        <v>1Christmas Island</v>
      </c>
      <c r="AX2" s="61"/>
      <c r="AY2" s="61"/>
      <c r="AZ2" s="62" t="s">
        <v>192</v>
      </c>
      <c r="BA2" s="62"/>
      <c r="BB2" s="62"/>
      <c r="BC2" s="63"/>
      <c r="BD2" s="64" t="s">
        <v>152</v>
      </c>
      <c r="BE2" s="47"/>
      <c r="BF2" s="64" t="s">
        <v>192</v>
      </c>
      <c r="BG2" s="64" t="s">
        <v>192</v>
      </c>
      <c r="BH2" s="64" t="s">
        <v>192</v>
      </c>
      <c r="BI2" s="64"/>
      <c r="BJ2" s="64"/>
      <c r="BK2" s="47"/>
      <c r="BL2" s="64" t="s">
        <v>151</v>
      </c>
      <c r="BM2" s="64" t="s">
        <v>152</v>
      </c>
      <c r="BN2" s="64" t="s">
        <v>192</v>
      </c>
      <c r="BO2" s="64" t="s">
        <v>154</v>
      </c>
      <c r="BP2" s="64" t="s">
        <v>192</v>
      </c>
      <c r="BQ2" s="64" t="s">
        <v>192</v>
      </c>
      <c r="BR2" s="64" t="s">
        <v>192</v>
      </c>
      <c r="BS2" s="64" t="s">
        <v>192</v>
      </c>
      <c r="BT2" s="64" t="s">
        <v>159</v>
      </c>
      <c r="BU2" s="65" t="s">
        <v>172</v>
      </c>
      <c r="BV2" s="66"/>
      <c r="BW2" s="66">
        <v>0</v>
      </c>
      <c r="BX2" s="47"/>
      <c r="CB2" s="6"/>
      <c r="CC2" s="6"/>
      <c r="CD2" s="67">
        <v>0</v>
      </c>
      <c r="CE2" s="67">
        <v>0</v>
      </c>
      <c r="CF2" s="67" t="e">
        <v>#REF!</v>
      </c>
      <c r="CG2" s="68" cm="1">
        <f t="array" ref="CG2">SUMPRODUCT(--(LEN(TRIM(BL2:BT2))&gt;0))</f>
        <v>4</v>
      </c>
      <c r="CH2" s="59" t="str">
        <f t="shared" ref="CH2" si="0">IF(CG2=2,"y","n")</f>
        <v>n</v>
      </c>
      <c r="CI2" s="59" t="str">
        <f t="shared" ref="CI2" si="1">IF(CG2=3,"y","n")</f>
        <v>n</v>
      </c>
      <c r="CJ2" s="59" t="str">
        <f t="shared" ref="CJ2" si="2">IF(CG2=4,"y","n")</f>
        <v>y</v>
      </c>
      <c r="CK2" s="59" t="str">
        <f t="shared" ref="CK2" si="3">IF(CG2&gt;4,"y","n")</f>
        <v>n</v>
      </c>
      <c r="CL2" s="59" t="str">
        <f t="shared" ref="CL2" si="4">IF(S2=0,"y","n")</f>
        <v>n</v>
      </c>
      <c r="CM2" s="59" t="str">
        <f t="shared" ref="CM2" si="5">IF(S2=2,"y","n")</f>
        <v>y</v>
      </c>
      <c r="CN2" s="59" t="str">
        <f t="shared" ref="CN2" si="6">IF(S2=3,"y","n")</f>
        <v>n</v>
      </c>
      <c r="CO2" s="59" t="str">
        <f t="shared" ref="CO2" si="7">IF(S2&gt;=4,"y","n")</f>
        <v>n</v>
      </c>
      <c r="CP2" s="59" t="str">
        <f t="shared" ref="CP2" si="8">IF(AT2=0,"y","n")</f>
        <v>n</v>
      </c>
      <c r="CQ2" s="59" t="str">
        <f t="shared" ref="CQ2" si="9">IF(AT2=1,"y","n")</f>
        <v>n</v>
      </c>
      <c r="CR2" s="59" t="str">
        <f t="shared" ref="CR2" si="10">IF(AT2=2,"y","n")</f>
        <v>n</v>
      </c>
      <c r="CS2" s="59" t="str">
        <f t="shared" ref="CS2" si="11">IF(AT2&gt;=3,"y","n")</f>
        <v>y</v>
      </c>
      <c r="CT2" s="69" t="str">
        <f t="shared" ref="CT2" si="12">CHAR(34)&amp;A2&amp;CHAR(34)</f>
        <v>"Christmas Island"</v>
      </c>
      <c r="CU2" s="70" t="str">
        <f t="shared" ref="CU2" si="13">CHAR(34)&amp;"rgn_"&amp;R2&amp;CHAR(34)</f>
        <v>"rgn_Oceania, rgn_Asia"</v>
      </c>
      <c r="CV2" s="48" t="str">
        <f t="shared" ref="CV2" si="14">CHAR(34)&amp;D2&amp;CHAR(34)</f>
        <v>"https://upload.wikimedia.org/wikipedia/commons/thumb/6/67/Flag_of_Christmas_Island.svg/383px-Flag_of_Christmas_Island.svg.png"</v>
      </c>
      <c r="CW2" s="48" t="str">
        <f t="shared" ref="CW2:CZ3" si="15">IF(CH2="y",CHAR(34)&amp;CH$1&amp;CHAR(34)&amp;",","")</f>
        <v/>
      </c>
      <c r="CX2" s="48" t="str">
        <f t="shared" si="15"/>
        <v/>
      </c>
      <c r="CY2" s="48" t="str">
        <f t="shared" si="15"/>
        <v>"4Color",</v>
      </c>
      <c r="CZ2" s="48" t="str">
        <f t="shared" si="15"/>
        <v/>
      </c>
      <c r="DA2" s="48" t="str">
        <f t="shared" ref="DA2" si="16">IF(Q2&gt;1,CHAR(34)&amp;"words2"&amp;CHAR(34)&amp;",","")</f>
        <v>"words2",</v>
      </c>
      <c r="DB2" s="48" t="str">
        <f t="shared" ref="DB2"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
      </c>
      <c r="DN2" s="48" t="str">
        <f t="shared" ref="DN2" si="28">IF(AND(ISNUMBER(SEARCH("18", O2)), ISERROR(SEARCH("1918", O2)), ISERROR(SEARCH("2018", O2))), CHAR(34) &amp; "year18" &amp; CHAR(34) &amp; ",", "")</f>
        <v/>
      </c>
      <c r="DO2" s="48" t="str">
        <f t="shared" ref="DO2" si="29">IF(AND(ISNUMBER(SEARCH("19", O2)), ISERROR(SEARCH("1819", O2)),  ISERROR(SEARCH("1219", O2)),ISERROR(SEARCH("1119", O2)),ISERROR(SEARCH("1190", O2)),ISERROR(SEARCH("2019", O2))), CHAR(34) &amp; "year19" &amp; CHAR(34) &amp; ",", "")</f>
        <v>"year19",</v>
      </c>
      <c r="DP2" s="6" t="str">
        <f t="shared" ref="DP2" si="30">IF(AND(ISNUMBER(SEARCH("20", O2)), ISERROR(SEARCH("1920", O2))), CHAR(34)&amp;"year00"&amp;CHAR(34)&amp;",", "")</f>
        <v>"year00",</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"smallc",</v>
      </c>
      <c r="DW2" s="48" t="str">
        <f t="shared" ref="DW2:DZ3" si="37">IF(CL2="y",CHAR(34)&amp;CL$1&amp;CHAR(34)&amp;",","")</f>
        <v/>
      </c>
      <c r="DX2" s="48" t="str">
        <f t="shared" si="37"/>
        <v>"2Bands",</v>
      </c>
      <c r="DY2" s="48" t="str">
        <f t="shared" si="37"/>
        <v/>
      </c>
      <c r="DZ2" s="48" t="str">
        <f t="shared" si="37"/>
        <v/>
      </c>
      <c r="EA2" s="48" t="str">
        <f t="shared" ref="EA2:EE3" si="38">IF(T2="y",CHAR(34)&amp;T$1&amp;CHAR(34)&amp;",","")</f>
        <v>"Diagon",</v>
      </c>
      <c r="EB2" s="48" t="str">
        <f t="shared" si="38"/>
        <v/>
      </c>
      <c r="EC2" s="48" t="str">
        <f t="shared" si="38"/>
        <v/>
      </c>
      <c r="ED2" s="48" t="str">
        <f t="shared" si="38"/>
        <v/>
      </c>
      <c r="EE2" s="48" t="str">
        <f t="shared" si="38"/>
        <v>"Circle",</v>
      </c>
      <c r="EF2" s="48" t="str">
        <f t="shared" ref="EF2" si="39">IF(AND(Y2&lt;&gt;"n",Y2&lt;&gt;""),CHAR(34)&amp;Y$1&amp;CHAR(34)&amp;",","")</f>
        <v>"Animal",</v>
      </c>
      <c r="EG2" s="48" t="str">
        <f t="shared" ref="EG2:EZ3" si="40">IF(Z2="y",CHAR(34)&amp;Z$1&amp;CHAR(34)&amp;",","")</f>
        <v>"Bird",</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
      </c>
      <c r="EP2" s="48" t="str">
        <f t="shared" si="40"/>
        <v/>
      </c>
      <c r="EQ2" s="48" t="str">
        <f t="shared" si="40"/>
        <v/>
      </c>
      <c r="ER2" s="48" t="str">
        <f t="shared" si="40"/>
        <v/>
      </c>
      <c r="ES2" s="48" t="str">
        <f t="shared" si="40"/>
        <v/>
      </c>
      <c r="ET2" s="48" t="str">
        <f t="shared" si="40"/>
        <v>"Geogrh",</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"sta",</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
      </c>
      <c r="FH2" s="48" t="str">
        <f t="shared" ref="FH2" si="48">IF(COUNTIF(BL2:BS2,"GRE")=0,CHAR(34)&amp;"NO_GRE"&amp;CHAR(34)&amp;",", "")</f>
        <v>"NO_GRE",</v>
      </c>
      <c r="FI2" s="48" t="str">
        <f t="shared" ref="FI2" si="49">IF(COUNTIF(BL2:BT2,"YEL")=0,CHAR(34)&amp;"NO_YEL"&amp;CHAR(34)&amp;",", "")</f>
        <v>"NO_YEL",</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 t="shared" ref="GF2" si="72">IFERROR(IF(SEARCH("Historical",AU2)&gt;0,CHAR(34)&amp;"histor"&amp;CHAR(34)&amp;",",""),"")</f>
        <v/>
      </c>
      <c r="GG2" s="48" t="str">
        <f t="shared" ref="GG2" si="73">IF(BU2="y",CHAR(34)&amp;"unjack"&amp;CHAR(34)&amp;",","")</f>
        <v>"unjack",</v>
      </c>
      <c r="GH2" s="48" t="str">
        <f t="shared" ref="GH2" si="74">IF(CD2=1,CHAR(34)&amp;"southc"&amp;CHAR(34)&amp;",","")</f>
        <v/>
      </c>
      <c r="GI2" s="48" t="str">
        <f t="shared" ref="GI2" si="75">IF(CE2=1,CHAR(34)&amp;"hasmap"&amp;CHAR(34)&amp;",","")</f>
        <v/>
      </c>
      <c r="GJ2" s="48" t="str">
        <f t="shared" ref="GJ2" si="76">IF(CP2="y",CHAR(34)&amp;CP$1&amp;CHAR(34)&amp;",","")</f>
        <v/>
      </c>
      <c r="GK2" s="48" t="str">
        <f t="shared" ref="GK2" si="77">IF(GJ2="",CHAR(34)&amp;"HasSta"&amp;CHAR(34)&amp;",","")</f>
        <v>"HasSta",</v>
      </c>
      <c r="GL2" s="48" t="str">
        <f t="shared" ref="GL2:GN3" si="78">IF(CQ2="y",CHAR(34)&amp;CQ$1&amp;CHAR(34)&amp;",","")</f>
        <v/>
      </c>
      <c r="GM2" s="48" t="str">
        <f t="shared" si="78"/>
        <v/>
      </c>
      <c r="GN2" s="48" t="str">
        <f t="shared" si="78"/>
        <v>"3+Star",</v>
      </c>
      <c r="GP2" s="48" t="str">
        <f t="shared" ref="GP2" si="79">CHAR(34)&amp;AU2&amp;CHAR(34)</f>
        <v>""</v>
      </c>
      <c r="GS2" s="48" t="str">
        <f t="shared" ref="GS2" si="80">SUBSTITUTE("["&amp;_xlfn.CONCAT(CW2:GN2)&amp;"]",",]","]")</f>
        <v>["4Color","words2","exact2","lets15","startC","year19","year00","smallc","2Bands","Diagon","Circle","Animal","Bird","Geogrh","sta","NO_GRE","NO_YEL","myrBLU","unjack","HasSta","3+Star"]</v>
      </c>
      <c r="GT2" s="48" t="str">
        <f t="shared" ref="GT2:HB3" si="81">IF(BL2&lt;&gt;"",CHAR(34)&amp;"cl_"&amp;BL2&amp;CHAR(34)&amp;",","")</f>
        <v>"cl_BLA",</v>
      </c>
      <c r="GU2" s="48" t="str">
        <f t="shared" si="81"/>
        <v>"cl_BLU",</v>
      </c>
      <c r="GV2" s="48" t="str">
        <f t="shared" si="81"/>
        <v/>
      </c>
      <c r="GW2" s="48" t="str">
        <f t="shared" si="81"/>
        <v>"cl_RED",</v>
      </c>
      <c r="GX2" s="48" t="str">
        <f t="shared" si="81"/>
        <v/>
      </c>
      <c r="GY2" s="48" t="str">
        <f t="shared" si="81"/>
        <v/>
      </c>
      <c r="GZ2" s="48" t="str">
        <f t="shared" si="81"/>
        <v/>
      </c>
      <c r="HA2" s="48" t="str">
        <f t="shared" si="81"/>
        <v/>
      </c>
      <c r="HB2" s="48" t="str">
        <f t="shared" si="81"/>
        <v>"cl_WHI",</v>
      </c>
      <c r="HC2" s="48" t="str">
        <f t="shared" ref="HC2" si="82">SUBSTITUTE("["&amp;_xlfn.CONCAT(GT2:HB2)&amp;"]",",]","]")</f>
        <v>["cl_BLA","cl_BLU","cl_RED","cl_WHI"]</v>
      </c>
      <c r="HE2" s="71"/>
      <c r="HF2" s="72" t="str">
        <f t="shared" ref="HF2" si="83">"{couname:"&amp;CT2&amp;(IF(HK2&lt;&gt;"",",subtype:"&amp;CHAR(34)&amp;HK2&amp;CHAR(34),""))&amp;",year:"&amp;HJ2&amp;",region:"&amp;CU2&amp;",Colors:"&amp;HC2&amp;",Items:"&amp;GS2&amp;",Flag:"&amp;CV2&amp;",HDFlag:"&amp;CHAR(34)&amp;E2&amp;CHAR(34)&amp;",type:"&amp;GP2&amp;", describe: "&amp;HH2&amp;", isnew:"&amp;CHAR(34)&amp;F2&amp;CHAR(34)&amp;", links: "&amp;HL2&amp;"},"</f>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links: "https://en.wikipedia.org/wiki/Flag_of_Christmas_Island"},</v>
      </c>
      <c r="HG2" s="73" t="str">
        <f t="shared" ref="HG2" si="84">"{couname:"&amp;CT2&amp;(IF(HK2&lt;&gt;"",",subtype:"&amp;CHAR(34)&amp;HK2&amp;CHAR(34),""))&amp;",year:"&amp;HJ2&amp;",region:"&amp;CU2&amp;",Colors:"&amp;HC2&amp;",Items:"&amp;GS2&amp;",Flag:"&amp;CV2&amp;",HDFlag:"&amp;CHAR(34)&amp;E2&amp;CHAR(34)&amp;",type:"&amp;GP2&amp;", describe: "&amp;HI2&amp;", links: "&amp;HL2&amp;"},"</f>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links: "https://en.wikipedia.org/wiki/Flag_of_Christmas_Island"},</v>
      </c>
      <c r="HH2" s="48" t="str">
        <f t="shared" ref="HH2" si="85">IF(P2&lt;&gt;"",CHAR(34)&amp;"\n"&amp;P2&amp;CHAR(34),CHAR(34)&amp;CHAR(34))</f>
        <v>"\nThe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v>
      </c>
      <c r="HI2" s="48" t="str">
        <f t="shared" ref="HI2" si="86">IF(J2=0,CHAR(34)&amp;CHAR(34),HH2)</f>
        <v>"\nThe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v>
      </c>
      <c r="HJ2" s="48" t="str">
        <f t="shared" ref="HJ2" si="87">CHAR(34)&amp;O2&amp;CHAR(34)</f>
        <v>"1986, 2002 "</v>
      </c>
      <c r="HL2" s="48" t="str">
        <f t="shared" ref="HL2" si="88">CHAR(34)&amp;I2&amp;CHAR(34)</f>
        <v>"https://en.wikipedia.org/wiki/Flag_of_Christmas_Island"</v>
      </c>
      <c r="HM2" s="72" t="str">
        <f t="shared" ref="HM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 "links": "https://en.wikipedia.org/wiki/Flag_of_Christmas_Island"},</v>
      </c>
      <c r="HN2" s="74" t="str">
        <f t="shared" ref="HN2"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{"couname":"Christmas Island","year":"1986, 2002 ","region":"rgn_Oceania, rgn_Asia","Colors":["cl_BLA","cl_BLU","cl_RED","cl_WHI"],"Items":["4Color","words2","exact2","lets15","startC","year19","year00","smallc","2Bands","Diagon","Circle","Animal","Bird","Geogrh","sta","NO_GRE","NO_YEL","myrBLU","unjack","HasSta","3+Star"],"Flag":"https://upload.wikimedia.org/wikipedia/commons/thumb/6/67/Flag_of_Christmas_Island.svg/383px-Flag_of_Christmas_Island.svg.png","HDFlag":"https://upload.wikimedia.org/wikipedia/commons/thumb/6/67/Flag_of_Christmas_Island.svg/2560px-Flag_of_Christmas_Island.svg.png","type":"", "describe": "\nThe flag of Christmas Island consists of a green and blue background, split from the top left corner to the bottom right. These colours are intended to represent the land and sea respectively. The Southern Cross constellation appears in the bottom left of the flag similar to the flag of Australia. In the top right, the golden bosun bird (Phaethon lepturus fulvus, one of six subspecies of the white-tailed tropicbird) appears. It is considered to be a symbol of the Island. The last motif appears in the centre of the flag on a golden disc is the map of the island in green. The disc itself was originally only included to offset the green colour of the map, but has become linked to the mining industry.", "isnew": ".", "links": "https://en.wikipedia.org/wiki/Flag_of_Christmas_Island"},</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c r="IC2" s="77"/>
      <c r="ID2" s="77"/>
      <c r="IE2" s="77"/>
      <c r="IF2" s="77"/>
      <c r="IG2" s="77"/>
      <c r="IH2" s="77"/>
      <c r="II2" s="77"/>
      <c r="IJ2" s="77"/>
      <c r="IK2" s="77"/>
      <c r="IL2" s="48">
        <f t="shared" ref="IL2" si="91">SUM(IC2:IK2)</f>
        <v>0</v>
      </c>
      <c r="IM2" s="45">
        <f t="shared" ref="IM2" si="92">COUNTIF(IC2:IK2,"&gt;0")-CG2</f>
        <v>-4</v>
      </c>
      <c r="IN2" s="78" t="str">
        <f t="shared" ref="IN2" si="93">"http://mkweb.bcgsc.ca/color-summarizer/?url="&amp;D2&amp;"&amp;precision=low&amp;num_clusters="&amp;CG2&amp;"&amp;text=1"</f>
        <v>http://mkweb.bcgsc.ca/color-summarizer/?url=https://upload.wikimedia.org/wikipedia/commons/thumb/6/67/Flag_of_Christmas_Island.svg/383px-Flag_of_Christmas_Island.svg.png&amp;precision=low&amp;num_clusters=4&amp;text=1</v>
      </c>
      <c r="IO2" s="48" t="str">
        <f t="shared" ref="IO2" si="94">IF(HP2&lt;&gt;"",CHAR(34)&amp;"black"&amp;CHAR(34),"")</f>
        <v>"black"</v>
      </c>
      <c r="IP2" s="48" t="str">
        <f t="shared" ref="IP2" si="95">IF(HQ2&lt;&gt;"",CHAR(34)&amp;"blue"&amp;CHAR(34),"")</f>
        <v>"blue"</v>
      </c>
      <c r="IQ2" s="48" t="str">
        <f t="shared" ref="IQ2" si="96">IF(HR2&lt;&gt;"",CHAR(34)&amp;"green"&amp;CHAR(34),"")</f>
        <v/>
      </c>
      <c r="IR2" s="48" t="str">
        <f t="shared" ref="IR2" si="97">IF(HS2&lt;&gt;"",CHAR(34)&amp;"red"&amp;CHAR(34),"")</f>
        <v>"red"</v>
      </c>
      <c r="IS2" s="48" t="str">
        <f t="shared" ref="IS2" si="98">IF(HT2&lt;&gt;"",CHAR(34)&amp;"yellow"&amp;CHAR(34),"")</f>
        <v/>
      </c>
      <c r="IT2" s="48" t="str">
        <f t="shared" ref="IT2" si="99">IF(HU2&lt;&gt;"",CHAR(34)&amp;"orange"&amp;CHAR(34),"")</f>
        <v/>
      </c>
      <c r="IU2" s="48" t="str">
        <f t="shared" ref="IU2" si="100">IF(HV2&lt;&gt;"",CHAR(34)&amp;"brown"&amp;CHAR(34),"")</f>
        <v/>
      </c>
      <c r="IV2" s="48" t="str">
        <f t="shared" ref="IV2" si="101">IF(HW2&lt;&gt;"",CHAR(34)&amp;"purple"&amp;CHAR(34),"")</f>
        <v/>
      </c>
      <c r="IW2" s="48" t="str">
        <f t="shared" ref="IW2" si="102">IF(HX2&lt;&gt;"",CHAR(34)&amp;"white"&amp;CHAR(34),"")</f>
        <v>"white"</v>
      </c>
      <c r="IX2" s="48" t="str">
        <f t="shared" ref="IX2" si="103">"{"&amp;CHAR(34)&amp;"url"&amp;CHAR(34)&amp;":"&amp;CHAR(34)&amp;IN2&amp;CHAR(34)&amp;","&amp;CHAR(34)&amp;"name"&amp;CHAR(34)&amp;":"&amp;CHAR(34)&amp;A2&amp;CHAR(34)&amp;"},"</f>
        <v>{"url":"http://mkweb.bcgsc.ca/color-summarizer/?url=https://upload.wikimedia.org/wikipedia/commons/thumb/6/67/Flag_of_Christmas_Island.svg/383px-Flag_of_Christmas_Island.svg.png&amp;precision=low&amp;num_clusters=4&amp;text=1","name":"Christmas Island"},</v>
      </c>
      <c r="IY2" s="48">
        <v>299</v>
      </c>
    </row>
    <row r="3" spans="1:259" s="48" customFormat="1" ht="38.4" customHeight="1" thickBot="1" x14ac:dyDescent="0.35">
      <c r="A3" s="79" t="s">
        <v>397</v>
      </c>
      <c r="B3" s="40" t="e" vm="25">
        <v>#VALUE!</v>
      </c>
      <c r="C3" s="41">
        <v>2</v>
      </c>
      <c r="D3" s="42" t="s">
        <v>398</v>
      </c>
      <c r="E3" s="43" t="s">
        <v>398</v>
      </c>
      <c r="F3" s="44" t="s">
        <v>393</v>
      </c>
      <c r="G3" s="45">
        <f>COUNTIF($A$1:$A$8270,A3)</f>
        <v>1</v>
      </c>
      <c r="H3" s="46"/>
      <c r="I3" s="47" t="s">
        <v>399</v>
      </c>
      <c r="J3" s="48" t="str">
        <f>""</f>
        <v/>
      </c>
      <c r="K3" s="49"/>
      <c r="L3" s="50"/>
      <c r="M3" s="50"/>
      <c r="N3" s="51" t="s">
        <v>169</v>
      </c>
      <c r="O3" s="52" t="s">
        <v>355</v>
      </c>
      <c r="P3" s="53" t="s">
        <v>400</v>
      </c>
      <c r="Q3" s="54">
        <v>4</v>
      </c>
      <c r="R3" s="55" t="s">
        <v>191</v>
      </c>
      <c r="S3" s="56">
        <v>0</v>
      </c>
      <c r="T3" s="57" t="s">
        <v>173</v>
      </c>
      <c r="U3" s="58" t="s">
        <v>173</v>
      </c>
      <c r="V3" s="58" t="s">
        <v>173</v>
      </c>
      <c r="W3" s="58" t="s">
        <v>173</v>
      </c>
      <c r="X3" s="58" t="s">
        <v>173</v>
      </c>
      <c r="Y3" s="58" t="s">
        <v>172</v>
      </c>
      <c r="Z3" s="58" t="s">
        <v>172</v>
      </c>
      <c r="AA3" s="58" t="s">
        <v>173</v>
      </c>
      <c r="AB3" s="58" t="s">
        <v>172</v>
      </c>
      <c r="AC3" s="58" t="s">
        <v>173</v>
      </c>
      <c r="AD3" s="58" t="s">
        <v>173</v>
      </c>
      <c r="AE3" s="58" t="s">
        <v>173</v>
      </c>
      <c r="AF3" s="59" t="s">
        <v>173</v>
      </c>
      <c r="AG3" s="59" t="s">
        <v>173</v>
      </c>
      <c r="AH3" s="59" t="s">
        <v>172</v>
      </c>
      <c r="AI3" s="59" t="s">
        <v>173</v>
      </c>
      <c r="AJ3" s="59" t="s">
        <v>173</v>
      </c>
      <c r="AK3" s="59" t="s">
        <v>173</v>
      </c>
      <c r="AL3" s="59" t="s">
        <v>173</v>
      </c>
      <c r="AM3" s="59" t="s">
        <v>172</v>
      </c>
      <c r="AN3" s="59" t="s">
        <v>173</v>
      </c>
      <c r="AO3" s="59" t="s">
        <v>173</v>
      </c>
      <c r="AP3" s="59" t="s">
        <v>173</v>
      </c>
      <c r="AQ3" s="59" t="s">
        <v>173</v>
      </c>
      <c r="AR3" s="59" t="s">
        <v>173</v>
      </c>
      <c r="AS3" s="59" t="s">
        <v>173</v>
      </c>
      <c r="AT3" s="60">
        <v>0</v>
      </c>
      <c r="AU3" s="59" t="s">
        <v>396</v>
      </c>
      <c r="AV3" s="59" t="str">
        <f>IF(LEFT(A3,1)="[",LEFT(A3,5)&amp;AU3&amp;A3,"")</f>
        <v>[CXR]Government[CXR] Shire of Christmas Island</v>
      </c>
      <c r="AW3" s="59" t="str">
        <f>C3&amp;H3&amp;A3</f>
        <v>2[CXR] Shire of Christmas Island</v>
      </c>
      <c r="AX3" s="61"/>
      <c r="AY3" s="61"/>
      <c r="AZ3" s="62"/>
      <c r="BA3" s="62"/>
      <c r="BB3" s="62"/>
      <c r="BC3" s="63"/>
      <c r="BD3" s="64" t="s">
        <v>152</v>
      </c>
      <c r="BE3" s="47"/>
      <c r="BF3" s="64"/>
      <c r="BG3" s="64"/>
      <c r="BH3" s="64"/>
      <c r="BI3" s="64"/>
      <c r="BJ3" s="64"/>
      <c r="BK3" s="47"/>
      <c r="BL3" s="64" t="s">
        <v>152</v>
      </c>
      <c r="BM3" s="64" t="s">
        <v>154</v>
      </c>
      <c r="BN3" s="64" t="s">
        <v>159</v>
      </c>
      <c r="BO3" s="64" t="s">
        <v>153</v>
      </c>
      <c r="BP3" s="64" t="s">
        <v>155</v>
      </c>
      <c r="BQ3" s="64" t="s">
        <v>157</v>
      </c>
      <c r="BR3" s="64"/>
      <c r="BS3" s="64"/>
      <c r="BT3" s="64"/>
      <c r="BU3" s="65" t="s">
        <v>172</v>
      </c>
      <c r="BV3" s="66"/>
      <c r="BW3" s="66">
        <v>0</v>
      </c>
      <c r="BX3" s="47"/>
      <c r="CB3" s="6"/>
      <c r="CC3" s="6"/>
      <c r="CD3" s="67">
        <v>0</v>
      </c>
      <c r="CE3" s="67">
        <v>0</v>
      </c>
      <c r="CF3" s="67" t="e">
        <v>#REF!</v>
      </c>
      <c r="CG3" s="68" cm="1">
        <f t="array" ref="CG3">SUMPRODUCT(--(LEN(TRIM(BL3:BT3))&gt;0))</f>
        <v>6</v>
      </c>
      <c r="CH3" s="59" t="str">
        <f>IF(CG3=2,"y","n")</f>
        <v>n</v>
      </c>
      <c r="CI3" s="59" t="str">
        <f>IF(CG3=3,"y","n")</f>
        <v>n</v>
      </c>
      <c r="CJ3" s="59" t="str">
        <f>IF(CG3=4,"y","n")</f>
        <v>n</v>
      </c>
      <c r="CK3" s="59" t="str">
        <f>IF(CG3&gt;4,"y","n")</f>
        <v>y</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"[CXR] Shire of Christmas Island"</v>
      </c>
      <c r="CU3" s="70" t="str">
        <f>CHAR(34)&amp;"rgn_"&amp;R3&amp;CHAR(34)</f>
        <v>"rgn_Oceania, rgn_Asia"</v>
      </c>
      <c r="CV3" s="48" t="str">
        <f>CHAR(34)&amp;D3&amp;CHAR(34)</f>
        <v>"https://upload.wikimedia.org/wikipedia/en/a/a9/CXshirecouncillogo.png"</v>
      </c>
      <c r="CW3" s="48" t="str">
        <f t="shared" si="15"/>
        <v/>
      </c>
      <c r="CX3" s="48" t="str">
        <f t="shared" si="15"/>
        <v/>
      </c>
      <c r="CY3" s="48" t="str">
        <f t="shared" si="15"/>
        <v/>
      </c>
      <c r="CZ3" s="48" t="str">
        <f t="shared" si="15"/>
        <v>"5+Colo",</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"lets22",</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
      </c>
      <c r="EF3" s="48" t="str">
        <f>IF(AND(Y3&lt;&gt;"n",Y3&lt;&gt;""),CHAR(34)&amp;Y$1&amp;CHAR(34)&amp;",","")</f>
        <v>"Animal",</v>
      </c>
      <c r="EG3" s="48" t="str">
        <f t="shared" si="40"/>
        <v>"Bird",</v>
      </c>
      <c r="EH3" s="48" t="str">
        <f t="shared" si="40"/>
        <v/>
      </c>
      <c r="EI3" s="48" t="str">
        <f t="shared" si="40"/>
        <v>"Texted",</v>
      </c>
      <c r="EJ3" s="48" t="str">
        <f t="shared" si="40"/>
        <v/>
      </c>
      <c r="EK3" s="48" t="str">
        <f t="shared" si="40"/>
        <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"Geogrh",</v>
      </c>
      <c r="EU3" s="48" t="str">
        <f t="shared" si="40"/>
        <v/>
      </c>
      <c r="EV3" s="48" t="str">
        <f t="shared" si="40"/>
        <v/>
      </c>
      <c r="EW3" s="48" t="str">
        <f t="shared" si="40"/>
        <v/>
      </c>
      <c r="EX3" s="48" t="str">
        <f t="shared" si="40"/>
        <v/>
      </c>
      <c r="EY3" s="48" t="str">
        <f t="shared" si="40"/>
        <v/>
      </c>
      <c r="EZ3" s="48" t="str">
        <f t="shared" si="40"/>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"unjack",</v>
      </c>
      <c r="GH3" s="48" t="str">
        <f>IF(CD3=1,CHAR(34)&amp;"southc"&amp;CHAR(34)&amp;",","")</f>
        <v/>
      </c>
      <c r="GI3" s="48" t="str">
        <f>IF(CE3=1,CHAR(34)&amp;"hasmap"&amp;CHAR(34)&amp;",","")</f>
        <v/>
      </c>
      <c r="GJ3" s="48" t="str">
        <f>IF(CP3="y",CHAR(34)&amp;CP$1&amp;CHAR(34)&amp;",","")</f>
        <v>"NoStar",</v>
      </c>
      <c r="GK3" s="48" t="str">
        <f>IF(GJ3="",CHAR(34)&amp;"HasSta"&amp;CHAR(34)&amp;",","")</f>
        <v/>
      </c>
      <c r="GL3" s="48" t="str">
        <f t="shared" si="78"/>
        <v/>
      </c>
      <c r="GM3" s="48" t="str">
        <f t="shared" si="78"/>
        <v/>
      </c>
      <c r="GN3" s="48" t="str">
        <f t="shared" si="78"/>
        <v/>
      </c>
      <c r="GP3" s="48" t="str">
        <f>CHAR(34)&amp;AU3&amp;CHAR(34)</f>
        <v>"Government"</v>
      </c>
      <c r="GS3" s="48" t="str">
        <f>SUBSTITUTE("["&amp;_xlfn.CONCAT(CW3:GN3)&amp;"]",",]","]")</f>
        <v>["5+Colo","words2","words3","lets22","startS","NoBand","Animal","Bird","Texted","Center","Geogrh","NO_BLA","myrBLU","unjack","NoStar"]</v>
      </c>
      <c r="GT3" s="48" t="str">
        <f t="shared" si="81"/>
        <v>"cl_BLU",</v>
      </c>
      <c r="GU3" s="48" t="str">
        <f t="shared" si="81"/>
        <v>"cl_RED",</v>
      </c>
      <c r="GV3" s="48" t="str">
        <f t="shared" si="81"/>
        <v>"cl_WHI",</v>
      </c>
      <c r="GW3" s="48" t="str">
        <f t="shared" si="81"/>
        <v>"cl_GRE",</v>
      </c>
      <c r="GX3" s="48" t="str">
        <f t="shared" si="81"/>
        <v>"cl_YEL",</v>
      </c>
      <c r="GY3" s="48" t="str">
        <f t="shared" si="81"/>
        <v>"cl_BRO",</v>
      </c>
      <c r="GZ3" s="48" t="str">
        <f t="shared" si="81"/>
        <v/>
      </c>
      <c r="HA3" s="48" t="str">
        <f t="shared" si="81"/>
        <v/>
      </c>
      <c r="HB3" s="48" t="str">
        <f t="shared" si="81"/>
        <v/>
      </c>
      <c r="HC3" s="48" t="str">
        <f>SUBSTITUTE("["&amp;_xlfn.CONCAT(GT3:HB3)&amp;"]",",]","]")</f>
        <v>["cl_BLU","cl_RED","cl_WHI","cl_GRE","cl_YEL","cl_BRO"]</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isnew:"www", links: "https://en.wikipedia.org/wiki/Shire_of_Christmas_Island"},</v>
      </c>
      <c r="HG3" s="73" t="str">
        <f>"{couname:"&amp;CT3&amp;(IF(HK3&lt;&gt;"",",subtype:"&amp;CHAR(34)&amp;HK3&amp;CHAR(34),""))&amp;",year:"&amp;HJ3&amp;",region:"&amp;CU3&amp;",Colors:"&amp;HC3&amp;",Items:"&amp;GS3&amp;",Flag:"&amp;CV3&amp;",HDFlag:"&amp;CHAR(34)&amp;E3&amp;CHAR(34)&amp;",type:"&amp;GP3&amp;", describe: "&amp;HI3&amp;", links: "&amp;HL3&amp;"},"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links: "https://en.wikipedia.org/wiki/Shire_of_Christmas_Island"},</v>
      </c>
      <c r="HH3" s="48" t="str">
        <f>IF(P3&lt;&gt;"",CHAR(34)&amp;"\n"&amp;P3&amp;CHAR(34),CHAR(34)&amp;CHAR(34))</f>
        <v>"\nThe Shire of Christmas Island is a local government area encompassing the Australian external territory of Christmas Island. "</v>
      </c>
      <c r="HI3" s="48" t="str">
        <f>IF(J3=0,CHAR(34)&amp;CHAR(34),HH3)</f>
        <v>"\nThe Shire of Christmas Island is a local government area encompassing the Australian external territory of Christmas Island. "</v>
      </c>
      <c r="HJ3" s="48" t="str">
        <f>CHAR(34)&amp;O3&amp;CHAR(34)</f>
        <v>"???"</v>
      </c>
      <c r="HL3" s="48" t="str">
        <f>CHAR(34)&amp;I3&amp;CHAR(34)</f>
        <v>"https://en.wikipedia.org/wiki/Shire_of_Christmas_Island"</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 "www", "links": "https://en.wikipedia.org/wiki/Shire_of_Christmas_Island"},</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{"couname":"[CXR] Shire of Christmas Island","year":"???","region":"rgn_Oceania, rgn_Asia","Colors":["cl_BLU","cl_RED","cl_WHI","cl_GRE","cl_YEL","cl_BRO"],"Items":["5+Colo","words2","words3","lets22","startS","NoBand","Animal","Bird","Texted","Center","Geogrh","NO_BLA","myrBLU","unjack","NoStar"],"Flag":"https://upload.wikimedia.org/wikipedia/en/a/a9/CXshirecouncillogo.png","HDFlag":"https://upload.wikimedia.org/wikipedia/en/a/a9/CXshirecouncillogo.png","type":"Government", "describe": "\nThe Shire of Christmas Island is a local government area encompassing the Australian external territory of Christmas Island. ", "isnew": "www", "links": "https://en.wikipedia.org/wiki/Shire_of_Christmas_Island"},</v>
      </c>
      <c r="HO3" s="75">
        <v>45644</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-6</v>
      </c>
      <c r="IN3" s="78" t="str">
        <f>"http://mkweb.bcgsc.ca/color-summarizer/?url="&amp;D3&amp;"&amp;precision=low&amp;num_clusters="&amp;CG3&amp;"&amp;text=1"</f>
        <v>http://mkweb.bcgsc.ca/color-summarizer/?url=https://upload.wikimedia.org/wikipedia/en/a/a9/CXshirecouncillogo.png&amp;precision=low&amp;num_clusters=6&amp;text=1</v>
      </c>
      <c r="IO3" s="48" t="str">
        <f>IF(HP3&lt;&gt;"",CHAR(34)&amp;"black"&amp;CHAR(34),"")</f>
        <v/>
      </c>
      <c r="IP3" s="48" t="str">
        <f>IF(HQ3&lt;&gt;"",CHAR(34)&amp;"blue"&amp;CHAR(34),"")</f>
        <v>"blue"</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"brown"</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{"url":"http://mkweb.bcgsc.ca/color-summarizer/?url=https://upload.wikimedia.org/wikipedia/en/a/a9/CXshirecouncillogo.png&amp;precision=low&amp;num_clusters=6&amp;text=1","name":"[CXR] Shire of Christmas Island"},</v>
      </c>
      <c r="IY3" s="48">
        <v>1503</v>
      </c>
    </row>
  </sheetData>
  <conditionalFormatting sqref="H1 CW1:GS1 IA1:IB1">
    <cfRule type="cellIs" dxfId="4722" priority="107" operator="greaterThan">
      <formula>0</formula>
    </cfRule>
  </conditionalFormatting>
  <conditionalFormatting sqref="H1">
    <cfRule type="cellIs" dxfId="4721" priority="73" stopIfTrue="1" operator="notEqual">
      <formula>""</formula>
    </cfRule>
  </conditionalFormatting>
  <conditionalFormatting sqref="T1:BK1">
    <cfRule type="cellIs" dxfId="4720" priority="110" operator="greaterThan">
      <formula>0</formula>
    </cfRule>
  </conditionalFormatting>
  <conditionalFormatting sqref="BV1:BW1">
    <cfRule type="cellIs" dxfId="4719" priority="109" operator="equal">
      <formula>"nc"</formula>
    </cfRule>
  </conditionalFormatting>
  <conditionalFormatting sqref="HF1:HG1">
    <cfRule type="cellIs" dxfId="4718" priority="111" operator="greaterThan">
      <formula>0</formula>
    </cfRule>
  </conditionalFormatting>
  <conditionalFormatting sqref="HK1">
    <cfRule type="cellIs" dxfId="4717" priority="108" operator="greaterThan">
      <formula>0</formula>
    </cfRule>
  </conditionalFormatting>
  <conditionalFormatting sqref="HP1:HX1">
    <cfRule type="cellIs" dxfId="4716" priority="85" operator="equal">
      <formula>"PIN"</formula>
    </cfRule>
    <cfRule type="cellIs" dxfId="4715" priority="86" operator="equal">
      <formula>"ORA"</formula>
    </cfRule>
    <cfRule type="cellIs" dxfId="4714" priority="87" operator="equal">
      <formula>"GRA"</formula>
    </cfRule>
    <cfRule type="cellIs" dxfId="4713" priority="88" operator="equal">
      <formula>"PUR"</formula>
    </cfRule>
    <cfRule type="cellIs" dxfId="4712" priority="89" operator="equal">
      <formula>"BRO"</formula>
    </cfRule>
    <cfRule type="cellIs" dxfId="4711" priority="90" operator="equal">
      <formula>"YEL"</formula>
    </cfRule>
    <cfRule type="cellIs" dxfId="4710" priority="91" operator="equal">
      <formula>"BLU"</formula>
    </cfRule>
    <cfRule type="cellIs" dxfId="4709" priority="92" operator="equal">
      <formula>"WHI"</formula>
    </cfRule>
    <cfRule type="cellIs" dxfId="4708" priority="93" operator="equal">
      <formula>"GRE"</formula>
    </cfRule>
    <cfRule type="cellIs" dxfId="4707" priority="94" operator="equal">
      <formula>"RED"</formula>
    </cfRule>
    <cfRule type="cellIs" dxfId="4706" priority="95" operator="equal">
      <formula>"BLA"</formula>
    </cfRule>
  </conditionalFormatting>
  <conditionalFormatting sqref="IC1:IK1">
    <cfRule type="cellIs" dxfId="4705" priority="96" operator="equal">
      <formula>"PIN"</formula>
    </cfRule>
    <cfRule type="cellIs" dxfId="4704" priority="97" operator="equal">
      <formula>"ORA"</formula>
    </cfRule>
    <cfRule type="cellIs" dxfId="4703" priority="98" operator="equal">
      <formula>"GRA"</formula>
    </cfRule>
    <cfRule type="cellIs" dxfId="4702" priority="99" operator="equal">
      <formula>"PUR"</formula>
    </cfRule>
    <cfRule type="cellIs" dxfId="4701" priority="100" operator="equal">
      <formula>"BRO"</formula>
    </cfRule>
    <cfRule type="cellIs" dxfId="4700" priority="101" operator="equal">
      <formula>"YEL"</formula>
    </cfRule>
    <cfRule type="cellIs" dxfId="4699" priority="102" operator="equal">
      <formula>"BLU"</formula>
    </cfRule>
    <cfRule type="cellIs" dxfId="4698" priority="103" operator="equal">
      <formula>"WHI"</formula>
    </cfRule>
    <cfRule type="cellIs" dxfId="4697" priority="104" operator="equal">
      <formula>"GRE"</formula>
    </cfRule>
    <cfRule type="cellIs" dxfId="4696" priority="105" operator="equal">
      <formula>"RED"</formula>
    </cfRule>
    <cfRule type="cellIs" dxfId="4695" priority="106" operator="equal">
      <formula>"BLA"</formula>
    </cfRule>
  </conditionalFormatting>
  <conditionalFormatting sqref="IO1:IW1">
    <cfRule type="cellIs" dxfId="4694" priority="74" operator="equal">
      <formula>"PIN"</formula>
    </cfRule>
    <cfRule type="cellIs" dxfId="4693" priority="75" operator="equal">
      <formula>"ORA"</formula>
    </cfRule>
    <cfRule type="cellIs" dxfId="4692" priority="76" operator="equal">
      <formula>"GRA"</formula>
    </cfRule>
    <cfRule type="cellIs" dxfId="4691" priority="77" operator="equal">
      <formula>"PUR"</formula>
    </cfRule>
    <cfRule type="cellIs" dxfId="4690" priority="78" operator="equal">
      <formula>"BRO"</formula>
    </cfRule>
    <cfRule type="cellIs" dxfId="4689" priority="79" operator="equal">
      <formula>"YEL"</formula>
    </cfRule>
    <cfRule type="cellIs" dxfId="4688" priority="80" operator="equal">
      <formula>"BLU"</formula>
    </cfRule>
    <cfRule type="cellIs" dxfId="4687" priority="81" operator="equal">
      <formula>"WHI"</formula>
    </cfRule>
    <cfRule type="cellIs" dxfId="4686" priority="82" operator="equal">
      <formula>"GRE"</formula>
    </cfRule>
    <cfRule type="cellIs" dxfId="4685" priority="83" operator="equal">
      <formula>"RED"</formula>
    </cfRule>
    <cfRule type="cellIs" dxfId="4684" priority="84" operator="equal">
      <formula>"BLA"</formula>
    </cfRule>
  </conditionalFormatting>
  <conditionalFormatting sqref="H2">
    <cfRule type="cellIs" dxfId="4683" priority="42" stopIfTrue="1" operator="notEqual">
      <formula>""</formula>
    </cfRule>
  </conditionalFormatting>
  <conditionalFormatting sqref="R2 CU2">
    <cfRule type="cellIs" dxfId="4682" priority="44" operator="greaterThan">
      <formula>0</formula>
    </cfRule>
  </conditionalFormatting>
  <conditionalFormatting sqref="T2:AS2 CH2:CS2">
    <cfRule type="cellIs" dxfId="4681" priority="39" stopIfTrue="1" operator="equal">
      <formula>"n"</formula>
    </cfRule>
    <cfRule type="cellIs" dxfId="4680" priority="40" stopIfTrue="1" operator="equal">
      <formula>"y"</formula>
    </cfRule>
    <cfRule type="cellIs" dxfId="4679" priority="41" operator="greaterThan">
      <formula>0</formula>
    </cfRule>
  </conditionalFormatting>
  <conditionalFormatting sqref="AZ2:BB2">
    <cfRule type="expression" dxfId="4678" priority="38">
      <formula>$AT2=0</formula>
    </cfRule>
  </conditionalFormatting>
  <conditionalFormatting sqref="AZ2:BU2">
    <cfRule type="cellIs" dxfId="4677" priority="47" operator="equal">
      <formula>"PIN"</formula>
    </cfRule>
    <cfRule type="cellIs" dxfId="4676" priority="48" operator="equal">
      <formula>"ORA"</formula>
    </cfRule>
    <cfRule type="cellIs" dxfId="4675" priority="49" operator="equal">
      <formula>"GRA"</formula>
    </cfRule>
    <cfRule type="cellIs" dxfId="4674" priority="50" operator="equal">
      <formula>"PUR"</formula>
    </cfRule>
    <cfRule type="cellIs" dxfId="4673" priority="51" operator="equal">
      <formula>"BRO"</formula>
    </cfRule>
    <cfRule type="cellIs" dxfId="4672" priority="52" operator="equal">
      <formula>"YEL"</formula>
    </cfRule>
    <cfRule type="cellIs" dxfId="4671" priority="53" operator="equal">
      <formula>"BLU"</formula>
    </cfRule>
    <cfRule type="cellIs" dxfId="4670" priority="54" operator="equal">
      <formula>"WHI"</formula>
    </cfRule>
    <cfRule type="cellIs" dxfId="4669" priority="55" operator="equal">
      <formula>"GRE"</formula>
    </cfRule>
    <cfRule type="cellIs" dxfId="4668" priority="56" operator="equal">
      <formula>"RED"</formula>
    </cfRule>
    <cfRule type="cellIs" dxfId="4667" priority="57" operator="equal">
      <formula>"BLA"</formula>
    </cfRule>
  </conditionalFormatting>
  <conditionalFormatting sqref="BV2">
    <cfRule type="cellIs" dxfId="4666" priority="69" operator="equal">
      <formula>"nc"</formula>
    </cfRule>
  </conditionalFormatting>
  <conditionalFormatting sqref="BX2:CA2 CD2:CF2">
    <cfRule type="cellIs" dxfId="4665" priority="43" operator="equal">
      <formula>"y"</formula>
    </cfRule>
    <cfRule type="cellIs" dxfId="4664" priority="58" operator="equal">
      <formula>"PIN"</formula>
    </cfRule>
    <cfRule type="cellIs" dxfId="4663" priority="59" operator="equal">
      <formula>"ORA"</formula>
    </cfRule>
    <cfRule type="cellIs" dxfId="4662" priority="60" operator="equal">
      <formula>"GRA"</formula>
    </cfRule>
    <cfRule type="cellIs" dxfId="4661" priority="61" operator="equal">
      <formula>"PUR"</formula>
    </cfRule>
    <cfRule type="cellIs" dxfId="4660" priority="62" operator="equal">
      <formula>"BRO"</formula>
    </cfRule>
    <cfRule type="cellIs" dxfId="4659" priority="63" operator="equal">
      <formula>"YEL"</formula>
    </cfRule>
    <cfRule type="cellIs" dxfId="4658" priority="64" operator="equal">
      <formula>"BLU"</formula>
    </cfRule>
    <cfRule type="cellIs" dxfId="4657" priority="65" operator="equal">
      <formula>"WHI"</formula>
    </cfRule>
    <cfRule type="cellIs" dxfId="4656" priority="66" operator="equal">
      <formula>"GRE"</formula>
    </cfRule>
    <cfRule type="cellIs" dxfId="4655" priority="67" operator="equal">
      <formula>"RED"</formula>
    </cfRule>
    <cfRule type="cellIs" dxfId="4654" priority="68" operator="equal">
      <formula>"BLA"</formula>
    </cfRule>
  </conditionalFormatting>
  <conditionalFormatting sqref="BZ2:CA2 CD2:CF2">
    <cfRule type="cellIs" dxfId="4653" priority="45" operator="greaterThan">
      <formula>0</formula>
    </cfRule>
  </conditionalFormatting>
  <conditionalFormatting sqref="IC2:IK2">
    <cfRule type="expression" dxfId="4652"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2762" priority="6" stopIfTrue="1" operator="notEqual">
      <formula>""</formula>
    </cfRule>
  </conditionalFormatting>
  <conditionalFormatting sqref="R3 CU3">
    <cfRule type="cellIs" dxfId="2761" priority="8" operator="greaterThan">
      <formula>0</formula>
    </cfRule>
  </conditionalFormatting>
  <conditionalFormatting sqref="T3:AS3 CH3:CS3">
    <cfRule type="cellIs" dxfId="2760" priority="3" stopIfTrue="1" operator="equal">
      <formula>"n"</formula>
    </cfRule>
    <cfRule type="cellIs" dxfId="2759" priority="4" stopIfTrue="1" operator="equal">
      <formula>"y"</formula>
    </cfRule>
    <cfRule type="cellIs" dxfId="2758" priority="5" operator="greaterThan">
      <formula>0</formula>
    </cfRule>
  </conditionalFormatting>
  <conditionalFormatting sqref="AZ3:BB3">
    <cfRule type="expression" dxfId="2757" priority="2">
      <formula>$AT3=0</formula>
    </cfRule>
  </conditionalFormatting>
  <conditionalFormatting sqref="AZ3:BU3">
    <cfRule type="cellIs" dxfId="2756" priority="11" operator="equal">
      <formula>"PIN"</formula>
    </cfRule>
    <cfRule type="cellIs" dxfId="2755" priority="12" operator="equal">
      <formula>"ORA"</formula>
    </cfRule>
    <cfRule type="cellIs" dxfId="2754" priority="13" operator="equal">
      <formula>"GRA"</formula>
    </cfRule>
    <cfRule type="cellIs" dxfId="2753" priority="14" operator="equal">
      <formula>"PUR"</formula>
    </cfRule>
    <cfRule type="cellIs" dxfId="2752" priority="15" operator="equal">
      <formula>"BRO"</formula>
    </cfRule>
    <cfRule type="cellIs" dxfId="2751" priority="16" operator="equal">
      <formula>"YEL"</formula>
    </cfRule>
    <cfRule type="cellIs" dxfId="2750" priority="17" operator="equal">
      <formula>"BLU"</formula>
    </cfRule>
    <cfRule type="cellIs" dxfId="2749" priority="18" operator="equal">
      <formula>"WHI"</formula>
    </cfRule>
    <cfRule type="cellIs" dxfId="2748" priority="19" operator="equal">
      <formula>"GRE"</formula>
    </cfRule>
    <cfRule type="cellIs" dxfId="2747" priority="20" operator="equal">
      <formula>"RED"</formula>
    </cfRule>
    <cfRule type="cellIs" dxfId="2746" priority="21" operator="equal">
      <formula>"BLA"</formula>
    </cfRule>
  </conditionalFormatting>
  <conditionalFormatting sqref="BV3:BW3">
    <cfRule type="cellIs" dxfId="2745" priority="33" operator="equal">
      <formula>"nc"</formula>
    </cfRule>
  </conditionalFormatting>
  <conditionalFormatting sqref="BX3:CA3 CD3:CF3">
    <cfRule type="cellIs" dxfId="2744" priority="7" operator="equal">
      <formula>"y"</formula>
    </cfRule>
    <cfRule type="cellIs" dxfId="2743" priority="22" operator="equal">
      <formula>"PIN"</formula>
    </cfRule>
    <cfRule type="cellIs" dxfId="2742" priority="23" operator="equal">
      <formula>"ORA"</formula>
    </cfRule>
    <cfRule type="cellIs" dxfId="2741" priority="24" operator="equal">
      <formula>"GRA"</formula>
    </cfRule>
    <cfRule type="cellIs" dxfId="2740" priority="25" operator="equal">
      <formula>"PUR"</formula>
    </cfRule>
    <cfRule type="cellIs" dxfId="2739" priority="26" operator="equal">
      <formula>"BRO"</formula>
    </cfRule>
    <cfRule type="cellIs" dxfId="2738" priority="27" operator="equal">
      <formula>"YEL"</formula>
    </cfRule>
    <cfRule type="cellIs" dxfId="2737" priority="28" operator="equal">
      <formula>"BLU"</formula>
    </cfRule>
    <cfRule type="cellIs" dxfId="2736" priority="29" operator="equal">
      <formula>"WHI"</formula>
    </cfRule>
    <cfRule type="cellIs" dxfId="2735" priority="30" operator="equal">
      <formula>"GRE"</formula>
    </cfRule>
    <cfRule type="cellIs" dxfId="2734" priority="31" operator="equal">
      <formula>"RED"</formula>
    </cfRule>
    <cfRule type="cellIs" dxfId="2733" priority="32" operator="equal">
      <formula>"BLA"</formula>
    </cfRule>
  </conditionalFormatting>
  <conditionalFormatting sqref="BZ3:CA3 CD3:CF3">
    <cfRule type="cellIs" dxfId="2732" priority="9" operator="greaterThan">
      <formula>0</formula>
    </cfRule>
  </conditionalFormatting>
  <conditionalFormatting sqref="IC3:IK3">
    <cfRule type="expression" dxfId="2731" priority="10">
      <formula>$IL3&gt;0</formula>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conditionalFormatting sqref="J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7980D-CFBF-4B2F-9E3D-86FFDD1E9CB2}">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193</v>
      </c>
      <c r="B2" s="40" t="e" vm="26">
        <v>#VALUE!</v>
      </c>
      <c r="C2" s="41">
        <v>1</v>
      </c>
      <c r="D2" s="42" t="s">
        <v>194</v>
      </c>
      <c r="E2" s="43" t="s">
        <v>195</v>
      </c>
      <c r="F2" s="44" t="s">
        <v>166</v>
      </c>
      <c r="G2" s="45">
        <f>COUNTIF($A$1:$A$8266,A2)</f>
        <v>1</v>
      </c>
      <c r="H2" s="46"/>
      <c r="I2" s="47" t="s">
        <v>196</v>
      </c>
      <c r="J2" s="48" t="str">
        <f>""</f>
        <v/>
      </c>
      <c r="K2" s="49">
        <v>596</v>
      </c>
      <c r="L2" s="50">
        <v>1500</v>
      </c>
      <c r="M2" s="50" t="s">
        <v>197</v>
      </c>
      <c r="N2" s="51" t="s">
        <v>169</v>
      </c>
      <c r="O2" s="52" t="s">
        <v>198</v>
      </c>
      <c r="P2" s="53" t="s">
        <v>199</v>
      </c>
      <c r="Q2" s="54">
        <v>2</v>
      </c>
      <c r="R2" s="55" t="s">
        <v>191</v>
      </c>
      <c r="S2" s="56">
        <v>0</v>
      </c>
      <c r="T2" s="57" t="s">
        <v>173</v>
      </c>
      <c r="U2" s="58" t="s">
        <v>173</v>
      </c>
      <c r="V2" s="58" t="s">
        <v>173</v>
      </c>
      <c r="W2" s="58" t="s">
        <v>173</v>
      </c>
      <c r="X2" s="58" t="s">
        <v>172</v>
      </c>
      <c r="Y2" s="58" t="s">
        <v>173</v>
      </c>
      <c r="Z2" s="58" t="s">
        <v>173</v>
      </c>
      <c r="AA2" s="58" t="s">
        <v>172</v>
      </c>
      <c r="AB2" s="58" t="s">
        <v>173</v>
      </c>
      <c r="AC2" s="58" t="s">
        <v>173</v>
      </c>
      <c r="AD2" s="58" t="s">
        <v>172</v>
      </c>
      <c r="AE2" s="58" t="s">
        <v>172</v>
      </c>
      <c r="AF2" s="59" t="s">
        <v>173</v>
      </c>
      <c r="AG2" s="59" t="s">
        <v>173</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5</v>
      </c>
      <c r="AU2" s="59"/>
      <c r="AV2" s="59" t="str">
        <f>IF(LEFT(A2,1)="[",LEFT(A2,5)&amp;AU2&amp;A2,"")</f>
        <v/>
      </c>
      <c r="AW2" s="59" t="str">
        <f>C2&amp;H2&amp;A2</f>
        <v>1Cocos Islands</v>
      </c>
      <c r="AX2" s="61"/>
      <c r="AY2" s="61"/>
      <c r="AZ2" s="62" t="s">
        <v>159</v>
      </c>
      <c r="BA2" s="62"/>
      <c r="BB2" s="62"/>
      <c r="BC2" s="63"/>
      <c r="BD2" s="64" t="s">
        <v>152</v>
      </c>
      <c r="BE2" s="47"/>
      <c r="BF2" s="64" t="s">
        <v>192</v>
      </c>
      <c r="BG2" s="64" t="s">
        <v>192</v>
      </c>
      <c r="BH2" s="64" t="s">
        <v>192</v>
      </c>
      <c r="BI2" s="64"/>
      <c r="BJ2" s="64"/>
      <c r="BK2" s="47"/>
      <c r="BL2" s="64" t="s">
        <v>151</v>
      </c>
      <c r="BM2" s="64" t="s">
        <v>152</v>
      </c>
      <c r="BN2" s="64" t="s">
        <v>153</v>
      </c>
      <c r="BO2" s="64" t="s">
        <v>154</v>
      </c>
      <c r="BP2" s="64" t="s">
        <v>155</v>
      </c>
      <c r="BQ2" s="64" t="s">
        <v>192</v>
      </c>
      <c r="BR2" s="64" t="s">
        <v>192</v>
      </c>
      <c r="BS2" s="64" t="s">
        <v>192</v>
      </c>
      <c r="BT2" s="64" t="s">
        <v>159</v>
      </c>
      <c r="BU2" s="65" t="s">
        <v>172</v>
      </c>
      <c r="BV2" s="66"/>
      <c r="BW2" s="66">
        <v>0</v>
      </c>
      <c r="BX2" s="47"/>
      <c r="CB2" s="6"/>
      <c r="CC2" s="6"/>
      <c r="CD2" s="67">
        <v>1</v>
      </c>
      <c r="CE2" s="67">
        <v>0</v>
      </c>
      <c r="CF2" s="67" t="e">
        <v>#REF!</v>
      </c>
      <c r="CG2" s="68" cm="1">
        <f t="array" ref="CG2">SUMPRODUCT(--(LEN(TRIM(BL2:BT2))&gt;0))</f>
        <v>6</v>
      </c>
      <c r="CH2" s="59" t="str">
        <f t="shared" ref="CH2" si="0">IF(CG2=2,"y","n")</f>
        <v>n</v>
      </c>
      <c r="CI2" s="59" t="str">
        <f t="shared" ref="CI2" si="1">IF(CG2=3,"y","n")</f>
        <v>n</v>
      </c>
      <c r="CJ2" s="59" t="str">
        <f t="shared" ref="CJ2" si="2">IF(CG2=4,"y","n")</f>
        <v>n</v>
      </c>
      <c r="CK2" s="59" t="str">
        <f t="shared" ref="CK2" si="3">IF(CG2&gt;4,"y","n")</f>
        <v>y</v>
      </c>
      <c r="CL2" s="59" t="str">
        <f t="shared" ref="CL2" si="4">IF(S2=0,"y","n")</f>
        <v>y</v>
      </c>
      <c r="CM2" s="59" t="str">
        <f t="shared" ref="CM2" si="5">IF(S2=2,"y","n")</f>
        <v>n</v>
      </c>
      <c r="CN2" s="59" t="str">
        <f t="shared" ref="CN2" si="6">IF(S2=3,"y","n")</f>
        <v>n</v>
      </c>
      <c r="CO2" s="59" t="str">
        <f t="shared" ref="CO2" si="7">IF(S2&gt;=4,"y","n")</f>
        <v>n</v>
      </c>
      <c r="CP2" s="59" t="str">
        <f t="shared" ref="CP2" si="8">IF(AT2=0,"y","n")</f>
        <v>n</v>
      </c>
      <c r="CQ2" s="59" t="str">
        <f t="shared" ref="CQ2" si="9">IF(AT2=1,"y","n")</f>
        <v>n</v>
      </c>
      <c r="CR2" s="59" t="str">
        <f t="shared" ref="CR2" si="10">IF(AT2=2,"y","n")</f>
        <v>n</v>
      </c>
      <c r="CS2" s="59" t="str">
        <f t="shared" ref="CS2" si="11">IF(AT2&gt;=3,"y","n")</f>
        <v>y</v>
      </c>
      <c r="CT2" s="69" t="str">
        <f t="shared" ref="CT2" si="12">CHAR(34)&amp;A2&amp;CHAR(34)</f>
        <v>"Cocos Islands"</v>
      </c>
      <c r="CU2" s="70" t="str">
        <f t="shared" ref="CU2" si="13">CHAR(34)&amp;"rgn_"&amp;R2&amp;CHAR(34)</f>
        <v>"rgn_Oceania, rgn_Asia"</v>
      </c>
      <c r="CV2" s="48" t="str">
        <f t="shared" ref="CV2" si="14">CHAR(34)&amp;D2&amp;CHAR(34)</f>
        <v>"https://upload.wikimedia.org/wikipedia/commons/thumb/7/74/Flag_of_the_Cocos_%28Keeling%29_Islands.svg/1920px-Flag_of_the_Cocos_%28Keeling%29_Islands.svg.png"</v>
      </c>
      <c r="CW2" s="48" t="str">
        <f t="shared" ref="CW2:CZ3" si="15">IF(CH2="y",CHAR(34)&amp;CH$1&amp;CHAR(34)&amp;",","")</f>
        <v/>
      </c>
      <c r="CX2" s="48" t="str">
        <f t="shared" si="15"/>
        <v/>
      </c>
      <c r="CY2" s="48" t="str">
        <f t="shared" si="15"/>
        <v/>
      </c>
      <c r="CZ2" s="48" t="str">
        <f t="shared" si="15"/>
        <v>"5+Colo",</v>
      </c>
      <c r="DA2" s="48" t="str">
        <f t="shared" ref="DA2" si="16">IF(Q2&gt;1,CHAR(34)&amp;"words2"&amp;CHAR(34)&amp;",","")</f>
        <v>"words2",</v>
      </c>
      <c r="DB2" s="48" t="str">
        <f t="shared" ref="DB2"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
      </c>
      <c r="DN2" s="48" t="str">
        <f t="shared" ref="DN2" si="28">IF(AND(ISNUMBER(SEARCH("18", O2)), ISERROR(SEARCH("1918", O2)), ISERROR(SEARCH("2018", O2))), CHAR(34) &amp; "year18" &amp; CHAR(34) &amp; ",", "")</f>
        <v/>
      </c>
      <c r="DO2" s="48" t="str">
        <f t="shared" ref="DO2" si="29">IF(AND(ISNUMBER(SEARCH("19", O2)), ISERROR(SEARCH("1819", O2)),  ISERROR(SEARCH("1219", O2)),ISERROR(SEARCH("1119", O2)),ISERROR(SEARCH("1190", O2)),ISERROR(SEARCH("2019", O2))), CHAR(34) &amp; "year19" &amp; CHAR(34) &amp; ",", "")</f>
        <v/>
      </c>
      <c r="DP2" s="6" t="str">
        <f t="shared" ref="DP2" si="30">IF(AND(ISNUMBER(SEARCH("20", O2)), ISERROR(SEARCH("1920", O2))), CHAR(34)&amp;"year00"&amp;CHAR(34)&amp;",", "")</f>
        <v>"year00",</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"smallc",</v>
      </c>
      <c r="DW2" s="48" t="str">
        <f t="shared" ref="DW2:DZ3" si="37">IF(CL2="y",CHAR(34)&amp;CL$1&amp;CHAR(34)&amp;",","")</f>
        <v>"NoBand",</v>
      </c>
      <c r="DX2" s="48" t="str">
        <f t="shared" si="37"/>
        <v/>
      </c>
      <c r="DY2" s="48" t="str">
        <f t="shared" si="37"/>
        <v/>
      </c>
      <c r="DZ2" s="48" t="str">
        <f t="shared" si="37"/>
        <v/>
      </c>
      <c r="EA2" s="48" t="str">
        <f t="shared" ref="EA2:EE3" si="38">IF(T2="y",CHAR(34)&amp;T$1&amp;CHAR(34)&amp;",","")</f>
        <v/>
      </c>
      <c r="EB2" s="48" t="str">
        <f t="shared" si="38"/>
        <v/>
      </c>
      <c r="EC2" s="48" t="str">
        <f t="shared" si="38"/>
        <v/>
      </c>
      <c r="ED2" s="48" t="str">
        <f t="shared" si="38"/>
        <v/>
      </c>
      <c r="EE2" s="48" t="str">
        <f t="shared" si="38"/>
        <v>"Circle",</v>
      </c>
      <c r="EF2" s="48" t="str">
        <f t="shared" ref="EF2" si="39">IF(AND(Y2&lt;&gt;"n",Y2&lt;&gt;""),CHAR(34)&amp;Y$1&amp;CHAR(34)&amp;",","")</f>
        <v/>
      </c>
      <c r="EG2" s="48" t="str">
        <f t="shared" ref="EG2:EZ3" si="40">IF(Z2="y",CHAR(34)&amp;Z$1&amp;CHAR(34)&amp;",","")</f>
        <v/>
      </c>
      <c r="EH2" s="48" t="str">
        <f t="shared" si="40"/>
        <v>"Plants",</v>
      </c>
      <c r="EI2" s="48" t="str">
        <f t="shared" si="40"/>
        <v/>
      </c>
      <c r="EJ2" s="48" t="str">
        <f t="shared" si="40"/>
        <v/>
      </c>
      <c r="EK2" s="48" t="str">
        <f t="shared" si="40"/>
        <v>"HasSun",</v>
      </c>
      <c r="EL2" s="48" t="str">
        <f t="shared" si="40"/>
        <v>"IsMoon",</v>
      </c>
      <c r="EM2" s="48" t="str">
        <f t="shared" si="40"/>
        <v/>
      </c>
      <c r="EN2" s="48" t="str">
        <f t="shared" si="40"/>
        <v/>
      </c>
      <c r="EO2" s="48" t="str">
        <f t="shared" si="40"/>
        <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"staWHI",</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
      </c>
      <c r="FH2" s="48" t="str">
        <f t="shared" ref="FH2" si="48">IF(COUNTIF(BL2:BS2,"GRE")=0,CHAR(34)&amp;"NO_GRE"&amp;CHAR(34)&amp;",", "")</f>
        <v/>
      </c>
      <c r="FI2" s="48" t="str">
        <f t="shared" ref="FI2" si="49">IF(COUNTIF(BL2:BT2,"YEL")=0,CHAR(34)&amp;"NO_YEL"&amp;CHAR(34)&amp;",", "")</f>
        <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 t="shared" ref="GF2" si="72">IFERROR(IF(SEARCH("Historical",AU2)&gt;0,CHAR(34)&amp;"histor"&amp;CHAR(34)&amp;",",""),"")</f>
        <v/>
      </c>
      <c r="GG2" s="48" t="str">
        <f t="shared" ref="GG2" si="73">IF(BU2="y",CHAR(34)&amp;"unjack"&amp;CHAR(34)&amp;",","")</f>
        <v>"unjack",</v>
      </c>
      <c r="GH2" s="48" t="str">
        <f t="shared" ref="GH2" si="74">IF(CD2=1,CHAR(34)&amp;"southc"&amp;CHAR(34)&amp;",","")</f>
        <v>"southc",</v>
      </c>
      <c r="GI2" s="48" t="str">
        <f t="shared" ref="GI2" si="75">IF(CE2=1,CHAR(34)&amp;"hasmap"&amp;CHAR(34)&amp;",","")</f>
        <v/>
      </c>
      <c r="GJ2" s="48" t="str">
        <f t="shared" ref="GJ2" si="76">IF(CP2="y",CHAR(34)&amp;CP$1&amp;CHAR(34)&amp;",","")</f>
        <v/>
      </c>
      <c r="GK2" s="48" t="str">
        <f t="shared" ref="GK2" si="77">IF(GJ2="",CHAR(34)&amp;"HasSta"&amp;CHAR(34)&amp;",","")</f>
        <v>"HasSta",</v>
      </c>
      <c r="GL2" s="48" t="str">
        <f t="shared" ref="GL2:GN3" si="78">IF(CQ2="y",CHAR(34)&amp;CQ$1&amp;CHAR(34)&amp;",","")</f>
        <v/>
      </c>
      <c r="GM2" s="48" t="str">
        <f t="shared" si="78"/>
        <v/>
      </c>
      <c r="GN2" s="48" t="str">
        <f t="shared" si="78"/>
        <v>"3+Star",</v>
      </c>
      <c r="GP2" s="48" t="str">
        <f t="shared" ref="GP2" si="79">CHAR(34)&amp;AU2&amp;CHAR(34)</f>
        <v>""</v>
      </c>
      <c r="GS2" s="48" t="str">
        <f t="shared" ref="GS2" si="80">SUBSTITUTE("["&amp;_xlfn.CONCAT(CW2:GN2)&amp;"]",",]","]")</f>
        <v>["5+Colo","words2","exact2","lets12","startC","year00","smallc","NoBand","Circle","Plants","HasSun","IsMoon","staWHI","myrBLU","unjack","southc","HasSta","3+Star"]</v>
      </c>
      <c r="GT2" s="48" t="str">
        <f t="shared" ref="GT2:HB3" si="81">IF(BL2&lt;&gt;"",CHAR(34)&amp;"cl_"&amp;BL2&amp;CHAR(34)&amp;",","")</f>
        <v>"cl_BLA",</v>
      </c>
      <c r="GU2" s="48" t="str">
        <f t="shared" si="81"/>
        <v>"cl_BLU",</v>
      </c>
      <c r="GV2" s="48" t="str">
        <f t="shared" si="81"/>
        <v>"cl_GRE",</v>
      </c>
      <c r="GW2" s="48" t="str">
        <f t="shared" si="81"/>
        <v>"cl_RED",</v>
      </c>
      <c r="GX2" s="48" t="str">
        <f t="shared" si="81"/>
        <v>"cl_YEL",</v>
      </c>
      <c r="GY2" s="48" t="str">
        <f t="shared" si="81"/>
        <v/>
      </c>
      <c r="GZ2" s="48" t="str">
        <f t="shared" si="81"/>
        <v/>
      </c>
      <c r="HA2" s="48" t="str">
        <f t="shared" si="81"/>
        <v/>
      </c>
      <c r="HB2" s="48" t="str">
        <f t="shared" si="81"/>
        <v>"cl_WHI",</v>
      </c>
      <c r="HC2" s="48" t="str">
        <f t="shared" ref="HC2" si="82">SUBSTITUTE("["&amp;_xlfn.CONCAT(GT2:HB2)&amp;"]",",]","]")</f>
        <v>["cl_BLA","cl_BLU","cl_GRE","cl_RED","cl_YEL","cl_WHI"]</v>
      </c>
      <c r="HE2" s="71"/>
      <c r="HF2" s="72" t="str">
        <f t="shared" ref="HF2" si="83">"{couname:"&amp;CT2&amp;(IF(HK2&lt;&gt;"",",subtype:"&amp;CHAR(34)&amp;HK2&amp;CHAR(34),""))&amp;",year:"&amp;HJ2&amp;",region:"&amp;CU2&amp;",Colors:"&amp;HC2&amp;",Items:"&amp;GS2&amp;",Flag:"&amp;CV2&amp;",HDFlag:"&amp;CHAR(34)&amp;E2&amp;CHAR(34)&amp;",type:"&amp;GP2&amp;", describe: "&amp;HH2&amp;", isnew:"&amp;CHAR(34)&amp;F2&amp;CHAR(34)&amp;", links: "&amp;HL2&amp;"},"</f>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links: "https://en.wikipedia.org/wiki/Flag_of_the_Cocos_(Keeling)_Islands"},</v>
      </c>
      <c r="HG2" s="73" t="str">
        <f t="shared" ref="HG2" si="84">"{couname:"&amp;CT2&amp;(IF(HK2&lt;&gt;"",",subtype:"&amp;CHAR(34)&amp;HK2&amp;CHAR(34),""))&amp;",year:"&amp;HJ2&amp;",region:"&amp;CU2&amp;",Colors:"&amp;HC2&amp;",Items:"&amp;GS2&amp;",Flag:"&amp;CV2&amp;",HDFlag:"&amp;CHAR(34)&amp;E2&amp;CHAR(34)&amp;",type:"&amp;GP2&amp;", describe: "&amp;HI2&amp;", links: "&amp;HL2&amp;"},"</f>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links: "https://en.wikipedia.org/wiki/Flag_of_the_Cocos_(Keeling)_Islands"},</v>
      </c>
      <c r="HH2" s="48" t="str">
        <f t="shared" ref="HH2" si="85">IF(P2&lt;&gt;"",CHAR(34)&amp;"\n"&amp;P2&amp;CHAR(34),CHAR(34)&amp;CHAR(34))</f>
        <v>"\nThe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v>
      </c>
      <c r="HI2" s="48" t="str">
        <f t="shared" ref="HI2" si="86">IF(J2=0,CHAR(34)&amp;CHAR(34),HH2)</f>
        <v>"\nThe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v>
      </c>
      <c r="HJ2" s="48" t="str">
        <f t="shared" ref="HJ2" si="87">CHAR(34)&amp;O2&amp;CHAR(34)</f>
        <v>"2004 "</v>
      </c>
      <c r="HL2" s="48" t="str">
        <f t="shared" ref="HL2" si="88">CHAR(34)&amp;I2&amp;CHAR(34)</f>
        <v>"https://en.wikipedia.org/wiki/Flag_of_the_Cocos_(Keeling)_Islands"</v>
      </c>
      <c r="HM2" s="72" t="str">
        <f t="shared" ref="HM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 "links": "https://en.wikipedia.org/wiki/Flag_of_the_Cocos_(Keeling)_Islands"},</v>
      </c>
      <c r="HN2" s="74" t="str">
        <f t="shared" ref="HN2"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{"couname":"Cocos Islands","year":"2004 ","region":"rgn_Oceania, rgn_Asia","Colors":["cl_BLA","cl_BLU","cl_GRE","cl_RED","cl_YEL","cl_WHI"],"Items":["5+Colo","words2","exact2","lets12","startC","year00","smallc","NoBand","Circle","Plants","HasSun","IsMoon","staWHI","myrBLU","unjack","southc","HasSta","3+Star"],"Flag":"https://upload.wikimedia.org/wikipedia/commons/thumb/7/74/Flag_of_the_Cocos_%28Keeling%29_Islands.svg/1920px-Flag_of_the_Cocos_%28Keeling%29_Islands.svg.png","HDFlag":"https://upload.wikimedia.org/wikipedia/commons/thumb/7/74/Flag_of_the_Cocos_%28Keeling%29_Islands.svg/2560px-Flag_of_the_Cocos_%28Keeling%29_Islands.svg.png","type":"", "describe": "\nThe palm tree represents the islands' tropical flora; the colours are Australia's national colours; the crescent represents Islam, the religion of the Cocos Malays who make up a majority of the islands' population; and the Southern Cross is a symbol of Australia and the Southern Hemisphere.", "isnew": ".", "links": "https://en.wikipedia.org/wiki/Flag_of_the_Cocos_(Keeling)_Islands"},</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c r="IC2" s="77"/>
      <c r="ID2" s="77"/>
      <c r="IE2" s="77"/>
      <c r="IF2" s="77"/>
      <c r="IG2" s="77"/>
      <c r="IH2" s="77"/>
      <c r="II2" s="77"/>
      <c r="IJ2" s="77"/>
      <c r="IK2" s="77"/>
      <c r="IL2" s="48">
        <f t="shared" ref="IL2" si="91">SUM(IC2:IK2)</f>
        <v>0</v>
      </c>
      <c r="IM2" s="45">
        <f t="shared" ref="IM2" si="92">COUNTIF(IC2:IK2,"&gt;0")-CG2</f>
        <v>-6</v>
      </c>
      <c r="IN2" s="78" t="str">
        <f t="shared" ref="IN2" si="93">"http://mkweb.bcgsc.ca/color-summarizer/?url="&amp;D2&amp;"&amp;precision=low&amp;num_clusters="&amp;CG2&amp;"&amp;text=1"</f>
        <v>http://mkweb.bcgsc.ca/color-summarizer/?url=https://upload.wikimedia.org/wikipedia/commons/thumb/7/74/Flag_of_the_Cocos_%28Keeling%29_Islands.svg/1920px-Flag_of_the_Cocos_%28Keeling%29_Islands.svg.png&amp;precision=low&amp;num_clusters=6&amp;text=1</v>
      </c>
      <c r="IO2" s="48" t="str">
        <f t="shared" ref="IO2" si="94">IF(HP2&lt;&gt;"",CHAR(34)&amp;"black"&amp;CHAR(34),"")</f>
        <v>"black"</v>
      </c>
      <c r="IP2" s="48" t="str">
        <f t="shared" ref="IP2" si="95">IF(HQ2&lt;&gt;"",CHAR(34)&amp;"blue"&amp;CHAR(34),"")</f>
        <v>"blue"</v>
      </c>
      <c r="IQ2" s="48" t="str">
        <f t="shared" ref="IQ2" si="96">IF(HR2&lt;&gt;"",CHAR(34)&amp;"green"&amp;CHAR(34),"")</f>
        <v>"green"</v>
      </c>
      <c r="IR2" s="48" t="str">
        <f t="shared" ref="IR2" si="97">IF(HS2&lt;&gt;"",CHAR(34)&amp;"red"&amp;CHAR(34),"")</f>
        <v>"red"</v>
      </c>
      <c r="IS2" s="48" t="str">
        <f t="shared" ref="IS2" si="98">IF(HT2&lt;&gt;"",CHAR(34)&amp;"yellow"&amp;CHAR(34),"")</f>
        <v>"yellow"</v>
      </c>
      <c r="IT2" s="48" t="str">
        <f t="shared" ref="IT2" si="99">IF(HU2&lt;&gt;"",CHAR(34)&amp;"orange"&amp;CHAR(34),"")</f>
        <v/>
      </c>
      <c r="IU2" s="48" t="str">
        <f t="shared" ref="IU2" si="100">IF(HV2&lt;&gt;"",CHAR(34)&amp;"brown"&amp;CHAR(34),"")</f>
        <v/>
      </c>
      <c r="IV2" s="48" t="str">
        <f t="shared" ref="IV2" si="101">IF(HW2&lt;&gt;"",CHAR(34)&amp;"purple"&amp;CHAR(34),"")</f>
        <v/>
      </c>
      <c r="IW2" s="48" t="str">
        <f t="shared" ref="IW2" si="102">IF(HX2&lt;&gt;"",CHAR(34)&amp;"white"&amp;CHAR(34),"")</f>
        <v>"white"</v>
      </c>
      <c r="IX2" s="48" t="str">
        <f t="shared" ref="IX2" si="103">"{"&amp;CHAR(34)&amp;"url"&amp;CHAR(34)&amp;":"&amp;CHAR(34)&amp;IN2&amp;CHAR(34)&amp;","&amp;CHAR(34)&amp;"name"&amp;CHAR(34)&amp;":"&amp;CHAR(34)&amp;A2&amp;CHAR(34)&amp;"},"</f>
        <v>{"url":"http://mkweb.bcgsc.ca/color-summarizer/?url=https://upload.wikimedia.org/wikipedia/commons/thumb/7/74/Flag_of_the_Cocos_%28Keeling%29_Islands.svg/1920px-Flag_of_the_Cocos_%28Keeling%29_Islands.svg.png&amp;precision=low&amp;num_clusters=6&amp;text=1","name":"Cocos Islands"},</v>
      </c>
      <c r="IY2" s="48">
        <v>300</v>
      </c>
    </row>
    <row r="3" spans="1:259" s="48" customFormat="1" ht="38.4" customHeight="1" thickBot="1" x14ac:dyDescent="0.35">
      <c r="A3" s="79" t="s">
        <v>391</v>
      </c>
      <c r="B3" s="40" t="e" vm="27">
        <v>#VALUE!</v>
      </c>
      <c r="C3" s="41">
        <v>2</v>
      </c>
      <c r="D3" s="42" t="s">
        <v>392</v>
      </c>
      <c r="E3" s="43" t="s">
        <v>392</v>
      </c>
      <c r="F3" s="44" t="s">
        <v>393</v>
      </c>
      <c r="G3" s="45">
        <f>COUNTIF($A$1:$A$8266,A3)</f>
        <v>1</v>
      </c>
      <c r="H3" s="46"/>
      <c r="I3" s="47" t="s">
        <v>394</v>
      </c>
      <c r="J3" s="48" t="str">
        <f>""</f>
        <v/>
      </c>
      <c r="K3" s="49"/>
      <c r="L3" s="50"/>
      <c r="M3" s="50"/>
      <c r="N3" s="51" t="s">
        <v>169</v>
      </c>
      <c r="O3" s="52" t="s">
        <v>355</v>
      </c>
      <c r="P3" s="53" t="s">
        <v>395</v>
      </c>
      <c r="Q3" s="54">
        <v>4</v>
      </c>
      <c r="R3" s="55" t="s">
        <v>191</v>
      </c>
      <c r="S3" s="56">
        <v>0</v>
      </c>
      <c r="T3" s="57" t="s">
        <v>173</v>
      </c>
      <c r="U3" s="58" t="s">
        <v>173</v>
      </c>
      <c r="V3" s="58" t="s">
        <v>173</v>
      </c>
      <c r="W3" s="58" t="s">
        <v>173</v>
      </c>
      <c r="X3" s="58" t="s">
        <v>173</v>
      </c>
      <c r="Y3" s="58" t="s">
        <v>172</v>
      </c>
      <c r="Z3" s="58" t="s">
        <v>173</v>
      </c>
      <c r="AA3" s="58" t="s">
        <v>172</v>
      </c>
      <c r="AB3" s="58" t="s">
        <v>172</v>
      </c>
      <c r="AC3" s="58" t="s">
        <v>173</v>
      </c>
      <c r="AD3" s="58" t="s">
        <v>173</v>
      </c>
      <c r="AE3" s="58" t="s">
        <v>173</v>
      </c>
      <c r="AF3" s="59" t="s">
        <v>173</v>
      </c>
      <c r="AG3" s="59" t="s">
        <v>173</v>
      </c>
      <c r="AH3" s="59" t="s">
        <v>173</v>
      </c>
      <c r="AI3" s="59" t="s">
        <v>173</v>
      </c>
      <c r="AJ3" s="59" t="s">
        <v>173</v>
      </c>
      <c r="AK3" s="59" t="s">
        <v>173</v>
      </c>
      <c r="AL3" s="59" t="s">
        <v>173</v>
      </c>
      <c r="AM3" s="59" t="s">
        <v>173</v>
      </c>
      <c r="AN3" s="59" t="s">
        <v>173</v>
      </c>
      <c r="AO3" s="59" t="s">
        <v>173</v>
      </c>
      <c r="AP3" s="59" t="s">
        <v>172</v>
      </c>
      <c r="AQ3" s="59" t="s">
        <v>173</v>
      </c>
      <c r="AR3" s="59" t="s">
        <v>173</v>
      </c>
      <c r="AS3" s="59" t="s">
        <v>172</v>
      </c>
      <c r="AT3" s="60">
        <v>0</v>
      </c>
      <c r="AU3" s="59" t="s">
        <v>396</v>
      </c>
      <c r="AV3" s="59" t="str">
        <f>IF(LEFT(A3,1)="[",LEFT(A3,5)&amp;AU3&amp;A3,"")</f>
        <v>[CCK]Government[CCK] Shire of Cocos Islands</v>
      </c>
      <c r="AW3" s="59" t="str">
        <f>C3&amp;H3&amp;A3</f>
        <v>2[CCK] Shire of Cocos Islands</v>
      </c>
      <c r="AX3" s="61"/>
      <c r="AY3" s="61"/>
      <c r="AZ3" s="62" t="s">
        <v>155</v>
      </c>
      <c r="BA3" s="62"/>
      <c r="BB3" s="62"/>
      <c r="BC3" s="63"/>
      <c r="BD3" s="64" t="s">
        <v>152</v>
      </c>
      <c r="BE3" s="47"/>
      <c r="BF3" s="64"/>
      <c r="BG3" s="64"/>
      <c r="BH3" s="64"/>
      <c r="BI3" s="64"/>
      <c r="BJ3" s="64"/>
      <c r="BK3" s="47"/>
      <c r="BL3" s="64" t="s">
        <v>152</v>
      </c>
      <c r="BM3" s="64" t="s">
        <v>154</v>
      </c>
      <c r="BN3" s="64" t="s">
        <v>159</v>
      </c>
      <c r="BO3" s="64" t="s">
        <v>155</v>
      </c>
      <c r="BP3" s="64"/>
      <c r="BQ3" s="64"/>
      <c r="BR3" s="64"/>
      <c r="BS3" s="64"/>
      <c r="BT3" s="64"/>
      <c r="BU3" s="65"/>
      <c r="BV3" s="66"/>
      <c r="BW3" s="66">
        <v>0</v>
      </c>
      <c r="BX3" s="47"/>
      <c r="CB3" s="6"/>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"[CCK] Shire of Cocos Islands"</v>
      </c>
      <c r="CU3" s="70" t="str">
        <f>CHAR(34)&amp;"rgn_"&amp;R3&amp;CHAR(34)</f>
        <v>"rgn_Oceania, rgn_Asia"</v>
      </c>
      <c r="CV3" s="48" t="str">
        <f>CHAR(34)&amp;D3&amp;CHAR(34)</f>
        <v>"https://upload.wikimedia.org/wikipedia/en/3/3e/Cocos_shire_logo.png"</v>
      </c>
      <c r="CW3" s="48" t="str">
        <f t="shared" si="15"/>
        <v/>
      </c>
      <c r="CX3" s="48" t="str">
        <f t="shared" si="15"/>
        <v/>
      </c>
      <c r="CY3" s="48" t="str">
        <f t="shared" si="15"/>
        <v>"4Color",</v>
      </c>
      <c r="CZ3" s="48" t="str">
        <f t="shared" si="15"/>
        <v/>
      </c>
      <c r="DA3" s="48" t="str">
        <f>IF(Q3&gt;1,CHAR(34)&amp;"words2"&amp;CHAR(34)&amp;",","")</f>
        <v>"words2",</v>
      </c>
      <c r="DB3" s="48" t="str">
        <f>IF(Q3&gt;2,CHAR(34)&amp;"words3"&amp;CHAR(34)&amp;",","")</f>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"lets19",</v>
      </c>
      <c r="DE3" s="48" t="str">
        <f>CHAR(34)&amp;"start"&amp;IFERROR(LEFT(SUBSTITUTE(A3,"["&amp;MID(A3,FIND("[",A3)+1,FIND("]",A3)-FIND("[",A3)-1)&amp;"] ",""),1),LEFT(A3,1))&amp;CHAR(34)&amp;","</f>
        <v>"startS",</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
      </c>
      <c r="EF3" s="48" t="str">
        <f>IF(AND(Y3&lt;&gt;"n",Y3&lt;&gt;""),CHAR(34)&amp;Y$1&amp;CHAR(34)&amp;",","")</f>
        <v>"Animal",</v>
      </c>
      <c r="EG3" s="48" t="str">
        <f t="shared" si="40"/>
        <v/>
      </c>
      <c r="EH3" s="48" t="str">
        <f t="shared" si="40"/>
        <v>"Plants",</v>
      </c>
      <c r="EI3" s="48" t="str">
        <f t="shared" si="40"/>
        <v>"Texted",</v>
      </c>
      <c r="EJ3" s="48" t="str">
        <f t="shared" si="40"/>
        <v/>
      </c>
      <c r="EK3" s="48" t="str">
        <f t="shared" si="40"/>
        <v/>
      </c>
      <c r="EL3" s="48" t="str">
        <f t="shared" si="40"/>
        <v/>
      </c>
      <c r="EM3" s="48" t="str">
        <f t="shared" si="40"/>
        <v/>
      </c>
      <c r="EN3" s="48" t="str">
        <f t="shared" si="40"/>
        <v/>
      </c>
      <c r="EO3" s="48" t="str">
        <f t="shared" si="40"/>
        <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"Ships!",</v>
      </c>
      <c r="EX3" s="48" t="str">
        <f t="shared" si="40"/>
        <v/>
      </c>
      <c r="EY3" s="48" t="str">
        <f t="shared" si="40"/>
        <v/>
      </c>
      <c r="EZ3" s="48" t="str">
        <f t="shared" si="40"/>
        <v>"Waters",</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"myrBLU",</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78"/>
        <v/>
      </c>
      <c r="GM3" s="48" t="str">
        <f t="shared" si="78"/>
        <v/>
      </c>
      <c r="GN3" s="48" t="str">
        <f t="shared" si="78"/>
        <v/>
      </c>
      <c r="GP3" s="48" t="str">
        <f>CHAR(34)&amp;AU3&amp;CHAR(34)</f>
        <v>"Government"</v>
      </c>
      <c r="GS3" s="48" t="str">
        <f>SUBSTITUTE("["&amp;_xlfn.CONCAT(CW3:GN3)&amp;"]",",]","]")</f>
        <v>["4Color","words2","words3","lets19","startS","NoBand","Animal","Plants","Texted","Ships!","Waters","NO_GRE","NO_BLA","myrBLU","NoStar"]</v>
      </c>
      <c r="GT3" s="48" t="str">
        <f t="shared" si="81"/>
        <v>"cl_BLU",</v>
      </c>
      <c r="GU3" s="48" t="str">
        <f t="shared" si="81"/>
        <v>"cl_RED",</v>
      </c>
      <c r="GV3" s="48" t="str">
        <f t="shared" si="81"/>
        <v>"cl_WHI",</v>
      </c>
      <c r="GW3" s="48" t="str">
        <f t="shared" si="81"/>
        <v>"cl_YEL",</v>
      </c>
      <c r="GX3" s="48" t="str">
        <f t="shared" si="81"/>
        <v/>
      </c>
      <c r="GY3" s="48" t="str">
        <f t="shared" si="81"/>
        <v/>
      </c>
      <c r="GZ3" s="48" t="str">
        <f t="shared" si="81"/>
        <v/>
      </c>
      <c r="HA3" s="48" t="str">
        <f t="shared" si="81"/>
        <v/>
      </c>
      <c r="HB3" s="48" t="str">
        <f t="shared" si="81"/>
        <v/>
      </c>
      <c r="HC3" s="48" t="str">
        <f>SUBSTITUTE("["&amp;_xlfn.CONCAT(GT3:HB3)&amp;"]",",]","]")</f>
        <v>["cl_BLU","cl_RED","cl_WHI","cl_YEL"]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isnew:"www", links: "https://en.wikipedia.org/wiki/Shire_of_Cocos_(Keeling)_Islands"},</v>
      </c>
      <c r="HG3" s="73" t="str">
        <f>"{couname:"&amp;CT3&amp;(IF(HK3&lt;&gt;"",",subtype:"&amp;CHAR(34)&amp;HK3&amp;CHAR(34),""))&amp;",year:"&amp;HJ3&amp;",region:"&amp;CU3&amp;",Colors:"&amp;HC3&amp;",Items:"&amp;GS3&amp;",Flag:"&amp;CV3&amp;",HDFlag:"&amp;CHAR(34)&amp;E3&amp;CHAR(34)&amp;",type:"&amp;GP3&amp;", describe: "&amp;HI3&amp;", links: "&amp;HL3&amp;"},"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links: "https://en.wikipedia.org/wiki/Shire_of_Cocos_(Keeling)_Islands"},</v>
      </c>
      <c r="HH3" s="48" t="str">
        <f>IF(P3&lt;&gt;"",CHAR(34)&amp;"\n"&amp;P3&amp;CHAR(34),CHAR(34)&amp;CHAR(34))</f>
        <v>"\nThe Shire of Cocos (Keeling) Islands is a local government area which manages local affairs on the Australian external territory of Cocos (Keeling) Islands"</v>
      </c>
      <c r="HI3" s="48" t="str">
        <f>IF(J3=0,CHAR(34)&amp;CHAR(34),HH3)</f>
        <v>"\nThe Shire of Cocos (Keeling) Islands is a local government area which manages local affairs on the Australian external territory of Cocos (Keeling) Islands"</v>
      </c>
      <c r="HJ3" s="48" t="str">
        <f>CHAR(34)&amp;O3&amp;CHAR(34)</f>
        <v>"???"</v>
      </c>
      <c r="HL3" s="48" t="str">
        <f>CHAR(34)&amp;I3&amp;CHAR(34)</f>
        <v>"https://en.wikipedia.org/wiki/Shire_of_Cocos_(Keeling)_Islands"</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 "www", "links": "https://en.wikipedia.org/wiki/Shire_of_Cocos_(Keeling)_Islands"},</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{"couname":"[CCK] Shire of Cocos Islands","year":"???","region":"rgn_Oceania, rgn_Asia","Colors":["cl_BLU","cl_RED","cl_WHI","cl_YEL"],"Items":["4Color","words2","words3","lets19","startS","NoBand","Animal","Plants","Texted","Ships!","Waters","NO_GRE","NO_BLA","myrBLU","NoStar"],"Flag":"https://upload.wikimedia.org/wikipedia/en/3/3e/Cocos_shire_logo.png","HDFlag":"https://upload.wikimedia.org/wikipedia/en/3/3e/Cocos_shire_logo.png","type":"Government", "describe": "\nThe Shire of Cocos (Keeling) Islands is a local government area which manages local affairs on the Australian external territory of Cocos (Keeling) Islands", "isnew": "www", "links": "https://en.wikipedia.org/wiki/Shire_of_Cocos_(Keeling)_Islands"},</v>
      </c>
      <c r="HO3" s="75">
        <v>45653</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COUNTIF(IC3:IK3,"&gt;0")-CG3</f>
        <v>-4</v>
      </c>
      <c r="IN3" s="78" t="str">
        <f>"http://mkweb.bcgsc.ca/color-summarizer/?url="&amp;D3&amp;"&amp;precision=low&amp;num_clusters="&amp;CG3&amp;"&amp;text=1"</f>
        <v>http://mkweb.bcgsc.ca/color-summarizer/?url=https://upload.wikimedia.org/wikipedia/en/3/3e/Cocos_shire_logo.png&amp;precision=low&amp;num_clusters=4&amp;text=1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{"url":"http://mkweb.bcgsc.ca/color-summarizer/?url=https://upload.wikimedia.org/wikipedia/en/3/3e/Cocos_shire_logo.png&amp;precision=low&amp;num_clusters=4&amp;text=1","name":"[CCK] Shire of Cocos Islands"},</v>
      </c>
      <c r="IY3" s="48">
        <v>1503</v>
      </c>
    </row>
  </sheetData>
  <conditionalFormatting sqref="H1 CW1:GS1 IA1:IB1">
    <cfRule type="cellIs" dxfId="4651" priority="107" operator="greaterThan">
      <formula>0</formula>
    </cfRule>
  </conditionalFormatting>
  <conditionalFormatting sqref="H1">
    <cfRule type="cellIs" dxfId="4650" priority="73" stopIfTrue="1" operator="notEqual">
      <formula>""</formula>
    </cfRule>
  </conditionalFormatting>
  <conditionalFormatting sqref="T1:BK1">
    <cfRule type="cellIs" dxfId="4649" priority="110" operator="greaterThan">
      <formula>0</formula>
    </cfRule>
  </conditionalFormatting>
  <conditionalFormatting sqref="BV1:BW1">
    <cfRule type="cellIs" dxfId="4648" priority="109" operator="equal">
      <formula>"nc"</formula>
    </cfRule>
  </conditionalFormatting>
  <conditionalFormatting sqref="HF1:HG1">
    <cfRule type="cellIs" dxfId="4647" priority="111" operator="greaterThan">
      <formula>0</formula>
    </cfRule>
  </conditionalFormatting>
  <conditionalFormatting sqref="HK1">
    <cfRule type="cellIs" dxfId="4646" priority="108" operator="greaterThan">
      <formula>0</formula>
    </cfRule>
  </conditionalFormatting>
  <conditionalFormatting sqref="HP1:HX1">
    <cfRule type="cellIs" dxfId="4645" priority="85" operator="equal">
      <formula>"PIN"</formula>
    </cfRule>
    <cfRule type="cellIs" dxfId="4644" priority="86" operator="equal">
      <formula>"ORA"</formula>
    </cfRule>
    <cfRule type="cellIs" dxfId="4643" priority="87" operator="equal">
      <formula>"GRA"</formula>
    </cfRule>
    <cfRule type="cellIs" dxfId="4642" priority="88" operator="equal">
      <formula>"PUR"</formula>
    </cfRule>
    <cfRule type="cellIs" dxfId="4641" priority="89" operator="equal">
      <formula>"BRO"</formula>
    </cfRule>
    <cfRule type="cellIs" dxfId="4640" priority="90" operator="equal">
      <formula>"YEL"</formula>
    </cfRule>
    <cfRule type="cellIs" dxfId="4639" priority="91" operator="equal">
      <formula>"BLU"</formula>
    </cfRule>
    <cfRule type="cellIs" dxfId="4638" priority="92" operator="equal">
      <formula>"WHI"</formula>
    </cfRule>
    <cfRule type="cellIs" dxfId="4637" priority="93" operator="equal">
      <formula>"GRE"</formula>
    </cfRule>
    <cfRule type="cellIs" dxfId="4636" priority="94" operator="equal">
      <formula>"RED"</formula>
    </cfRule>
    <cfRule type="cellIs" dxfId="4635" priority="95" operator="equal">
      <formula>"BLA"</formula>
    </cfRule>
  </conditionalFormatting>
  <conditionalFormatting sqref="IC1:IK1">
    <cfRule type="cellIs" dxfId="4634" priority="96" operator="equal">
      <formula>"PIN"</formula>
    </cfRule>
    <cfRule type="cellIs" dxfId="4633" priority="97" operator="equal">
      <formula>"ORA"</formula>
    </cfRule>
    <cfRule type="cellIs" dxfId="4632" priority="98" operator="equal">
      <formula>"GRA"</formula>
    </cfRule>
    <cfRule type="cellIs" dxfId="4631" priority="99" operator="equal">
      <formula>"PUR"</formula>
    </cfRule>
    <cfRule type="cellIs" dxfId="4630" priority="100" operator="equal">
      <formula>"BRO"</formula>
    </cfRule>
    <cfRule type="cellIs" dxfId="4629" priority="101" operator="equal">
      <formula>"YEL"</formula>
    </cfRule>
    <cfRule type="cellIs" dxfId="4628" priority="102" operator="equal">
      <formula>"BLU"</formula>
    </cfRule>
    <cfRule type="cellIs" dxfId="4627" priority="103" operator="equal">
      <formula>"WHI"</formula>
    </cfRule>
    <cfRule type="cellIs" dxfId="4626" priority="104" operator="equal">
      <formula>"GRE"</formula>
    </cfRule>
    <cfRule type="cellIs" dxfId="4625" priority="105" operator="equal">
      <formula>"RED"</formula>
    </cfRule>
    <cfRule type="cellIs" dxfId="4624" priority="106" operator="equal">
      <formula>"BLA"</formula>
    </cfRule>
  </conditionalFormatting>
  <conditionalFormatting sqref="IO1:IW1">
    <cfRule type="cellIs" dxfId="4623" priority="74" operator="equal">
      <formula>"PIN"</formula>
    </cfRule>
    <cfRule type="cellIs" dxfId="4622" priority="75" operator="equal">
      <formula>"ORA"</formula>
    </cfRule>
    <cfRule type="cellIs" dxfId="4621" priority="76" operator="equal">
      <formula>"GRA"</formula>
    </cfRule>
    <cfRule type="cellIs" dxfId="4620" priority="77" operator="equal">
      <formula>"PUR"</formula>
    </cfRule>
    <cfRule type="cellIs" dxfId="4619" priority="78" operator="equal">
      <formula>"BRO"</formula>
    </cfRule>
    <cfRule type="cellIs" dxfId="4618" priority="79" operator="equal">
      <formula>"YEL"</formula>
    </cfRule>
    <cfRule type="cellIs" dxfId="4617" priority="80" operator="equal">
      <formula>"BLU"</formula>
    </cfRule>
    <cfRule type="cellIs" dxfId="4616" priority="81" operator="equal">
      <formula>"WHI"</formula>
    </cfRule>
    <cfRule type="cellIs" dxfId="4615" priority="82" operator="equal">
      <formula>"GRE"</formula>
    </cfRule>
    <cfRule type="cellIs" dxfId="4614" priority="83" operator="equal">
      <formula>"RED"</formula>
    </cfRule>
    <cfRule type="cellIs" dxfId="4613" priority="84" operator="equal">
      <formula>"BLA"</formula>
    </cfRule>
  </conditionalFormatting>
  <conditionalFormatting sqref="H2">
    <cfRule type="cellIs" dxfId="4612" priority="42" stopIfTrue="1" operator="notEqual">
      <formula>""</formula>
    </cfRule>
  </conditionalFormatting>
  <conditionalFormatting sqref="R2 CU2">
    <cfRule type="cellIs" dxfId="4611" priority="44" operator="greaterThan">
      <formula>0</formula>
    </cfRule>
  </conditionalFormatting>
  <conditionalFormatting sqref="T2:AS2 CH2:CS2">
    <cfRule type="cellIs" dxfId="4610" priority="39" stopIfTrue="1" operator="equal">
      <formula>"n"</formula>
    </cfRule>
    <cfRule type="cellIs" dxfId="4609" priority="40" stopIfTrue="1" operator="equal">
      <formula>"y"</formula>
    </cfRule>
    <cfRule type="cellIs" dxfId="4608" priority="41" operator="greaterThan">
      <formula>0</formula>
    </cfRule>
  </conditionalFormatting>
  <conditionalFormatting sqref="AZ2:BB2">
    <cfRule type="expression" dxfId="4607" priority="38">
      <formula>$AT2=0</formula>
    </cfRule>
  </conditionalFormatting>
  <conditionalFormatting sqref="AZ2:BU2">
    <cfRule type="cellIs" dxfId="4606" priority="47" operator="equal">
      <formula>"PIN"</formula>
    </cfRule>
    <cfRule type="cellIs" dxfId="4605" priority="48" operator="equal">
      <formula>"ORA"</formula>
    </cfRule>
    <cfRule type="cellIs" dxfId="4604" priority="49" operator="equal">
      <formula>"GRA"</formula>
    </cfRule>
    <cfRule type="cellIs" dxfId="4603" priority="50" operator="equal">
      <formula>"PUR"</formula>
    </cfRule>
    <cfRule type="cellIs" dxfId="4602" priority="51" operator="equal">
      <formula>"BRO"</formula>
    </cfRule>
    <cfRule type="cellIs" dxfId="4601" priority="52" operator="equal">
      <formula>"YEL"</formula>
    </cfRule>
    <cfRule type="cellIs" dxfId="4600" priority="53" operator="equal">
      <formula>"BLU"</formula>
    </cfRule>
    <cfRule type="cellIs" dxfId="4599" priority="54" operator="equal">
      <formula>"WHI"</formula>
    </cfRule>
    <cfRule type="cellIs" dxfId="4598" priority="55" operator="equal">
      <formula>"GRE"</formula>
    </cfRule>
    <cfRule type="cellIs" dxfId="4597" priority="56" operator="equal">
      <formula>"RED"</formula>
    </cfRule>
    <cfRule type="cellIs" dxfId="4596" priority="57" operator="equal">
      <formula>"BLA"</formula>
    </cfRule>
  </conditionalFormatting>
  <conditionalFormatting sqref="BV2">
    <cfRule type="cellIs" dxfId="4595" priority="69" operator="equal">
      <formula>"nc"</formula>
    </cfRule>
  </conditionalFormatting>
  <conditionalFormatting sqref="BX2:CA2 CD2:CF2">
    <cfRule type="cellIs" dxfId="4594" priority="43" operator="equal">
      <formula>"y"</formula>
    </cfRule>
    <cfRule type="cellIs" dxfId="4593" priority="58" operator="equal">
      <formula>"PIN"</formula>
    </cfRule>
    <cfRule type="cellIs" dxfId="4592" priority="59" operator="equal">
      <formula>"ORA"</formula>
    </cfRule>
    <cfRule type="cellIs" dxfId="4591" priority="60" operator="equal">
      <formula>"GRA"</formula>
    </cfRule>
    <cfRule type="cellIs" dxfId="4590" priority="61" operator="equal">
      <formula>"PUR"</formula>
    </cfRule>
    <cfRule type="cellIs" dxfId="4589" priority="62" operator="equal">
      <formula>"BRO"</formula>
    </cfRule>
    <cfRule type="cellIs" dxfId="4588" priority="63" operator="equal">
      <formula>"YEL"</formula>
    </cfRule>
    <cfRule type="cellIs" dxfId="4587" priority="64" operator="equal">
      <formula>"BLU"</formula>
    </cfRule>
    <cfRule type="cellIs" dxfId="4586" priority="65" operator="equal">
      <formula>"WHI"</formula>
    </cfRule>
    <cfRule type="cellIs" dxfId="4585" priority="66" operator="equal">
      <formula>"GRE"</formula>
    </cfRule>
    <cfRule type="cellIs" dxfId="4584" priority="67" operator="equal">
      <formula>"RED"</formula>
    </cfRule>
    <cfRule type="cellIs" dxfId="4583" priority="68" operator="equal">
      <formula>"BLA"</formula>
    </cfRule>
  </conditionalFormatting>
  <conditionalFormatting sqref="BZ2:CA2 CD2:CF2">
    <cfRule type="cellIs" dxfId="4582" priority="45" operator="greaterThan">
      <formula>0</formula>
    </cfRule>
  </conditionalFormatting>
  <conditionalFormatting sqref="IC2:IK2">
    <cfRule type="expression" dxfId="4581"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2794" priority="6" stopIfTrue="1" operator="notEqual">
      <formula>""</formula>
    </cfRule>
  </conditionalFormatting>
  <conditionalFormatting sqref="R3 CU3">
    <cfRule type="cellIs" dxfId="2793" priority="8" operator="greaterThan">
      <formula>0</formula>
    </cfRule>
  </conditionalFormatting>
  <conditionalFormatting sqref="T3:AS3 CH3:CS3">
    <cfRule type="cellIs" dxfId="2792" priority="3" stopIfTrue="1" operator="equal">
      <formula>"n"</formula>
    </cfRule>
    <cfRule type="cellIs" dxfId="2791" priority="4" stopIfTrue="1" operator="equal">
      <formula>"y"</formula>
    </cfRule>
    <cfRule type="cellIs" dxfId="2790" priority="5" operator="greaterThan">
      <formula>0</formula>
    </cfRule>
  </conditionalFormatting>
  <conditionalFormatting sqref="AZ3:BB3">
    <cfRule type="expression" dxfId="2789" priority="2">
      <formula>$AT3=0</formula>
    </cfRule>
  </conditionalFormatting>
  <conditionalFormatting sqref="AZ3:BU3">
    <cfRule type="cellIs" dxfId="2788" priority="11" operator="equal">
      <formula>"PIN"</formula>
    </cfRule>
    <cfRule type="cellIs" dxfId="2787" priority="12" operator="equal">
      <formula>"ORA"</formula>
    </cfRule>
    <cfRule type="cellIs" dxfId="2786" priority="13" operator="equal">
      <formula>"GRA"</formula>
    </cfRule>
    <cfRule type="cellIs" dxfId="2785" priority="14" operator="equal">
      <formula>"PUR"</formula>
    </cfRule>
    <cfRule type="cellIs" dxfId="2784" priority="15" operator="equal">
      <formula>"BRO"</formula>
    </cfRule>
    <cfRule type="cellIs" dxfId="2783" priority="16" operator="equal">
      <formula>"YEL"</formula>
    </cfRule>
    <cfRule type="cellIs" dxfId="2782" priority="17" operator="equal">
      <formula>"BLU"</formula>
    </cfRule>
    <cfRule type="cellIs" dxfId="2781" priority="18" operator="equal">
      <formula>"WHI"</formula>
    </cfRule>
    <cfRule type="cellIs" dxfId="2780" priority="19" operator="equal">
      <formula>"GRE"</formula>
    </cfRule>
    <cfRule type="cellIs" dxfId="2779" priority="20" operator="equal">
      <formula>"RED"</formula>
    </cfRule>
    <cfRule type="cellIs" dxfId="2778" priority="21" operator="equal">
      <formula>"BLA"</formula>
    </cfRule>
  </conditionalFormatting>
  <conditionalFormatting sqref="BV3:BW3">
    <cfRule type="cellIs" dxfId="2777" priority="33" operator="equal">
      <formula>"nc"</formula>
    </cfRule>
  </conditionalFormatting>
  <conditionalFormatting sqref="BX3:CA3 CD3:CF3">
    <cfRule type="cellIs" dxfId="2776" priority="7" operator="equal">
      <formula>"y"</formula>
    </cfRule>
    <cfRule type="cellIs" dxfId="2775" priority="22" operator="equal">
      <formula>"PIN"</formula>
    </cfRule>
    <cfRule type="cellIs" dxfId="2774" priority="23" operator="equal">
      <formula>"ORA"</formula>
    </cfRule>
    <cfRule type="cellIs" dxfId="2773" priority="24" operator="equal">
      <formula>"GRA"</formula>
    </cfRule>
    <cfRule type="cellIs" dxfId="2772" priority="25" operator="equal">
      <formula>"PUR"</formula>
    </cfRule>
    <cfRule type="cellIs" dxfId="2771" priority="26" operator="equal">
      <formula>"BRO"</formula>
    </cfRule>
    <cfRule type="cellIs" dxfId="2770" priority="27" operator="equal">
      <formula>"YEL"</formula>
    </cfRule>
    <cfRule type="cellIs" dxfId="2769" priority="28" operator="equal">
      <formula>"BLU"</formula>
    </cfRule>
    <cfRule type="cellIs" dxfId="2768" priority="29" operator="equal">
      <formula>"WHI"</formula>
    </cfRule>
    <cfRule type="cellIs" dxfId="2767" priority="30" operator="equal">
      <formula>"GRE"</formula>
    </cfRule>
    <cfRule type="cellIs" dxfId="2766" priority="31" operator="equal">
      <formula>"RED"</formula>
    </cfRule>
    <cfRule type="cellIs" dxfId="2765" priority="32" operator="equal">
      <formula>"BLA"</formula>
    </cfRule>
  </conditionalFormatting>
  <conditionalFormatting sqref="BZ3:CA3 CD3:CF3">
    <cfRule type="cellIs" dxfId="2764" priority="9" operator="greaterThan">
      <formula>0</formula>
    </cfRule>
  </conditionalFormatting>
  <conditionalFormatting sqref="IC3:IK3">
    <cfRule type="expression" dxfId="2763" priority="10">
      <formula>$IL3&gt;0</formula>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conditionalFormatting sqref="J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DE7F4-8433-413A-9E5E-C71E9521C347}">
  <dimension ref="A1:IY5"/>
  <sheetViews>
    <sheetView zoomScale="70" zoomScaleNormal="70" workbookViewId="0">
      <selection activeCell="A5" sqref="A5:XFD5"/>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200</v>
      </c>
      <c r="B2" s="40" t="e" vm="28">
        <v>#VALUE!</v>
      </c>
      <c r="C2" s="41">
        <v>1</v>
      </c>
      <c r="D2" s="42" t="s">
        <v>201</v>
      </c>
      <c r="E2" s="43" t="s">
        <v>202</v>
      </c>
      <c r="F2" s="44" t="s">
        <v>166</v>
      </c>
      <c r="G2" s="45">
        <f>COUNTIF($A$1:$A$8270,A2)</f>
        <v>1</v>
      </c>
      <c r="H2" s="46"/>
      <c r="I2" s="47" t="s">
        <v>203</v>
      </c>
      <c r="J2" s="48" t="str">
        <f>""</f>
        <v/>
      </c>
      <c r="K2" s="49">
        <v>17044</v>
      </c>
      <c r="L2" s="50">
        <v>130000</v>
      </c>
      <c r="M2" s="50" t="s">
        <v>204</v>
      </c>
      <c r="N2" s="51" t="s">
        <v>169</v>
      </c>
      <c r="O2" s="52" t="s">
        <v>205</v>
      </c>
      <c r="P2" s="53" t="s">
        <v>206</v>
      </c>
      <c r="Q2" s="54">
        <v>2</v>
      </c>
      <c r="R2" s="55" t="s">
        <v>169</v>
      </c>
      <c r="S2" s="56">
        <v>0</v>
      </c>
      <c r="T2" s="57" t="s">
        <v>173</v>
      </c>
      <c r="U2" s="58" t="s">
        <v>172</v>
      </c>
      <c r="V2" s="58" t="s">
        <v>173</v>
      </c>
      <c r="W2" s="58" t="s">
        <v>173</v>
      </c>
      <c r="X2" s="58" t="s">
        <v>172</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15</v>
      </c>
      <c r="AU2" s="59"/>
      <c r="AV2" s="59" t="str">
        <f>IF(LEFT(A2,1)="[",LEFT(A2,5)&amp;AU2&amp;A2,"")</f>
        <v/>
      </c>
      <c r="AW2" s="59" t="str">
        <f>C2&amp;H2&amp;A2</f>
        <v>1Cook Islands</v>
      </c>
      <c r="AX2" s="61"/>
      <c r="AY2" s="61"/>
      <c r="AZ2" s="62" t="s">
        <v>159</v>
      </c>
      <c r="BA2" s="62"/>
      <c r="BB2" s="62"/>
      <c r="BC2" s="63"/>
      <c r="BD2" s="64" t="s">
        <v>155</v>
      </c>
      <c r="BE2" s="47"/>
      <c r="BF2" s="64" t="s">
        <v>152</v>
      </c>
      <c r="BG2" s="64" t="s">
        <v>192</v>
      </c>
      <c r="BH2" s="64" t="s">
        <v>155</v>
      </c>
      <c r="BI2" s="64"/>
      <c r="BJ2" s="64"/>
      <c r="BK2" s="47"/>
      <c r="BL2" s="64" t="s">
        <v>192</v>
      </c>
      <c r="BM2" s="64" t="s">
        <v>152</v>
      </c>
      <c r="BN2" s="64" t="s">
        <v>192</v>
      </c>
      <c r="BO2" s="64" t="s">
        <v>192</v>
      </c>
      <c r="BP2" s="64" t="s">
        <v>155</v>
      </c>
      <c r="BQ2" s="64" t="s">
        <v>192</v>
      </c>
      <c r="BR2" s="64" t="s">
        <v>192</v>
      </c>
      <c r="BS2" s="64" t="s">
        <v>192</v>
      </c>
      <c r="BT2" s="64" t="s">
        <v>159</v>
      </c>
      <c r="BU2" s="65"/>
      <c r="BV2" s="66"/>
      <c r="BW2" s="66">
        <v>0</v>
      </c>
      <c r="BX2" s="47"/>
      <c r="CB2" s="6"/>
      <c r="CC2" s="6"/>
      <c r="CD2" s="67">
        <v>1</v>
      </c>
      <c r="CE2" s="67">
        <v>0</v>
      </c>
      <c r="CF2" s="67" t="e">
        <v>#REF!</v>
      </c>
      <c r="CG2" s="68" cm="1">
        <f t="array" ref="CG2">SUMPRODUCT(--(LEN(TRIM(BL2:BT2))&gt;0))</f>
        <v>3</v>
      </c>
      <c r="CH2" s="59" t="str">
        <f t="shared" ref="CH2:CH5" si="0">IF(CG2=2,"y","n")</f>
        <v>n</v>
      </c>
      <c r="CI2" s="59" t="str">
        <f t="shared" ref="CI2:CI5" si="1">IF(CG2=3,"y","n")</f>
        <v>y</v>
      </c>
      <c r="CJ2" s="59" t="str">
        <f t="shared" ref="CJ2:CJ5" si="2">IF(CG2=4,"y","n")</f>
        <v>n</v>
      </c>
      <c r="CK2" s="59" t="str">
        <f t="shared" ref="CK2:CK5" si="3">IF(CG2&gt;4,"y","n")</f>
        <v>n</v>
      </c>
      <c r="CL2" s="59" t="str">
        <f t="shared" ref="CL2:CL5" si="4">IF(S2=0,"y","n")</f>
        <v>y</v>
      </c>
      <c r="CM2" s="59" t="str">
        <f t="shared" ref="CM2:CM5" si="5">IF(S2=2,"y","n")</f>
        <v>n</v>
      </c>
      <c r="CN2" s="59" t="str">
        <f t="shared" ref="CN2:CN5" si="6">IF(S2=3,"y","n")</f>
        <v>n</v>
      </c>
      <c r="CO2" s="59" t="str">
        <f t="shared" ref="CO2:CO5" si="7">IF(S2&gt;=4,"y","n")</f>
        <v>n</v>
      </c>
      <c r="CP2" s="59" t="str">
        <f t="shared" ref="CP2:CP5" si="8">IF(AT2=0,"y","n")</f>
        <v>n</v>
      </c>
      <c r="CQ2" s="59" t="str">
        <f t="shared" ref="CQ2:CQ5" si="9">IF(AT2=1,"y","n")</f>
        <v>n</v>
      </c>
      <c r="CR2" s="59" t="str">
        <f t="shared" ref="CR2:CR5" si="10">IF(AT2=2,"y","n")</f>
        <v>n</v>
      </c>
      <c r="CS2" s="59" t="str">
        <f t="shared" ref="CS2:CS5" si="11">IF(AT2&gt;=3,"y","n")</f>
        <v>y</v>
      </c>
      <c r="CT2" s="69" t="str">
        <f t="shared" ref="CT2:CT5" si="12">CHAR(34)&amp;A2&amp;CHAR(34)</f>
        <v>"Cook Islands"</v>
      </c>
      <c r="CU2" s="70" t="str">
        <f t="shared" ref="CU2:CU5" si="13">CHAR(34)&amp;"rgn_"&amp;R2&amp;CHAR(34)</f>
        <v>"rgn_Oceania"</v>
      </c>
      <c r="CV2" s="48" t="str">
        <f t="shared" ref="CV2:CV5" si="14">CHAR(34)&amp;D2&amp;CHAR(34)</f>
        <v>"https://i.ibb.co/d23ftXX/Cook-Islands-Flag.png"</v>
      </c>
      <c r="CW2" s="48" t="str">
        <f t="shared" ref="CW2:CZ5" si="15">IF(CH2="y",CHAR(34)&amp;CH$1&amp;CHAR(34)&amp;",","")</f>
        <v/>
      </c>
      <c r="CX2" s="48" t="str">
        <f t="shared" si="15"/>
        <v>"3Color",</v>
      </c>
      <c r="CY2" s="48" t="str">
        <f t="shared" si="15"/>
        <v/>
      </c>
      <c r="CZ2" s="48" t="str">
        <f t="shared" si="15"/>
        <v/>
      </c>
      <c r="DA2" s="48" t="str">
        <f t="shared" ref="DA2:DA5" si="16">IF(Q2&gt;1,CHAR(34)&amp;"words2"&amp;CHAR(34)&amp;",","")</f>
        <v>"words2",</v>
      </c>
      <c r="DB2" s="48" t="str">
        <f t="shared" ref="DB2:DB5" si="17">IF(Q2&gt;2,CHAR(34)&amp;"words3"&amp;CHAR(34)&amp;",","")</f>
        <v/>
      </c>
      <c r="DC2" s="48" t="str">
        <f t="shared" ref="DC2:DC3" si="18">IF(Q2=2,CHAR(34)&amp;"exact2"&amp;CHAR(34)&amp;",","")</f>
        <v>"exact2",</v>
      </c>
      <c r="DD2" s="48" t="str">
        <f t="shared" ref="DD2:DD3"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"lets11",</v>
      </c>
      <c r="DE2" s="48" t="str">
        <f t="shared" ref="DE2:DE3"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"startC",</v>
      </c>
      <c r="DF2" s="48" t="str">
        <f t="shared" ref="DF2:DF5" si="21">IFERROR(IF(SEARCH("tan",A2)&gt;0,CHAR(34)&amp;"withtn"&amp;CHAR(34)&amp;",",""),"")</f>
        <v/>
      </c>
      <c r="DG2" s="48" t="str">
        <f t="shared" ref="DG2:DG5" si="22">IFERROR(IF(SEARCH("q",A2)&gt;0,CHAR(34)&amp;"with_q"&amp;CHAR(34)&amp;",",""),"")</f>
        <v/>
      </c>
      <c r="DH2" s="48" t="str">
        <f t="shared" ref="DH2:DH5" si="23">IFERROR(IF(SEARCH("v",A2)&gt;0,CHAR(34)&amp;"with_v"&amp;CHAR(34)&amp;",",""),"")</f>
        <v/>
      </c>
      <c r="DI2" s="48" t="str">
        <f t="shared" ref="DI2:DI5" si="24">IFERROR(IF(SEARCH("w",A2)&gt;0,CHAR(34)&amp;"with_w"&amp;CHAR(34)&amp;",",""),"")</f>
        <v/>
      </c>
      <c r="DJ2" s="48" t="str">
        <f t="shared" ref="DJ2:DJ5" si="25">IFERROR(IF(SEARCH("y",A2)&gt;0,CHAR(34)&amp;"with_y"&amp;CHAR(34)&amp;",",""),"")</f>
        <v/>
      </c>
      <c r="DK2" s="48" t="str">
        <f t="shared" ref="DK2:DK5" si="26">IFERROR(IF(SEARCH("z",A2)&gt;0,CHAR(34)&amp;"with_z"&amp;CHAR(34)&amp;",",""),"")</f>
        <v/>
      </c>
      <c r="DL2" s="48" t="str">
        <f t="shared" ref="DL2:DL5" si="27">IF(CG2=2, CHAR(34) &amp; _xlfn.TEXTJOIN("", TRUE, _xlfn._xlws.SORT(HP2:HX2)) &amp; CHAR(34) &amp; ",", "")</f>
        <v/>
      </c>
      <c r="DM2" s="48" t="str" cm="1">
        <f t="array" ref="DM2">IF(CG2=3,CHAR(34) &amp; _xlfn.TEXTJOIN("", TRUE, RIGHT(HP2:HX2, 2)) &amp; CHAR(34) &amp; ",", "")</f>
        <v>"LUELHI",</v>
      </c>
      <c r="DN2" s="48" t="str">
        <f t="shared" ref="DN2:DN5" si="28">IF(AND(ISNUMBER(SEARCH("18", O2)), ISERROR(SEARCH("1918", O2)), ISERROR(SEARCH("2018", O2))), CHAR(34) &amp; "year18" &amp; CHAR(34) &amp; ",", "")</f>
        <v/>
      </c>
      <c r="DO2" s="48" t="str">
        <f t="shared" ref="DO2:DO5" si="29">IF(AND(ISNUMBER(SEARCH("19", O2)), ISERROR(SEARCH("1819", O2)),  ISERROR(SEARCH("1219", O2)),ISERROR(SEARCH("1119", O2)),ISERROR(SEARCH("1190", O2)),ISERROR(SEARCH("2019", O2))), CHAR(34) &amp; "year19" &amp; CHAR(34) &amp; ",", "")</f>
        <v>"year19",</v>
      </c>
      <c r="DP2" s="6" t="str">
        <f t="shared" ref="DP2:DP5" si="30">IF(AND(ISNUMBER(SEARCH("20", O2)), ISERROR(SEARCH("1920", O2))), CHAR(34)&amp;"year00"&amp;CHAR(34)&amp;",", "")</f>
        <v/>
      </c>
      <c r="DQ2" s="6" t="str">
        <f t="shared" ref="DQ2:DQ5" si="31">IF(CC2="y",CHAR(34)&amp;"soviet"&amp;CHAR(34)&amp;",","")</f>
        <v/>
      </c>
      <c r="DR2" s="6" t="str">
        <f t="shared" ref="DR2:DR5" si="32">IF(BY2="y",CHAR(34)&amp;"dgband"&amp;CHAR(34)&amp;",","")</f>
        <v/>
      </c>
      <c r="DS2" s="6" t="str">
        <f t="shared" ref="DS2:DS5" si="33">IF(W2="y",IF(AND(V2="n",BY2&lt;&gt;"y"),CHAR(34)&amp;"allver"&amp;CHAR(34)&amp;",",""),"")</f>
        <v/>
      </c>
      <c r="DT2" s="6" t="str">
        <f t="shared" ref="DT2:DT5" si="34">IF(V2="y",IF(AND(W2="n",BY2&lt;&gt;"y"),CHAR(34)&amp;"allhor"&amp;CHAR(34)&amp;",",""),"")</f>
        <v/>
      </c>
      <c r="DU2" s="6" t="str">
        <f t="shared" ref="DU2:DU5" si="35">IF(BY2="y",IF(AND(W2="n",V2="n"),CHAR(34)&amp;"alldia"&amp;CHAR(34)&amp;",",""),"")</f>
        <v/>
      </c>
      <c r="DV2" s="48" t="str">
        <f t="shared" ref="DV2:DV3" si="36">IF(IA2&lt;&gt;"",(IF(IA2="y",CHAR(34)&amp;"largec"&amp;CHAR(34)&amp;",",CHAR(34)&amp;"smallc"&amp;CHAR(34)&amp;",")),"")</f>
        <v>"smallc",</v>
      </c>
      <c r="DW2" s="48" t="str">
        <f t="shared" ref="DW2:DZ5" si="37">IF(CL2="y",CHAR(34)&amp;CL$1&amp;CHAR(34)&amp;",","")</f>
        <v>"NoBand",</v>
      </c>
      <c r="DX2" s="48" t="str">
        <f t="shared" si="37"/>
        <v/>
      </c>
      <c r="DY2" s="48" t="str">
        <f t="shared" si="37"/>
        <v/>
      </c>
      <c r="DZ2" s="48" t="str">
        <f t="shared" si="37"/>
        <v/>
      </c>
      <c r="EA2" s="48" t="str">
        <f t="shared" ref="EA2:EE5" si="38">IF(T2="y",CHAR(34)&amp;T$1&amp;CHAR(34)&amp;",","")</f>
        <v/>
      </c>
      <c r="EB2" s="48" t="str">
        <f t="shared" si="38"/>
        <v>"Crosse",</v>
      </c>
      <c r="EC2" s="48" t="str">
        <f t="shared" si="38"/>
        <v/>
      </c>
      <c r="ED2" s="48" t="str">
        <f t="shared" si="38"/>
        <v/>
      </c>
      <c r="EE2" s="48" t="str">
        <f t="shared" si="38"/>
        <v>"Circle",</v>
      </c>
      <c r="EF2" s="48" t="str">
        <f t="shared" ref="EF2:EF5" si="39">IF(AND(Y2&lt;&gt;"n",Y2&lt;&gt;""),CHAR(34)&amp;Y$1&amp;CHAR(34)&amp;",","")</f>
        <v/>
      </c>
      <c r="EG2" s="48" t="str">
        <f t="shared" ref="EG2:EZ5"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
      </c>
      <c r="EP2" s="48" t="str">
        <f t="shared" si="40"/>
        <v>"Canton",</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FA5" si="41">IF(AT2&gt;0,CHAR(34)&amp;"sta"&amp;AZ2&amp;CHAR(34)&amp;",","")</f>
        <v>"staWHI",</v>
      </c>
      <c r="FB2" s="48" t="str">
        <f t="shared" ref="FB2:FB5" si="42">IF(AND(AT2&gt;0,BA2&lt;&gt;""),CHAR(34)&amp;"sta"&amp;BA2&amp;CHAR(34)&amp;",","")</f>
        <v/>
      </c>
      <c r="FC2" s="48" t="str">
        <f t="shared" ref="FC2:FC3" si="43">IF(AND(AT2&gt;0,BB2&lt;&gt;""),CHAR(34)&amp;"sta"&amp;BB2&amp;CHAR(34)&amp;",","")</f>
        <v/>
      </c>
      <c r="FD2" s="48" t="str">
        <f t="shared" ref="FD2:FD5" si="44">IF(BV2="n",CHAR(34)&amp;"tcWHYE"&amp;CHAR(34)&amp;",",IF(BV2="y",CHAR(34)&amp;FD$1&amp;CHAR(34)&amp;",",""))</f>
        <v/>
      </c>
      <c r="FE2" s="48" t="str">
        <f t="shared" ref="FE2:FE5" si="45">IF(COUNTIF(BL2:BT2,"BLU")=0,CHAR(34)&amp;"NO_BLU"&amp;CHAR(34)&amp;",", "")</f>
        <v/>
      </c>
      <c r="FF2" s="48" t="str">
        <f t="shared" ref="FF2:FF5" si="46">IF(COUNTIF(BL2:BT2,"WHI")=0,CHAR(34)&amp;"NO_WHI"&amp;CHAR(34)&amp;",", "")</f>
        <v/>
      </c>
      <c r="FG2" s="48" t="str">
        <f t="shared" ref="FG2:FG5" si="47">IF(COUNTIF(BL2:BT2,"RED")=0,CHAR(34)&amp;"NO_RED"&amp;CHAR(34)&amp;",", "")</f>
        <v>"NO_RED",</v>
      </c>
      <c r="FH2" s="48" t="str">
        <f t="shared" ref="FH2:FH5" si="48">IF(COUNTIF(BL2:BS2,"GRE")=0,CHAR(34)&amp;"NO_GRE"&amp;CHAR(34)&amp;",", "")</f>
        <v>"NO_GRE",</v>
      </c>
      <c r="FI2" s="48" t="str">
        <f t="shared" ref="FI2:FI5" si="49">IF(COUNTIF(BL2:BT2,"YEL")=0,CHAR(34)&amp;"NO_YEL"&amp;CHAR(34)&amp;",", "")</f>
        <v/>
      </c>
      <c r="FJ2" s="48" t="str">
        <f t="shared" ref="FJ2:FJ5" si="50">IF(COUNTIF(BL2:BT2,"BLA")=0,CHAR(34)&amp;"NO_BLA"&amp;CHAR(34)&amp;",", "")</f>
        <v>"NO_BLA",</v>
      </c>
      <c r="FK2" s="48" t="str">
        <f t="shared" ref="FK2:FK5" si="51">IF(AND(FH2&lt;&gt;"",FF2&lt;&gt;""),CHAR(34)&amp;"WHGRNO"&amp;CHAR(34)&amp;",","")</f>
        <v/>
      </c>
      <c r="FL2" s="48" t="str">
        <f t="shared" ref="FL2:FL5" si="52">IF(AND(FI2&lt;&gt;"",FF2&lt;&gt;""),CHAR(34)&amp;"WHYENO"&amp;CHAR(34)&amp;",","")</f>
        <v/>
      </c>
      <c r="FM2" s="48" t="str">
        <f t="shared" ref="FM2:FM5" si="53">IF(AND(FJ2&lt;&gt;"",FF2&lt;&gt;""),CHAR(34)&amp;"BAWHNO"&amp;CHAR(34)&amp;",","")</f>
        <v/>
      </c>
      <c r="FN2" s="48" t="str">
        <f t="shared" ref="FN2:FN5" si="54">IF(AND(FE2&lt;&gt;"",FF2&lt;&gt;""),CHAR(34)&amp;"BLWHNO"&amp;CHAR(34)&amp;",","")</f>
        <v/>
      </c>
      <c r="FO2" s="48" t="str">
        <f t="shared" ref="FO2:FO5" si="55">IF(AND(FE2&lt;&gt;"",FG2&lt;&gt;""),CHAR(34)&amp;"BLRENO"&amp;CHAR(34)&amp;",","")</f>
        <v/>
      </c>
      <c r="FP2" s="48" t="str">
        <f t="shared" ref="FP2:FP5" si="56">IF(AND(FF2&lt;&gt;"",FF2&lt;&gt;""),CHAR(34)&amp;"WHRENO"&amp;CHAR(34)&amp;",","")</f>
        <v/>
      </c>
      <c r="FQ2" s="48" t="str">
        <f t="shared" ref="FQ2:FQ5" si="57">IF(LEN(BF2)=3,CHAR(34)&amp;"001"&amp;BF2&amp;CHAR(34)&amp;",","")</f>
        <v>"001BLU",</v>
      </c>
      <c r="FR2" s="48" t="str">
        <f t="shared" ref="FR2:FR5" si="58">IF(LEN(BG2)=3,CHAR(34)&amp;"002"&amp;BG2&amp;CHAR(34)&amp;",","")</f>
        <v/>
      </c>
      <c r="FS2" s="48" t="str">
        <f t="shared" ref="FS2:FS5" si="59">IF(LEN(BH2)=3,CHAR(34)&amp;"003"&amp;BH2&amp;CHAR(34)&amp;",","")</f>
        <v>"003YEL",</v>
      </c>
      <c r="FT2" s="48" t="str">
        <f t="shared" ref="FT2:FT5" si="60">CHAR(34)&amp;"myr"&amp;BD2&amp;CHAR(34)&amp;","</f>
        <v>"myrYEL",</v>
      </c>
      <c r="FU2" s="48" t="str">
        <f t="shared" ref="FU2:FU5" si="61">IF(AY2="y",CHAR(34)&amp;"island"&amp;CHAR(34)&amp;",","")</f>
        <v/>
      </c>
      <c r="FV2" s="48" t="str">
        <f t="shared" ref="FV2:FV5" si="62">IF(BZ2="y",CHAR(34)&amp;"landlo"&amp;CHAR(34)&amp;",","")</f>
        <v/>
      </c>
      <c r="FW2" s="48" t="str">
        <f t="shared" ref="FW2:FW5" si="63">IF(CA2="y",CHAR(34)&amp;"eunion"&amp;CHAR(34)&amp;",","")</f>
        <v/>
      </c>
      <c r="FX2" s="48" t="str">
        <f t="shared" ref="FX2:FX3" si="64">SUBSTITUTE(IFERROR(SEARCH("[",A2),IFERROR(IF(AND(CA2&lt;&gt;"y",SEARCH("Europe",R2)&gt;0),CHAR(34)&amp;"noeuni"&amp;CHAR(34)&amp;",",""),"")),"1","")</f>
        <v/>
      </c>
      <c r="FY2" s="48" t="str">
        <f t="shared" ref="FY2:FY5" si="65">IFERROR(IF(SEARCH("Arabic",CB2)&gt;0,CHAR(34)&amp;"arabic"&amp;CHAR(34)&amp;",",""),"")</f>
        <v/>
      </c>
      <c r="FZ2" s="48" t="str">
        <f t="shared" ref="FZ2:FZ5" si="66">IFERROR(IF(SEARCH("English",CB2)&gt;0,CHAR(34)&amp;"englis"&amp;CHAR(34)&amp;",",""),"")</f>
        <v/>
      </c>
      <c r="GA2" s="48" t="str">
        <f t="shared" ref="GA2:GA5" si="67">IFERROR(IF(SEARCH("French",CB2)&gt;0,CHAR(34)&amp;"french"&amp;CHAR(34)&amp;",",""),"")</f>
        <v/>
      </c>
      <c r="GB2" s="48" t="str">
        <f t="shared" ref="GB2:GB5" si="68">IFERROR(IF(SEARCH("Spanish",CB2)&gt;0,CHAR(34)&amp;"spanis"&amp;CHAR(34)&amp;",",""),"")</f>
        <v/>
      </c>
      <c r="GC2" s="48" t="str">
        <f t="shared" ref="GC2:GC3" si="69">IFERROR(IF(SEARCH("Portuguese",CB2)&gt;0,CHAR(34)&amp;"portug"&amp;CHAR(34)&amp;",",""),"")</f>
        <v/>
      </c>
      <c r="GD2" s="48" t="str">
        <f t="shared" ref="GD2:GD3" si="70">IFERROR(IF(SEARCH("German",CB2)&gt;0,CHAR(34)&amp;"german"&amp;CHAR(34)&amp;",",""),"")</f>
        <v/>
      </c>
      <c r="GE2" s="48" t="str">
        <f t="shared" ref="GE2:GE5" si="71">IFERROR(IF(SEARCH("Dutch",CB2)&gt;0,CHAR(34)&amp;"dutchs"&amp;CHAR(34)&amp;",",""),"")</f>
        <v/>
      </c>
      <c r="GF2" s="48" t="str">
        <f t="shared" ref="GF2:GF4" si="72">IFERROR(IF(SEARCH("Historical",AU2)&gt;0,CHAR(34)&amp;"histor"&amp;CHAR(34)&amp;",",""),"")</f>
        <v/>
      </c>
      <c r="GG2" s="48" t="str">
        <f t="shared" ref="GG2:GG5" si="73">IF(BU2="y",CHAR(34)&amp;"unjack"&amp;CHAR(34)&amp;",","")</f>
        <v/>
      </c>
      <c r="GH2" s="48" t="str">
        <f t="shared" ref="GH2:GH5" si="74">IF(CD2=1,CHAR(34)&amp;"southc"&amp;CHAR(34)&amp;",","")</f>
        <v>"southc",</v>
      </c>
      <c r="GI2" s="48" t="str">
        <f t="shared" ref="GI2:GI5" si="75">IF(CE2=1,CHAR(34)&amp;"hasmap"&amp;CHAR(34)&amp;",","")</f>
        <v/>
      </c>
      <c r="GJ2" s="48" t="str">
        <f t="shared" ref="GJ2:GJ5" si="76">IF(CP2="y",CHAR(34)&amp;CP$1&amp;CHAR(34)&amp;",","")</f>
        <v/>
      </c>
      <c r="GK2" s="48" t="str">
        <f t="shared" ref="GK2:GK5" si="77">IF(GJ2="",CHAR(34)&amp;"HasSta"&amp;CHAR(34)&amp;",","")</f>
        <v>"HasSta",</v>
      </c>
      <c r="GL2" s="48" t="str">
        <f t="shared" ref="GL2:GN5" si="78">IF(CQ2="y",CHAR(34)&amp;CQ$1&amp;CHAR(34)&amp;",","")</f>
        <v/>
      </c>
      <c r="GM2" s="48" t="str">
        <f t="shared" si="78"/>
        <v/>
      </c>
      <c r="GN2" s="48" t="str">
        <f t="shared" si="78"/>
        <v>"3+Star",</v>
      </c>
      <c r="GP2" s="48" t="str">
        <f t="shared" ref="GP2:GP5" si="79">CHAR(34)&amp;AU2&amp;CHAR(34)</f>
        <v>""</v>
      </c>
      <c r="GS2" s="48" t="str">
        <f t="shared" ref="GS2:GS5" si="80">SUBSTITUTE("["&amp;_xlfn.CONCAT(CW2:GN2)&amp;"]",",]","]")</f>
        <v>["3Color","words2","exact2","lets11","startC","LUELHI","year19","smallc","NoBand","Crosse","Circle","Canton","staWHI","NO_RED","NO_GRE","NO_BLA","001BLU","003YEL","myrYEL","southc","HasSta","3+Star"]</v>
      </c>
      <c r="GT2" s="48" t="str">
        <f t="shared" ref="GT2:HB5" si="81">IF(BL2&lt;&gt;"",CHAR(34)&amp;"cl_"&amp;BL2&amp;CHAR(34)&amp;",","")</f>
        <v/>
      </c>
      <c r="GU2" s="48" t="str">
        <f t="shared" si="81"/>
        <v>"cl_BLU",</v>
      </c>
      <c r="GV2" s="48" t="str">
        <f t="shared" si="81"/>
        <v/>
      </c>
      <c r="GW2" s="48" t="str">
        <f t="shared" si="81"/>
        <v/>
      </c>
      <c r="GX2" s="48" t="str">
        <f t="shared" si="81"/>
        <v>"cl_YEL",</v>
      </c>
      <c r="GY2" s="48" t="str">
        <f t="shared" si="81"/>
        <v/>
      </c>
      <c r="GZ2" s="48" t="str">
        <f t="shared" si="81"/>
        <v/>
      </c>
      <c r="HA2" s="48" t="str">
        <f t="shared" si="81"/>
        <v/>
      </c>
      <c r="HB2" s="48" t="str">
        <f t="shared" si="81"/>
        <v>"cl_WHI",</v>
      </c>
      <c r="HC2" s="48" t="str">
        <f t="shared" ref="HC2:HC5" si="82">SUBSTITUTE("["&amp;_xlfn.CONCAT(GT2:HB2)&amp;"]",",]","]")</f>
        <v>["cl_BLU","cl_YEL","cl_WHI"]</v>
      </c>
      <c r="HE2" s="71"/>
      <c r="HF2" s="72" t="str">
        <f t="shared" ref="HF2:HF5" si="83">"{couname:"&amp;CT2&amp;(IF(HK2&lt;&gt;"",",subtype:"&amp;CHAR(34)&amp;HK2&amp;CHAR(34),""))&amp;",year:"&amp;HJ2&amp;",region:"&amp;CU2&amp;",Colors:"&amp;HC2&amp;",Items:"&amp;GS2&amp;",Flag:"&amp;CV2&amp;",HDFlag:"&amp;CHAR(34)&amp;E2&amp;CHAR(34)&amp;",type:"&amp;GP2&amp;", describe: "&amp;HH2&amp;", isnew:"&amp;CHAR(34)&amp;F2&amp;CHAR(34)&amp;", links: "&amp;HL2&amp;"},"</f>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links: "https://en.wikipedia.org/wiki/Flag_of_Cook_Islands"},</v>
      </c>
      <c r="HG2" s="73" t="str">
        <f t="shared" ref="HG2:HG5" si="84">"{couname:"&amp;CT2&amp;(IF(HK2&lt;&gt;"",",subtype:"&amp;CHAR(34)&amp;HK2&amp;CHAR(34),""))&amp;",year:"&amp;HJ2&amp;",region:"&amp;CU2&amp;",Colors:"&amp;HC2&amp;",Items:"&amp;GS2&amp;",Flag:"&amp;CV2&amp;",HDFlag:"&amp;CHAR(34)&amp;E2&amp;CHAR(34)&amp;",type:"&amp;GP2&amp;", describe: "&amp;HI2&amp;", links: "&amp;HL2&amp;"},"</f>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links: "https://en.wikipedia.org/wiki/Flag_of_Cook_Islands"},</v>
      </c>
      <c r="HH2" s="48" t="str">
        <f t="shared" ref="HH2:HH5" si="85">IF(P2&lt;&gt;"",CHAR(34)&amp;"\n"&amp;P2&amp;CHAR(34),CHAR(34)&amp;CHAR(34))</f>
        <v>"\nThe Union Flag is symbolic of the nation's historic ties to the United Kingdom and to the Commonwealth of Nations. The stars stand for the fifteen islands that make up the Cook Islands. The blue represents the ocean and the peaceful nature of the inhabitants."</v>
      </c>
      <c r="HI2" s="48" t="str">
        <f t="shared" ref="HI2:HI5" si="86">IF(J2=0,CHAR(34)&amp;CHAR(34),HH2)</f>
        <v>"\nThe Union Flag is symbolic of the nation's historic ties to the United Kingdom and to the Commonwealth of Nations. The stars stand for the fifteen islands that make up the Cook Islands. The blue represents the ocean and the peaceful nature of the inhabitants."</v>
      </c>
      <c r="HJ2" s="48" t="str">
        <f t="shared" ref="HJ2:HJ5" si="87">CHAR(34)&amp;O2&amp;CHAR(34)</f>
        <v>"1979 "</v>
      </c>
      <c r="HL2" s="48" t="str">
        <f t="shared" ref="HL2:HL5" si="88">CHAR(34)&amp;I2&amp;CHAR(34)</f>
        <v>"https://en.wikipedia.org/wiki/Flag_of_Cook_Islands"</v>
      </c>
      <c r="HM2" s="72" t="str">
        <f t="shared" ref="HM2:HM5"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 "links": "https://en.wikipedia.org/wiki/Flag_of_Cook_Islands"},</v>
      </c>
      <c r="HN2" s="74" t="str">
        <f t="shared" ref="HN2:HN5"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{"couname":"Cook Islands","year":"1979 ","region":"rgn_Oceania","Colors":["cl_BLU","cl_YEL","cl_WHI"],"Items":["3Color","words2","exact2","lets11","startC","LUELHI","year19","smallc","NoBand","Crosse","Circle","Canton","staWHI","NO_RED","NO_GRE","NO_BLA","001BLU","003YEL","myrYEL","southc","HasSta","3+Star"],"Flag":"https://i.ibb.co/d23ftXX/Cook-Islands-Flag.png","HDFlag":"https://upload.wikimedia.org/wikipedia/commons/thumb/3/35/Flag_of_the_Cook_Islands.svg/2560px-Flag_of_the_Cook_Islands.svg.png","type":"", "describe": "\nThe Union Flag is symbolic of the nation's historic ties to the United Kingdom and to the Commonwealth of Nations. The stars stand for the fifteen islands that make up the Cook Islands. The blue represents the ocean and the peaceful nature of the inhabitants.", "isnew": ".", "links": "https://en.wikipedia.org/wiki/Flag_of_Cook_Islands"},</v>
      </c>
      <c r="HO2" s="75">
        <v>45576</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c r="IC2" s="77"/>
      <c r="ID2" s="77"/>
      <c r="IE2" s="77"/>
      <c r="IF2" s="77"/>
      <c r="IG2" s="77"/>
      <c r="IH2" s="77"/>
      <c r="II2" s="77"/>
      <c r="IJ2" s="77"/>
      <c r="IK2" s="77"/>
      <c r="IL2" s="48">
        <f t="shared" ref="IL2:IL3" si="91">SUM(IC2:IK2)</f>
        <v>0</v>
      </c>
      <c r="IM2" s="45">
        <f t="shared" ref="IM2:IM5" si="92">COUNTIF(IC2:IK2,"&gt;0")-CG2</f>
        <v>-3</v>
      </c>
      <c r="IN2" s="78" t="str">
        <f t="shared" ref="IN2:IN5" si="93">"http://mkweb.bcgsc.ca/color-summarizer/?url="&amp;D2&amp;"&amp;precision=low&amp;num_clusters="&amp;CG2&amp;"&amp;text=1"</f>
        <v>http://mkweb.bcgsc.ca/color-summarizer/?url=https://i.ibb.co/d23ftXX/Cook-Islands-Flag.png&amp;precision=low&amp;num_clusters=3&amp;text=1</v>
      </c>
      <c r="IO2" s="48" t="str">
        <f t="shared" ref="IO2:IO5" si="94">IF(HP2&lt;&gt;"",CHAR(34)&amp;"black"&amp;CHAR(34),"")</f>
        <v/>
      </c>
      <c r="IP2" s="48" t="str">
        <f t="shared" ref="IP2:IP5" si="95">IF(HQ2&lt;&gt;"",CHAR(34)&amp;"blue"&amp;CHAR(34),"")</f>
        <v>"blue"</v>
      </c>
      <c r="IQ2" s="48" t="str">
        <f t="shared" ref="IQ2:IQ5" si="96">IF(HR2&lt;&gt;"",CHAR(34)&amp;"green"&amp;CHAR(34),"")</f>
        <v/>
      </c>
      <c r="IR2" s="48" t="str">
        <f t="shared" ref="IR2:IR5" si="97">IF(HS2&lt;&gt;"",CHAR(34)&amp;"red"&amp;CHAR(34),"")</f>
        <v/>
      </c>
      <c r="IS2" s="48" t="str">
        <f t="shared" ref="IS2:IS5" si="98">IF(HT2&lt;&gt;"",CHAR(34)&amp;"yellow"&amp;CHAR(34),"")</f>
        <v>"yellow"</v>
      </c>
      <c r="IT2" s="48" t="str">
        <f t="shared" ref="IT2:IT5" si="99">IF(HU2&lt;&gt;"",CHAR(34)&amp;"orange"&amp;CHAR(34),"")</f>
        <v/>
      </c>
      <c r="IU2" s="48" t="str">
        <f t="shared" ref="IU2:IU5" si="100">IF(HV2&lt;&gt;"",CHAR(34)&amp;"brown"&amp;CHAR(34),"")</f>
        <v/>
      </c>
      <c r="IV2" s="48" t="str">
        <f t="shared" ref="IV2:IV5" si="101">IF(HW2&lt;&gt;"",CHAR(34)&amp;"purple"&amp;CHAR(34),"")</f>
        <v/>
      </c>
      <c r="IW2" s="48" t="str">
        <f t="shared" ref="IW2:IW5" si="102">IF(HX2&lt;&gt;"",CHAR(34)&amp;"white"&amp;CHAR(34),"")</f>
        <v>"white"</v>
      </c>
      <c r="IX2" s="48" t="str">
        <f t="shared" ref="IX2:IX5" si="103">"{"&amp;CHAR(34)&amp;"url"&amp;CHAR(34)&amp;":"&amp;CHAR(34)&amp;IN2&amp;CHAR(34)&amp;","&amp;CHAR(34)&amp;"name"&amp;CHAR(34)&amp;":"&amp;CHAR(34)&amp;A2&amp;CHAR(34)&amp;"},"</f>
        <v>{"url":"http://mkweb.bcgsc.ca/color-summarizer/?url=https://i.ibb.co/d23ftXX/Cook-Islands-Flag.png&amp;precision=low&amp;num_clusters=3&amp;text=1","name":"Cook Islands"},</v>
      </c>
      <c r="IY2" s="48">
        <v>294</v>
      </c>
    </row>
    <row r="3" spans="1:259" s="48" customFormat="1" ht="38.4" customHeight="1" thickBot="1" x14ac:dyDescent="0.35">
      <c r="A3" s="81" t="s">
        <v>722</v>
      </c>
      <c r="B3" s="40" t="e" vm="29">
        <v>#VALUE!</v>
      </c>
      <c r="C3" s="41">
        <v>3</v>
      </c>
      <c r="D3" s="42" t="s">
        <v>723</v>
      </c>
      <c r="E3" s="43" t="s">
        <v>724</v>
      </c>
      <c r="F3" s="44" t="s">
        <v>166</v>
      </c>
      <c r="G3" s="45">
        <f>COUNTIF($A$1:$A$8270,A3)</f>
        <v>1</v>
      </c>
      <c r="H3" s="46"/>
      <c r="I3" s="47" t="s">
        <v>725</v>
      </c>
      <c r="J3" s="48" t="str">
        <f>""</f>
        <v/>
      </c>
      <c r="K3" s="49"/>
      <c r="L3" s="50"/>
      <c r="M3" s="50"/>
      <c r="N3" s="51" t="s">
        <v>169</v>
      </c>
      <c r="O3" s="52">
        <v>1891</v>
      </c>
      <c r="P3" s="53" t="s">
        <v>726</v>
      </c>
      <c r="Q3" s="54">
        <v>4</v>
      </c>
      <c r="R3" s="55" t="s">
        <v>169</v>
      </c>
      <c r="S3" s="56">
        <v>3</v>
      </c>
      <c r="T3" s="57" t="s">
        <v>172</v>
      </c>
      <c r="U3" s="58" t="s">
        <v>172</v>
      </c>
      <c r="V3" s="58" t="s">
        <v>172</v>
      </c>
      <c r="W3" s="58" t="s">
        <v>172</v>
      </c>
      <c r="X3" s="58" t="s">
        <v>172</v>
      </c>
      <c r="Y3" s="58" t="s">
        <v>173</v>
      </c>
      <c r="Z3" s="58" t="s">
        <v>173</v>
      </c>
      <c r="AA3" s="58" t="s">
        <v>172</v>
      </c>
      <c r="AB3" s="58" t="s">
        <v>173</v>
      </c>
      <c r="AC3" s="58" t="s">
        <v>173</v>
      </c>
      <c r="AD3" s="58" t="s">
        <v>173</v>
      </c>
      <c r="AE3" s="58" t="s">
        <v>173</v>
      </c>
      <c r="AF3" s="59" t="s">
        <v>173</v>
      </c>
      <c r="AG3" s="59" t="s">
        <v>172</v>
      </c>
      <c r="AH3" s="59" t="s">
        <v>173</v>
      </c>
      <c r="AI3" s="59" t="s">
        <v>172</v>
      </c>
      <c r="AJ3" s="59" t="s">
        <v>173</v>
      </c>
      <c r="AK3" s="59" t="s">
        <v>173</v>
      </c>
      <c r="AL3" s="59" t="s">
        <v>173</v>
      </c>
      <c r="AM3" s="59" t="s">
        <v>172</v>
      </c>
      <c r="AN3" s="59" t="s">
        <v>173</v>
      </c>
      <c r="AO3" s="59" t="s">
        <v>173</v>
      </c>
      <c r="AP3" s="59" t="s">
        <v>173</v>
      </c>
      <c r="AQ3" s="59" t="s">
        <v>173</v>
      </c>
      <c r="AR3" s="59" t="s">
        <v>173</v>
      </c>
      <c r="AS3" s="59" t="s">
        <v>173</v>
      </c>
      <c r="AT3" s="60">
        <v>0</v>
      </c>
      <c r="AU3" s="59" t="s">
        <v>727</v>
      </c>
      <c r="AV3" s="59" t="str">
        <f>IF(LEFT(A3,1)="[",LEFT(A3,5)&amp;AU3&amp;A3,"")</f>
        <v>[CKI]Historical, Colony[CKI] Cook Islands Federation</v>
      </c>
      <c r="AW3" s="59" t="str">
        <f>C3&amp;H3&amp;A3</f>
        <v>3[CKI] Cook Islands Federation</v>
      </c>
      <c r="AX3" s="61"/>
      <c r="AY3" s="61"/>
      <c r="AZ3" s="62" t="s">
        <v>192</v>
      </c>
      <c r="BA3" s="62"/>
      <c r="BB3" s="62"/>
      <c r="BC3" s="63"/>
      <c r="BD3" s="64" t="s">
        <v>408</v>
      </c>
      <c r="BE3" s="47"/>
      <c r="BF3" s="64" t="s">
        <v>152</v>
      </c>
      <c r="BG3" s="64" t="s">
        <v>159</v>
      </c>
      <c r="BH3" s="64" t="s">
        <v>154</v>
      </c>
      <c r="BI3" s="64"/>
      <c r="BJ3" s="64"/>
      <c r="BK3" s="47"/>
      <c r="BL3" s="64" t="s">
        <v>151</v>
      </c>
      <c r="BM3" s="64" t="s">
        <v>152</v>
      </c>
      <c r="BN3" s="64" t="s">
        <v>192</v>
      </c>
      <c r="BO3" s="64" t="s">
        <v>154</v>
      </c>
      <c r="BP3" s="64" t="s">
        <v>192</v>
      </c>
      <c r="BQ3" s="64" t="s">
        <v>192</v>
      </c>
      <c r="BR3" s="64" t="s">
        <v>192</v>
      </c>
      <c r="BS3" s="64" t="s">
        <v>192</v>
      </c>
      <c r="BT3" s="64" t="s">
        <v>159</v>
      </c>
      <c r="BU3" s="65"/>
      <c r="BV3" s="66"/>
      <c r="BW3" s="66">
        <v>0</v>
      </c>
      <c r="BX3" s="47"/>
      <c r="CB3" s="6"/>
      <c r="CC3" s="6"/>
      <c r="CD3" s="67">
        <v>0</v>
      </c>
      <c r="CE3" s="67">
        <v>0</v>
      </c>
      <c r="CF3" s="67" t="e">
        <v>#REF!</v>
      </c>
      <c r="CG3" s="68" cm="1">
        <f t="array" ref="CG3">SUMPRODUCT(--(LEN(TRIM(BL3:BT3))&gt;0))</f>
        <v>4</v>
      </c>
      <c r="CH3" s="59" t="str">
        <f t="shared" si="0"/>
        <v>n</v>
      </c>
      <c r="CI3" s="59" t="str">
        <f t="shared" si="1"/>
        <v>n</v>
      </c>
      <c r="CJ3" s="59" t="str">
        <f t="shared" si="2"/>
        <v>y</v>
      </c>
      <c r="CK3" s="59" t="str">
        <f t="shared" si="3"/>
        <v>n</v>
      </c>
      <c r="CL3" s="59" t="str">
        <f t="shared" si="4"/>
        <v>n</v>
      </c>
      <c r="CM3" s="59" t="str">
        <f t="shared" si="5"/>
        <v>n</v>
      </c>
      <c r="CN3" s="59" t="str">
        <f t="shared" si="6"/>
        <v>y</v>
      </c>
      <c r="CO3" s="59" t="str">
        <f t="shared" si="7"/>
        <v>n</v>
      </c>
      <c r="CP3" s="59" t="str">
        <f t="shared" si="8"/>
        <v>y</v>
      </c>
      <c r="CQ3" s="59" t="str">
        <f t="shared" si="9"/>
        <v>n</v>
      </c>
      <c r="CR3" s="59" t="str">
        <f t="shared" si="10"/>
        <v>n</v>
      </c>
      <c r="CS3" s="59" t="str">
        <f t="shared" si="11"/>
        <v>n</v>
      </c>
      <c r="CT3" s="69" t="str">
        <f t="shared" si="12"/>
        <v>"[CKI] Cook Islands Federation"</v>
      </c>
      <c r="CU3" s="70" t="str">
        <f t="shared" si="13"/>
        <v>"rgn_Oceania"</v>
      </c>
      <c r="CV3" s="48" t="str">
        <f t="shared" si="14"/>
        <v>"https://upload.wikimedia.org/wikipedia/commons/thumb/2/26/Flag_of_the_Cook_Islands_Federation.svg/640px-Flag_of_the_Cook_Islands_Federation.svg.png"</v>
      </c>
      <c r="CW3" s="48" t="str">
        <f t="shared" si="15"/>
        <v/>
      </c>
      <c r="CX3" s="48" t="str">
        <f t="shared" si="15"/>
        <v/>
      </c>
      <c r="CY3" s="48" t="str">
        <f t="shared" si="15"/>
        <v>"4Color",</v>
      </c>
      <c r="CZ3" s="48" t="str">
        <f t="shared" si="15"/>
        <v/>
      </c>
      <c r="DA3" s="48" t="str">
        <f t="shared" si="16"/>
        <v>"words2",</v>
      </c>
      <c r="DB3" s="48" t="str">
        <f t="shared" si="17"/>
        <v>"words3",</v>
      </c>
      <c r="DC3" s="48" t="str">
        <f t="shared" si="18"/>
        <v/>
      </c>
      <c r="DD3" s="48" t="str">
        <f t="shared" si="19"/>
        <v>"lets21",</v>
      </c>
      <c r="DE3" s="48" t="str">
        <f t="shared" si="20"/>
        <v>"startC",</v>
      </c>
      <c r="DF3" s="48" t="str">
        <f t="shared" si="21"/>
        <v/>
      </c>
      <c r="DG3" s="48" t="str">
        <f t="shared" si="22"/>
        <v/>
      </c>
      <c r="DH3" s="48" t="str">
        <f t="shared" si="23"/>
        <v/>
      </c>
      <c r="DI3" s="48" t="str">
        <f t="shared" si="24"/>
        <v/>
      </c>
      <c r="DJ3" s="48" t="str">
        <f t="shared" si="25"/>
        <v/>
      </c>
      <c r="DK3" s="48" t="str">
        <f t="shared" si="26"/>
        <v/>
      </c>
      <c r="DL3" s="48" t="str">
        <f t="shared" si="27"/>
        <v/>
      </c>
      <c r="DM3" s="48" t="str" cm="1">
        <f t="array" ref="DM3">IF(CG3=3,CHAR(34) &amp; _xlfn.TEXTJOIN("", TRUE, RIGHT(HP3:HX3, 2)) &amp; CHAR(34) &amp; ",", "")</f>
        <v/>
      </c>
      <c r="DN3" s="48" t="str">
        <f t="shared" si="28"/>
        <v>"year18",</v>
      </c>
      <c r="DO3" s="48" t="str">
        <f t="shared" si="29"/>
        <v/>
      </c>
      <c r="DP3" s="6" t="str">
        <f t="shared" si="30"/>
        <v/>
      </c>
      <c r="DQ3" s="6" t="str">
        <f t="shared" si="31"/>
        <v/>
      </c>
      <c r="DR3" s="6" t="str">
        <f t="shared" si="32"/>
        <v/>
      </c>
      <c r="DS3" s="6" t="str">
        <f t="shared" si="33"/>
        <v/>
      </c>
      <c r="DT3" s="6" t="str">
        <f t="shared" si="34"/>
        <v/>
      </c>
      <c r="DU3" s="6" t="str">
        <f t="shared" si="35"/>
        <v/>
      </c>
      <c r="DV3" s="48" t="str">
        <f t="shared" si="36"/>
        <v/>
      </c>
      <c r="DW3" s="48" t="str">
        <f t="shared" si="37"/>
        <v/>
      </c>
      <c r="DX3" s="48" t="str">
        <f t="shared" si="37"/>
        <v/>
      </c>
      <c r="DY3" s="48" t="str">
        <f t="shared" si="37"/>
        <v>"3Bands",</v>
      </c>
      <c r="DZ3" s="48" t="str">
        <f t="shared" si="37"/>
        <v/>
      </c>
      <c r="EA3" s="48" t="str">
        <f t="shared" si="38"/>
        <v>"Diagon",</v>
      </c>
      <c r="EB3" s="48" t="str">
        <f t="shared" si="38"/>
        <v>"Crosse",</v>
      </c>
      <c r="EC3" s="48" t="str">
        <f t="shared" si="38"/>
        <v>"Horizo",</v>
      </c>
      <c r="ED3" s="48" t="str">
        <f t="shared" si="38"/>
        <v>"Vertic",</v>
      </c>
      <c r="EE3" s="48" t="str">
        <f t="shared" si="38"/>
        <v>"Circle",</v>
      </c>
      <c r="EF3" s="48" t="str">
        <f t="shared" si="39"/>
        <v/>
      </c>
      <c r="EG3" s="48" t="str">
        <f t="shared" si="40"/>
        <v/>
      </c>
      <c r="EH3" s="48" t="str">
        <f t="shared" si="40"/>
        <v>"Plants",</v>
      </c>
      <c r="EI3" s="48" t="str">
        <f t="shared" si="40"/>
        <v/>
      </c>
      <c r="EJ3" s="48" t="str">
        <f t="shared" si="40"/>
        <v/>
      </c>
      <c r="EK3" s="48" t="str">
        <f t="shared" si="40"/>
        <v/>
      </c>
      <c r="EL3" s="48" t="str">
        <f t="shared" si="40"/>
        <v/>
      </c>
      <c r="EM3" s="48" t="str">
        <f t="shared" si="40"/>
        <v/>
      </c>
      <c r="EN3" s="48" t="str">
        <f t="shared" si="40"/>
        <v>"Unequa",</v>
      </c>
      <c r="EO3" s="48" t="str">
        <f t="shared" si="40"/>
        <v/>
      </c>
      <c r="EP3" s="48" t="str">
        <f t="shared" si="40"/>
        <v>"Canton",</v>
      </c>
      <c r="EQ3" s="48" t="str">
        <f t="shared" si="40"/>
        <v/>
      </c>
      <c r="ER3" s="48" t="str">
        <f t="shared" si="40"/>
        <v/>
      </c>
      <c r="ES3" s="48" t="str">
        <f t="shared" si="40"/>
        <v/>
      </c>
      <c r="ET3" s="48" t="str">
        <f t="shared" si="40"/>
        <v>"Geogrh",</v>
      </c>
      <c r="EU3" s="48" t="str">
        <f t="shared" si="40"/>
        <v/>
      </c>
      <c r="EV3" s="48" t="str">
        <f t="shared" si="40"/>
        <v/>
      </c>
      <c r="EW3" s="48" t="str">
        <f t="shared" si="40"/>
        <v/>
      </c>
      <c r="EX3" s="48" t="str">
        <f t="shared" si="40"/>
        <v/>
      </c>
      <c r="EY3" s="48" t="str">
        <f t="shared" si="40"/>
        <v/>
      </c>
      <c r="EZ3" s="48" t="str">
        <f t="shared" si="40"/>
        <v/>
      </c>
      <c r="FA3" s="48" t="str">
        <f t="shared" si="41"/>
        <v/>
      </c>
      <c r="FB3" s="48" t="str">
        <f t="shared" si="42"/>
        <v/>
      </c>
      <c r="FC3" s="48" t="str">
        <f t="shared" si="43"/>
        <v/>
      </c>
      <c r="FD3" s="48" t="str">
        <f t="shared" si="44"/>
        <v/>
      </c>
      <c r="FE3" s="48" t="str">
        <f t="shared" si="45"/>
        <v/>
      </c>
      <c r="FF3" s="48" t="str">
        <f t="shared" si="46"/>
        <v/>
      </c>
      <c r="FG3" s="48" t="str">
        <f t="shared" si="47"/>
        <v/>
      </c>
      <c r="FH3" s="48" t="str">
        <f t="shared" si="48"/>
        <v>"NO_GRE",</v>
      </c>
      <c r="FI3" s="48" t="str">
        <f t="shared" si="49"/>
        <v>"NO_YEL",</v>
      </c>
      <c r="FJ3" s="48" t="str">
        <f t="shared" si="50"/>
        <v/>
      </c>
      <c r="FK3" s="48" t="str">
        <f t="shared" si="51"/>
        <v/>
      </c>
      <c r="FL3" s="48" t="str">
        <f t="shared" si="52"/>
        <v/>
      </c>
      <c r="FM3" s="48" t="str">
        <f t="shared" si="53"/>
        <v/>
      </c>
      <c r="FN3" s="48" t="str">
        <f t="shared" si="54"/>
        <v/>
      </c>
      <c r="FO3" s="48" t="str">
        <f t="shared" si="55"/>
        <v/>
      </c>
      <c r="FP3" s="48" t="str">
        <f t="shared" si="56"/>
        <v/>
      </c>
      <c r="FQ3" s="48" t="str">
        <f t="shared" si="57"/>
        <v>"001BLU",</v>
      </c>
      <c r="FR3" s="48" t="str">
        <f t="shared" si="58"/>
        <v>"002WHI",</v>
      </c>
      <c r="FS3" s="48" t="str">
        <f t="shared" si="59"/>
        <v>"003RED",</v>
      </c>
      <c r="FT3" s="48" t="str">
        <f t="shared" si="60"/>
        <v>"myrEQ",</v>
      </c>
      <c r="FU3" s="48" t="str">
        <f t="shared" si="61"/>
        <v/>
      </c>
      <c r="FV3" s="48" t="str">
        <f t="shared" si="62"/>
        <v/>
      </c>
      <c r="FW3" s="48" t="str">
        <f t="shared" si="63"/>
        <v/>
      </c>
      <c r="FX3" s="48" t="str">
        <f t="shared" si="64"/>
        <v/>
      </c>
      <c r="FY3" s="48" t="str">
        <f t="shared" si="65"/>
        <v/>
      </c>
      <c r="FZ3" s="48" t="str">
        <f t="shared" si="66"/>
        <v/>
      </c>
      <c r="GA3" s="48" t="str">
        <f t="shared" si="67"/>
        <v/>
      </c>
      <c r="GB3" s="48" t="str">
        <f t="shared" si="68"/>
        <v/>
      </c>
      <c r="GC3" s="48" t="str">
        <f t="shared" si="69"/>
        <v/>
      </c>
      <c r="GD3" s="48" t="str">
        <f t="shared" si="70"/>
        <v/>
      </c>
      <c r="GE3" s="48" t="str">
        <f t="shared" si="71"/>
        <v/>
      </c>
      <c r="GF3" s="48" t="str">
        <f t="shared" si="72"/>
        <v>"histor",</v>
      </c>
      <c r="GG3" s="48" t="str">
        <f t="shared" si="73"/>
        <v/>
      </c>
      <c r="GH3" s="48" t="str">
        <f t="shared" si="74"/>
        <v/>
      </c>
      <c r="GI3" s="48" t="str">
        <f t="shared" si="75"/>
        <v/>
      </c>
      <c r="GJ3" s="48" t="str">
        <f t="shared" si="76"/>
        <v>"NoStar",</v>
      </c>
      <c r="GK3" s="48" t="str">
        <f t="shared" si="77"/>
        <v/>
      </c>
      <c r="GL3" s="48" t="str">
        <f t="shared" si="78"/>
        <v/>
      </c>
      <c r="GM3" s="48" t="str">
        <f t="shared" si="78"/>
        <v/>
      </c>
      <c r="GN3" s="48" t="str">
        <f t="shared" si="78"/>
        <v/>
      </c>
      <c r="GP3" s="48" t="str">
        <f t="shared" si="79"/>
        <v>"Historical, Colony"</v>
      </c>
      <c r="GS3" s="48" t="str">
        <f t="shared" si="80"/>
        <v>["4Color","words2","words3","lets21","startC","year18","3Bands","Diagon","Crosse","Horizo","Vertic","Circle","Plants","Unequa","Canton","Geogrh","NO_GRE","NO_YEL","001BLU","002WHI","003RED","myrEQ","histor","NoStar"]</v>
      </c>
      <c r="GT3" s="48" t="str">
        <f t="shared" si="81"/>
        <v>"cl_BLA",</v>
      </c>
      <c r="GU3" s="48" t="str">
        <f t="shared" si="81"/>
        <v>"cl_BLU",</v>
      </c>
      <c r="GV3" s="48" t="str">
        <f t="shared" si="81"/>
        <v/>
      </c>
      <c r="GW3" s="48" t="str">
        <f t="shared" si="81"/>
        <v>"cl_RED",</v>
      </c>
      <c r="GX3" s="48" t="str">
        <f t="shared" si="81"/>
        <v/>
      </c>
      <c r="GY3" s="48" t="str">
        <f t="shared" si="81"/>
        <v/>
      </c>
      <c r="GZ3" s="48" t="str">
        <f t="shared" si="81"/>
        <v/>
      </c>
      <c r="HA3" s="48" t="str">
        <f t="shared" si="81"/>
        <v/>
      </c>
      <c r="HB3" s="48" t="str">
        <f t="shared" si="81"/>
        <v>"cl_WHI",</v>
      </c>
      <c r="HC3" s="48" t="str">
        <f t="shared" si="82"/>
        <v>["cl_BLA","cl_BLU","cl_RED","cl_WHI"]</v>
      </c>
      <c r="HE3" s="71"/>
      <c r="HF3" s="72" t="str">
        <f t="shared" si="83"/>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links: "https://en.m.wikipedia.org/wiki/Cook_Islands_Federation"},</v>
      </c>
      <c r="HG3" s="73" t="str">
        <f t="shared" si="84"/>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links: "https://en.m.wikipedia.org/wiki/Cook_Islands_Federation"},</v>
      </c>
      <c r="HH3" s="48" t="str">
        <f t="shared" si="85"/>
        <v>"\nA horizontal triband of red, white, and red with the British Union Jack in the canton of the flag. The Union Jack has a palm tree superimposed on it. "</v>
      </c>
      <c r="HI3" s="48" t="str">
        <f t="shared" si="86"/>
        <v>"\nA horizontal triband of red, white, and red with the British Union Jack in the canton of the flag. The Union Jack has a palm tree superimposed on it. "</v>
      </c>
      <c r="HJ3" s="48" t="str">
        <f t="shared" si="87"/>
        <v>"1891"</v>
      </c>
      <c r="HL3" s="48" t="str">
        <f t="shared" si="88"/>
        <v>"https://en.m.wikipedia.org/wiki/Cook_Islands_Federation"</v>
      </c>
      <c r="HM3" s="72" t="str">
        <f t="shared" si="89"/>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 "links": "https://en.m.wikipedia.org/wiki/Cook_Islands_Federation"},</v>
      </c>
      <c r="HN3" s="74" t="str">
        <f t="shared" si="90"/>
        <v>{"couname":"[CKI] Cook Islands Federation","year":"1891","region":"rgn_Oceania","Colors":["cl_BLA","cl_BLU","cl_RED","cl_WHI"],"Items":["4Color","words2","words3","lets21","startC","year18","3Bands","Diagon","Crosse","Horizo","Vertic","Circle","Plants","Unequa","Canton","Geogrh","NO_GRE","NO_YEL","001BLU","002WHI","003RED","myrEQ","histor","NoStar"],"Flag":"https://upload.wikimedia.org/wikipedia/commons/thumb/2/26/Flag_of_the_Cook_Islands_Federation.svg/640px-Flag_of_the_Cook_Islands_Federation.svg.png","HDFlag":"https://upload.wikimedia.org/wikipedia/commons/thumb/2/26/Flag_of_the_Cook_Islands_Federation.svg/1280px-Flag_of_the_Cook_Islands_Federation.svg.png","type":"Historical, Colony", "describe": "\nA horizontal triband of red, white, and red with the British Union Jack in the canton of the flag. The Union Jack has a palm tree superimposed on it. ", "isnew": ".", "links": "https://en.m.wikipedia.org/wiki/Cook_Islands_Federation"},</v>
      </c>
      <c r="HO3" s="75">
        <v>45576</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si="91"/>
        <v>0</v>
      </c>
      <c r="IM3" s="45">
        <f t="shared" si="92"/>
        <v>-4</v>
      </c>
      <c r="IN3" s="78" t="str">
        <f t="shared" si="93"/>
        <v>http://mkweb.bcgsc.ca/color-summarizer/?url=https://upload.wikimedia.org/wikipedia/commons/thumb/2/26/Flag_of_the_Cook_Islands_Federation.svg/640px-Flag_of_the_Cook_Islands_Federation.svg.png&amp;precision=low&amp;num_clusters=4&amp;text=1</v>
      </c>
      <c r="IO3" s="48" t="str">
        <f t="shared" si="94"/>
        <v>"black"</v>
      </c>
      <c r="IP3" s="48" t="str">
        <f t="shared" si="95"/>
        <v>"blue"</v>
      </c>
      <c r="IQ3" s="48" t="str">
        <f t="shared" si="96"/>
        <v/>
      </c>
      <c r="IR3" s="48" t="str">
        <f t="shared" si="97"/>
        <v>"red"</v>
      </c>
      <c r="IS3" s="48" t="str">
        <f t="shared" si="98"/>
        <v/>
      </c>
      <c r="IT3" s="48" t="str">
        <f t="shared" si="99"/>
        <v/>
      </c>
      <c r="IU3" s="48" t="str">
        <f t="shared" si="100"/>
        <v/>
      </c>
      <c r="IV3" s="48" t="str">
        <f t="shared" si="101"/>
        <v/>
      </c>
      <c r="IW3" s="48" t="str">
        <f t="shared" si="102"/>
        <v>"white"</v>
      </c>
      <c r="IX3" s="48" t="str">
        <f t="shared" si="103"/>
        <v>{"url":"http://mkweb.bcgsc.ca/color-summarizer/?url=https://upload.wikimedia.org/wikipedia/commons/thumb/2/26/Flag_of_the_Cook_Islands_Federation.svg/640px-Flag_of_the_Cook_Islands_Federation.svg.png&amp;precision=low&amp;num_clusters=4&amp;text=1","name":"[CKI] Cook Islands Federation"},</v>
      </c>
      <c r="IY3" s="48">
        <v>844</v>
      </c>
    </row>
    <row r="4" spans="1:259" s="48" customFormat="1" ht="38.4" customHeight="1" thickBot="1" x14ac:dyDescent="0.35">
      <c r="A4" s="81" t="s">
        <v>728</v>
      </c>
      <c r="B4" s="40" t="e" vm="30">
        <v>#VALUE!</v>
      </c>
      <c r="C4" s="41">
        <v>3</v>
      </c>
      <c r="D4" s="42" t="s">
        <v>729</v>
      </c>
      <c r="E4" s="43" t="s">
        <v>730</v>
      </c>
      <c r="F4" s="44" t="s">
        <v>166</v>
      </c>
      <c r="G4" s="45">
        <f>COUNTIF($A$1:$A$8270,A4)</f>
        <v>1</v>
      </c>
      <c r="H4" s="46"/>
      <c r="I4" s="47" t="s">
        <v>731</v>
      </c>
      <c r="J4" s="48" t="str">
        <f>""</f>
        <v/>
      </c>
      <c r="K4" s="49"/>
      <c r="L4" s="50"/>
      <c r="M4" s="50"/>
      <c r="N4" s="51" t="s">
        <v>169</v>
      </c>
      <c r="O4" s="52">
        <v>1858</v>
      </c>
      <c r="P4" s="53" t="s">
        <v>732</v>
      </c>
      <c r="Q4" s="54">
        <v>5</v>
      </c>
      <c r="R4" s="55" t="s">
        <v>169</v>
      </c>
      <c r="S4" s="56">
        <v>3</v>
      </c>
      <c r="T4" s="57" t="s">
        <v>173</v>
      </c>
      <c r="U4" s="58" t="s">
        <v>173</v>
      </c>
      <c r="V4" s="58" t="s">
        <v>172</v>
      </c>
      <c r="W4" s="58" t="s">
        <v>173</v>
      </c>
      <c r="X4" s="58" t="s">
        <v>173</v>
      </c>
      <c r="Y4" s="58" t="s">
        <v>173</v>
      </c>
      <c r="Z4" s="58" t="s">
        <v>173</v>
      </c>
      <c r="AA4" s="58" t="s">
        <v>173</v>
      </c>
      <c r="AB4" s="58" t="s">
        <v>173</v>
      </c>
      <c r="AC4" s="58" t="s">
        <v>173</v>
      </c>
      <c r="AD4" s="58" t="s">
        <v>173</v>
      </c>
      <c r="AE4" s="58" t="s">
        <v>173</v>
      </c>
      <c r="AF4" s="59" t="s">
        <v>173</v>
      </c>
      <c r="AG4" s="59" t="s">
        <v>172</v>
      </c>
      <c r="AH4" s="59" t="s">
        <v>173</v>
      </c>
      <c r="AI4" s="59" t="s">
        <v>173</v>
      </c>
      <c r="AJ4" s="59" t="s">
        <v>173</v>
      </c>
      <c r="AK4" s="59" t="s">
        <v>173</v>
      </c>
      <c r="AL4" s="59" t="s">
        <v>173</v>
      </c>
      <c r="AM4" s="59" t="s">
        <v>173</v>
      </c>
      <c r="AN4" s="59" t="s">
        <v>173</v>
      </c>
      <c r="AO4" s="59" t="s">
        <v>173</v>
      </c>
      <c r="AP4" s="59" t="s">
        <v>173</v>
      </c>
      <c r="AQ4" s="59" t="s">
        <v>173</v>
      </c>
      <c r="AR4" s="59" t="s">
        <v>173</v>
      </c>
      <c r="AS4" s="59" t="s">
        <v>173</v>
      </c>
      <c r="AT4" s="60">
        <v>3</v>
      </c>
      <c r="AU4" s="59" t="s">
        <v>733</v>
      </c>
      <c r="AV4" s="59" t="str">
        <f>IF(LEFT(A4,1)="[",LEFT(A4,5)&amp;AU4&amp;A4,"")</f>
        <v>[CKI]Historical, Country[CKI] Kingdom of Rarotonga (1858-1888)</v>
      </c>
      <c r="AW4" s="59" t="str">
        <f>C4&amp;H4&amp;A4</f>
        <v>3[CKI] Kingdom of Rarotonga (1858-1888)</v>
      </c>
      <c r="AX4" s="61"/>
      <c r="AY4" s="61"/>
      <c r="AZ4" s="62" t="s">
        <v>192</v>
      </c>
      <c r="BA4" s="62" t="s">
        <v>192</v>
      </c>
      <c r="BB4" s="62"/>
      <c r="BC4" s="63"/>
      <c r="BD4" s="64" t="s">
        <v>159</v>
      </c>
      <c r="BE4" s="47"/>
      <c r="BF4" s="64"/>
      <c r="BG4" s="64" t="s">
        <v>192</v>
      </c>
      <c r="BH4" s="64"/>
      <c r="BI4" s="64"/>
      <c r="BJ4" s="64"/>
      <c r="BK4" s="47"/>
      <c r="BL4" s="64" t="s">
        <v>192</v>
      </c>
      <c r="BM4" s="64" t="s">
        <v>152</v>
      </c>
      <c r="BN4" s="64" t="s">
        <v>192</v>
      </c>
      <c r="BO4" s="64" t="s">
        <v>192</v>
      </c>
      <c r="BP4" s="64" t="s">
        <v>155</v>
      </c>
      <c r="BQ4" s="64" t="s">
        <v>192</v>
      </c>
      <c r="BR4" s="64" t="s">
        <v>157</v>
      </c>
      <c r="BS4" s="64" t="s">
        <v>192</v>
      </c>
      <c r="BT4" s="64" t="s">
        <v>159</v>
      </c>
      <c r="BU4" s="65"/>
      <c r="BV4" s="66"/>
      <c r="BW4" s="66">
        <v>0</v>
      </c>
      <c r="BX4" s="47"/>
      <c r="BY4" s="48" t="s">
        <v>172</v>
      </c>
      <c r="CB4" s="6"/>
      <c r="CC4" s="6"/>
      <c r="CD4" s="67">
        <v>0</v>
      </c>
      <c r="CE4" s="67">
        <v>0</v>
      </c>
      <c r="CF4" s="67" t="e">
        <v>#REF!</v>
      </c>
      <c r="CG4" s="68" cm="1">
        <f t="array" ref="CG4">SUMPRODUCT(--(LEN(TRIM(BL4:BT4))&gt;0))</f>
        <v>4</v>
      </c>
      <c r="CH4" s="59" t="str">
        <f t="shared" si="0"/>
        <v>n</v>
      </c>
      <c r="CI4" s="59" t="str">
        <f t="shared" si="1"/>
        <v>n</v>
      </c>
      <c r="CJ4" s="59" t="str">
        <f t="shared" si="2"/>
        <v>y</v>
      </c>
      <c r="CK4" s="59" t="str">
        <f t="shared" si="3"/>
        <v>n</v>
      </c>
      <c r="CL4" s="59" t="str">
        <f t="shared" si="4"/>
        <v>n</v>
      </c>
      <c r="CM4" s="59" t="str">
        <f t="shared" si="5"/>
        <v>n</v>
      </c>
      <c r="CN4" s="59" t="str">
        <f t="shared" si="6"/>
        <v>y</v>
      </c>
      <c r="CO4" s="59" t="str">
        <f t="shared" si="7"/>
        <v>n</v>
      </c>
      <c r="CP4" s="59" t="str">
        <f t="shared" si="8"/>
        <v>n</v>
      </c>
      <c r="CQ4" s="59" t="str">
        <f t="shared" si="9"/>
        <v>n</v>
      </c>
      <c r="CR4" s="59" t="str">
        <f t="shared" si="10"/>
        <v>n</v>
      </c>
      <c r="CS4" s="59" t="str">
        <f t="shared" si="11"/>
        <v>y</v>
      </c>
      <c r="CT4" s="69" t="str">
        <f t="shared" si="12"/>
        <v>"[CKI] Kingdom of Rarotonga (1858-1888)"</v>
      </c>
      <c r="CU4" s="70" t="str">
        <f t="shared" si="13"/>
        <v>"rgn_Oceania"</v>
      </c>
      <c r="CV4" s="48" t="str">
        <f t="shared" si="14"/>
        <v>"https://upload.wikimedia.org/wikipedia/commons/thumb/c/c3/Flag_of_Rarotonga_1858-1888.svg/640px-Flag_of_Rarotonga_1858-1888.svg.png"</v>
      </c>
      <c r="CW4" s="48" t="str">
        <f t="shared" si="15"/>
        <v/>
      </c>
      <c r="CX4" s="48" t="str">
        <f t="shared" si="15"/>
        <v/>
      </c>
      <c r="CY4" s="48" t="str">
        <f t="shared" si="15"/>
        <v>"4Color",</v>
      </c>
      <c r="CZ4" s="48" t="str">
        <f t="shared" si="15"/>
        <v/>
      </c>
      <c r="DA4" s="48" t="str">
        <f t="shared" si="16"/>
        <v>"words2",</v>
      </c>
      <c r="DB4" s="48" t="str">
        <f t="shared" si="17"/>
        <v>"words3",</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"lets28",</v>
      </c>
      <c r="DE4" s="48" t="str">
        <f>CHAR(34)&amp;"start"&amp;IFERROR(LEFT(SUBSTITUTE(A4,"["&amp;MID(A4,FIND("[",A4)+1,FIND("]",A4)-FIND("[",A4)-1)&amp;"] ",""),1),LEFT(A4,1))&amp;CHAR(34)&amp;","</f>
        <v>"startK",</v>
      </c>
      <c r="DF4" s="48" t="str">
        <f t="shared" si="21"/>
        <v/>
      </c>
      <c r="DG4" s="48" t="str">
        <f t="shared" si="22"/>
        <v/>
      </c>
      <c r="DH4" s="48" t="str">
        <f t="shared" si="23"/>
        <v/>
      </c>
      <c r="DI4" s="48" t="str">
        <f t="shared" si="24"/>
        <v/>
      </c>
      <c r="DJ4" s="48" t="str">
        <f t="shared" si="25"/>
        <v/>
      </c>
      <c r="DK4" s="48" t="str">
        <f t="shared" si="26"/>
        <v/>
      </c>
      <c r="DL4" s="48" t="str">
        <f t="shared" si="27"/>
        <v/>
      </c>
      <c r="DM4" s="48" t="str" cm="1">
        <f t="array" ref="DM4">IF(CG4=3,CHAR(34) &amp; _xlfn.TEXTJOIN("", TRUE, RIGHT(HP4:HX4, 2)) &amp; CHAR(34) &amp; ",", "")</f>
        <v/>
      </c>
      <c r="DN4" s="48" t="str">
        <f t="shared" si="28"/>
        <v>"year18",</v>
      </c>
      <c r="DO4" s="48" t="str">
        <f t="shared" si="29"/>
        <v/>
      </c>
      <c r="DP4" s="6" t="str">
        <f t="shared" si="30"/>
        <v/>
      </c>
      <c r="DQ4" s="6" t="str">
        <f t="shared" si="31"/>
        <v/>
      </c>
      <c r="DR4" s="6" t="str">
        <f t="shared" si="32"/>
        <v>"dgband",</v>
      </c>
      <c r="DS4" s="6" t="str">
        <f t="shared" si="33"/>
        <v/>
      </c>
      <c r="DT4" s="6" t="str">
        <f t="shared" si="34"/>
        <v/>
      </c>
      <c r="DU4" s="6" t="str">
        <f t="shared" si="35"/>
        <v/>
      </c>
      <c r="DW4" s="48" t="str">
        <f t="shared" si="37"/>
        <v/>
      </c>
      <c r="DX4" s="48" t="str">
        <f t="shared" si="37"/>
        <v/>
      </c>
      <c r="DY4" s="48" t="str">
        <f t="shared" si="37"/>
        <v>"3Bands",</v>
      </c>
      <c r="DZ4" s="48" t="str">
        <f t="shared" si="37"/>
        <v/>
      </c>
      <c r="EA4" s="48" t="str">
        <f t="shared" si="38"/>
        <v/>
      </c>
      <c r="EB4" s="48" t="str">
        <f t="shared" si="38"/>
        <v/>
      </c>
      <c r="EC4" s="48" t="str">
        <f t="shared" si="38"/>
        <v>"Horizo",</v>
      </c>
      <c r="ED4" s="48" t="str">
        <f t="shared" si="38"/>
        <v/>
      </c>
      <c r="EE4" s="48" t="str">
        <f t="shared" si="38"/>
        <v/>
      </c>
      <c r="EF4" s="48" t="str">
        <f t="shared" si="39"/>
        <v/>
      </c>
      <c r="EG4" s="48" t="str">
        <f t="shared" si="40"/>
        <v/>
      </c>
      <c r="EH4" s="48" t="str">
        <f t="shared" si="40"/>
        <v/>
      </c>
      <c r="EI4" s="48" t="str">
        <f t="shared" si="40"/>
        <v/>
      </c>
      <c r="EJ4" s="48" t="str">
        <f t="shared" si="40"/>
        <v/>
      </c>
      <c r="EK4" s="48" t="str">
        <f t="shared" si="40"/>
        <v/>
      </c>
      <c r="EL4" s="48" t="str">
        <f t="shared" si="40"/>
        <v/>
      </c>
      <c r="EM4" s="48" t="str">
        <f t="shared" si="40"/>
        <v/>
      </c>
      <c r="EN4" s="48" t="str">
        <f t="shared" si="40"/>
        <v>"Unequa",</v>
      </c>
      <c r="EO4" s="48" t="str">
        <f t="shared" si="40"/>
        <v/>
      </c>
      <c r="EP4" s="48" t="str">
        <f t="shared" si="40"/>
        <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 t="shared" si="41"/>
        <v>"sta",</v>
      </c>
      <c r="FB4" s="48" t="str">
        <f t="shared" si="42"/>
        <v/>
      </c>
      <c r="FD4" s="48" t="str">
        <f t="shared" si="44"/>
        <v/>
      </c>
      <c r="FE4" s="48" t="str">
        <f t="shared" si="45"/>
        <v/>
      </c>
      <c r="FF4" s="48" t="str">
        <f t="shared" si="46"/>
        <v/>
      </c>
      <c r="FG4" s="48" t="str">
        <f t="shared" si="47"/>
        <v>"NO_RED",</v>
      </c>
      <c r="FH4" s="48" t="str">
        <f t="shared" si="48"/>
        <v>"NO_GRE",</v>
      </c>
      <c r="FI4" s="48" t="str">
        <f t="shared" si="49"/>
        <v/>
      </c>
      <c r="FJ4" s="48" t="str">
        <f t="shared" si="50"/>
        <v>"NO_BLA",</v>
      </c>
      <c r="FK4" s="48" t="str">
        <f t="shared" si="51"/>
        <v/>
      </c>
      <c r="FL4" s="48" t="str">
        <f t="shared" si="52"/>
        <v/>
      </c>
      <c r="FM4" s="48" t="str">
        <f t="shared" si="53"/>
        <v/>
      </c>
      <c r="FN4" s="48" t="str">
        <f t="shared" si="54"/>
        <v/>
      </c>
      <c r="FO4" s="48" t="str">
        <f t="shared" si="55"/>
        <v/>
      </c>
      <c r="FP4" s="48" t="str">
        <f t="shared" si="56"/>
        <v/>
      </c>
      <c r="FQ4" s="48" t="str">
        <f t="shared" si="57"/>
        <v/>
      </c>
      <c r="FR4" s="48" t="str">
        <f t="shared" si="58"/>
        <v/>
      </c>
      <c r="FS4" s="48" t="str">
        <f t="shared" si="59"/>
        <v/>
      </c>
      <c r="FT4" s="48" t="str">
        <f t="shared" si="60"/>
        <v>"myrWHI",</v>
      </c>
      <c r="FU4" s="48" t="str">
        <f t="shared" si="61"/>
        <v/>
      </c>
      <c r="FV4" s="48" t="str">
        <f t="shared" si="62"/>
        <v/>
      </c>
      <c r="FW4" s="48" t="str">
        <f t="shared" si="63"/>
        <v/>
      </c>
      <c r="FY4" s="48" t="str">
        <f t="shared" si="65"/>
        <v/>
      </c>
      <c r="FZ4" s="48" t="str">
        <f t="shared" si="66"/>
        <v/>
      </c>
      <c r="GA4" s="48" t="str">
        <f t="shared" si="67"/>
        <v/>
      </c>
      <c r="GB4" s="48" t="str">
        <f t="shared" si="68"/>
        <v/>
      </c>
      <c r="GE4" s="48" t="str">
        <f t="shared" si="71"/>
        <v/>
      </c>
      <c r="GF4" s="48" t="str">
        <f t="shared" si="72"/>
        <v>"histor",</v>
      </c>
      <c r="GG4" s="48" t="str">
        <f t="shared" si="73"/>
        <v/>
      </c>
      <c r="GH4" s="48" t="str">
        <f t="shared" si="74"/>
        <v/>
      </c>
      <c r="GI4" s="48" t="str">
        <f t="shared" si="75"/>
        <v/>
      </c>
      <c r="GJ4" s="48" t="str">
        <f t="shared" si="76"/>
        <v/>
      </c>
      <c r="GK4" s="48" t="str">
        <f t="shared" si="77"/>
        <v>"HasSta",</v>
      </c>
      <c r="GL4" s="48" t="str">
        <f t="shared" si="78"/>
        <v/>
      </c>
      <c r="GM4" s="48" t="str">
        <f t="shared" si="78"/>
        <v/>
      </c>
      <c r="GN4" s="48" t="str">
        <f t="shared" si="78"/>
        <v>"3+Star",</v>
      </c>
      <c r="GP4" s="48" t="str">
        <f t="shared" si="79"/>
        <v>"Historical, Country"</v>
      </c>
      <c r="GS4" s="48" t="str">
        <f t="shared" si="80"/>
        <v>["4Color","words2","words3","lets28","startK","year18","dgband","3Bands","Horizo","Unequa","sta","NO_RED","NO_GRE","NO_BLA","myrWHI","histor","HasSta","3+Star"]</v>
      </c>
      <c r="GT4" s="48" t="str">
        <f t="shared" si="81"/>
        <v/>
      </c>
      <c r="GU4" s="48" t="str">
        <f t="shared" si="81"/>
        <v>"cl_BLU",</v>
      </c>
      <c r="GV4" s="48" t="str">
        <f t="shared" si="81"/>
        <v/>
      </c>
      <c r="GW4" s="48" t="str">
        <f t="shared" si="81"/>
        <v/>
      </c>
      <c r="GX4" s="48" t="str">
        <f t="shared" si="81"/>
        <v>"cl_YEL",</v>
      </c>
      <c r="GY4" s="48" t="str">
        <f t="shared" si="81"/>
        <v/>
      </c>
      <c r="GZ4" s="48" t="str">
        <f t="shared" si="81"/>
        <v>"cl_BRO",</v>
      </c>
      <c r="HA4" s="48" t="str">
        <f t="shared" si="81"/>
        <v/>
      </c>
      <c r="HB4" s="48" t="str">
        <f t="shared" si="81"/>
        <v>"cl_WHI",</v>
      </c>
      <c r="HC4" s="48" t="str">
        <f t="shared" si="82"/>
        <v>["cl_BLU","cl_YEL","cl_BRO","cl_WHI"]</v>
      </c>
      <c r="HE4" s="71"/>
      <c r="HF4" s="72" t="str">
        <f t="shared" si="83"/>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links: "https://en.m.wikipedia.org/wiki/Kingdom_of_Rarotonga"},</v>
      </c>
      <c r="HG4" s="73" t="str">
        <f t="shared" si="84"/>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links: "https://en.m.wikipedia.org/wiki/Kingdom_of_Rarotonga"},</v>
      </c>
      <c r="HH4" s="48" t="str">
        <f t="shared" si="85"/>
        <v>"\nA horizontal triband of red, white, and red with three blue stars on the white band."</v>
      </c>
      <c r="HI4" s="48" t="str">
        <f t="shared" si="86"/>
        <v>"\nA horizontal triband of red, white, and red with three blue stars on the white band."</v>
      </c>
      <c r="HJ4" s="48" t="str">
        <f t="shared" si="87"/>
        <v>"1858"</v>
      </c>
      <c r="HL4" s="48" t="str">
        <f t="shared" si="88"/>
        <v>"https://en.m.wikipedia.org/wiki/Kingdom_of_Rarotonga"</v>
      </c>
      <c r="HM4" s="72" t="str">
        <f t="shared" si="89"/>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 "links": "https://en.m.wikipedia.org/wiki/Kingdom_of_Rarotonga"},</v>
      </c>
      <c r="HN4" s="74" t="str">
        <f t="shared" si="90"/>
        <v>{"couname":"[CKI] Kingdom of Rarotonga (1858-1888)","year":"1858","region":"rgn_Oceania","Colors":["cl_BLU","cl_YEL","cl_BRO","cl_WHI"],"Items":["4Color","words2","words3","lets28","startK","year18","dgband","3Bands","Horizo","Unequa","sta","NO_RED","NO_GRE","NO_BLA","myrWHI","histor","HasSta","3+Star"],"Flag":"https://upload.wikimedia.org/wikipedia/commons/thumb/c/c3/Flag_of_Rarotonga_1858-1888.svg/640px-Flag_of_Rarotonga_1858-1888.svg.png","HDFlag":"https://upload.wikimedia.org/wikipedia/commons/thumb/c/c3/Flag_of_Rarotonga_1858-1888.svg/1280px-Flag_of_Rarotonga_1858-1888.svg.png","type":"Historical, Country", "describe": "\nA horizontal triband of red, white, and red with three blue stars on the white band.", "isnew": ".", "links": "https://en.m.wikipedia.org/wiki/Kingdom_of_Rarotonga"},</v>
      </c>
      <c r="HO4" s="75">
        <v>45610</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92"/>
        <v>-4</v>
      </c>
      <c r="IN4" s="78" t="str">
        <f t="shared" si="93"/>
        <v>http://mkweb.bcgsc.ca/color-summarizer/?url=https://upload.wikimedia.org/wikipedia/commons/thumb/c/c3/Flag_of_Rarotonga_1858-1888.svg/640px-Flag_of_Rarotonga_1858-1888.svg.png&amp;precision=low&amp;num_clusters=4&amp;text=1</v>
      </c>
      <c r="IO4" s="48" t="str">
        <f t="shared" si="94"/>
        <v/>
      </c>
      <c r="IP4" s="48" t="str">
        <f t="shared" si="95"/>
        <v>"blue"</v>
      </c>
      <c r="IQ4" s="48" t="str">
        <f t="shared" si="96"/>
        <v/>
      </c>
      <c r="IR4" s="48" t="str">
        <f t="shared" si="97"/>
        <v/>
      </c>
      <c r="IS4" s="48" t="str">
        <f t="shared" si="98"/>
        <v>"yellow"</v>
      </c>
      <c r="IT4" s="48" t="str">
        <f t="shared" si="99"/>
        <v/>
      </c>
      <c r="IU4" s="48" t="str">
        <f t="shared" si="100"/>
        <v>"brown"</v>
      </c>
      <c r="IV4" s="48" t="str">
        <f t="shared" si="101"/>
        <v/>
      </c>
      <c r="IW4" s="48" t="str">
        <f t="shared" si="102"/>
        <v>"white"</v>
      </c>
      <c r="IX4" s="48" t="str">
        <f t="shared" si="103"/>
        <v>{"url":"http://mkweb.bcgsc.ca/color-summarizer/?url=https://upload.wikimedia.org/wikipedia/commons/thumb/c/c3/Flag_of_Rarotonga_1858-1888.svg/640px-Flag_of_Rarotonga_1858-1888.svg.png&amp;precision=low&amp;num_clusters=4&amp;text=1","name":"[CKI] Kingdom of Rarotonga (1858-1888)"},</v>
      </c>
      <c r="IY4" s="48">
        <v>1430</v>
      </c>
    </row>
    <row r="5" spans="1:259" s="48" customFormat="1" ht="38.4" customHeight="1" thickBot="1" x14ac:dyDescent="0.35">
      <c r="A5" s="81" t="s">
        <v>734</v>
      </c>
      <c r="B5" s="40" t="e" vm="31">
        <v>#VALUE!</v>
      </c>
      <c r="C5" s="41">
        <v>3</v>
      </c>
      <c r="D5" s="42" t="s">
        <v>735</v>
      </c>
      <c r="E5" s="43" t="s">
        <v>736</v>
      </c>
      <c r="F5" s="44" t="s">
        <v>166</v>
      </c>
      <c r="G5" s="45">
        <f>COUNTIF($A$1:$A$8270,A5)</f>
        <v>1</v>
      </c>
      <c r="H5" s="46"/>
      <c r="I5" s="47" t="s">
        <v>731</v>
      </c>
      <c r="J5" s="48" t="str">
        <f>""</f>
        <v/>
      </c>
      <c r="K5" s="49"/>
      <c r="L5" s="50"/>
      <c r="M5" s="50"/>
      <c r="N5" s="51" t="s">
        <v>169</v>
      </c>
      <c r="O5" s="52">
        <v>1888</v>
      </c>
      <c r="P5" s="53" t="s">
        <v>737</v>
      </c>
      <c r="Q5" s="54">
        <v>5</v>
      </c>
      <c r="R5" s="55" t="s">
        <v>169</v>
      </c>
      <c r="S5" s="56">
        <v>3</v>
      </c>
      <c r="T5" s="57" t="s">
        <v>172</v>
      </c>
      <c r="U5" s="58" t="s">
        <v>172</v>
      </c>
      <c r="V5" s="58" t="s">
        <v>172</v>
      </c>
      <c r="W5" s="58" t="s">
        <v>172</v>
      </c>
      <c r="X5" s="58" t="s">
        <v>173</v>
      </c>
      <c r="Y5" s="58" t="s">
        <v>173</v>
      </c>
      <c r="Z5" s="58" t="s">
        <v>173</v>
      </c>
      <c r="AA5" s="58" t="s">
        <v>173</v>
      </c>
      <c r="AB5" s="58" t="s">
        <v>173</v>
      </c>
      <c r="AC5" s="58" t="s">
        <v>173</v>
      </c>
      <c r="AD5" s="58" t="s">
        <v>173</v>
      </c>
      <c r="AE5" s="58" t="s">
        <v>173</v>
      </c>
      <c r="AF5" s="59" t="s">
        <v>173</v>
      </c>
      <c r="AG5" s="59" t="s">
        <v>172</v>
      </c>
      <c r="AH5" s="59" t="s">
        <v>173</v>
      </c>
      <c r="AI5" s="59" t="s">
        <v>172</v>
      </c>
      <c r="AJ5" s="59" t="s">
        <v>173</v>
      </c>
      <c r="AK5" s="59" t="s">
        <v>173</v>
      </c>
      <c r="AL5" s="59" t="s">
        <v>173</v>
      </c>
      <c r="AM5" s="59" t="s">
        <v>173</v>
      </c>
      <c r="AN5" s="59" t="s">
        <v>173</v>
      </c>
      <c r="AO5" s="59" t="s">
        <v>173</v>
      </c>
      <c r="AP5" s="59" t="s">
        <v>173</v>
      </c>
      <c r="AQ5" s="59" t="s">
        <v>173</v>
      </c>
      <c r="AR5" s="59" t="s">
        <v>173</v>
      </c>
      <c r="AS5" s="59" t="s">
        <v>173</v>
      </c>
      <c r="AT5" s="60">
        <v>3</v>
      </c>
      <c r="AU5" s="59" t="s">
        <v>738</v>
      </c>
      <c r="AV5" s="59" t="str">
        <f>IF(LEFT(A5,1)="[",LEFT(A5,5)&amp;AU5&amp;A5,"")</f>
        <v>[CKI]Historical, Protectorate[CKI] Kingdom of Rarotonga (1888-1893)</v>
      </c>
      <c r="AW5" s="59" t="str">
        <f>C5&amp;H5&amp;A5</f>
        <v>3[CKI] Kingdom of Rarotonga (1888-1893)</v>
      </c>
      <c r="AX5" s="61" t="str">
        <f>_xlfn.TEXTJOIN(";",TRUE,AU5:AW5)</f>
        <v>Historical, Protectorate;[CKI]Historical, Protectorate[CKI] Kingdom of Rarotonga (1888-1893);3[CKI] Kingdom of Rarotonga (1888-1893)</v>
      </c>
      <c r="AY5" s="61"/>
      <c r="AZ5" s="62" t="s">
        <v>159</v>
      </c>
      <c r="BA5" s="62"/>
      <c r="BB5" s="62"/>
      <c r="BC5" s="63"/>
      <c r="BD5" s="64" t="s">
        <v>408</v>
      </c>
      <c r="BE5" s="47"/>
      <c r="BF5" s="64" t="s">
        <v>155</v>
      </c>
      <c r="BG5" s="64" t="s">
        <v>152</v>
      </c>
      <c r="BH5" s="64" t="s">
        <v>154</v>
      </c>
      <c r="BI5" s="64"/>
      <c r="BJ5" s="64"/>
      <c r="BK5" s="47"/>
      <c r="BL5" s="64" t="s">
        <v>155</v>
      </c>
      <c r="BM5" s="64" t="s">
        <v>152</v>
      </c>
      <c r="BN5" s="64" t="s">
        <v>154</v>
      </c>
      <c r="BO5" s="64" t="s">
        <v>159</v>
      </c>
      <c r="BP5" s="64"/>
      <c r="BQ5" s="64"/>
      <c r="BR5" s="64"/>
      <c r="BS5" s="64"/>
      <c r="BT5" s="64"/>
      <c r="BU5" s="65"/>
      <c r="BV5" s="66" t="s">
        <v>172</v>
      </c>
      <c r="BW5" s="66" t="s">
        <v>631</v>
      </c>
      <c r="BX5" s="47"/>
      <c r="CB5" s="6" t="s">
        <v>138</v>
      </c>
      <c r="CC5" s="6"/>
      <c r="CD5" s="67">
        <v>0</v>
      </c>
      <c r="CE5" s="67">
        <v>0</v>
      </c>
      <c r="CF5" s="67" t="e">
        <v>#REF!</v>
      </c>
      <c r="CG5" s="68" cm="1">
        <f t="array" ref="CG5">SUMPRODUCT(--(LEN(TRIM(BL5:BT5))&gt;0))</f>
        <v>4</v>
      </c>
      <c r="CH5" s="59" t="str">
        <f t="shared" si="0"/>
        <v>n</v>
      </c>
      <c r="CI5" s="59" t="str">
        <f t="shared" si="1"/>
        <v>n</v>
      </c>
      <c r="CJ5" s="59" t="str">
        <f t="shared" si="2"/>
        <v>y</v>
      </c>
      <c r="CK5" s="59" t="str">
        <f t="shared" si="3"/>
        <v>n</v>
      </c>
      <c r="CL5" s="59" t="str">
        <f t="shared" si="4"/>
        <v>n</v>
      </c>
      <c r="CM5" s="59" t="str">
        <f t="shared" si="5"/>
        <v>n</v>
      </c>
      <c r="CN5" s="59" t="str">
        <f t="shared" si="6"/>
        <v>y</v>
      </c>
      <c r="CO5" s="59" t="str">
        <f t="shared" si="7"/>
        <v>n</v>
      </c>
      <c r="CP5" s="59" t="str">
        <f t="shared" si="8"/>
        <v>n</v>
      </c>
      <c r="CQ5" s="59" t="str">
        <f t="shared" si="9"/>
        <v>n</v>
      </c>
      <c r="CR5" s="59" t="str">
        <f t="shared" si="10"/>
        <v>n</v>
      </c>
      <c r="CS5" s="59" t="str">
        <f t="shared" si="11"/>
        <v>y</v>
      </c>
      <c r="CT5" s="69" t="str">
        <f t="shared" si="12"/>
        <v>"[CKI] Kingdom of Rarotonga (1888-1893)"</v>
      </c>
      <c r="CU5" s="70" t="str">
        <f t="shared" si="13"/>
        <v>"rgn_Oceania"</v>
      </c>
      <c r="CV5" s="48" t="str">
        <f t="shared" si="14"/>
        <v>"https://upload.wikimedia.org/wikipedia/commons/thumb/b/b7/Flag_of_Rarotonga_1888-1893.svg/640px-Flag_of_Rarotonga_1888-1893.svg.png"</v>
      </c>
      <c r="CW5" s="48" t="str">
        <f t="shared" si="15"/>
        <v/>
      </c>
      <c r="CX5" s="48" t="str">
        <f t="shared" si="15"/>
        <v/>
      </c>
      <c r="CY5" s="48" t="str">
        <f t="shared" si="15"/>
        <v>"4Color",</v>
      </c>
      <c r="CZ5" s="48" t="str">
        <f t="shared" si="15"/>
        <v/>
      </c>
      <c r="DA5" s="48" t="str">
        <f t="shared" si="16"/>
        <v>"words2",</v>
      </c>
      <c r="DB5" s="48" t="str">
        <f t="shared" si="17"/>
        <v>"words3",</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"lets18",</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"startK",</v>
      </c>
      <c r="DF5" s="48" t="str">
        <f t="shared" si="21"/>
        <v/>
      </c>
      <c r="DG5" s="48" t="str">
        <f t="shared" si="22"/>
        <v/>
      </c>
      <c r="DH5" s="48" t="str">
        <f t="shared" si="23"/>
        <v/>
      </c>
      <c r="DI5" s="48" t="str">
        <f t="shared" si="24"/>
        <v/>
      </c>
      <c r="DJ5" s="48" t="str">
        <f t="shared" si="25"/>
        <v/>
      </c>
      <c r="DK5" s="48" t="str">
        <f t="shared" si="26"/>
        <v/>
      </c>
      <c r="DL5" s="48" t="str">
        <f t="shared" si="27"/>
        <v/>
      </c>
      <c r="DM5" s="48" t="str" cm="1">
        <f t="array" ref="DM5">IF(CG5=3,CHAR(34) &amp; _xlfn.TEXTJOIN("", TRUE, RIGHT(HP5:HX5, 2)) &amp; CHAR(34) &amp; ",", "")</f>
        <v/>
      </c>
      <c r="DN5" s="48" t="str">
        <f t="shared" si="28"/>
        <v>"year18",</v>
      </c>
      <c r="DO5" s="48" t="str">
        <f t="shared" si="29"/>
        <v/>
      </c>
      <c r="DP5" s="6" t="str">
        <f t="shared" si="30"/>
        <v/>
      </c>
      <c r="DQ5" s="6" t="str">
        <f t="shared" si="31"/>
        <v/>
      </c>
      <c r="DR5" s="6" t="str">
        <f t="shared" si="32"/>
        <v/>
      </c>
      <c r="DS5" s="6" t="str">
        <f t="shared" si="33"/>
        <v/>
      </c>
      <c r="DT5" s="6" t="str">
        <f t="shared" si="34"/>
        <v/>
      </c>
      <c r="DU5" s="6" t="str">
        <f t="shared" si="35"/>
        <v/>
      </c>
      <c r="DV5" s="48" t="str">
        <f>IF(IA5&lt;&gt;"",(IF(IA5="y",CHAR(34)&amp;"largec"&amp;CHAR(34)&amp;",",CHAR(34)&amp;"smallc"&amp;CHAR(34)&amp;",")),"")</f>
        <v/>
      </c>
      <c r="DW5" s="48" t="str">
        <f t="shared" si="37"/>
        <v/>
      </c>
      <c r="DX5" s="48" t="str">
        <f t="shared" si="37"/>
        <v/>
      </c>
      <c r="DY5" s="48" t="str">
        <f t="shared" si="37"/>
        <v>"3Bands",</v>
      </c>
      <c r="DZ5" s="48" t="str">
        <f t="shared" si="37"/>
        <v/>
      </c>
      <c r="EA5" s="48" t="str">
        <f t="shared" si="38"/>
        <v>"Diagon",</v>
      </c>
      <c r="EB5" s="48" t="str">
        <f t="shared" si="38"/>
        <v>"Crosse",</v>
      </c>
      <c r="EC5" s="48" t="str">
        <f t="shared" si="38"/>
        <v>"Horizo",</v>
      </c>
      <c r="ED5" s="48" t="str">
        <f t="shared" si="38"/>
        <v>"Vertic",</v>
      </c>
      <c r="EE5" s="48" t="str">
        <f t="shared" si="38"/>
        <v/>
      </c>
      <c r="EF5" s="48" t="str">
        <f t="shared" si="39"/>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"Unequa",</v>
      </c>
      <c r="EO5" s="48" t="str">
        <f t="shared" si="40"/>
        <v/>
      </c>
      <c r="EP5" s="48" t="str">
        <f t="shared" si="40"/>
        <v>"Canton",</v>
      </c>
      <c r="EQ5" s="48" t="str">
        <f t="shared" si="40"/>
        <v/>
      </c>
      <c r="ER5" s="48" t="str">
        <f t="shared" si="40"/>
        <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 t="shared" si="41"/>
        <v>"staWHI",</v>
      </c>
      <c r="FB5" s="48" t="str">
        <f t="shared" si="42"/>
        <v/>
      </c>
      <c r="FC5" s="48" t="str">
        <f>IF(AND(AT5&gt;0,BB5&lt;&gt;""),CHAR(34)&amp;"sta"&amp;BB5&amp;CHAR(34)&amp;",","")</f>
        <v/>
      </c>
      <c r="FD5" s="48" t="str">
        <f t="shared" si="44"/>
        <v>"ntWHYE",</v>
      </c>
      <c r="FE5" s="48" t="str">
        <f t="shared" si="45"/>
        <v/>
      </c>
      <c r="FF5" s="48" t="str">
        <f t="shared" si="46"/>
        <v/>
      </c>
      <c r="FG5" s="48" t="str">
        <f t="shared" si="47"/>
        <v/>
      </c>
      <c r="FH5" s="48" t="str">
        <f t="shared" si="48"/>
        <v>"NO_GRE",</v>
      </c>
      <c r="FI5" s="48" t="str">
        <f t="shared" si="49"/>
        <v/>
      </c>
      <c r="FJ5" s="48" t="str">
        <f t="shared" si="50"/>
        <v>"NO_BLA",</v>
      </c>
      <c r="FK5" s="48" t="str">
        <f t="shared" si="51"/>
        <v/>
      </c>
      <c r="FL5" s="48" t="str">
        <f t="shared" si="52"/>
        <v/>
      </c>
      <c r="FM5" s="48" t="str">
        <f t="shared" si="53"/>
        <v/>
      </c>
      <c r="FN5" s="48" t="str">
        <f t="shared" si="54"/>
        <v/>
      </c>
      <c r="FO5" s="48" t="str">
        <f t="shared" si="55"/>
        <v/>
      </c>
      <c r="FP5" s="48" t="str">
        <f t="shared" si="56"/>
        <v/>
      </c>
      <c r="FQ5" s="48" t="str">
        <f t="shared" si="57"/>
        <v>"001YEL",</v>
      </c>
      <c r="FR5" s="48" t="str">
        <f t="shared" si="58"/>
        <v>"002BLU",</v>
      </c>
      <c r="FS5" s="48" t="str">
        <f t="shared" si="59"/>
        <v>"003RED",</v>
      </c>
      <c r="FT5" s="48" t="str">
        <f t="shared" si="60"/>
        <v>"myrEQ",</v>
      </c>
      <c r="FU5" s="48" t="str">
        <f t="shared" si="61"/>
        <v/>
      </c>
      <c r="FV5" s="48" t="str">
        <f t="shared" si="62"/>
        <v/>
      </c>
      <c r="FW5" s="48" t="str">
        <f t="shared" si="63"/>
        <v/>
      </c>
      <c r="FX5" s="48" t="str">
        <f>SUBSTITUTE(IFERROR(SEARCH("[",A5),IFERROR(IF(AND(CA5&lt;&gt;"y",SEARCH("Europe",R5)&gt;0),CHAR(34)&amp;"noeuni"&amp;CHAR(34)&amp;",",""),"")),"1","")</f>
        <v/>
      </c>
      <c r="FY5" s="48" t="str">
        <f t="shared" si="65"/>
        <v/>
      </c>
      <c r="FZ5" s="48" t="str">
        <f t="shared" si="66"/>
        <v/>
      </c>
      <c r="GA5" s="48" t="str">
        <f t="shared" si="67"/>
        <v/>
      </c>
      <c r="GB5" s="48" t="str">
        <f t="shared" si="68"/>
        <v>"spanis",</v>
      </c>
      <c r="GC5" s="48" t="str">
        <f>IFERROR(IF(SEARCH("Portuguese",CB5)&gt;0,CHAR(34)&amp;"portug"&amp;CHAR(34)&amp;",",""),"")</f>
        <v/>
      </c>
      <c r="GD5" s="48" t="str">
        <f>IFERROR(IF(SEARCH("German",CB5)&gt;0,CHAR(34)&amp;"german"&amp;CHAR(34)&amp;",",""),"")</f>
        <v/>
      </c>
      <c r="GE5" s="48" t="str">
        <f t="shared" si="71"/>
        <v/>
      </c>
      <c r="GF5" s="48" t="str">
        <f>IFERROR(IF(SEARCH("Histor",AU5)&gt;0,CHAR(34)&amp;"histor"&amp;CHAR(34)&amp;",",""),"")</f>
        <v>"histor",</v>
      </c>
      <c r="GG5" s="48" t="str">
        <f t="shared" si="73"/>
        <v/>
      </c>
      <c r="GH5" s="48" t="str">
        <f t="shared" si="74"/>
        <v/>
      </c>
      <c r="GI5" s="48" t="str">
        <f t="shared" si="75"/>
        <v/>
      </c>
      <c r="GJ5" s="48" t="str">
        <f t="shared" si="76"/>
        <v/>
      </c>
      <c r="GK5" s="48" t="str">
        <f t="shared" si="77"/>
        <v>"HasSta",</v>
      </c>
      <c r="GL5" s="48" t="str">
        <f t="shared" si="78"/>
        <v/>
      </c>
      <c r="GM5" s="48" t="str">
        <f t="shared" si="78"/>
        <v/>
      </c>
      <c r="GN5" s="48" t="str">
        <f t="shared" si="78"/>
        <v>"3+Star",</v>
      </c>
      <c r="GP5" s="48" t="str">
        <f t="shared" si="79"/>
        <v>"Historical, Protectorate"</v>
      </c>
      <c r="GS5" s="48" t="str">
        <f t="shared" si="80"/>
        <v>["4Color","words2","words3","lets18","startK","year18","3Bands","Diagon","Crosse","Horizo","Vertic","Unequa","Canton","staWHI","ntWHYE","NO_GRE","NO_BLA","001YEL","002BLU","003RED","myrEQ","spanis","histor","HasSta","3+Star"]</v>
      </c>
      <c r="GT5" s="48" t="str">
        <f t="shared" si="81"/>
        <v>"cl_YEL",</v>
      </c>
      <c r="GU5" s="48" t="str">
        <f t="shared" si="81"/>
        <v>"cl_BLU",</v>
      </c>
      <c r="GV5" s="48" t="str">
        <f t="shared" si="81"/>
        <v>"cl_RED",</v>
      </c>
      <c r="GW5" s="48" t="str">
        <f t="shared" si="81"/>
        <v>"cl_WHI",</v>
      </c>
      <c r="GX5" s="48" t="str">
        <f t="shared" si="81"/>
        <v/>
      </c>
      <c r="GY5" s="48" t="str">
        <f t="shared" si="81"/>
        <v/>
      </c>
      <c r="GZ5" s="48" t="str">
        <f t="shared" si="81"/>
        <v/>
      </c>
      <c r="HA5" s="48" t="str">
        <f t="shared" si="81"/>
        <v/>
      </c>
      <c r="HB5" s="48" t="str">
        <f t="shared" si="81"/>
        <v/>
      </c>
      <c r="HC5" s="48" t="str">
        <f t="shared" si="82"/>
        <v>["cl_YEL","cl_BLU","cl_RED","cl_WHI"]</v>
      </c>
      <c r="HE5" s="71"/>
      <c r="HF5" s="72" t="str">
        <f t="shared" si="83"/>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links: "https://en.m.wikipedia.org/wiki/Kingdom_of_Rarotonga"},</v>
      </c>
      <c r="HG5" s="73" t="str">
        <f t="shared" si="84"/>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links: "https://en.m.wikipedia.org/wiki/Kingdom_of_Rarotonga"},</v>
      </c>
      <c r="HH5" s="48" t="str">
        <f t="shared" si="85"/>
        <v>"\nA horizontal triband of red, white, and red with three blue stars off set on the right side of the white band. There's a British Union Jack in the canton of the flag."</v>
      </c>
      <c r="HI5" s="48" t="str">
        <f t="shared" si="86"/>
        <v>"\nA horizontal triband of red, white, and red with three blue stars off set on the right side of the white band. There's a British Union Jack in the canton of the flag."</v>
      </c>
      <c r="HJ5" s="48" t="str">
        <f t="shared" si="87"/>
        <v>"1888"</v>
      </c>
      <c r="HL5" s="48" t="str">
        <f t="shared" si="88"/>
        <v>"https://en.m.wikipedia.org/wiki/Kingdom_of_Rarotonga"</v>
      </c>
      <c r="HM5" s="72" t="str">
        <f t="shared" si="89"/>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 "links": "https://en.m.wikipedia.org/wiki/Kingdom_of_Rarotonga"},</v>
      </c>
      <c r="HN5" s="74" t="str">
        <f t="shared" si="90"/>
        <v>{"couname":"[CKI] Kingdom of Rarotonga (1888-1893)","year":"1888","region":"rgn_Oceania","Colors":["cl_YEL","cl_BLU","cl_RED","cl_WHI"],"Items":["4Color","words2","words3","lets18","startK","year18","3Bands","Diagon","Crosse","Horizo","Vertic","Unequa","Canton","staWHI","ntWHYE","NO_GRE","NO_BLA","001YEL","002BLU","003RED","myrEQ","spanis","histor","HasSta","3+Star"],"Flag":"https://upload.wikimedia.org/wikipedia/commons/thumb/b/b7/Flag_of_Rarotonga_1888-1893.svg/640px-Flag_of_Rarotonga_1888-1893.svg.png","HDFlag":"https://upload.wikimedia.org/wikipedia/commons/thumb/b/b7/Flag_of_Rarotonga_1888-1893.svg/1280px-Flag_of_Rarotonga_1888-1893.svg.png","type":"Historical, Protectorate", "describe": "\nA horizontal triband of red, white, and red with three blue stars off set on the right side of the white band. There's a British Union Jack in the canton of the flag.", "isnew": ".", "links": "https://en.m.wikipedia.org/wiki/Kingdom_of_Rarotonga"},</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SUM(IC5:IK5)</f>
        <v>0</v>
      </c>
      <c r="IM5" s="45">
        <f t="shared" si="92"/>
        <v>-4</v>
      </c>
      <c r="IN5" s="78" t="str">
        <f t="shared" si="93"/>
        <v>http://mkweb.bcgsc.ca/color-summarizer/?url=https://upload.wikimedia.org/wikipedia/commons/thumb/b/b7/Flag_of_Rarotonga_1888-1893.svg/640px-Flag_of_Rarotonga_1888-1893.svg.png&amp;precision=low&amp;num_clusters=4&amp;text=1</v>
      </c>
      <c r="IO5" s="48" t="str">
        <f t="shared" si="94"/>
        <v/>
      </c>
      <c r="IP5" s="48" t="str">
        <f t="shared" si="95"/>
        <v>"blue"</v>
      </c>
      <c r="IQ5" s="48" t="str">
        <f t="shared" si="96"/>
        <v/>
      </c>
      <c r="IR5" s="48" t="str">
        <f t="shared" si="97"/>
        <v>"red"</v>
      </c>
      <c r="IS5" s="48" t="str">
        <f t="shared" si="98"/>
        <v>"yellow"</v>
      </c>
      <c r="IT5" s="48" t="str">
        <f t="shared" si="99"/>
        <v/>
      </c>
      <c r="IU5" s="48" t="str">
        <f t="shared" si="100"/>
        <v/>
      </c>
      <c r="IV5" s="48" t="str">
        <f t="shared" si="101"/>
        <v/>
      </c>
      <c r="IW5" s="48" t="str">
        <f t="shared" si="102"/>
        <v>"white"</v>
      </c>
      <c r="IX5" s="48" t="str">
        <f t="shared" si="103"/>
        <v>{"url":"http://mkweb.bcgsc.ca/color-summarizer/?url=https://upload.wikimedia.org/wikipedia/commons/thumb/b/b7/Flag_of_Rarotonga_1888-1893.svg/640px-Flag_of_Rarotonga_1888-1893.svg.png&amp;precision=low&amp;num_clusters=4&amp;text=1","name":"[CKI] Kingdom of Rarotonga (1888-1893)"},</v>
      </c>
      <c r="IY5" s="48">
        <v>237</v>
      </c>
    </row>
  </sheetData>
  <conditionalFormatting sqref="H1 CW1:GS1 IA1:IB1">
    <cfRule type="cellIs" dxfId="4580" priority="179" operator="greaterThan">
      <formula>0</formula>
    </cfRule>
  </conditionalFormatting>
  <conditionalFormatting sqref="H1">
    <cfRule type="cellIs" dxfId="4579" priority="145" stopIfTrue="1" operator="notEqual">
      <formula>""</formula>
    </cfRule>
  </conditionalFormatting>
  <conditionalFormatting sqref="T1:BK1">
    <cfRule type="cellIs" dxfId="4578" priority="182" operator="greaterThan">
      <formula>0</formula>
    </cfRule>
  </conditionalFormatting>
  <conditionalFormatting sqref="BV1:BW1">
    <cfRule type="cellIs" dxfId="4577" priority="181" operator="equal">
      <formula>"nc"</formula>
    </cfRule>
  </conditionalFormatting>
  <conditionalFormatting sqref="HF1:HG1">
    <cfRule type="cellIs" dxfId="4576" priority="183" operator="greaterThan">
      <formula>0</formula>
    </cfRule>
  </conditionalFormatting>
  <conditionalFormatting sqref="HK1">
    <cfRule type="cellIs" dxfId="4575" priority="180" operator="greaterThan">
      <formula>0</formula>
    </cfRule>
  </conditionalFormatting>
  <conditionalFormatting sqref="HP1:HX1">
    <cfRule type="cellIs" dxfId="4574" priority="157" operator="equal">
      <formula>"PIN"</formula>
    </cfRule>
    <cfRule type="cellIs" dxfId="4573" priority="158" operator="equal">
      <formula>"ORA"</formula>
    </cfRule>
    <cfRule type="cellIs" dxfId="4572" priority="159" operator="equal">
      <formula>"GRA"</formula>
    </cfRule>
    <cfRule type="cellIs" dxfId="4571" priority="160" operator="equal">
      <formula>"PUR"</formula>
    </cfRule>
    <cfRule type="cellIs" dxfId="4570" priority="161" operator="equal">
      <formula>"BRO"</formula>
    </cfRule>
    <cfRule type="cellIs" dxfId="4569" priority="162" operator="equal">
      <formula>"YEL"</formula>
    </cfRule>
    <cfRule type="cellIs" dxfId="4568" priority="163" operator="equal">
      <formula>"BLU"</formula>
    </cfRule>
    <cfRule type="cellIs" dxfId="4567" priority="164" operator="equal">
      <formula>"WHI"</formula>
    </cfRule>
    <cfRule type="cellIs" dxfId="4566" priority="165" operator="equal">
      <formula>"GRE"</formula>
    </cfRule>
    <cfRule type="cellIs" dxfId="4565" priority="166" operator="equal">
      <formula>"RED"</formula>
    </cfRule>
    <cfRule type="cellIs" dxfId="4564" priority="167" operator="equal">
      <formula>"BLA"</formula>
    </cfRule>
  </conditionalFormatting>
  <conditionalFormatting sqref="IC1:IK1">
    <cfRule type="cellIs" dxfId="4563" priority="168" operator="equal">
      <formula>"PIN"</formula>
    </cfRule>
    <cfRule type="cellIs" dxfId="4562" priority="169" operator="equal">
      <formula>"ORA"</formula>
    </cfRule>
    <cfRule type="cellIs" dxfId="4561" priority="170" operator="equal">
      <formula>"GRA"</formula>
    </cfRule>
    <cfRule type="cellIs" dxfId="4560" priority="171" operator="equal">
      <formula>"PUR"</formula>
    </cfRule>
    <cfRule type="cellIs" dxfId="4559" priority="172" operator="equal">
      <formula>"BRO"</formula>
    </cfRule>
    <cfRule type="cellIs" dxfId="4558" priority="173" operator="equal">
      <formula>"YEL"</formula>
    </cfRule>
    <cfRule type="cellIs" dxfId="4557" priority="174" operator="equal">
      <formula>"BLU"</formula>
    </cfRule>
    <cfRule type="cellIs" dxfId="4556" priority="175" operator="equal">
      <formula>"WHI"</formula>
    </cfRule>
    <cfRule type="cellIs" dxfId="4555" priority="176" operator="equal">
      <formula>"GRE"</formula>
    </cfRule>
    <cfRule type="cellIs" dxfId="4554" priority="177" operator="equal">
      <formula>"RED"</formula>
    </cfRule>
    <cfRule type="cellIs" dxfId="4553" priority="178" operator="equal">
      <formula>"BLA"</formula>
    </cfRule>
  </conditionalFormatting>
  <conditionalFormatting sqref="IO1:IW1">
    <cfRule type="cellIs" dxfId="4552" priority="146" operator="equal">
      <formula>"PIN"</formula>
    </cfRule>
    <cfRule type="cellIs" dxfId="4551" priority="147" operator="equal">
      <formula>"ORA"</formula>
    </cfRule>
    <cfRule type="cellIs" dxfId="4550" priority="148" operator="equal">
      <formula>"GRA"</formula>
    </cfRule>
    <cfRule type="cellIs" dxfId="4549" priority="149" operator="equal">
      <formula>"PUR"</formula>
    </cfRule>
    <cfRule type="cellIs" dxfId="4548" priority="150" operator="equal">
      <formula>"BRO"</formula>
    </cfRule>
    <cfRule type="cellIs" dxfId="4547" priority="151" operator="equal">
      <formula>"YEL"</formula>
    </cfRule>
    <cfRule type="cellIs" dxfId="4546" priority="152" operator="equal">
      <formula>"BLU"</formula>
    </cfRule>
    <cfRule type="cellIs" dxfId="4545" priority="153" operator="equal">
      <formula>"WHI"</formula>
    </cfRule>
    <cfRule type="cellIs" dxfId="4544" priority="154" operator="equal">
      <formula>"GRE"</formula>
    </cfRule>
    <cfRule type="cellIs" dxfId="4543" priority="155" operator="equal">
      <formula>"RED"</formula>
    </cfRule>
    <cfRule type="cellIs" dxfId="4542" priority="156" operator="equal">
      <formula>"BLA"</formula>
    </cfRule>
  </conditionalFormatting>
  <conditionalFormatting sqref="H2">
    <cfRule type="cellIs" dxfId="4541" priority="114" stopIfTrue="1" operator="notEqual">
      <formula>""</formula>
    </cfRule>
  </conditionalFormatting>
  <conditionalFormatting sqref="R2 CU2">
    <cfRule type="cellIs" dxfId="4540" priority="116" operator="greaterThan">
      <formula>0</formula>
    </cfRule>
  </conditionalFormatting>
  <conditionalFormatting sqref="T2:AS2 CH2:CS2">
    <cfRule type="cellIs" dxfId="4539" priority="111" stopIfTrue="1" operator="equal">
      <formula>"n"</formula>
    </cfRule>
    <cfRule type="cellIs" dxfId="4538" priority="112" stopIfTrue="1" operator="equal">
      <formula>"y"</formula>
    </cfRule>
    <cfRule type="cellIs" dxfId="4537" priority="113" operator="greaterThan">
      <formula>0</formula>
    </cfRule>
  </conditionalFormatting>
  <conditionalFormatting sqref="AZ2:BB2">
    <cfRule type="expression" dxfId="4536" priority="110">
      <formula>$AT2=0</formula>
    </cfRule>
  </conditionalFormatting>
  <conditionalFormatting sqref="AZ2:BU2">
    <cfRule type="cellIs" dxfId="4535" priority="119" operator="equal">
      <formula>"PIN"</formula>
    </cfRule>
    <cfRule type="cellIs" dxfId="4534" priority="120" operator="equal">
      <formula>"ORA"</formula>
    </cfRule>
    <cfRule type="cellIs" dxfId="4533" priority="121" operator="equal">
      <formula>"GRA"</formula>
    </cfRule>
    <cfRule type="cellIs" dxfId="4532" priority="122" operator="equal">
      <formula>"PUR"</formula>
    </cfRule>
    <cfRule type="cellIs" dxfId="4531" priority="123" operator="equal">
      <formula>"BRO"</formula>
    </cfRule>
    <cfRule type="cellIs" dxfId="4530" priority="124" operator="equal">
      <formula>"YEL"</formula>
    </cfRule>
    <cfRule type="cellIs" dxfId="4529" priority="125" operator="equal">
      <formula>"BLU"</formula>
    </cfRule>
    <cfRule type="cellIs" dxfId="4528" priority="126" operator="equal">
      <formula>"WHI"</formula>
    </cfRule>
    <cfRule type="cellIs" dxfId="4527" priority="127" operator="equal">
      <formula>"GRE"</formula>
    </cfRule>
    <cfRule type="cellIs" dxfId="4526" priority="128" operator="equal">
      <formula>"RED"</formula>
    </cfRule>
    <cfRule type="cellIs" dxfId="4525" priority="129" operator="equal">
      <formula>"BLA"</formula>
    </cfRule>
  </conditionalFormatting>
  <conditionalFormatting sqref="BV2">
    <cfRule type="cellIs" dxfId="4524" priority="141" operator="equal">
      <formula>"nc"</formula>
    </cfRule>
  </conditionalFormatting>
  <conditionalFormatting sqref="BX2:CA2 CD2:CF2">
    <cfRule type="cellIs" dxfId="4523" priority="115" operator="equal">
      <formula>"y"</formula>
    </cfRule>
    <cfRule type="cellIs" dxfId="4522" priority="130" operator="equal">
      <formula>"PIN"</formula>
    </cfRule>
    <cfRule type="cellIs" dxfId="4521" priority="131" operator="equal">
      <formula>"ORA"</formula>
    </cfRule>
    <cfRule type="cellIs" dxfId="4520" priority="132" operator="equal">
      <formula>"GRA"</formula>
    </cfRule>
    <cfRule type="cellIs" dxfId="4519" priority="133" operator="equal">
      <formula>"PUR"</formula>
    </cfRule>
    <cfRule type="cellIs" dxfId="4518" priority="134" operator="equal">
      <formula>"BRO"</formula>
    </cfRule>
    <cfRule type="cellIs" dxfId="4517" priority="135" operator="equal">
      <formula>"YEL"</formula>
    </cfRule>
    <cfRule type="cellIs" dxfId="4516" priority="136" operator="equal">
      <formula>"BLU"</formula>
    </cfRule>
    <cfRule type="cellIs" dxfId="4515" priority="137" operator="equal">
      <formula>"WHI"</formula>
    </cfRule>
    <cfRule type="cellIs" dxfId="4514" priority="138" operator="equal">
      <formula>"GRE"</formula>
    </cfRule>
    <cfRule type="cellIs" dxfId="4513" priority="139" operator="equal">
      <formula>"RED"</formula>
    </cfRule>
    <cfRule type="cellIs" dxfId="4512" priority="140" operator="equal">
      <formula>"BLA"</formula>
    </cfRule>
  </conditionalFormatting>
  <conditionalFormatting sqref="BZ2:CA2 CD2:CF2">
    <cfRule type="cellIs" dxfId="4511" priority="117" operator="greaterThan">
      <formula>0</formula>
    </cfRule>
  </conditionalFormatting>
  <conditionalFormatting sqref="IC2:IK2">
    <cfRule type="expression" dxfId="4510" priority="118">
      <formula>$IL2&gt;0</formula>
    </cfRule>
  </conditionalFormatting>
  <conditionalFormatting sqref="S2">
    <cfRule type="colorScale" priority="142">
      <colorScale>
        <cfvo type="min"/>
        <cfvo type="max"/>
        <color rgb="FFFCFCFF"/>
        <color rgb="FF754BFB"/>
      </colorScale>
    </cfRule>
  </conditionalFormatting>
  <conditionalFormatting sqref="AT2">
    <cfRule type="colorScale" priority="143">
      <colorScale>
        <cfvo type="min"/>
        <cfvo type="max"/>
        <color rgb="FFFCFCFF"/>
        <color theme="8" tint="0.39997558519241921"/>
      </colorScale>
    </cfRule>
  </conditionalFormatting>
  <conditionalFormatting sqref="CG2">
    <cfRule type="colorScale" priority="144">
      <colorScale>
        <cfvo type="min"/>
        <cfvo type="max"/>
        <color rgb="FFFCFCFF"/>
        <color rgb="FF63BE7B"/>
      </colorScale>
    </cfRule>
  </conditionalFormatting>
  <conditionalFormatting sqref="J2">
    <cfRule type="colorScale" priority="109">
      <colorScale>
        <cfvo type="min"/>
        <cfvo type="percentile" val="50"/>
        <cfvo type="max"/>
        <color rgb="FFF8696B"/>
        <color rgb="FFFFEB84"/>
        <color rgb="FF63BE7B"/>
      </colorScale>
    </cfRule>
  </conditionalFormatting>
  <conditionalFormatting sqref="H3">
    <cfRule type="cellIs" dxfId="735" priority="77" stopIfTrue="1" operator="notEqual">
      <formula>""</formula>
    </cfRule>
  </conditionalFormatting>
  <conditionalFormatting sqref="R3 CU3">
    <cfRule type="cellIs" dxfId="734" priority="79" operator="greaterThan">
      <formula>0</formula>
    </cfRule>
  </conditionalFormatting>
  <conditionalFormatting sqref="T3:AS3 CH3:CS3">
    <cfRule type="cellIs" dxfId="733" priority="74" stopIfTrue="1" operator="equal">
      <formula>"n"</formula>
    </cfRule>
    <cfRule type="cellIs" dxfId="732" priority="75" stopIfTrue="1" operator="equal">
      <formula>"y"</formula>
    </cfRule>
    <cfRule type="cellIs" dxfId="731" priority="76" operator="greaterThan">
      <formula>0</formula>
    </cfRule>
  </conditionalFormatting>
  <conditionalFormatting sqref="AZ3:BB3">
    <cfRule type="expression" dxfId="730" priority="73">
      <formula>$AT3=0</formula>
    </cfRule>
  </conditionalFormatting>
  <conditionalFormatting sqref="AZ3:BU3">
    <cfRule type="cellIs" dxfId="729" priority="82" operator="equal">
      <formula>"PIN"</formula>
    </cfRule>
    <cfRule type="cellIs" dxfId="728" priority="83" operator="equal">
      <formula>"ORA"</formula>
    </cfRule>
    <cfRule type="cellIs" dxfId="727" priority="84" operator="equal">
      <formula>"GRA"</formula>
    </cfRule>
    <cfRule type="cellIs" dxfId="726" priority="85" operator="equal">
      <formula>"PUR"</formula>
    </cfRule>
    <cfRule type="cellIs" dxfId="725" priority="86" operator="equal">
      <formula>"BRO"</formula>
    </cfRule>
    <cfRule type="cellIs" dxfId="724" priority="87" operator="equal">
      <formula>"YEL"</formula>
    </cfRule>
    <cfRule type="cellIs" dxfId="723" priority="88" operator="equal">
      <formula>"BLU"</formula>
    </cfRule>
    <cfRule type="cellIs" dxfId="722" priority="89" operator="equal">
      <formula>"WHI"</formula>
    </cfRule>
    <cfRule type="cellIs" dxfId="721" priority="90" operator="equal">
      <formula>"GRE"</formula>
    </cfRule>
    <cfRule type="cellIs" dxfId="720" priority="91" operator="equal">
      <formula>"RED"</formula>
    </cfRule>
    <cfRule type="cellIs" dxfId="719" priority="92" operator="equal">
      <formula>"BLA"</formula>
    </cfRule>
  </conditionalFormatting>
  <conditionalFormatting sqref="BV3">
    <cfRule type="cellIs" dxfId="718" priority="104" operator="equal">
      <formula>"nc"</formula>
    </cfRule>
  </conditionalFormatting>
  <conditionalFormatting sqref="BX3:CA3 CD3:CF3">
    <cfRule type="cellIs" dxfId="717" priority="78" operator="equal">
      <formula>"y"</formula>
    </cfRule>
    <cfRule type="cellIs" dxfId="716" priority="93" operator="equal">
      <formula>"PIN"</formula>
    </cfRule>
    <cfRule type="cellIs" dxfId="715" priority="94" operator="equal">
      <formula>"ORA"</formula>
    </cfRule>
    <cfRule type="cellIs" dxfId="714" priority="95" operator="equal">
      <formula>"GRA"</formula>
    </cfRule>
    <cfRule type="cellIs" dxfId="713" priority="96" operator="equal">
      <formula>"PUR"</formula>
    </cfRule>
    <cfRule type="cellIs" dxfId="712" priority="97" operator="equal">
      <formula>"BRO"</formula>
    </cfRule>
    <cfRule type="cellIs" dxfId="711" priority="98" operator="equal">
      <formula>"YEL"</formula>
    </cfRule>
    <cfRule type="cellIs" dxfId="710" priority="99" operator="equal">
      <formula>"BLU"</formula>
    </cfRule>
    <cfRule type="cellIs" dxfId="709" priority="100" operator="equal">
      <formula>"WHI"</formula>
    </cfRule>
    <cfRule type="cellIs" dxfId="708" priority="101" operator="equal">
      <formula>"GRE"</formula>
    </cfRule>
    <cfRule type="cellIs" dxfId="707" priority="102" operator="equal">
      <formula>"RED"</formula>
    </cfRule>
    <cfRule type="cellIs" dxfId="706" priority="103" operator="equal">
      <formula>"BLA"</formula>
    </cfRule>
  </conditionalFormatting>
  <conditionalFormatting sqref="BZ3:CA3 CD3:CF3">
    <cfRule type="cellIs" dxfId="705" priority="80" operator="greaterThan">
      <formula>0</formula>
    </cfRule>
  </conditionalFormatting>
  <conditionalFormatting sqref="IC3:IK3">
    <cfRule type="expression" dxfId="704" priority="81">
      <formula>$IL3&gt;0</formula>
    </cfRule>
  </conditionalFormatting>
  <conditionalFormatting sqref="J3">
    <cfRule type="colorScale" priority="105">
      <colorScale>
        <cfvo type="min"/>
        <cfvo type="percentile" val="50"/>
        <cfvo type="max"/>
        <color rgb="FFF8696B"/>
        <color rgb="FFFFEB84"/>
        <color rgb="FF63BE7B"/>
      </colorScale>
    </cfRule>
  </conditionalFormatting>
  <conditionalFormatting sqref="S3">
    <cfRule type="colorScale" priority="106">
      <colorScale>
        <cfvo type="min"/>
        <cfvo type="max"/>
        <color rgb="FFFCFCFF"/>
        <color rgb="FF754BFB"/>
      </colorScale>
    </cfRule>
  </conditionalFormatting>
  <conditionalFormatting sqref="AT3">
    <cfRule type="colorScale" priority="107">
      <colorScale>
        <cfvo type="min"/>
        <cfvo type="max"/>
        <color rgb="FFFCFCFF"/>
        <color theme="8" tint="0.39997558519241921"/>
      </colorScale>
    </cfRule>
  </conditionalFormatting>
  <conditionalFormatting sqref="CG3">
    <cfRule type="colorScale" priority="108">
      <colorScale>
        <cfvo type="min"/>
        <cfvo type="max"/>
        <color rgb="FFFCFCFF"/>
        <color rgb="FF63BE7B"/>
      </colorScale>
    </cfRule>
  </conditionalFormatting>
  <conditionalFormatting sqref="H4">
    <cfRule type="cellIs" dxfId="703" priority="41" stopIfTrue="1" operator="notEqual">
      <formula>""</formula>
    </cfRule>
  </conditionalFormatting>
  <conditionalFormatting sqref="R4 CU4">
    <cfRule type="cellIs" dxfId="702" priority="43" operator="greaterThan">
      <formula>0</formula>
    </cfRule>
  </conditionalFormatting>
  <conditionalFormatting sqref="T4:AS4 CH4:CS4">
    <cfRule type="cellIs" dxfId="701" priority="38" stopIfTrue="1" operator="equal">
      <formula>"n"</formula>
    </cfRule>
    <cfRule type="cellIs" dxfId="700" priority="39" stopIfTrue="1" operator="equal">
      <formula>"y"</formula>
    </cfRule>
    <cfRule type="cellIs" dxfId="699" priority="40" operator="greaterThan">
      <formula>0</formula>
    </cfRule>
  </conditionalFormatting>
  <conditionalFormatting sqref="AZ4:BB4">
    <cfRule type="expression" dxfId="698" priority="37">
      <formula>$AT4=0</formula>
    </cfRule>
  </conditionalFormatting>
  <conditionalFormatting sqref="AZ4:BU4">
    <cfRule type="cellIs" dxfId="697" priority="46" operator="equal">
      <formula>"PIN"</formula>
    </cfRule>
    <cfRule type="cellIs" dxfId="696" priority="47" operator="equal">
      <formula>"ORA"</formula>
    </cfRule>
    <cfRule type="cellIs" dxfId="695" priority="48" operator="equal">
      <formula>"GRA"</formula>
    </cfRule>
    <cfRule type="cellIs" dxfId="694" priority="49" operator="equal">
      <formula>"PUR"</formula>
    </cfRule>
    <cfRule type="cellIs" dxfId="693" priority="50" operator="equal">
      <formula>"BRO"</formula>
    </cfRule>
    <cfRule type="cellIs" dxfId="692" priority="51" operator="equal">
      <formula>"YEL"</formula>
    </cfRule>
    <cfRule type="cellIs" dxfId="691" priority="52" operator="equal">
      <formula>"BLU"</formula>
    </cfRule>
    <cfRule type="cellIs" dxfId="690" priority="53" operator="equal">
      <formula>"WHI"</formula>
    </cfRule>
    <cfRule type="cellIs" dxfId="689" priority="54" operator="equal">
      <formula>"GRE"</formula>
    </cfRule>
    <cfRule type="cellIs" dxfId="688" priority="55" operator="equal">
      <formula>"RED"</formula>
    </cfRule>
    <cfRule type="cellIs" dxfId="687" priority="56" operator="equal">
      <formula>"BLA"</formula>
    </cfRule>
  </conditionalFormatting>
  <conditionalFormatting sqref="BV4">
    <cfRule type="cellIs" dxfId="686" priority="68" operator="equal">
      <formula>"nc"</formula>
    </cfRule>
  </conditionalFormatting>
  <conditionalFormatting sqref="BX4:CA4 CD4:CF4">
    <cfRule type="cellIs" dxfId="685" priority="42" operator="equal">
      <formula>"y"</formula>
    </cfRule>
    <cfRule type="cellIs" dxfId="684" priority="57" operator="equal">
      <formula>"PIN"</formula>
    </cfRule>
    <cfRule type="cellIs" dxfId="683" priority="58" operator="equal">
      <formula>"ORA"</formula>
    </cfRule>
    <cfRule type="cellIs" dxfId="682" priority="59" operator="equal">
      <formula>"GRA"</formula>
    </cfRule>
    <cfRule type="cellIs" dxfId="681" priority="60" operator="equal">
      <formula>"PUR"</formula>
    </cfRule>
    <cfRule type="cellIs" dxfId="680" priority="61" operator="equal">
      <formula>"BRO"</formula>
    </cfRule>
    <cfRule type="cellIs" dxfId="679" priority="62" operator="equal">
      <formula>"YEL"</formula>
    </cfRule>
    <cfRule type="cellIs" dxfId="678" priority="63" operator="equal">
      <formula>"BLU"</formula>
    </cfRule>
    <cfRule type="cellIs" dxfId="677" priority="64" operator="equal">
      <formula>"WHI"</formula>
    </cfRule>
    <cfRule type="cellIs" dxfId="676" priority="65" operator="equal">
      <formula>"GRE"</formula>
    </cfRule>
    <cfRule type="cellIs" dxfId="675" priority="66" operator="equal">
      <formula>"RED"</formula>
    </cfRule>
    <cfRule type="cellIs" dxfId="674" priority="67" operator="equal">
      <formula>"BLA"</formula>
    </cfRule>
  </conditionalFormatting>
  <conditionalFormatting sqref="BZ4:CA4 CD4:CF4">
    <cfRule type="cellIs" dxfId="673" priority="44" operator="greaterThan">
      <formula>0</formula>
    </cfRule>
  </conditionalFormatting>
  <conditionalFormatting sqref="IC4:IK4">
    <cfRule type="expression" dxfId="672" priority="45">
      <formula>$IL4&gt;0</formula>
    </cfRule>
  </conditionalFormatting>
  <conditionalFormatting sqref="J4">
    <cfRule type="colorScale" priority="69">
      <colorScale>
        <cfvo type="min"/>
        <cfvo type="percentile" val="50"/>
        <cfvo type="max"/>
        <color rgb="FFF8696B"/>
        <color rgb="FFFFEB84"/>
        <color rgb="FF63BE7B"/>
      </colorScale>
    </cfRule>
  </conditionalFormatting>
  <conditionalFormatting sqref="S4">
    <cfRule type="colorScale" priority="70">
      <colorScale>
        <cfvo type="min"/>
        <cfvo type="max"/>
        <color rgb="FFFCFCFF"/>
        <color rgb="FF754BFB"/>
      </colorScale>
    </cfRule>
  </conditionalFormatting>
  <conditionalFormatting sqref="AT4">
    <cfRule type="colorScale" priority="71">
      <colorScale>
        <cfvo type="min"/>
        <cfvo type="max"/>
        <color rgb="FFFCFCFF"/>
        <color theme="8" tint="0.39997558519241921"/>
      </colorScale>
    </cfRule>
  </conditionalFormatting>
  <conditionalFormatting sqref="CG4">
    <cfRule type="colorScale" priority="72">
      <colorScale>
        <cfvo type="min"/>
        <cfvo type="max"/>
        <color rgb="FFFCFCFF"/>
        <color rgb="FF63BE7B"/>
      </colorScale>
    </cfRule>
  </conditionalFormatting>
  <conditionalFormatting sqref="H5">
    <cfRule type="cellIs" dxfId="671" priority="5" stopIfTrue="1" operator="notEqual">
      <formula>""</formula>
    </cfRule>
  </conditionalFormatting>
  <conditionalFormatting sqref="R5 CU5">
    <cfRule type="cellIs" dxfId="670" priority="7" operator="greaterThan">
      <formula>0</formula>
    </cfRule>
  </conditionalFormatting>
  <conditionalFormatting sqref="T5:AS5 CH5:CS5">
    <cfRule type="cellIs" dxfId="669" priority="2" stopIfTrue="1" operator="equal">
      <formula>"n"</formula>
    </cfRule>
    <cfRule type="cellIs" dxfId="668" priority="3" stopIfTrue="1" operator="equal">
      <formula>"y"</formula>
    </cfRule>
    <cfRule type="cellIs" dxfId="667" priority="4" operator="greaterThan">
      <formula>0</formula>
    </cfRule>
  </conditionalFormatting>
  <conditionalFormatting sqref="AZ5:BB5">
    <cfRule type="expression" dxfId="666" priority="1">
      <formula>$AT5=0</formula>
    </cfRule>
  </conditionalFormatting>
  <conditionalFormatting sqref="AZ5:BU5">
    <cfRule type="cellIs" dxfId="665" priority="10" operator="equal">
      <formula>"PIN"</formula>
    </cfRule>
    <cfRule type="cellIs" dxfId="664" priority="11" operator="equal">
      <formula>"ORA"</formula>
    </cfRule>
    <cfRule type="cellIs" dxfId="663" priority="12" operator="equal">
      <formula>"GRA"</formula>
    </cfRule>
    <cfRule type="cellIs" dxfId="662" priority="13" operator="equal">
      <formula>"PUR"</formula>
    </cfRule>
    <cfRule type="cellIs" dxfId="661" priority="14" operator="equal">
      <formula>"BRO"</formula>
    </cfRule>
    <cfRule type="cellIs" dxfId="660" priority="15" operator="equal">
      <formula>"YEL"</formula>
    </cfRule>
    <cfRule type="cellIs" dxfId="659" priority="16" operator="equal">
      <formula>"BLU"</formula>
    </cfRule>
    <cfRule type="cellIs" dxfId="658" priority="17" operator="equal">
      <formula>"WHI"</formula>
    </cfRule>
    <cfRule type="cellIs" dxfId="657" priority="18" operator="equal">
      <formula>"GRE"</formula>
    </cfRule>
    <cfRule type="cellIs" dxfId="656" priority="19" operator="equal">
      <formula>"RED"</formula>
    </cfRule>
    <cfRule type="cellIs" dxfId="655" priority="20" operator="equal">
      <formula>"BLA"</formula>
    </cfRule>
  </conditionalFormatting>
  <conditionalFormatting sqref="BV5">
    <cfRule type="cellIs" dxfId="654" priority="32" operator="equal">
      <formula>"nc"</formula>
    </cfRule>
  </conditionalFormatting>
  <conditionalFormatting sqref="BX5:CA5 CD5:CF5">
    <cfRule type="cellIs" dxfId="653" priority="6" operator="equal">
      <formula>"y"</formula>
    </cfRule>
    <cfRule type="cellIs" dxfId="652" priority="21" operator="equal">
      <formula>"PIN"</formula>
    </cfRule>
    <cfRule type="cellIs" dxfId="651" priority="22" operator="equal">
      <formula>"ORA"</formula>
    </cfRule>
    <cfRule type="cellIs" dxfId="650" priority="23" operator="equal">
      <formula>"GRA"</formula>
    </cfRule>
    <cfRule type="cellIs" dxfId="649" priority="24" operator="equal">
      <formula>"PUR"</formula>
    </cfRule>
    <cfRule type="cellIs" dxfId="648" priority="25" operator="equal">
      <formula>"BRO"</formula>
    </cfRule>
    <cfRule type="cellIs" dxfId="647" priority="26" operator="equal">
      <formula>"YEL"</formula>
    </cfRule>
    <cfRule type="cellIs" dxfId="646" priority="27" operator="equal">
      <formula>"BLU"</formula>
    </cfRule>
    <cfRule type="cellIs" dxfId="645" priority="28" operator="equal">
      <formula>"WHI"</formula>
    </cfRule>
    <cfRule type="cellIs" dxfId="644" priority="29" operator="equal">
      <formula>"GRE"</formula>
    </cfRule>
    <cfRule type="cellIs" dxfId="643" priority="30" operator="equal">
      <formula>"RED"</formula>
    </cfRule>
    <cfRule type="cellIs" dxfId="642" priority="31" operator="equal">
      <formula>"BLA"</formula>
    </cfRule>
  </conditionalFormatting>
  <conditionalFormatting sqref="BZ5:CA5 CD5:CF5">
    <cfRule type="cellIs" dxfId="641" priority="8" operator="greaterThan">
      <formula>0</formula>
    </cfRule>
  </conditionalFormatting>
  <conditionalFormatting sqref="IC5:IK5">
    <cfRule type="expression" dxfId="640" priority="9">
      <formula>$IL5&gt;0</formula>
    </cfRule>
  </conditionalFormatting>
  <conditionalFormatting sqref="J5">
    <cfRule type="colorScale" priority="33">
      <colorScale>
        <cfvo type="min"/>
        <cfvo type="percentile" val="50"/>
        <cfvo type="max"/>
        <color rgb="FFF8696B"/>
        <color rgb="FFFFEB84"/>
        <color rgb="FF63BE7B"/>
      </colorScale>
    </cfRule>
  </conditionalFormatting>
  <conditionalFormatting sqref="S5">
    <cfRule type="colorScale" priority="34">
      <colorScale>
        <cfvo type="min"/>
        <cfvo type="max"/>
        <color rgb="FFFCFCFF"/>
        <color rgb="FF754BFB"/>
      </colorScale>
    </cfRule>
  </conditionalFormatting>
  <conditionalFormatting sqref="AT5">
    <cfRule type="colorScale" priority="35">
      <colorScale>
        <cfvo type="min"/>
        <cfvo type="max"/>
        <color rgb="FFFCFCFF"/>
        <color theme="8" tint="0.39997558519241921"/>
      </colorScale>
    </cfRule>
  </conditionalFormatting>
  <conditionalFormatting sqref="CG5">
    <cfRule type="colorScale" priority="36">
      <colorScale>
        <cfvo type="min"/>
        <cfvo type="max"/>
        <color rgb="FFFCFCFF"/>
        <color rgb="FF63BE7B"/>
      </colorScale>
    </cfRule>
  </conditionalFormatting>
  <hyperlinks>
    <hyperlink ref="A2" r:id="rId1" display="https://fbref.com/en/country/COK/Cook-Islands-Football" xr:uid="{5E787FB8-D2A5-4F45-9C3F-5FFCD3DED599}"/>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2B078-4432-42A5-A679-DE8735F24D74}">
  <dimension ref="A1:IY6"/>
  <sheetViews>
    <sheetView zoomScale="70" zoomScaleNormal="70" workbookViewId="0">
      <selection activeCell="A6" sqref="A6:XFD6"/>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207</v>
      </c>
      <c r="B2" s="40" t="e" vm="32">
        <v>#VALUE!</v>
      </c>
      <c r="C2" s="41">
        <v>1</v>
      </c>
      <c r="D2" s="42" t="s">
        <v>208</v>
      </c>
      <c r="E2" s="43" t="s">
        <v>209</v>
      </c>
      <c r="F2" s="44" t="s">
        <v>166</v>
      </c>
      <c r="G2" s="45">
        <f>COUNTIF($A$1:$A$8292,A2)</f>
        <v>1</v>
      </c>
      <c r="H2" s="46"/>
      <c r="I2" s="47" t="s">
        <v>210</v>
      </c>
      <c r="J2" s="48" t="str">
        <f>""</f>
        <v/>
      </c>
      <c r="K2" s="49">
        <v>936000</v>
      </c>
      <c r="L2" s="50">
        <v>929470</v>
      </c>
      <c r="M2" s="50" t="s">
        <v>211</v>
      </c>
      <c r="N2" s="51" t="s">
        <v>169</v>
      </c>
      <c r="O2" s="52" t="s">
        <v>212</v>
      </c>
      <c r="P2" s="53" t="s">
        <v>213</v>
      </c>
      <c r="Q2" s="54">
        <v>1</v>
      </c>
      <c r="R2" s="55" t="s">
        <v>169</v>
      </c>
      <c r="S2" s="56">
        <v>0</v>
      </c>
      <c r="T2" s="57" t="s">
        <v>173</v>
      </c>
      <c r="U2" s="58" t="s">
        <v>172</v>
      </c>
      <c r="V2" s="58" t="s">
        <v>173</v>
      </c>
      <c r="W2" s="58" t="s">
        <v>173</v>
      </c>
      <c r="X2" s="58" t="s">
        <v>173</v>
      </c>
      <c r="Y2" s="58" t="s">
        <v>172</v>
      </c>
      <c r="Z2" s="58" t="s">
        <v>172</v>
      </c>
      <c r="AA2" s="58" t="s">
        <v>172</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172</v>
      </c>
      <c r="AR2" s="59" t="s">
        <v>173</v>
      </c>
      <c r="AS2" s="59" t="s">
        <v>173</v>
      </c>
      <c r="AT2" s="60">
        <v>0</v>
      </c>
      <c r="AU2" s="59"/>
      <c r="AV2" s="59" t="str">
        <f>IF(LEFT(A2,1)="[",LEFT(A2,5)&amp;AU2&amp;A2,"")</f>
        <v/>
      </c>
      <c r="AW2" s="59" t="str">
        <f>C2&amp;H2&amp;A2</f>
        <v>1Fiji</v>
      </c>
      <c r="AX2" s="61"/>
      <c r="AY2" s="61"/>
      <c r="AZ2" s="62" t="s">
        <v>155</v>
      </c>
      <c r="BA2" s="62"/>
      <c r="BB2" s="62"/>
      <c r="BC2" s="63"/>
      <c r="BD2" s="64" t="s">
        <v>154</v>
      </c>
      <c r="BE2" s="47"/>
      <c r="BF2" s="64" t="s">
        <v>153</v>
      </c>
      <c r="BG2" s="64" t="s">
        <v>155</v>
      </c>
      <c r="BH2" s="64" t="s">
        <v>154</v>
      </c>
      <c r="BI2" s="64"/>
      <c r="BJ2" s="64"/>
      <c r="BK2" s="47"/>
      <c r="BL2" s="64" t="s">
        <v>151</v>
      </c>
      <c r="BM2" s="64" t="s">
        <v>152</v>
      </c>
      <c r="BN2" s="64" t="s">
        <v>153</v>
      </c>
      <c r="BO2" s="64" t="s">
        <v>154</v>
      </c>
      <c r="BP2" s="64" t="s">
        <v>155</v>
      </c>
      <c r="BQ2" s="64" t="s">
        <v>156</v>
      </c>
      <c r="BR2" s="64" t="s">
        <v>157</v>
      </c>
      <c r="BS2" s="64" t="s">
        <v>192</v>
      </c>
      <c r="BT2" s="64" t="s">
        <v>159</v>
      </c>
      <c r="BU2" s="65"/>
      <c r="BV2" s="66"/>
      <c r="BW2" s="66">
        <v>0</v>
      </c>
      <c r="BX2" s="47"/>
      <c r="CB2" s="6"/>
      <c r="CC2" s="6"/>
      <c r="CD2" s="67">
        <v>0</v>
      </c>
      <c r="CE2" s="67">
        <v>0</v>
      </c>
      <c r="CF2" s="67" t="e">
        <v>#REF!</v>
      </c>
      <c r="CG2" s="68" cm="1">
        <f t="array" ref="CG2">SUMPRODUCT(--(LEN(TRIM(BL2:BT2))&gt;0))</f>
        <v>8</v>
      </c>
      <c r="CH2" s="59" t="str">
        <f t="shared" ref="CH2:CH6" si="0">IF(CG2=2,"y","n")</f>
        <v>n</v>
      </c>
      <c r="CI2" s="59" t="str">
        <f t="shared" ref="CI2:CI6" si="1">IF(CG2=3,"y","n")</f>
        <v>n</v>
      </c>
      <c r="CJ2" s="59" t="str">
        <f t="shared" ref="CJ2:CJ6" si="2">IF(CG2=4,"y","n")</f>
        <v>n</v>
      </c>
      <c r="CK2" s="59" t="str">
        <f t="shared" ref="CK2:CK6" si="3">IF(CG2&gt;4,"y","n")</f>
        <v>y</v>
      </c>
      <c r="CL2" s="59" t="str">
        <f t="shared" ref="CL2:CL6" si="4">IF(S2=0,"y","n")</f>
        <v>y</v>
      </c>
      <c r="CM2" s="59" t="str">
        <f t="shared" ref="CM2:CM6" si="5">IF(S2=2,"y","n")</f>
        <v>n</v>
      </c>
      <c r="CN2" s="59" t="str">
        <f t="shared" ref="CN2:CN6" si="6">IF(S2=3,"y","n")</f>
        <v>n</v>
      </c>
      <c r="CO2" s="59" t="str">
        <f t="shared" ref="CO2:CO6" si="7">IF(S2&gt;=4,"y","n")</f>
        <v>n</v>
      </c>
      <c r="CP2" s="59" t="str">
        <f t="shared" ref="CP2:CP6" si="8">IF(AT2=0,"y","n")</f>
        <v>y</v>
      </c>
      <c r="CQ2" s="59" t="str">
        <f t="shared" ref="CQ2:CQ6" si="9">IF(AT2=1,"y","n")</f>
        <v>n</v>
      </c>
      <c r="CR2" s="59" t="str">
        <f t="shared" ref="CR2:CR6" si="10">IF(AT2=2,"y","n")</f>
        <v>n</v>
      </c>
      <c r="CS2" s="59" t="str">
        <f t="shared" ref="CS2:CS6" si="11">IF(AT2&gt;=3,"y","n")</f>
        <v>n</v>
      </c>
      <c r="CT2" s="69" t="str">
        <f t="shared" ref="CT2:CT6" si="12">CHAR(34)&amp;A2&amp;CHAR(34)</f>
        <v>"Fiji"</v>
      </c>
      <c r="CU2" s="70" t="str">
        <f t="shared" ref="CU2:CU6" si="13">CHAR(34)&amp;"rgn_"&amp;R2&amp;CHAR(34)</f>
        <v>"rgn_Oceania"</v>
      </c>
      <c r="CV2" s="48" t="str">
        <f t="shared" ref="CV2:CV6" si="14">CHAR(34)&amp;D2&amp;CHAR(34)</f>
        <v>"https://i.ibb.co/WK7Cyyh/Fiji-Flag.png"</v>
      </c>
      <c r="CW2" s="48" t="str">
        <f t="shared" ref="CW2:CZ6" si="15">IF(CH2="y",CHAR(34)&amp;CH$1&amp;CHAR(34)&amp;",","")</f>
        <v/>
      </c>
      <c r="CX2" s="48" t="str">
        <f t="shared" si="15"/>
        <v/>
      </c>
      <c r="CY2" s="48" t="str">
        <f t="shared" si="15"/>
        <v/>
      </c>
      <c r="CZ2" s="48" t="str">
        <f t="shared" si="15"/>
        <v>"5+Colo",</v>
      </c>
      <c r="DA2" s="48" t="str">
        <f t="shared" ref="DA2:DA6" si="16">IF(Q2&gt;1,CHAR(34)&amp;"words2"&amp;CHAR(34)&amp;",","")</f>
        <v/>
      </c>
      <c r="DB2" s="48" t="str">
        <f t="shared" ref="DB2:DB6"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8" t="str">
        <f t="shared" ref="DF2:DF6" si="21">IFERROR(IF(SEARCH("tan",A2)&gt;0,CHAR(34)&amp;"withtn"&amp;CHAR(34)&amp;",",""),"")</f>
        <v/>
      </c>
      <c r="DG2" s="48" t="str">
        <f t="shared" ref="DG2:DG6" si="22">IFERROR(IF(SEARCH("q",A2)&gt;0,CHAR(34)&amp;"with_q"&amp;CHAR(34)&amp;",",""),"")</f>
        <v/>
      </c>
      <c r="DH2" s="48" t="str">
        <f t="shared" ref="DH2:DH6" si="23">IFERROR(IF(SEARCH("v",A2)&gt;0,CHAR(34)&amp;"with_v"&amp;CHAR(34)&amp;",",""),"")</f>
        <v/>
      </c>
      <c r="DI2" s="48" t="str">
        <f t="shared" ref="DI2:DI6" si="24">IFERROR(IF(SEARCH("w",A2)&gt;0,CHAR(34)&amp;"with_w"&amp;CHAR(34)&amp;",",""),"")</f>
        <v/>
      </c>
      <c r="DJ2" s="48" t="str">
        <f t="shared" ref="DJ2:DJ6" si="25">IFERROR(IF(SEARCH("y",A2)&gt;0,CHAR(34)&amp;"with_y"&amp;CHAR(34)&amp;",",""),"")</f>
        <v/>
      </c>
      <c r="DK2" s="48" t="str">
        <f t="shared" ref="DK2:DK6" si="26">IFERROR(IF(SEARCH("z",A2)&gt;0,CHAR(34)&amp;"with_z"&amp;CHAR(34)&amp;",",""),"")</f>
        <v/>
      </c>
      <c r="DL2" s="48" t="str">
        <f t="shared" ref="DL2:DL6" si="27">IF(CG2=2, CHAR(34) &amp; _xlfn.TEXTJOIN("", TRUE, _xlfn._xlws.SORT(HP2:HX2)) &amp; CHAR(34) &amp; ",", "")</f>
        <v/>
      </c>
      <c r="DM2" s="48" t="str" cm="1">
        <f t="array" ref="DM2">IF(CG2=3,CHAR(34) &amp; _xlfn.TEXTJOIN("", TRUE, RIGHT(HP2:HX2, 2)) &amp; CHAR(34) &amp; ",", "")</f>
        <v/>
      </c>
      <c r="DN2" s="48" t="str">
        <f t="shared" ref="DN2:DN6" si="28">IF(AND(ISNUMBER(SEARCH("18", O2)), ISERROR(SEARCH("1918", O2)), ISERROR(SEARCH("2018", O2))), CHAR(34) &amp; "year18" &amp; CHAR(34) &amp; ",", "")</f>
        <v/>
      </c>
      <c r="DO2" s="48" t="str">
        <f t="shared" ref="DO2:DO6" si="29">IF(AND(ISNUMBER(SEARCH("19", O2)), ISERROR(SEARCH("1819", O2)),  ISERROR(SEARCH("1219", O2)),ISERROR(SEARCH("1119", O2)),ISERROR(SEARCH("1190", O2)),ISERROR(SEARCH("2019", O2))), CHAR(34) &amp; "year19" &amp; CHAR(34) &amp; ",", "")</f>
        <v>"year19",</v>
      </c>
      <c r="DP2" s="6" t="str">
        <f t="shared" ref="DP2:DP6" si="30">IF(AND(ISNUMBER(SEARCH("20", O2)), ISERROR(SEARCH("1920", O2))), CHAR(34)&amp;"year00"&amp;CHAR(34)&amp;",", "")</f>
        <v/>
      </c>
      <c r="DQ2" s="6" t="str">
        <f t="shared" ref="DQ2:DQ6" si="31">IF(CC2="y",CHAR(34)&amp;"soviet"&amp;CHAR(34)&amp;",","")</f>
        <v/>
      </c>
      <c r="DR2" s="6" t="str">
        <f t="shared" ref="DR2:DR6" si="32">IF(BY2="y",CHAR(34)&amp;"dgband"&amp;CHAR(34)&amp;",","")</f>
        <v/>
      </c>
      <c r="DS2" s="6" t="str">
        <f t="shared" ref="DS2:DS6" si="33">IF(W2="y",IF(AND(V2="n",BY2&lt;&gt;"y"),CHAR(34)&amp;"allver"&amp;CHAR(34)&amp;",",""),"")</f>
        <v/>
      </c>
      <c r="DT2" s="6" t="str">
        <f t="shared" ref="DT2:DT6" si="34">IF(V2="y",IF(AND(W2="n",BY2&lt;&gt;"y"),CHAR(34)&amp;"allhor"&amp;CHAR(34)&amp;",",""),"")</f>
        <v/>
      </c>
      <c r="DU2" s="6" t="str">
        <f t="shared" ref="DU2:DU6" si="35">IF(BY2="y",IF(AND(W2="n",V2="n"),CHAR(34)&amp;"alldia"&amp;CHAR(34)&amp;",",""),"")</f>
        <v/>
      </c>
      <c r="DV2" s="48" t="str">
        <f t="shared" ref="DV2" si="36">IF(IA2&lt;&gt;"",(IF(IA2="y",CHAR(34)&amp;"largec"&amp;CHAR(34)&amp;",",CHAR(34)&amp;"smallc"&amp;CHAR(34)&amp;",")),"")</f>
        <v/>
      </c>
      <c r="DW2" s="48" t="str">
        <f t="shared" ref="DW2:DZ6" si="37">IF(CL2="y",CHAR(34)&amp;CL$1&amp;CHAR(34)&amp;",","")</f>
        <v>"NoBand",</v>
      </c>
      <c r="DX2" s="48" t="str">
        <f t="shared" si="37"/>
        <v/>
      </c>
      <c r="DY2" s="48" t="str">
        <f t="shared" si="37"/>
        <v/>
      </c>
      <c r="DZ2" s="48" t="str">
        <f t="shared" si="37"/>
        <v/>
      </c>
      <c r="EA2" s="48" t="str">
        <f t="shared" ref="EA2:EE6" si="38">IF(T2="y",CHAR(34)&amp;T$1&amp;CHAR(34)&amp;",","")</f>
        <v/>
      </c>
      <c r="EB2" s="48" t="str">
        <f t="shared" si="38"/>
        <v>"Crosse",</v>
      </c>
      <c r="EC2" s="48" t="str">
        <f t="shared" si="38"/>
        <v/>
      </c>
      <c r="ED2" s="48" t="str">
        <f t="shared" si="38"/>
        <v/>
      </c>
      <c r="EE2" s="48" t="str">
        <f t="shared" si="38"/>
        <v/>
      </c>
      <c r="EF2" s="48" t="str">
        <f t="shared" ref="EF2:EF6" si="39">IF(AND(Y2&lt;&gt;"n",Y2&lt;&gt;""),CHAR(34)&amp;Y$1&amp;CHAR(34)&amp;",","")</f>
        <v>"Animal",</v>
      </c>
      <c r="EG2" s="48" t="str">
        <f t="shared" ref="EG2:EZ6" si="40">IF(Z2="y",CHAR(34)&amp;Z$1&amp;CHAR(34)&amp;",","")</f>
        <v>"Bird",</v>
      </c>
      <c r="EH2" s="48" t="str">
        <f t="shared" si="40"/>
        <v>"Plants",</v>
      </c>
      <c r="EI2" s="48" t="str">
        <f t="shared" si="40"/>
        <v/>
      </c>
      <c r="EJ2" s="48" t="str">
        <f t="shared" si="40"/>
        <v/>
      </c>
      <c r="EK2" s="48" t="str">
        <f t="shared" si="40"/>
        <v/>
      </c>
      <c r="EL2" s="48" t="str">
        <f t="shared" si="40"/>
        <v/>
      </c>
      <c r="EM2" s="48" t="str">
        <f t="shared" si="40"/>
        <v/>
      </c>
      <c r="EN2" s="48" t="str">
        <f t="shared" si="40"/>
        <v/>
      </c>
      <c r="EO2" s="48" t="str">
        <f t="shared" si="40"/>
        <v/>
      </c>
      <c r="EP2" s="48" t="str">
        <f t="shared" si="40"/>
        <v>"Canton",</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"Crowns",</v>
      </c>
      <c r="EY2" s="48" t="str">
        <f t="shared" si="40"/>
        <v/>
      </c>
      <c r="EZ2" s="48" t="str">
        <f t="shared" si="40"/>
        <v/>
      </c>
      <c r="FA2" s="48" t="str">
        <f t="shared" ref="FA2:FA6" si="41">IF(AT2&gt;0,CHAR(34)&amp;"sta"&amp;AZ2&amp;CHAR(34)&amp;",","")</f>
        <v/>
      </c>
      <c r="FB2" s="48" t="str">
        <f t="shared" ref="FB2:FB6" si="42">IF(AND(AT2&gt;0,BA2&lt;&gt;""),CHAR(34)&amp;"sta"&amp;BA2&amp;CHAR(34)&amp;",","")</f>
        <v/>
      </c>
      <c r="FC2" s="48" t="str">
        <f t="shared" ref="FC2" si="43">IF(AND(AT2&gt;0,BB2&lt;&gt;""),CHAR(34)&amp;"sta"&amp;BB2&amp;CHAR(34)&amp;",","")</f>
        <v/>
      </c>
      <c r="FD2" s="48" t="str">
        <f t="shared" ref="FD2:FD6" si="44">IF(BV2="n",CHAR(34)&amp;"tcWHYE"&amp;CHAR(34)&amp;",",IF(BV2="y",CHAR(34)&amp;FD$1&amp;CHAR(34)&amp;",",""))</f>
        <v/>
      </c>
      <c r="FE2" s="48" t="str">
        <f t="shared" ref="FE2:FE6" si="45">IF(COUNTIF(BL2:BT2,"BLU")=0,CHAR(34)&amp;"NO_BLU"&amp;CHAR(34)&amp;",", "")</f>
        <v/>
      </c>
      <c r="FF2" s="48" t="str">
        <f t="shared" ref="FF2:FF6" si="46">IF(COUNTIF(BL2:BT2,"WHI")=0,CHAR(34)&amp;"NO_WHI"&amp;CHAR(34)&amp;",", "")</f>
        <v/>
      </c>
      <c r="FG2" s="48" t="str">
        <f t="shared" ref="FG2:FG6" si="47">IF(COUNTIF(BL2:BT2,"RED")=0,CHAR(34)&amp;"NO_RED"&amp;CHAR(34)&amp;",", "")</f>
        <v/>
      </c>
      <c r="FH2" s="48" t="str">
        <f t="shared" ref="FH2:FH6" si="48">IF(COUNTIF(BL2:BS2,"GRE")=0,CHAR(34)&amp;"NO_GRE"&amp;CHAR(34)&amp;",", "")</f>
        <v/>
      </c>
      <c r="FI2" s="48" t="str">
        <f t="shared" ref="FI2:FI6" si="49">IF(COUNTIF(BL2:BT2,"YEL")=0,CHAR(34)&amp;"NO_YEL"&amp;CHAR(34)&amp;",", "")</f>
        <v/>
      </c>
      <c r="FJ2" s="48" t="str">
        <f t="shared" ref="FJ2:FJ6" si="50">IF(COUNTIF(BL2:BT2,"BLA")=0,CHAR(34)&amp;"NO_BLA"&amp;CHAR(34)&amp;",", "")</f>
        <v/>
      </c>
      <c r="FK2" s="48" t="str">
        <f t="shared" ref="FK2:FK6" si="51">IF(AND(FH2&lt;&gt;"",FF2&lt;&gt;""),CHAR(34)&amp;"WHGRNO"&amp;CHAR(34)&amp;",","")</f>
        <v/>
      </c>
      <c r="FL2" s="48" t="str">
        <f t="shared" ref="FL2:FL6" si="52">IF(AND(FI2&lt;&gt;"",FF2&lt;&gt;""),CHAR(34)&amp;"WHYENO"&amp;CHAR(34)&amp;",","")</f>
        <v/>
      </c>
      <c r="FM2" s="48" t="str">
        <f t="shared" ref="FM2:FM6" si="53">IF(AND(FJ2&lt;&gt;"",FF2&lt;&gt;""),CHAR(34)&amp;"BAWHNO"&amp;CHAR(34)&amp;",","")</f>
        <v/>
      </c>
      <c r="FN2" s="48" t="str">
        <f t="shared" ref="FN2:FN6" si="54">IF(AND(FE2&lt;&gt;"",FF2&lt;&gt;""),CHAR(34)&amp;"BLWHNO"&amp;CHAR(34)&amp;",","")</f>
        <v/>
      </c>
      <c r="FO2" s="48" t="str">
        <f t="shared" ref="FO2:FO6" si="55">IF(AND(FE2&lt;&gt;"",FG2&lt;&gt;""),CHAR(34)&amp;"BLRENO"&amp;CHAR(34)&amp;",","")</f>
        <v/>
      </c>
      <c r="FP2" s="48" t="str">
        <f t="shared" ref="FP2:FP6" si="56">IF(AND(FF2&lt;&gt;"",FF2&lt;&gt;""),CHAR(34)&amp;"WHRENO"&amp;CHAR(34)&amp;",","")</f>
        <v/>
      </c>
      <c r="FQ2" s="48" t="str">
        <f t="shared" ref="FQ2:FQ6" si="57">IF(LEN(BF2)=3,CHAR(34)&amp;"001"&amp;BF2&amp;CHAR(34)&amp;",","")</f>
        <v>"001GRE",</v>
      </c>
      <c r="FR2" s="48" t="str">
        <f t="shared" ref="FR2:FR6" si="58">IF(LEN(BG2)=3,CHAR(34)&amp;"002"&amp;BG2&amp;CHAR(34)&amp;",","")</f>
        <v>"002YEL",</v>
      </c>
      <c r="FS2" s="48" t="str">
        <f t="shared" ref="FS2:FS6" si="59">IF(LEN(BH2)=3,CHAR(34)&amp;"003"&amp;BH2&amp;CHAR(34)&amp;",","")</f>
        <v>"003RED",</v>
      </c>
      <c r="FT2" s="48" t="str">
        <f t="shared" ref="FT2:FT6" si="60">CHAR(34)&amp;"myr"&amp;BD2&amp;CHAR(34)&amp;","</f>
        <v>"myrRED",</v>
      </c>
      <c r="FU2" s="48" t="str">
        <f t="shared" ref="FU2:FU6" si="61">IF(AY2="y",CHAR(34)&amp;"island"&amp;CHAR(34)&amp;",","")</f>
        <v/>
      </c>
      <c r="FV2" s="48" t="str">
        <f t="shared" ref="FV2:FV6" si="62">IF(BZ2="y",CHAR(34)&amp;"landlo"&amp;CHAR(34)&amp;",","")</f>
        <v/>
      </c>
      <c r="FW2" s="48" t="str">
        <f t="shared" ref="FW2:FW6" si="63">IF(CA2="y",CHAR(34)&amp;"eunion"&amp;CHAR(34)&amp;",","")</f>
        <v/>
      </c>
      <c r="FX2" s="48" t="str">
        <f t="shared" ref="FX2" si="64">SUBSTITUTE(IFERROR(SEARCH("[",A2),IFERROR(IF(AND(CA2&lt;&gt;"y",SEARCH("Europe",R2)&gt;0),CHAR(34)&amp;"noeuni"&amp;CHAR(34)&amp;",",""),"")),"1","")</f>
        <v/>
      </c>
      <c r="FY2" s="48" t="str">
        <f t="shared" ref="FY2:FY6" si="65">IFERROR(IF(SEARCH("Arabic",CB2)&gt;0,CHAR(34)&amp;"arabic"&amp;CHAR(34)&amp;",",""),"")</f>
        <v/>
      </c>
      <c r="FZ2" s="48" t="str">
        <f t="shared" ref="FZ2:FZ6" si="66">IFERROR(IF(SEARCH("English",CB2)&gt;0,CHAR(34)&amp;"englis"&amp;CHAR(34)&amp;",",""),"")</f>
        <v/>
      </c>
      <c r="GA2" s="48" t="str">
        <f t="shared" ref="GA2:GA6" si="67">IFERROR(IF(SEARCH("French",CB2)&gt;0,CHAR(34)&amp;"french"&amp;CHAR(34)&amp;",",""),"")</f>
        <v/>
      </c>
      <c r="GB2" s="48" t="str">
        <f t="shared" ref="GB2:GB6"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6" si="71">IFERROR(IF(SEARCH("Dutch",CB2)&gt;0,CHAR(34)&amp;"dutchs"&amp;CHAR(34)&amp;",",""),"")</f>
        <v/>
      </c>
      <c r="GF2" s="48" t="str">
        <f t="shared" ref="GF2:GF6" si="72">IFERROR(IF(SEARCH("Historical",AU2)&gt;0,CHAR(34)&amp;"histor"&amp;CHAR(34)&amp;",",""),"")</f>
        <v/>
      </c>
      <c r="GG2" s="48" t="str">
        <f t="shared" ref="GG2:GG6" si="73">IF(BU2="y",CHAR(34)&amp;"unjack"&amp;CHAR(34)&amp;",","")</f>
        <v/>
      </c>
      <c r="GH2" s="48" t="str">
        <f t="shared" ref="GH2:GH6" si="74">IF(CD2=1,CHAR(34)&amp;"southc"&amp;CHAR(34)&amp;",","")</f>
        <v/>
      </c>
      <c r="GI2" s="48" t="str">
        <f t="shared" ref="GI2:GI6" si="75">IF(CE2=1,CHAR(34)&amp;"hasmap"&amp;CHAR(34)&amp;",","")</f>
        <v/>
      </c>
      <c r="GJ2" s="48" t="str">
        <f t="shared" ref="GJ2:GJ6" si="76">IF(CP2="y",CHAR(34)&amp;CP$1&amp;CHAR(34)&amp;",","")</f>
        <v>"NoStar",</v>
      </c>
      <c r="GK2" s="48" t="str">
        <f t="shared" ref="GK2:GK6" si="77">IF(GJ2="",CHAR(34)&amp;"HasSta"&amp;CHAR(34)&amp;",","")</f>
        <v/>
      </c>
      <c r="GL2" s="48" t="str">
        <f t="shared" ref="GL2:GN6" si="78">IF(CQ2="y",CHAR(34)&amp;CQ$1&amp;CHAR(34)&amp;",","")</f>
        <v/>
      </c>
      <c r="GM2" s="48" t="str">
        <f t="shared" si="78"/>
        <v/>
      </c>
      <c r="GN2" s="48" t="str">
        <f t="shared" si="78"/>
        <v/>
      </c>
      <c r="GP2" s="48" t="str">
        <f t="shared" ref="GP2:GP6" si="79">CHAR(34)&amp;AU2&amp;CHAR(34)</f>
        <v>""</v>
      </c>
      <c r="GS2" s="48" t="str">
        <f t="shared" ref="GS2:GS6" si="80">SUBSTITUTE("["&amp;_xlfn.CONCAT(CW2:GN2)&amp;"]",",]","]")</f>
        <v>["5+Colo","lets04","startF","year19","NoBand","Crosse","Animal","Bird","Plants","Canton","Crowns","001GRE","002YEL","003RED","myrRED","NoStar"]</v>
      </c>
      <c r="GT2" s="48" t="str">
        <f t="shared" ref="GT2:HB6" si="81">IF(BL2&lt;&gt;"",CHAR(34)&amp;"cl_"&amp;BL2&amp;CHAR(34)&amp;",","")</f>
        <v>"cl_BLA",</v>
      </c>
      <c r="GU2" s="48" t="str">
        <f t="shared" si="81"/>
        <v>"cl_BLU",</v>
      </c>
      <c r="GV2" s="48" t="str">
        <f t="shared" si="81"/>
        <v>"cl_GRE",</v>
      </c>
      <c r="GW2" s="48" t="str">
        <f t="shared" si="81"/>
        <v>"cl_RED",</v>
      </c>
      <c r="GX2" s="48" t="str">
        <f t="shared" si="81"/>
        <v>"cl_YEL",</v>
      </c>
      <c r="GY2" s="48" t="str">
        <f t="shared" si="81"/>
        <v>"cl_ORA",</v>
      </c>
      <c r="GZ2" s="48" t="str">
        <f t="shared" si="81"/>
        <v>"cl_BRO",</v>
      </c>
      <c r="HA2" s="48" t="str">
        <f t="shared" si="81"/>
        <v/>
      </c>
      <c r="HB2" s="48" t="str">
        <f t="shared" si="81"/>
        <v>"cl_WHI",</v>
      </c>
      <c r="HC2" s="48" t="str">
        <f t="shared" ref="HC2:HC6" si="82">SUBSTITUTE("["&amp;_xlfn.CONCAT(GT2:HB2)&amp;"]",",]","]")</f>
        <v>["cl_BLA","cl_BLU","cl_GRE","cl_RED","cl_YEL","cl_ORA","cl_BRO","cl_WHI"]</v>
      </c>
      <c r="HE2" s="71"/>
      <c r="HF2" s="72" t="str">
        <f t="shared" ref="HF2:HF6" si="83">"{couname:"&amp;CT2&amp;(IF(HK2&lt;&gt;"",",subtype:"&amp;CHAR(34)&amp;HK2&amp;CHAR(34),""))&amp;",year:"&amp;HJ2&amp;",region:"&amp;CU2&amp;",Colors:"&amp;HC2&amp;",Items:"&amp;GS2&amp;",Flag:"&amp;CV2&amp;",HDFlag:"&amp;CHAR(34)&amp;E2&amp;CHAR(34)&amp;",type:"&amp;GP2&amp;", describe: "&amp;HH2&amp;", isnew:"&amp;CHAR(34)&amp;F2&amp;CHAR(34)&amp;", links: "&amp;HL2&amp;"},"</f>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links: "https://en.wikipedia.org/wiki/Flag_of_Fiji"},</v>
      </c>
      <c r="HG2" s="73" t="str">
        <f t="shared" ref="HG2:HG6" si="84">"{couname:"&amp;CT2&amp;(IF(HK2&lt;&gt;"",",subtype:"&amp;CHAR(34)&amp;HK2&amp;CHAR(34),""))&amp;",year:"&amp;HJ2&amp;",region:"&amp;CU2&amp;",Colors:"&amp;HC2&amp;",Items:"&amp;GS2&amp;",Flag:"&amp;CV2&amp;",HDFlag:"&amp;CHAR(34)&amp;E2&amp;CHAR(34)&amp;",type:"&amp;GP2&amp;", describe: "&amp;HI2&amp;", links: "&amp;HL2&amp;"},"</f>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links: "https://en.wikipedia.org/wiki/Flag_of_Fiji"},</v>
      </c>
      <c r="HH2" s="48" t="str">
        <f t="shared" ref="HH2:HH6" si="85">IF(P2&lt;&gt;"",CHAR(34)&amp;"\n"&amp;P2&amp;CHAR(34),CHAR(34)&amp;CHAR(34))</f>
        <v>"\nThe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v>
      </c>
      <c r="HI2" s="48" t="str">
        <f t="shared" ref="HI2:HI6" si="86">IF(J2=0,CHAR(34)&amp;CHAR(34),HH2)</f>
        <v>"\nThe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v>
      </c>
      <c r="HJ2" s="48" t="str">
        <f t="shared" ref="HJ2:HJ6" si="87">CHAR(34)&amp;O2&amp;CHAR(34)</f>
        <v>"1970 "</v>
      </c>
      <c r="HL2" s="48" t="str">
        <f t="shared" ref="HL2:HL6" si="88">CHAR(34)&amp;I2&amp;CHAR(34)</f>
        <v>"https://en.wikipedia.org/wiki/Flag_of_Fiji"</v>
      </c>
      <c r="HM2" s="72" t="str">
        <f t="shared" ref="HM2:HM6"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 "links": "https://en.wikipedia.org/wiki/Flag_of_Fiji"},</v>
      </c>
      <c r="HN2" s="74" t="str">
        <f t="shared" ref="HN2:HN6" si="90">"{"&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{"couname":"Fiji","year":"1970 ","region":"rgn_Oceania","Colors":["cl_BLA","cl_BLU","cl_GRE","cl_RED","cl_YEL","cl_ORA","cl_BRO","cl_WHI"],"Items":["5+Colo","lets04","startF","year19","NoBand","Crosse","Animal","Bird","Plants","Canton","Crowns","001GRE","002YEL","003RED","myrRED","NoStar"],"Flag":"https://i.ibb.co/WK7Cyyh/Fiji-Flag.png","HDFlag":"https://upload.wikimedia.org/wikipedia/commons/thumb/b/ba/Flag_of_Fiji.svg/2560px-Flag_of_Fiji.svg.png","type":"", "describe": "\nThe flag's bright blue background symbolises the Pacific Ocean, which plays an important part in the lives of the islanders, both in terms of the fishing industry, and the huge tourist trade. The Union Jack reflects the country's links with the United Kingdom. The shield is derived from the country's coat of arms, which was granted by royal warrant in 1908. It is a white shield with a red cross and a red chief (upper third of a shield). The images depicted on the shield represent agricultural activities on the islands, and the historical associations with the United Kingdom. At the top of the shield, a British lion holds a cocoa pod between its paws. The first quarter is sugar cane, the second quarter is a coconut palm, the third quarter is a dove of peace, and the fourth quarter is a bunch of bananas.", "isnew": ".", "links": "https://en.wikipedia.org/wiki/Flag_of_Fiji"},</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ORA</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 t="shared" ref="IL2" si="91">SUM(IC2:IK2)</f>
        <v>0</v>
      </c>
      <c r="IM2" s="45">
        <f t="shared" ref="IM2:IM6" si="92">COUNTIF(IC2:IK2,"&gt;0")-CG2</f>
        <v>-8</v>
      </c>
      <c r="IN2" s="78" t="str">
        <f t="shared" ref="IN2:IN6" si="93">"http://mkweb.bcgsc.ca/color-summarizer/?url="&amp;D2&amp;"&amp;precision=low&amp;num_clusters="&amp;CG2&amp;"&amp;text=1"</f>
        <v>http://mkweb.bcgsc.ca/color-summarizer/?url=https://i.ibb.co/WK7Cyyh/Fiji-Flag.png&amp;precision=low&amp;num_clusters=8&amp;text=1</v>
      </c>
      <c r="IO2" s="48" t="str">
        <f t="shared" ref="IO2:IO6" si="94">IF(HP2&lt;&gt;"",CHAR(34)&amp;"black"&amp;CHAR(34),"")</f>
        <v>"black"</v>
      </c>
      <c r="IP2" s="48" t="str">
        <f t="shared" ref="IP2:IP6" si="95">IF(HQ2&lt;&gt;"",CHAR(34)&amp;"blue"&amp;CHAR(34),"")</f>
        <v>"blue"</v>
      </c>
      <c r="IQ2" s="48" t="str">
        <f t="shared" ref="IQ2:IQ6" si="96">IF(HR2&lt;&gt;"",CHAR(34)&amp;"green"&amp;CHAR(34),"")</f>
        <v>"green"</v>
      </c>
      <c r="IR2" s="48" t="str">
        <f t="shared" ref="IR2:IR6" si="97">IF(HS2&lt;&gt;"",CHAR(34)&amp;"red"&amp;CHAR(34),"")</f>
        <v>"red"</v>
      </c>
      <c r="IS2" s="48" t="str">
        <f t="shared" ref="IS2:IS6" si="98">IF(HT2&lt;&gt;"",CHAR(34)&amp;"yellow"&amp;CHAR(34),"")</f>
        <v>"yellow"</v>
      </c>
      <c r="IT2" s="48" t="str">
        <f t="shared" ref="IT2:IT6" si="99">IF(HU2&lt;&gt;"",CHAR(34)&amp;"orange"&amp;CHAR(34),"")</f>
        <v>"orange"</v>
      </c>
      <c r="IU2" s="48" t="str">
        <f t="shared" ref="IU2:IU6" si="100">IF(HV2&lt;&gt;"",CHAR(34)&amp;"brown"&amp;CHAR(34),"")</f>
        <v>"brown"</v>
      </c>
      <c r="IV2" s="48" t="str">
        <f t="shared" ref="IV2:IV6" si="101">IF(HW2&lt;&gt;"",CHAR(34)&amp;"purple"&amp;CHAR(34),"")</f>
        <v/>
      </c>
      <c r="IW2" s="48" t="str">
        <f t="shared" ref="IW2:IW6" si="102">IF(HX2&lt;&gt;"",CHAR(34)&amp;"white"&amp;CHAR(34),"")</f>
        <v>"white"</v>
      </c>
      <c r="IX2" s="48" t="str">
        <f t="shared" ref="IX2:IX6" si="103">"{"&amp;CHAR(34)&amp;"url"&amp;CHAR(34)&amp;":"&amp;CHAR(34)&amp;IN2&amp;CHAR(34)&amp;","&amp;CHAR(34)&amp;"name"&amp;CHAR(34)&amp;":"&amp;CHAR(34)&amp;A2&amp;CHAR(34)&amp;"},"</f>
        <v>{"url":"http://mkweb.bcgsc.ca/color-summarizer/?url=https://i.ibb.co/WK7Cyyh/Fiji-Flag.png&amp;precision=low&amp;num_clusters=8&amp;text=1","name":"Fiji"},</v>
      </c>
      <c r="IY2" s="48">
        <v>944</v>
      </c>
    </row>
    <row r="3" spans="1:259" s="48" customFormat="1" ht="38.4" customHeight="1" thickBot="1" x14ac:dyDescent="0.35">
      <c r="A3" s="81" t="s">
        <v>739</v>
      </c>
      <c r="B3" s="40" t="e" vm="33">
        <v>#VALUE!</v>
      </c>
      <c r="C3" s="41">
        <v>3</v>
      </c>
      <c r="D3" s="42" t="s">
        <v>740</v>
      </c>
      <c r="E3" s="43" t="s">
        <v>741</v>
      </c>
      <c r="F3" s="44" t="s">
        <v>166</v>
      </c>
      <c r="G3" s="45">
        <f>COUNTIF($A$1:$A$8292,A3)</f>
        <v>1</v>
      </c>
      <c r="H3" s="46" t="s">
        <v>742</v>
      </c>
      <c r="I3" s="47" t="s">
        <v>743</v>
      </c>
      <c r="J3" s="48" t="str">
        <f>""</f>
        <v/>
      </c>
      <c r="K3" s="49"/>
      <c r="L3" s="50"/>
      <c r="M3" s="50"/>
      <c r="N3" s="51" t="s">
        <v>169</v>
      </c>
      <c r="O3" s="52">
        <v>1865</v>
      </c>
      <c r="P3" s="53" t="s">
        <v>744</v>
      </c>
      <c r="Q3" s="54">
        <v>6</v>
      </c>
      <c r="R3" s="55" t="s">
        <v>169</v>
      </c>
      <c r="S3" s="56">
        <v>0</v>
      </c>
      <c r="T3" s="57" t="s">
        <v>172</v>
      </c>
      <c r="U3" s="58" t="s">
        <v>173</v>
      </c>
      <c r="V3" s="58" t="s">
        <v>173</v>
      </c>
      <c r="W3" s="58" t="s">
        <v>173</v>
      </c>
      <c r="X3" s="58" t="s">
        <v>173</v>
      </c>
      <c r="Y3" s="58" t="s">
        <v>173</v>
      </c>
      <c r="Z3" s="58" t="s">
        <v>173</v>
      </c>
      <c r="AA3" s="58" t="s">
        <v>173</v>
      </c>
      <c r="AB3" s="58" t="s">
        <v>173</v>
      </c>
      <c r="AC3" s="58" t="s">
        <v>173</v>
      </c>
      <c r="AD3" s="58" t="s">
        <v>173</v>
      </c>
      <c r="AE3" s="58" t="s">
        <v>173</v>
      </c>
      <c r="AF3" s="59" t="s">
        <v>173</v>
      </c>
      <c r="AG3" s="59" t="s">
        <v>172</v>
      </c>
      <c r="AH3" s="59" t="s">
        <v>172</v>
      </c>
      <c r="AI3" s="59" t="s">
        <v>173</v>
      </c>
      <c r="AJ3" s="59" t="s">
        <v>173</v>
      </c>
      <c r="AK3" s="59" t="s">
        <v>173</v>
      </c>
      <c r="AL3" s="59" t="s">
        <v>173</v>
      </c>
      <c r="AM3" s="59" t="s">
        <v>173</v>
      </c>
      <c r="AN3" s="59" t="s">
        <v>173</v>
      </c>
      <c r="AO3" s="59" t="s">
        <v>173</v>
      </c>
      <c r="AP3" s="59" t="s">
        <v>173</v>
      </c>
      <c r="AQ3" s="59" t="s">
        <v>173</v>
      </c>
      <c r="AR3" s="59" t="s">
        <v>172</v>
      </c>
      <c r="AS3" s="59" t="s">
        <v>173</v>
      </c>
      <c r="AT3" s="60">
        <v>1</v>
      </c>
      <c r="AU3" s="59" t="s">
        <v>677</v>
      </c>
      <c r="AV3" s="59" t="str">
        <f>IF(LEFT(A3,1)="[",LEFT(A3,5)&amp;AU3&amp;A3,"")</f>
        <v>[FJI]Historical[FJI] Confederacy of Independent Kingdoms of Fiji (1865)</v>
      </c>
      <c r="AW3" s="59" t="str">
        <f>C3&amp;H3&amp;A3</f>
        <v>3[FJI] Other[FJI] Confederacy of Independent Kingdoms of Fiji (1865)</v>
      </c>
      <c r="AX3" s="61"/>
      <c r="AY3" s="61"/>
      <c r="AZ3" s="62" t="s">
        <v>192</v>
      </c>
      <c r="BA3" s="62" t="s">
        <v>192</v>
      </c>
      <c r="BB3" s="62"/>
      <c r="BC3" s="63"/>
      <c r="BD3" s="64" t="s">
        <v>152</v>
      </c>
      <c r="BE3" s="47"/>
      <c r="BF3" s="64" t="s">
        <v>152</v>
      </c>
      <c r="BG3" s="64" t="s">
        <v>155</v>
      </c>
      <c r="BH3" s="64" t="s">
        <v>153</v>
      </c>
      <c r="BI3" s="64"/>
      <c r="BJ3" s="64"/>
      <c r="BK3" s="47"/>
      <c r="BL3" s="64" t="s">
        <v>151</v>
      </c>
      <c r="BM3" s="64" t="s">
        <v>152</v>
      </c>
      <c r="BN3" s="64" t="s">
        <v>153</v>
      </c>
      <c r="BO3" s="64" t="s">
        <v>192</v>
      </c>
      <c r="BP3" s="64" t="s">
        <v>155</v>
      </c>
      <c r="BQ3" s="64" t="s">
        <v>192</v>
      </c>
      <c r="BR3" s="64" t="s">
        <v>192</v>
      </c>
      <c r="BS3" s="64" t="s">
        <v>192</v>
      </c>
      <c r="BT3" s="64" t="s">
        <v>192</v>
      </c>
      <c r="BU3" s="65"/>
      <c r="BV3" s="66"/>
      <c r="BW3" s="66">
        <v>0</v>
      </c>
      <c r="BX3" s="47"/>
      <c r="CB3" s="6"/>
      <c r="CC3" s="6"/>
      <c r="CD3" s="67">
        <v>0</v>
      </c>
      <c r="CE3" s="67">
        <v>1</v>
      </c>
      <c r="CF3" s="67" t="e">
        <v>#REF!</v>
      </c>
      <c r="CG3" s="68" cm="1">
        <f t="array" ref="CG3">SUMPRODUCT(--(LEN(TRIM(BL3:BT3))&gt;0))</f>
        <v>4</v>
      </c>
      <c r="CH3" s="59" t="str">
        <f t="shared" si="0"/>
        <v>n</v>
      </c>
      <c r="CI3" s="59" t="str">
        <f t="shared" si="1"/>
        <v>n</v>
      </c>
      <c r="CJ3" s="59" t="str">
        <f t="shared" si="2"/>
        <v>y</v>
      </c>
      <c r="CK3" s="59" t="str">
        <f t="shared" si="3"/>
        <v>n</v>
      </c>
      <c r="CL3" s="59" t="str">
        <f t="shared" si="4"/>
        <v>y</v>
      </c>
      <c r="CM3" s="59" t="str">
        <f t="shared" si="5"/>
        <v>n</v>
      </c>
      <c r="CN3" s="59" t="str">
        <f t="shared" si="6"/>
        <v>n</v>
      </c>
      <c r="CO3" s="59" t="str">
        <f t="shared" si="7"/>
        <v>n</v>
      </c>
      <c r="CP3" s="59" t="str">
        <f t="shared" si="8"/>
        <v>n</v>
      </c>
      <c r="CQ3" s="59" t="str">
        <f t="shared" si="9"/>
        <v>y</v>
      </c>
      <c r="CR3" s="59" t="str">
        <f t="shared" si="10"/>
        <v>n</v>
      </c>
      <c r="CS3" s="59" t="str">
        <f t="shared" si="11"/>
        <v>n</v>
      </c>
      <c r="CT3" s="69" t="str">
        <f t="shared" si="12"/>
        <v>"[FJI] Confederacy of Independent Kingdoms of Fiji (1865)"</v>
      </c>
      <c r="CU3" s="70" t="str">
        <f t="shared" si="13"/>
        <v>"rgn_Oceania"</v>
      </c>
      <c r="CV3" s="48" t="str">
        <f t="shared" si="14"/>
        <v>"https://upload.wikimedia.org/wikipedia/commons/thumb/c/cb/Flag_of_the_Confederacy_of_Independent_Kingdoms_of_Fiji.svg/640px-Flag_of_the_Confederacy_of_Independent_Kingdoms_of_Fiji.svg.png"</v>
      </c>
      <c r="CW3" s="48" t="str">
        <f t="shared" si="15"/>
        <v/>
      </c>
      <c r="CX3" s="48" t="str">
        <f t="shared" si="15"/>
        <v/>
      </c>
      <c r="CY3" s="48" t="str">
        <f t="shared" si="15"/>
        <v>"4Color",</v>
      </c>
      <c r="CZ3" s="48" t="str">
        <f t="shared" si="15"/>
        <v/>
      </c>
      <c r="DA3" s="48" t="str">
        <f t="shared" si="16"/>
        <v>"words2",</v>
      </c>
      <c r="DB3" s="48" t="str">
        <f t="shared" si="17"/>
        <v>"words3",</v>
      </c>
      <c r="DD3" s="48" t="str">
        <f t="shared" ref="DD3:DD6" si="104">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"lets44",</v>
      </c>
      <c r="DE3" s="48" t="str">
        <f t="shared" ref="DE3:DE6" si="105">CHAR(34)&amp;"start"&amp;IFERROR(LEFT(SUBSTITUTE(A3,"["&amp;MID(A3,FIND("[",A3)+1,FIND("]",A3)-FIND("[",A3)-1)&amp;"] ",""),1),LEFT(A3,1))&amp;CHAR(34)&amp;","</f>
        <v>"startC",</v>
      </c>
      <c r="DF3" s="48" t="str">
        <f t="shared" si="21"/>
        <v/>
      </c>
      <c r="DG3" s="48" t="str">
        <f t="shared" si="22"/>
        <v/>
      </c>
      <c r="DH3" s="48" t="str">
        <f t="shared" si="23"/>
        <v/>
      </c>
      <c r="DI3" s="48" t="str">
        <f t="shared" si="24"/>
        <v/>
      </c>
      <c r="DJ3" s="48" t="str">
        <f t="shared" si="25"/>
        <v>"with_y",</v>
      </c>
      <c r="DK3" s="48" t="str">
        <f t="shared" si="26"/>
        <v/>
      </c>
      <c r="DL3" s="48" t="str">
        <f t="shared" si="27"/>
        <v/>
      </c>
      <c r="DM3" s="48" t="str" cm="1">
        <f t="array" ref="DM3">IF(CG3=3,CHAR(34) &amp; _xlfn.TEXTJOIN("", TRUE, RIGHT(HP3:HX3, 2)) &amp; CHAR(34) &amp; ",", "")</f>
        <v/>
      </c>
      <c r="DN3" s="48" t="str">
        <f t="shared" si="28"/>
        <v>"year18",</v>
      </c>
      <c r="DO3" s="48" t="str">
        <f t="shared" si="29"/>
        <v/>
      </c>
      <c r="DP3" s="6" t="str">
        <f t="shared" si="30"/>
        <v/>
      </c>
      <c r="DQ3" s="6" t="str">
        <f t="shared" si="31"/>
        <v/>
      </c>
      <c r="DR3" s="6" t="str">
        <f t="shared" si="32"/>
        <v/>
      </c>
      <c r="DS3" s="6" t="str">
        <f t="shared" si="33"/>
        <v/>
      </c>
      <c r="DT3" s="6" t="str">
        <f t="shared" si="34"/>
        <v/>
      </c>
      <c r="DU3" s="6" t="str">
        <f t="shared" si="35"/>
        <v/>
      </c>
      <c r="DW3" s="48" t="str">
        <f t="shared" si="37"/>
        <v>"NoBand",</v>
      </c>
      <c r="DX3" s="48" t="str">
        <f t="shared" si="37"/>
        <v/>
      </c>
      <c r="DY3" s="48" t="str">
        <f t="shared" si="37"/>
        <v/>
      </c>
      <c r="DZ3" s="48" t="str">
        <f t="shared" si="37"/>
        <v/>
      </c>
      <c r="EA3" s="48" t="str">
        <f t="shared" si="38"/>
        <v>"Diagon",</v>
      </c>
      <c r="EB3" s="48" t="str">
        <f t="shared" si="38"/>
        <v/>
      </c>
      <c r="EC3" s="48" t="str">
        <f t="shared" si="38"/>
        <v/>
      </c>
      <c r="ED3" s="48" t="str">
        <f t="shared" si="38"/>
        <v/>
      </c>
      <c r="EE3" s="48" t="str">
        <f t="shared" si="38"/>
        <v/>
      </c>
      <c r="EF3" s="48" t="str">
        <f t="shared" si="39"/>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"Unequa",</v>
      </c>
      <c r="EO3" s="48" t="str">
        <f t="shared" si="40"/>
        <v>"Center",</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"Rotate",</v>
      </c>
      <c r="EZ3" s="48" t="str">
        <f t="shared" si="40"/>
        <v/>
      </c>
      <c r="FA3" s="48" t="str">
        <f t="shared" si="41"/>
        <v>"sta",</v>
      </c>
      <c r="FB3" s="48" t="str">
        <f t="shared" si="42"/>
        <v/>
      </c>
      <c r="FD3" s="48" t="str">
        <f t="shared" si="44"/>
        <v/>
      </c>
      <c r="FE3" s="48" t="str">
        <f t="shared" si="45"/>
        <v/>
      </c>
      <c r="FF3" s="48" t="str">
        <f t="shared" si="46"/>
        <v>"NO_WHI",</v>
      </c>
      <c r="FG3" s="48" t="str">
        <f t="shared" si="47"/>
        <v>"NO_RED",</v>
      </c>
      <c r="FH3" s="48" t="str">
        <f t="shared" si="48"/>
        <v/>
      </c>
      <c r="FI3" s="48" t="str">
        <f t="shared" si="49"/>
        <v/>
      </c>
      <c r="FJ3" s="48" t="str">
        <f t="shared" si="50"/>
        <v/>
      </c>
      <c r="FK3" s="48" t="str">
        <f t="shared" si="51"/>
        <v/>
      </c>
      <c r="FL3" s="48" t="str">
        <f t="shared" si="52"/>
        <v/>
      </c>
      <c r="FM3" s="48" t="str">
        <f t="shared" si="53"/>
        <v/>
      </c>
      <c r="FN3" s="48" t="str">
        <f t="shared" si="54"/>
        <v/>
      </c>
      <c r="FO3" s="48" t="str">
        <f t="shared" si="55"/>
        <v/>
      </c>
      <c r="FP3" s="48" t="str">
        <f t="shared" si="56"/>
        <v>"WHRENO",</v>
      </c>
      <c r="FQ3" s="48" t="str">
        <f t="shared" si="57"/>
        <v>"001BLU",</v>
      </c>
      <c r="FR3" s="48" t="str">
        <f t="shared" si="58"/>
        <v>"002YEL",</v>
      </c>
      <c r="FS3" s="48" t="str">
        <f t="shared" si="59"/>
        <v>"003GRE",</v>
      </c>
      <c r="FT3" s="48" t="str">
        <f t="shared" si="60"/>
        <v>"myrBLU",</v>
      </c>
      <c r="FU3" s="48" t="str">
        <f t="shared" si="61"/>
        <v/>
      </c>
      <c r="FV3" s="48" t="str">
        <f t="shared" si="62"/>
        <v/>
      </c>
      <c r="FW3" s="48" t="str">
        <f t="shared" si="63"/>
        <v/>
      </c>
      <c r="FY3" s="48" t="str">
        <f t="shared" si="65"/>
        <v/>
      </c>
      <c r="FZ3" s="48" t="str">
        <f t="shared" si="66"/>
        <v/>
      </c>
      <c r="GA3" s="48" t="str">
        <f t="shared" si="67"/>
        <v/>
      </c>
      <c r="GB3" s="48" t="str">
        <f t="shared" si="68"/>
        <v/>
      </c>
      <c r="GE3" s="48" t="str">
        <f t="shared" si="71"/>
        <v/>
      </c>
      <c r="GF3" s="48" t="str">
        <f t="shared" si="72"/>
        <v>"histor",</v>
      </c>
      <c r="GG3" s="48" t="str">
        <f t="shared" si="73"/>
        <v/>
      </c>
      <c r="GH3" s="48" t="str">
        <f t="shared" si="74"/>
        <v/>
      </c>
      <c r="GI3" s="48" t="str">
        <f t="shared" si="75"/>
        <v>"hasmap",</v>
      </c>
      <c r="GJ3" s="48" t="str">
        <f t="shared" si="76"/>
        <v/>
      </c>
      <c r="GK3" s="48" t="str">
        <f t="shared" si="77"/>
        <v>"HasSta",</v>
      </c>
      <c r="GL3" s="48" t="str">
        <f t="shared" si="78"/>
        <v>"1Stars",</v>
      </c>
      <c r="GM3" s="48" t="str">
        <f t="shared" si="78"/>
        <v/>
      </c>
      <c r="GN3" s="48" t="str">
        <f t="shared" si="78"/>
        <v/>
      </c>
      <c r="GP3" s="48" t="str">
        <f t="shared" si="79"/>
        <v>"Historical"</v>
      </c>
      <c r="GS3" s="48" t="str">
        <f t="shared" si="80"/>
        <v>["4Color","words2","words3","lets44","startC","with_y","year18","NoBand","Diagon","Unequa","Center","Rotate","sta","NO_WHI","NO_RED","WHRENO","001BLU","002YEL","003GRE","myrBLU","histor","hasmap","HasSta","1Stars"]</v>
      </c>
      <c r="GT3" s="48" t="str">
        <f t="shared" si="81"/>
        <v>"cl_BLA",</v>
      </c>
      <c r="GU3" s="48" t="str">
        <f t="shared" si="81"/>
        <v>"cl_BLU",</v>
      </c>
      <c r="GV3" s="48" t="str">
        <f t="shared" si="81"/>
        <v>"cl_GRE",</v>
      </c>
      <c r="GW3" s="48" t="str">
        <f t="shared" si="81"/>
        <v/>
      </c>
      <c r="GX3" s="48" t="str">
        <f t="shared" si="81"/>
        <v>"cl_YEL",</v>
      </c>
      <c r="GY3" s="48" t="str">
        <f t="shared" si="81"/>
        <v/>
      </c>
      <c r="GZ3" s="48" t="str">
        <f t="shared" si="81"/>
        <v/>
      </c>
      <c r="HA3" s="48" t="str">
        <f t="shared" si="81"/>
        <v/>
      </c>
      <c r="HB3" s="48" t="str">
        <f t="shared" si="81"/>
        <v/>
      </c>
      <c r="HC3" s="48" t="str">
        <f t="shared" si="82"/>
        <v>["cl_BLA","cl_BLU","cl_GRE","cl_YEL"]</v>
      </c>
      <c r="HE3" s="71"/>
      <c r="HF3" s="72" t="str">
        <f t="shared" si="83"/>
        <v>{couname:"[FJI] Confederacy of Independent Kingdoms of Fiji (1865)",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links: "https://en.m.wikipedia.org/wiki/Flag_of_Fiji"},</v>
      </c>
      <c r="HG3" s="73" t="str">
        <f t="shared" si="84"/>
        <v>{couname:"[FJI] Confederacy of Independent Kingdoms of Fiji (1865)",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links: "https://en.m.wikipedia.org/wiki/Flag_of_Fiji"},</v>
      </c>
      <c r="HH3" s="48" t="str">
        <f t="shared" si="85"/>
        <v>"\nA white eight-pointed star on a dark blue field."</v>
      </c>
      <c r="HI3" s="48" t="str">
        <f t="shared" si="86"/>
        <v>"\nA white eight-pointed star on a dark blue field."</v>
      </c>
      <c r="HJ3" s="48" t="str">
        <f t="shared" si="87"/>
        <v>"1865"</v>
      </c>
      <c r="HL3" s="48" t="str">
        <f t="shared" si="88"/>
        <v>"https://en.m.wikipedia.org/wiki/Flag_of_Fiji"</v>
      </c>
      <c r="HM3" s="72" t="str">
        <f t="shared" si="89"/>
        <v>{"couname":"[FJI] Confederacy of Independent Kingdoms of Fiji (1865)","subtype":"[FJI] Other","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 "links": "https://en.m.wikipedia.org/wiki/Flag_of_Fiji"},</v>
      </c>
      <c r="HN3" s="74" t="str">
        <f t="shared" si="90"/>
        <v>{"couname":"[FJI] Confederacy of Independent Kingdoms of Fiji (1865)","subtype":"[FJI] Other","year":"1865","region":"rgn_Oceania","Colors":["cl_BLA","cl_BLU","cl_GRE","cl_YEL"],"Items":["4Color","words2","words3","lets44","startC","with_y","year18","NoBand","Diagon","Unequa","Center","Rotate","sta","NO_WHI","NO_RED","WHRENO","001BLU","002YEL","003GRE","myrBLU","histor","hasmap","HasSta","1Stars"],"Flag":"https://upload.wikimedia.org/wikipedia/commons/thumb/c/cb/Flag_of_the_Confederacy_of_Independent_Kingdoms_of_Fiji.svg/640px-Flag_of_the_Confederacy_of_Independent_Kingdoms_of_Fiji.svg.png","HDFlag":"https://upload.wikimedia.org/wikipedia/commons/thumb/c/cb/Flag_of_the_Confederacy_of_Independent_Kingdoms_of_Fiji.svg/1280px-Flag_of_the_Confederacy_of_Independent_Kingdoms_of_Fiji.svg.png","type":"Historical", "describe": "\nA white eight-pointed star on a dark blue field.", "isnew": ".", "links": "https://en.m.wikipedia.org/wiki/Flag_of_Fiji"},</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 t="shared" si="92"/>
        <v>-4</v>
      </c>
      <c r="IN3" s="78" t="str">
        <f t="shared" si="93"/>
        <v>http://mkweb.bcgsc.ca/color-summarizer/?url=https://upload.wikimedia.org/wikipedia/commons/thumb/c/cb/Flag_of_the_Confederacy_of_Independent_Kingdoms_of_Fiji.svg/640px-Flag_of_the_Confederacy_of_Independent_Kingdoms_of_Fiji.svg.png&amp;precision=low&amp;num_clusters=4&amp;text=1</v>
      </c>
      <c r="IO3" s="48" t="str">
        <f t="shared" si="94"/>
        <v>"black"</v>
      </c>
      <c r="IP3" s="48" t="str">
        <f t="shared" si="95"/>
        <v>"blue"</v>
      </c>
      <c r="IQ3" s="48" t="str">
        <f t="shared" si="96"/>
        <v>"green"</v>
      </c>
      <c r="IR3" s="48" t="str">
        <f t="shared" si="97"/>
        <v/>
      </c>
      <c r="IS3" s="48" t="str">
        <f t="shared" si="98"/>
        <v>"yellow"</v>
      </c>
      <c r="IT3" s="48" t="str">
        <f t="shared" si="99"/>
        <v/>
      </c>
      <c r="IU3" s="48" t="str">
        <f t="shared" si="100"/>
        <v/>
      </c>
      <c r="IV3" s="48" t="str">
        <f t="shared" si="101"/>
        <v/>
      </c>
      <c r="IW3" s="48" t="str">
        <f t="shared" si="102"/>
        <v/>
      </c>
      <c r="IX3" s="48" t="str">
        <f t="shared" si="103"/>
        <v>{"url":"http://mkweb.bcgsc.ca/color-summarizer/?url=https://upload.wikimedia.org/wikipedia/commons/thumb/c/cb/Flag_of_the_Confederacy_of_Independent_Kingdoms_of_Fiji.svg/640px-Flag_of_the_Confederacy_of_Independent_Kingdoms_of_Fiji.svg.png&amp;precision=low&amp;num_clusters=4&amp;text=1","name":"[FJI] Confederacy of Independent Kingdoms of Fiji (1865)"},</v>
      </c>
      <c r="IY3" s="48">
        <v>1468</v>
      </c>
    </row>
    <row r="4" spans="1:259" s="48" customFormat="1" ht="38.4" customHeight="1" thickBot="1" x14ac:dyDescent="0.35">
      <c r="A4" s="81" t="s">
        <v>745</v>
      </c>
      <c r="B4" s="40" t="e" vm="34">
        <v>#VALUE!</v>
      </c>
      <c r="C4" s="41">
        <v>3</v>
      </c>
      <c r="D4" s="42" t="s">
        <v>746</v>
      </c>
      <c r="E4" s="43" t="s">
        <v>747</v>
      </c>
      <c r="F4" s="44" t="s">
        <v>166</v>
      </c>
      <c r="G4" s="45">
        <f>COUNTIF($A$1:$A$8292,A4)</f>
        <v>1</v>
      </c>
      <c r="H4" s="46" t="s">
        <v>742</v>
      </c>
      <c r="I4" s="47" t="s">
        <v>743</v>
      </c>
      <c r="J4" s="48" t="str">
        <f>""</f>
        <v/>
      </c>
      <c r="K4" s="49"/>
      <c r="L4" s="50"/>
      <c r="M4" s="50"/>
      <c r="N4" s="51" t="s">
        <v>169</v>
      </c>
      <c r="O4" s="52">
        <v>1869</v>
      </c>
      <c r="P4" s="53" t="s">
        <v>748</v>
      </c>
      <c r="Q4" s="54">
        <v>3</v>
      </c>
      <c r="R4" s="55" t="s">
        <v>169</v>
      </c>
      <c r="S4" s="56">
        <v>2</v>
      </c>
      <c r="T4" s="57" t="s">
        <v>173</v>
      </c>
      <c r="U4" s="58" t="s">
        <v>172</v>
      </c>
      <c r="V4" s="58" t="s">
        <v>172</v>
      </c>
      <c r="W4" s="58" t="s">
        <v>172</v>
      </c>
      <c r="X4" s="58" t="s">
        <v>173</v>
      </c>
      <c r="Y4" s="58" t="s">
        <v>173</v>
      </c>
      <c r="Z4" s="58" t="s">
        <v>173</v>
      </c>
      <c r="AA4" s="58" t="s">
        <v>173</v>
      </c>
      <c r="AB4" s="58" t="s">
        <v>173</v>
      </c>
      <c r="AC4" s="58" t="s">
        <v>173</v>
      </c>
      <c r="AD4" s="58" t="s">
        <v>173</v>
      </c>
      <c r="AE4" s="58" t="s">
        <v>173</v>
      </c>
      <c r="AF4" s="59" t="s">
        <v>173</v>
      </c>
      <c r="AG4" s="59" t="s">
        <v>172</v>
      </c>
      <c r="AH4" s="59" t="s">
        <v>173</v>
      </c>
      <c r="AI4" s="59" t="s">
        <v>172</v>
      </c>
      <c r="AJ4" s="59" t="s">
        <v>173</v>
      </c>
      <c r="AK4" s="59" t="s">
        <v>173</v>
      </c>
      <c r="AL4" s="59" t="s">
        <v>173</v>
      </c>
      <c r="AM4" s="59" t="s">
        <v>173</v>
      </c>
      <c r="AN4" s="59" t="s">
        <v>173</v>
      </c>
      <c r="AO4" s="59" t="s">
        <v>173</v>
      </c>
      <c r="AP4" s="59" t="s">
        <v>173</v>
      </c>
      <c r="AQ4" s="59" t="s">
        <v>173</v>
      </c>
      <c r="AR4" s="59" t="s">
        <v>173</v>
      </c>
      <c r="AS4" s="59" t="s">
        <v>173</v>
      </c>
      <c r="AT4" s="60">
        <v>0</v>
      </c>
      <c r="AU4" s="59" t="s">
        <v>677</v>
      </c>
      <c r="AV4" s="59" t="str">
        <f>IF(LEFT(A4,1)="[",LEFT(A4,5)&amp;AU4&amp;A4,"")</f>
        <v>[FJI]Historical[FJI] Confederation of Lau (1869)</v>
      </c>
      <c r="AW4" s="59" t="str">
        <f>C4&amp;H4&amp;A4</f>
        <v>3[FJI] Other[FJI] Confederation of Lau (1869)</v>
      </c>
      <c r="AX4" s="61"/>
      <c r="AY4" s="61"/>
      <c r="AZ4" s="62" t="s">
        <v>159</v>
      </c>
      <c r="BA4" s="62"/>
      <c r="BB4" s="62"/>
      <c r="BC4" s="63"/>
      <c r="BD4" s="64" t="s">
        <v>408</v>
      </c>
      <c r="BE4" s="47"/>
      <c r="BF4" s="64" t="s">
        <v>155</v>
      </c>
      <c r="BG4" s="64" t="s">
        <v>152</v>
      </c>
      <c r="BH4" s="64" t="s">
        <v>153</v>
      </c>
      <c r="BI4" s="64"/>
      <c r="BJ4" s="64"/>
      <c r="BK4" s="47"/>
      <c r="BL4" s="64" t="s">
        <v>151</v>
      </c>
      <c r="BM4" s="64" t="s">
        <v>152</v>
      </c>
      <c r="BN4" s="64" t="s">
        <v>153</v>
      </c>
      <c r="BO4" s="64" t="s">
        <v>154</v>
      </c>
      <c r="BP4" s="64" t="s">
        <v>155</v>
      </c>
      <c r="BQ4" s="64" t="s">
        <v>192</v>
      </c>
      <c r="BR4" s="64" t="s">
        <v>192</v>
      </c>
      <c r="BS4" s="64" t="s">
        <v>192</v>
      </c>
      <c r="BT4" s="64" t="s">
        <v>159</v>
      </c>
      <c r="BU4" s="65"/>
      <c r="BV4" s="66"/>
      <c r="BW4" s="66">
        <v>0</v>
      </c>
      <c r="BX4" s="47"/>
      <c r="BY4" s="48" t="s">
        <v>173</v>
      </c>
      <c r="CB4" s="6"/>
      <c r="CC4" s="6"/>
      <c r="CD4" s="67">
        <v>0</v>
      </c>
      <c r="CE4" s="67">
        <v>0</v>
      </c>
      <c r="CF4" s="67" t="e">
        <v>#REF!</v>
      </c>
      <c r="CG4" s="68" cm="1">
        <f t="array" ref="CG4">SUMPRODUCT(--(LEN(TRIM(BL4:BT4))&gt;0))</f>
        <v>6</v>
      </c>
      <c r="CH4" s="59" t="str">
        <f t="shared" si="0"/>
        <v>n</v>
      </c>
      <c r="CI4" s="59" t="str">
        <f t="shared" si="1"/>
        <v>n</v>
      </c>
      <c r="CJ4" s="59" t="str">
        <f t="shared" si="2"/>
        <v>n</v>
      </c>
      <c r="CK4" s="59" t="str">
        <f t="shared" si="3"/>
        <v>y</v>
      </c>
      <c r="CL4" s="59" t="str">
        <f t="shared" si="4"/>
        <v>n</v>
      </c>
      <c r="CM4" s="59" t="str">
        <f t="shared" si="5"/>
        <v>y</v>
      </c>
      <c r="CN4" s="59" t="str">
        <f t="shared" si="6"/>
        <v>n</v>
      </c>
      <c r="CO4" s="59" t="str">
        <f t="shared" si="7"/>
        <v>n</v>
      </c>
      <c r="CP4" s="59" t="str">
        <f t="shared" si="8"/>
        <v>y</v>
      </c>
      <c r="CQ4" s="59" t="str">
        <f t="shared" si="9"/>
        <v>n</v>
      </c>
      <c r="CR4" s="59" t="str">
        <f t="shared" si="10"/>
        <v>n</v>
      </c>
      <c r="CS4" s="59" t="str">
        <f t="shared" si="11"/>
        <v>n</v>
      </c>
      <c r="CT4" s="69" t="str">
        <f t="shared" si="12"/>
        <v>"[FJI] Confederation of Lau (1869)"</v>
      </c>
      <c r="CU4" s="70" t="str">
        <f t="shared" si="13"/>
        <v>"rgn_Oceania"</v>
      </c>
      <c r="CV4" s="48" t="str">
        <f t="shared" si="14"/>
        <v>"https://upload.wikimedia.org/wikipedia/commons/thumb/e/ed/Flag_of_the_Kingdom_of_Lau_1869-1871.svg/640px-Flag_of_the_Kingdom_of_Lau_1869-1871.svg.png"</v>
      </c>
      <c r="CW4" s="48" t="str">
        <f t="shared" si="15"/>
        <v/>
      </c>
      <c r="CX4" s="48" t="str">
        <f t="shared" si="15"/>
        <v/>
      </c>
      <c r="CY4" s="48" t="str">
        <f t="shared" si="15"/>
        <v/>
      </c>
      <c r="CZ4" s="48" t="str">
        <f t="shared" si="15"/>
        <v>"5+Colo",</v>
      </c>
      <c r="DA4" s="48" t="str">
        <f t="shared" si="16"/>
        <v>"words2",</v>
      </c>
      <c r="DB4" s="48" t="str">
        <f t="shared" si="17"/>
        <v>"words3",</v>
      </c>
      <c r="DD4" s="48" t="str">
        <f t="shared" si="104"/>
        <v>"lets24",</v>
      </c>
      <c r="DE4" s="48" t="str">
        <f t="shared" si="105"/>
        <v>"startC",</v>
      </c>
      <c r="DF4" s="48" t="str">
        <f t="shared" si="21"/>
        <v/>
      </c>
      <c r="DG4" s="48" t="str">
        <f t="shared" si="22"/>
        <v/>
      </c>
      <c r="DH4" s="48" t="str">
        <f t="shared" si="23"/>
        <v/>
      </c>
      <c r="DI4" s="48" t="str">
        <f t="shared" si="24"/>
        <v/>
      </c>
      <c r="DJ4" s="48" t="str">
        <f t="shared" si="25"/>
        <v/>
      </c>
      <c r="DK4" s="48" t="str">
        <f t="shared" si="26"/>
        <v/>
      </c>
      <c r="DL4" s="48" t="str">
        <f t="shared" si="27"/>
        <v/>
      </c>
      <c r="DM4" s="48" t="str" cm="1">
        <f t="array" ref="DM4">IF(CG4=3,CHAR(34) &amp; _xlfn.TEXTJOIN("", TRUE, RIGHT(HP4:HX4, 2)) &amp; CHAR(34) &amp; ",", "")</f>
        <v/>
      </c>
      <c r="DN4" s="48" t="str">
        <f t="shared" si="28"/>
        <v>"year18",</v>
      </c>
      <c r="DO4" s="48" t="str">
        <f t="shared" si="29"/>
        <v/>
      </c>
      <c r="DP4" s="6" t="str">
        <f t="shared" si="30"/>
        <v/>
      </c>
      <c r="DQ4" s="6" t="str">
        <f t="shared" si="31"/>
        <v/>
      </c>
      <c r="DR4" s="6" t="str">
        <f t="shared" si="32"/>
        <v/>
      </c>
      <c r="DS4" s="6" t="str">
        <f t="shared" si="33"/>
        <v/>
      </c>
      <c r="DT4" s="6" t="str">
        <f t="shared" si="34"/>
        <v/>
      </c>
      <c r="DU4" s="6" t="str">
        <f t="shared" si="35"/>
        <v/>
      </c>
      <c r="DW4" s="48" t="str">
        <f t="shared" si="37"/>
        <v/>
      </c>
      <c r="DX4" s="48" t="str">
        <f t="shared" si="37"/>
        <v>"2Bands",</v>
      </c>
      <c r="DY4" s="48" t="str">
        <f t="shared" si="37"/>
        <v/>
      </c>
      <c r="DZ4" s="48" t="str">
        <f t="shared" si="37"/>
        <v/>
      </c>
      <c r="EA4" s="48" t="str">
        <f t="shared" si="38"/>
        <v/>
      </c>
      <c r="EB4" s="48" t="str">
        <f t="shared" si="38"/>
        <v>"Crosse",</v>
      </c>
      <c r="EC4" s="48" t="str">
        <f t="shared" si="38"/>
        <v>"Horizo",</v>
      </c>
      <c r="ED4" s="48" t="str">
        <f t="shared" si="38"/>
        <v>"Vertic",</v>
      </c>
      <c r="EE4" s="48" t="str">
        <f t="shared" si="38"/>
        <v/>
      </c>
      <c r="EF4" s="48" t="str">
        <f t="shared" si="39"/>
        <v/>
      </c>
      <c r="EG4" s="48" t="str">
        <f t="shared" si="40"/>
        <v/>
      </c>
      <c r="EH4" s="48" t="str">
        <f t="shared" si="40"/>
        <v/>
      </c>
      <c r="EI4" s="48" t="str">
        <f t="shared" si="40"/>
        <v/>
      </c>
      <c r="EJ4" s="48" t="str">
        <f t="shared" si="40"/>
        <v/>
      </c>
      <c r="EK4" s="48" t="str">
        <f t="shared" si="40"/>
        <v/>
      </c>
      <c r="EL4" s="48" t="str">
        <f t="shared" si="40"/>
        <v/>
      </c>
      <c r="EM4" s="48" t="str">
        <f t="shared" si="40"/>
        <v/>
      </c>
      <c r="EN4" s="48" t="str">
        <f t="shared" si="40"/>
        <v>"Unequa",</v>
      </c>
      <c r="EO4" s="48" t="str">
        <f t="shared" si="40"/>
        <v/>
      </c>
      <c r="EP4" s="48" t="str">
        <f t="shared" si="40"/>
        <v>"Canton",</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 t="shared" si="41"/>
        <v/>
      </c>
      <c r="FB4" s="48" t="str">
        <f t="shared" si="42"/>
        <v/>
      </c>
      <c r="FD4" s="48" t="str">
        <f t="shared" si="44"/>
        <v/>
      </c>
      <c r="FE4" s="48" t="str">
        <f t="shared" si="45"/>
        <v/>
      </c>
      <c r="FF4" s="48" t="str">
        <f t="shared" si="46"/>
        <v/>
      </c>
      <c r="FG4" s="48" t="str">
        <f t="shared" si="47"/>
        <v/>
      </c>
      <c r="FH4" s="48" t="str">
        <f t="shared" si="48"/>
        <v/>
      </c>
      <c r="FI4" s="48" t="str">
        <f t="shared" si="49"/>
        <v/>
      </c>
      <c r="FJ4" s="48" t="str">
        <f t="shared" si="50"/>
        <v/>
      </c>
      <c r="FK4" s="48" t="str">
        <f t="shared" si="51"/>
        <v/>
      </c>
      <c r="FL4" s="48" t="str">
        <f t="shared" si="52"/>
        <v/>
      </c>
      <c r="FM4" s="48" t="str">
        <f t="shared" si="53"/>
        <v/>
      </c>
      <c r="FN4" s="48" t="str">
        <f t="shared" si="54"/>
        <v/>
      </c>
      <c r="FO4" s="48" t="str">
        <f t="shared" si="55"/>
        <v/>
      </c>
      <c r="FP4" s="48" t="str">
        <f t="shared" si="56"/>
        <v/>
      </c>
      <c r="FQ4" s="48" t="str">
        <f t="shared" si="57"/>
        <v>"001YEL",</v>
      </c>
      <c r="FR4" s="48" t="str">
        <f t="shared" si="58"/>
        <v>"002BLU",</v>
      </c>
      <c r="FS4" s="48" t="str">
        <f t="shared" si="59"/>
        <v>"003GRE",</v>
      </c>
      <c r="FT4" s="48" t="str">
        <f t="shared" si="60"/>
        <v>"myrEQ",</v>
      </c>
      <c r="FU4" s="48" t="str">
        <f t="shared" si="61"/>
        <v/>
      </c>
      <c r="FV4" s="48" t="str">
        <f t="shared" si="62"/>
        <v/>
      </c>
      <c r="FW4" s="48" t="str">
        <f t="shared" si="63"/>
        <v/>
      </c>
      <c r="FY4" s="48" t="str">
        <f t="shared" si="65"/>
        <v/>
      </c>
      <c r="FZ4" s="48" t="str">
        <f t="shared" si="66"/>
        <v/>
      </c>
      <c r="GA4" s="48" t="str">
        <f t="shared" si="67"/>
        <v/>
      </c>
      <c r="GB4" s="48" t="str">
        <f t="shared" si="68"/>
        <v/>
      </c>
      <c r="GE4" s="48" t="str">
        <f t="shared" si="71"/>
        <v/>
      </c>
      <c r="GF4" s="48" t="str">
        <f t="shared" si="72"/>
        <v>"histor",</v>
      </c>
      <c r="GG4" s="48" t="str">
        <f t="shared" si="73"/>
        <v/>
      </c>
      <c r="GH4" s="48" t="str">
        <f t="shared" si="74"/>
        <v/>
      </c>
      <c r="GI4" s="48" t="str">
        <f t="shared" si="75"/>
        <v/>
      </c>
      <c r="GJ4" s="48" t="str">
        <f t="shared" si="76"/>
        <v>"NoStar",</v>
      </c>
      <c r="GK4" s="48" t="str">
        <f t="shared" si="77"/>
        <v/>
      </c>
      <c r="GL4" s="48" t="str">
        <f t="shared" si="78"/>
        <v/>
      </c>
      <c r="GM4" s="48" t="str">
        <f t="shared" si="78"/>
        <v/>
      </c>
      <c r="GN4" s="48" t="str">
        <f t="shared" si="78"/>
        <v/>
      </c>
      <c r="GP4" s="48" t="str">
        <f t="shared" si="79"/>
        <v>"Historical"</v>
      </c>
      <c r="GS4" s="48" t="str">
        <f t="shared" si="80"/>
        <v>["5+Colo","words2","words3","lets24","startC","year18","2Bands","Crosse","Horizo","Vertic","Unequa","Canton","001YEL","002BLU","003GRE","myrEQ","histor","NoStar"]</v>
      </c>
      <c r="GT4" s="48" t="str">
        <f t="shared" si="81"/>
        <v>"cl_BLA",</v>
      </c>
      <c r="GU4" s="48" t="str">
        <f t="shared" si="81"/>
        <v>"cl_BLU",</v>
      </c>
      <c r="GV4" s="48" t="str">
        <f t="shared" si="81"/>
        <v>"cl_GRE",</v>
      </c>
      <c r="GW4" s="48" t="str">
        <f t="shared" si="81"/>
        <v>"cl_RED",</v>
      </c>
      <c r="GX4" s="48" t="str">
        <f t="shared" si="81"/>
        <v>"cl_YEL",</v>
      </c>
      <c r="GY4" s="48" t="str">
        <f t="shared" si="81"/>
        <v/>
      </c>
      <c r="GZ4" s="48" t="str">
        <f t="shared" si="81"/>
        <v/>
      </c>
      <c r="HA4" s="48" t="str">
        <f t="shared" si="81"/>
        <v/>
      </c>
      <c r="HB4" s="48" t="str">
        <f t="shared" si="81"/>
        <v>"cl_WHI",</v>
      </c>
      <c r="HC4" s="48" t="str">
        <f t="shared" si="82"/>
        <v>["cl_BLA","cl_BLU","cl_GRE","cl_RED","cl_YEL","cl_WHI"]</v>
      </c>
      <c r="HE4" s="71"/>
      <c r="HF4" s="72" t="str">
        <f t="shared" si="83"/>
        <v>{couname:"[FJI] Confederation of Lau (1869)",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links: "https://en.m.wikipedia.org/wiki/Flag_of_Fiji"},</v>
      </c>
      <c r="HG4" s="73" t="str">
        <f t="shared" si="84"/>
        <v>{couname:"[FJI] Confederation of Lau (1869)",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links: "https://en.m.wikipedia.org/wiki/Flag_of_Fiji"},</v>
      </c>
      <c r="HH4" s="48" t="str">
        <f t="shared" si="85"/>
        <v>"\nA horizontal bicolour of white and red with a red cross in the canton."</v>
      </c>
      <c r="HI4" s="48" t="str">
        <f t="shared" si="86"/>
        <v>"\nA horizontal bicolour of white and red with a red cross in the canton."</v>
      </c>
      <c r="HJ4" s="48" t="str">
        <f t="shared" si="87"/>
        <v>"1869"</v>
      </c>
      <c r="HL4" s="48" t="str">
        <f t="shared" si="88"/>
        <v>"https://en.m.wikipedia.org/wiki/Flag_of_Fiji"</v>
      </c>
      <c r="HM4" s="72" t="str">
        <f t="shared" si="89"/>
        <v>{"couname":"[FJI] Confederation of Lau (1869)","subtype":"[FJI] Other","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 "links": "https://en.m.wikipedia.org/wiki/Flag_of_Fiji"},</v>
      </c>
      <c r="HN4" s="74" t="str">
        <f t="shared" si="90"/>
        <v>{"couname":"[FJI] Confederation of Lau (1869)","subtype":"[FJI] Other","year":"1869","region":"rgn_Oceania","Colors":["cl_BLA","cl_BLU","cl_GRE","cl_RED","cl_YEL","cl_WHI"],"Items":["5+Colo","words2","words3","lets24","startC","year18","2Bands","Crosse","Horizo","Vertic","Unequa","Canton","001YEL","002BLU","003GRE","myrEQ","histor","NoStar"],"Flag":"https://upload.wikimedia.org/wikipedia/commons/thumb/e/ed/Flag_of_the_Kingdom_of_Lau_1869-1871.svg/640px-Flag_of_the_Kingdom_of_Lau_1869-1871.svg.png","HDFlag":"https://upload.wikimedia.org/wikipedia/commons/thumb/e/ed/Flag_of_the_Kingdom_of_Lau_1869-1871.svg/1280px-Flag_of_the_Kingdom_of_Lau_1869-1871.svg.png","type":"Historical", "describe": "\nA horizontal bicolour of white and red with a red cross in the canton.", "isnew": ".", "links": "https://en.m.wikipedia.org/wiki/Flag_of_Fiji"},</v>
      </c>
      <c r="HO4" s="75">
        <v>45610</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92"/>
        <v>-6</v>
      </c>
      <c r="IN4" s="78" t="str">
        <f t="shared" si="93"/>
        <v>http://mkweb.bcgsc.ca/color-summarizer/?url=https://upload.wikimedia.org/wikipedia/commons/thumb/e/ed/Flag_of_the_Kingdom_of_Lau_1869-1871.svg/640px-Flag_of_the_Kingdom_of_Lau_1869-1871.svg.png&amp;precision=low&amp;num_clusters=6&amp;text=1</v>
      </c>
      <c r="IO4" s="48" t="str">
        <f t="shared" si="94"/>
        <v>"black"</v>
      </c>
      <c r="IP4" s="48" t="str">
        <f t="shared" si="95"/>
        <v>"blue"</v>
      </c>
      <c r="IQ4" s="48" t="str">
        <f t="shared" si="96"/>
        <v>"green"</v>
      </c>
      <c r="IR4" s="48" t="str">
        <f t="shared" si="97"/>
        <v>"red"</v>
      </c>
      <c r="IS4" s="48" t="str">
        <f t="shared" si="98"/>
        <v>"yellow"</v>
      </c>
      <c r="IT4" s="48" t="str">
        <f t="shared" si="99"/>
        <v/>
      </c>
      <c r="IU4" s="48" t="str">
        <f t="shared" si="100"/>
        <v/>
      </c>
      <c r="IV4" s="48" t="str">
        <f t="shared" si="101"/>
        <v/>
      </c>
      <c r="IW4" s="48" t="str">
        <f t="shared" si="102"/>
        <v>"white"</v>
      </c>
      <c r="IX4" s="48" t="str">
        <f t="shared" si="103"/>
        <v>{"url":"http://mkweb.bcgsc.ca/color-summarizer/?url=https://upload.wikimedia.org/wikipedia/commons/thumb/e/ed/Flag_of_the_Kingdom_of_Lau_1869-1871.svg/640px-Flag_of_the_Kingdom_of_Lau_1869-1871.svg.png&amp;precision=low&amp;num_clusters=6&amp;text=1","name":"[FJI] Confederation of Lau (1869)"},</v>
      </c>
      <c r="IY4" s="48">
        <v>1469</v>
      </c>
    </row>
    <row r="5" spans="1:259" s="48" customFormat="1" ht="38.4" customHeight="1" thickBot="1" x14ac:dyDescent="0.35">
      <c r="A5" s="81" t="s">
        <v>749</v>
      </c>
      <c r="B5" s="40" t="e" vm="35">
        <v>#VALUE!</v>
      </c>
      <c r="C5" s="41">
        <v>3</v>
      </c>
      <c r="D5" s="42" t="s">
        <v>750</v>
      </c>
      <c r="E5" s="43" t="s">
        <v>751</v>
      </c>
      <c r="F5" s="44" t="s">
        <v>166</v>
      </c>
      <c r="G5" s="45">
        <f>COUNTIF($A$1:$A$8292,A5)</f>
        <v>1</v>
      </c>
      <c r="H5" s="46" t="s">
        <v>742</v>
      </c>
      <c r="I5" s="47" t="s">
        <v>743</v>
      </c>
      <c r="J5" s="48" t="str">
        <f>""</f>
        <v/>
      </c>
      <c r="K5" s="49"/>
      <c r="L5" s="50"/>
      <c r="M5" s="50"/>
      <c r="N5" s="51" t="s">
        <v>169</v>
      </c>
      <c r="O5" s="52">
        <v>1867</v>
      </c>
      <c r="P5" s="53" t="s">
        <v>752</v>
      </c>
      <c r="Q5" s="54">
        <v>3</v>
      </c>
      <c r="R5" s="55" t="s">
        <v>169</v>
      </c>
      <c r="S5" s="56">
        <v>3</v>
      </c>
      <c r="T5" s="57" t="s">
        <v>172</v>
      </c>
      <c r="U5" s="58" t="s">
        <v>172</v>
      </c>
      <c r="V5" s="58" t="s">
        <v>172</v>
      </c>
      <c r="W5" s="58" t="s">
        <v>172</v>
      </c>
      <c r="X5" s="58" t="s">
        <v>172</v>
      </c>
      <c r="Y5" s="58" t="s">
        <v>173</v>
      </c>
      <c r="Z5" s="58" t="s">
        <v>172</v>
      </c>
      <c r="AA5" s="58" t="s">
        <v>173</v>
      </c>
      <c r="AB5" s="58" t="s">
        <v>173</v>
      </c>
      <c r="AC5" s="58" t="s">
        <v>173</v>
      </c>
      <c r="AD5" s="58" t="s">
        <v>172</v>
      </c>
      <c r="AE5" s="58" t="s">
        <v>173</v>
      </c>
      <c r="AF5" s="59" t="s">
        <v>173</v>
      </c>
      <c r="AG5" s="59" t="s">
        <v>172</v>
      </c>
      <c r="AH5" s="59" t="s">
        <v>172</v>
      </c>
      <c r="AI5" s="59" t="s">
        <v>172</v>
      </c>
      <c r="AJ5" s="59" t="s">
        <v>173</v>
      </c>
      <c r="AK5" s="59" t="s">
        <v>173</v>
      </c>
      <c r="AL5" s="59" t="s">
        <v>173</v>
      </c>
      <c r="AM5" s="59" t="s">
        <v>173</v>
      </c>
      <c r="AN5" s="59" t="s">
        <v>173</v>
      </c>
      <c r="AO5" s="59" t="s">
        <v>173</v>
      </c>
      <c r="AP5" s="59" t="s">
        <v>173</v>
      </c>
      <c r="AQ5" s="59" t="s">
        <v>172</v>
      </c>
      <c r="AR5" s="59" t="s">
        <v>173</v>
      </c>
      <c r="AS5" s="59" t="s">
        <v>173</v>
      </c>
      <c r="AT5" s="60">
        <v>0</v>
      </c>
      <c r="AU5" s="59" t="s">
        <v>677</v>
      </c>
      <c r="AV5" s="59" t="str">
        <f>IF(LEFT(A5,1)="[",LEFT(A5,5)&amp;AU5&amp;A5,"")</f>
        <v>[FJI]Historical[FJI] Kingdom of Bau (1867)</v>
      </c>
      <c r="AW5" s="59" t="str">
        <f>C5&amp;H5&amp;A5</f>
        <v>3[FJI] Other[FJI] Kingdom of Bau (1867)</v>
      </c>
      <c r="AX5" s="61"/>
      <c r="AY5" s="61"/>
      <c r="AZ5" s="62" t="s">
        <v>192</v>
      </c>
      <c r="BA5" s="62" t="s">
        <v>192</v>
      </c>
      <c r="BB5" s="62"/>
      <c r="BC5" s="63"/>
      <c r="BD5" s="64" t="s">
        <v>408</v>
      </c>
      <c r="BE5" s="47"/>
      <c r="BF5" s="64" t="s">
        <v>154</v>
      </c>
      <c r="BG5" s="64" t="s">
        <v>155</v>
      </c>
      <c r="BH5" s="64" t="s">
        <v>154</v>
      </c>
      <c r="BI5" s="64"/>
      <c r="BJ5" s="64"/>
      <c r="BK5" s="47"/>
      <c r="BL5" s="64" t="s">
        <v>151</v>
      </c>
      <c r="BM5" s="64" t="s">
        <v>152</v>
      </c>
      <c r="BN5" s="64" t="s">
        <v>153</v>
      </c>
      <c r="BO5" s="64" t="s">
        <v>154</v>
      </c>
      <c r="BP5" s="64" t="s">
        <v>155</v>
      </c>
      <c r="BQ5" s="64" t="s">
        <v>156</v>
      </c>
      <c r="BR5" s="64" t="s">
        <v>192</v>
      </c>
      <c r="BS5" s="64" t="s">
        <v>192</v>
      </c>
      <c r="BT5" s="64" t="s">
        <v>159</v>
      </c>
      <c r="BU5" s="65"/>
      <c r="BV5" s="66"/>
      <c r="BW5" s="66">
        <v>0</v>
      </c>
      <c r="BX5" s="47"/>
      <c r="BY5" s="48" t="s">
        <v>173</v>
      </c>
      <c r="CB5" s="6"/>
      <c r="CC5" s="6"/>
      <c r="CD5" s="67">
        <v>0</v>
      </c>
      <c r="CE5" s="67">
        <v>0</v>
      </c>
      <c r="CF5" s="67" t="e">
        <v>#REF!</v>
      </c>
      <c r="CG5" s="68" cm="1">
        <f t="array" ref="CG5">SUMPRODUCT(--(LEN(TRIM(BL5:BT5))&gt;0))</f>
        <v>7</v>
      </c>
      <c r="CH5" s="59" t="str">
        <f t="shared" si="0"/>
        <v>n</v>
      </c>
      <c r="CI5" s="59" t="str">
        <f t="shared" si="1"/>
        <v>n</v>
      </c>
      <c r="CJ5" s="59" t="str">
        <f t="shared" si="2"/>
        <v>n</v>
      </c>
      <c r="CK5" s="59" t="str">
        <f t="shared" si="3"/>
        <v>y</v>
      </c>
      <c r="CL5" s="59" t="str">
        <f t="shared" si="4"/>
        <v>n</v>
      </c>
      <c r="CM5" s="59" t="str">
        <f t="shared" si="5"/>
        <v>n</v>
      </c>
      <c r="CN5" s="59" t="str">
        <f t="shared" si="6"/>
        <v>y</v>
      </c>
      <c r="CO5" s="59" t="str">
        <f t="shared" si="7"/>
        <v>n</v>
      </c>
      <c r="CP5" s="59" t="str">
        <f t="shared" si="8"/>
        <v>y</v>
      </c>
      <c r="CQ5" s="59" t="str">
        <f t="shared" si="9"/>
        <v>n</v>
      </c>
      <c r="CR5" s="59" t="str">
        <f t="shared" si="10"/>
        <v>n</v>
      </c>
      <c r="CS5" s="59" t="str">
        <f t="shared" si="11"/>
        <v>n</v>
      </c>
      <c r="CT5" s="69" t="str">
        <f t="shared" si="12"/>
        <v>"[FJI] Kingdom of Bau (1867)"</v>
      </c>
      <c r="CU5" s="70" t="str">
        <f t="shared" si="13"/>
        <v>"rgn_Oceania"</v>
      </c>
      <c r="CV5" s="48" t="str">
        <f t="shared" si="14"/>
        <v>"https://upload.wikimedia.org/wikipedia/commons/thumb/f/fa/Flag_of_the_Kingdom_of_Bau.svg/640px-Flag_of_the_Kingdom_of_Bau.svg.png"</v>
      </c>
      <c r="CW5" s="48" t="str">
        <f t="shared" si="15"/>
        <v/>
      </c>
      <c r="CX5" s="48" t="str">
        <f t="shared" si="15"/>
        <v/>
      </c>
      <c r="CY5" s="48" t="str">
        <f t="shared" si="15"/>
        <v/>
      </c>
      <c r="CZ5" s="48" t="str">
        <f t="shared" si="15"/>
        <v>"5+Colo",</v>
      </c>
      <c r="DA5" s="48" t="str">
        <f t="shared" si="16"/>
        <v>"words2",</v>
      </c>
      <c r="DB5" s="48" t="str">
        <f t="shared" si="17"/>
        <v>"words3",</v>
      </c>
      <c r="DD5" s="48" t="str">
        <f t="shared" si="104"/>
        <v>"lets18",</v>
      </c>
      <c r="DE5" s="48" t="str">
        <f t="shared" si="105"/>
        <v>"startK",</v>
      </c>
      <c r="DF5" s="48" t="str">
        <f t="shared" si="21"/>
        <v/>
      </c>
      <c r="DG5" s="48" t="str">
        <f t="shared" si="22"/>
        <v/>
      </c>
      <c r="DH5" s="48" t="str">
        <f t="shared" si="23"/>
        <v/>
      </c>
      <c r="DI5" s="48" t="str">
        <f t="shared" si="24"/>
        <v/>
      </c>
      <c r="DJ5" s="48" t="str">
        <f t="shared" si="25"/>
        <v/>
      </c>
      <c r="DK5" s="48" t="str">
        <f t="shared" si="26"/>
        <v/>
      </c>
      <c r="DL5" s="48" t="str">
        <f t="shared" si="27"/>
        <v/>
      </c>
      <c r="DM5" s="48" t="str" cm="1">
        <f t="array" ref="DM5">IF(CG5=3,CHAR(34) &amp; _xlfn.TEXTJOIN("", TRUE, RIGHT(HP5:HX5, 2)) &amp; CHAR(34) &amp; ",", "")</f>
        <v/>
      </c>
      <c r="DN5" s="48" t="str">
        <f t="shared" si="28"/>
        <v>"year18",</v>
      </c>
      <c r="DO5" s="48" t="str">
        <f t="shared" si="29"/>
        <v/>
      </c>
      <c r="DP5" s="6" t="str">
        <f t="shared" si="30"/>
        <v/>
      </c>
      <c r="DQ5" s="6" t="str">
        <f t="shared" si="31"/>
        <v/>
      </c>
      <c r="DR5" s="6" t="str">
        <f t="shared" si="32"/>
        <v/>
      </c>
      <c r="DS5" s="6" t="str">
        <f t="shared" si="33"/>
        <v/>
      </c>
      <c r="DT5" s="6" t="str">
        <f t="shared" si="34"/>
        <v/>
      </c>
      <c r="DU5" s="6" t="str">
        <f t="shared" si="35"/>
        <v/>
      </c>
      <c r="DW5" s="48" t="str">
        <f t="shared" si="37"/>
        <v/>
      </c>
      <c r="DX5" s="48" t="str">
        <f t="shared" si="37"/>
        <v/>
      </c>
      <c r="DY5" s="48" t="str">
        <f t="shared" si="37"/>
        <v>"3Bands",</v>
      </c>
      <c r="DZ5" s="48" t="str">
        <f t="shared" si="37"/>
        <v/>
      </c>
      <c r="EA5" s="48" t="str">
        <f t="shared" si="38"/>
        <v>"Diagon",</v>
      </c>
      <c r="EB5" s="48" t="str">
        <f t="shared" si="38"/>
        <v>"Crosse",</v>
      </c>
      <c r="EC5" s="48" t="str">
        <f t="shared" si="38"/>
        <v>"Horizo",</v>
      </c>
      <c r="ED5" s="48" t="str">
        <f t="shared" si="38"/>
        <v>"Vertic",</v>
      </c>
      <c r="EE5" s="48" t="str">
        <f t="shared" si="38"/>
        <v>"Circle",</v>
      </c>
      <c r="EF5" s="48" t="str">
        <f t="shared" si="39"/>
        <v/>
      </c>
      <c r="EG5" s="48" t="str">
        <f t="shared" si="40"/>
        <v>"Bird",</v>
      </c>
      <c r="EH5" s="48" t="str">
        <f t="shared" si="40"/>
        <v/>
      </c>
      <c r="EI5" s="48" t="str">
        <f t="shared" si="40"/>
        <v/>
      </c>
      <c r="EJ5" s="48" t="str">
        <f t="shared" si="40"/>
        <v/>
      </c>
      <c r="EK5" s="48" t="str">
        <f t="shared" si="40"/>
        <v>"HasSun",</v>
      </c>
      <c r="EL5" s="48" t="str">
        <f t="shared" si="40"/>
        <v/>
      </c>
      <c r="EM5" s="48" t="str">
        <f t="shared" si="40"/>
        <v/>
      </c>
      <c r="EN5" s="48" t="str">
        <f t="shared" si="40"/>
        <v>"Unequa",</v>
      </c>
      <c r="EO5" s="48" t="str">
        <f t="shared" si="40"/>
        <v>"Center",</v>
      </c>
      <c r="EP5" s="48" t="str">
        <f t="shared" si="40"/>
        <v>"Canton",</v>
      </c>
      <c r="EQ5" s="48" t="str">
        <f t="shared" si="40"/>
        <v/>
      </c>
      <c r="ER5" s="48" t="str">
        <f t="shared" si="40"/>
        <v/>
      </c>
      <c r="ES5" s="48" t="str">
        <f t="shared" si="40"/>
        <v/>
      </c>
      <c r="ET5" s="48" t="str">
        <f t="shared" si="40"/>
        <v/>
      </c>
      <c r="EU5" s="48" t="str">
        <f t="shared" si="40"/>
        <v/>
      </c>
      <c r="EV5" s="48" t="str">
        <f t="shared" si="40"/>
        <v/>
      </c>
      <c r="EW5" s="48" t="str">
        <f t="shared" si="40"/>
        <v/>
      </c>
      <c r="EX5" s="48" t="str">
        <f t="shared" si="40"/>
        <v>"Crowns",</v>
      </c>
      <c r="EY5" s="48" t="str">
        <f t="shared" si="40"/>
        <v/>
      </c>
      <c r="EZ5" s="48" t="str">
        <f t="shared" si="40"/>
        <v/>
      </c>
      <c r="FA5" s="48" t="str">
        <f t="shared" si="41"/>
        <v/>
      </c>
      <c r="FB5" s="48" t="str">
        <f t="shared" si="42"/>
        <v/>
      </c>
      <c r="FD5" s="48" t="str">
        <f t="shared" si="44"/>
        <v/>
      </c>
      <c r="FE5" s="48" t="str">
        <f t="shared" si="45"/>
        <v/>
      </c>
      <c r="FF5" s="48" t="str">
        <f t="shared" si="46"/>
        <v/>
      </c>
      <c r="FG5" s="48" t="str">
        <f t="shared" si="47"/>
        <v/>
      </c>
      <c r="FH5" s="48" t="str">
        <f t="shared" si="48"/>
        <v/>
      </c>
      <c r="FI5" s="48" t="str">
        <f t="shared" si="49"/>
        <v/>
      </c>
      <c r="FJ5" s="48" t="str">
        <f t="shared" si="50"/>
        <v/>
      </c>
      <c r="FK5" s="48" t="str">
        <f t="shared" si="51"/>
        <v/>
      </c>
      <c r="FL5" s="48" t="str">
        <f t="shared" si="52"/>
        <v/>
      </c>
      <c r="FM5" s="48" t="str">
        <f t="shared" si="53"/>
        <v/>
      </c>
      <c r="FN5" s="48" t="str">
        <f t="shared" si="54"/>
        <v/>
      </c>
      <c r="FO5" s="48" t="str">
        <f t="shared" si="55"/>
        <v/>
      </c>
      <c r="FP5" s="48" t="str">
        <f t="shared" si="56"/>
        <v/>
      </c>
      <c r="FQ5" s="48" t="str">
        <f t="shared" si="57"/>
        <v>"001RED",</v>
      </c>
      <c r="FR5" s="48" t="str">
        <f t="shared" si="58"/>
        <v>"002YEL",</v>
      </c>
      <c r="FS5" s="48" t="str">
        <f t="shared" si="59"/>
        <v>"003RED",</v>
      </c>
      <c r="FT5" s="48" t="str">
        <f t="shared" si="60"/>
        <v>"myrEQ",</v>
      </c>
      <c r="FU5" s="48" t="str">
        <f t="shared" si="61"/>
        <v/>
      </c>
      <c r="FV5" s="48" t="str">
        <f t="shared" si="62"/>
        <v/>
      </c>
      <c r="FW5" s="48" t="str">
        <f t="shared" si="63"/>
        <v/>
      </c>
      <c r="FY5" s="48" t="str">
        <f t="shared" si="65"/>
        <v/>
      </c>
      <c r="FZ5" s="48" t="str">
        <f t="shared" si="66"/>
        <v/>
      </c>
      <c r="GA5" s="48" t="str">
        <f t="shared" si="67"/>
        <v/>
      </c>
      <c r="GB5" s="48" t="str">
        <f t="shared" si="68"/>
        <v/>
      </c>
      <c r="GE5" s="48" t="str">
        <f t="shared" si="71"/>
        <v/>
      </c>
      <c r="GF5" s="48" t="str">
        <f t="shared" si="72"/>
        <v>"histor",</v>
      </c>
      <c r="GG5" s="48" t="str">
        <f t="shared" si="73"/>
        <v/>
      </c>
      <c r="GH5" s="48" t="str">
        <f t="shared" si="74"/>
        <v/>
      </c>
      <c r="GI5" s="48" t="str">
        <f t="shared" si="75"/>
        <v/>
      </c>
      <c r="GJ5" s="48" t="str">
        <f t="shared" si="76"/>
        <v>"NoStar",</v>
      </c>
      <c r="GK5" s="48" t="str">
        <f t="shared" si="77"/>
        <v/>
      </c>
      <c r="GL5" s="48" t="str">
        <f t="shared" si="78"/>
        <v/>
      </c>
      <c r="GM5" s="48" t="str">
        <f t="shared" si="78"/>
        <v/>
      </c>
      <c r="GN5" s="48" t="str">
        <f t="shared" si="78"/>
        <v/>
      </c>
      <c r="GP5" s="48" t="str">
        <f t="shared" si="79"/>
        <v>"Historical"</v>
      </c>
      <c r="GS5" s="48" t="str">
        <f t="shared" si="80"/>
        <v>["5+Colo","words2","words3","lets18","startK","year18","3Bands","Diagon","Crosse","Horizo","Vertic","Circle","Bird","HasSun","Unequa","Center","Canton","Crowns","001RED","002YEL","003RED","myrEQ","histor","NoStar"]</v>
      </c>
      <c r="GT5" s="48" t="str">
        <f t="shared" si="81"/>
        <v>"cl_BLA",</v>
      </c>
      <c r="GU5" s="48" t="str">
        <f t="shared" si="81"/>
        <v>"cl_BLU",</v>
      </c>
      <c r="GV5" s="48" t="str">
        <f t="shared" si="81"/>
        <v>"cl_GRE",</v>
      </c>
      <c r="GW5" s="48" t="str">
        <f t="shared" si="81"/>
        <v>"cl_RED",</v>
      </c>
      <c r="GX5" s="48" t="str">
        <f t="shared" si="81"/>
        <v>"cl_YEL",</v>
      </c>
      <c r="GY5" s="48" t="str">
        <f t="shared" si="81"/>
        <v>"cl_ORA",</v>
      </c>
      <c r="GZ5" s="48" t="str">
        <f t="shared" si="81"/>
        <v/>
      </c>
      <c r="HA5" s="48" t="str">
        <f t="shared" si="81"/>
        <v/>
      </c>
      <c r="HB5" s="48" t="str">
        <f t="shared" si="81"/>
        <v>"cl_WHI",</v>
      </c>
      <c r="HC5" s="48" t="str">
        <f t="shared" si="82"/>
        <v>["cl_BLA","cl_BLU","cl_GRE","cl_RED","cl_YEL","cl_ORA","cl_WHI"]</v>
      </c>
      <c r="HE5" s="71"/>
      <c r="HF5" s="72" t="str">
        <f t="shared" si="83"/>
        <v>{couname:"[FJI] Kingdom of Bau (1867)",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links: "https://en.m.wikipedia.org/wiki/Flag_of_Fiji"},</v>
      </c>
      <c r="HG5" s="73" t="str">
        <f t="shared" si="84"/>
        <v>{couname:"[FJI] Kingdom of Bau (1867)",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links: "https://en.m.wikipedia.org/wiki/Flag_of_Fiji"},</v>
      </c>
      <c r="HH5" s="48" t="str">
        <f t="shared" si="85"/>
        <v>"\nA horizontal tricolour of white, blue and red, with a golden sunburst in the centre and a crown in the canton."</v>
      </c>
      <c r="HI5" s="48" t="str">
        <f t="shared" si="86"/>
        <v>"\nA horizontal tricolour of white, blue and red, with a golden sunburst in the centre and a crown in the canton."</v>
      </c>
      <c r="HJ5" s="48" t="str">
        <f t="shared" si="87"/>
        <v>"1867"</v>
      </c>
      <c r="HL5" s="48" t="str">
        <f t="shared" si="88"/>
        <v>"https://en.m.wikipedia.org/wiki/Flag_of_Fiji"</v>
      </c>
      <c r="HM5" s="72" t="str">
        <f t="shared" si="89"/>
        <v>{"couname":"[FJI] Kingdom of Bau (1867)","subtype":"[FJI] Other","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 "links": "https://en.m.wikipedia.org/wiki/Flag_of_Fiji"},</v>
      </c>
      <c r="HN5" s="74" t="str">
        <f t="shared" si="90"/>
        <v>{"couname":"[FJI] Kingdom of Bau (1867)","subtype":"[FJI] Other","year":"1867","region":"rgn_Oceania","Colors":["cl_BLA","cl_BLU","cl_GRE","cl_RED","cl_YEL","cl_ORA","cl_WHI"],"Items":["5+Colo","words2","words3","lets18","startK","year18","3Bands","Diagon","Crosse","Horizo","Vertic","Circle","Bird","HasSun","Unequa","Center","Canton","Crowns","001RED","002YEL","003RED","myrEQ","histor","NoStar"],"Flag":"https://upload.wikimedia.org/wikipedia/commons/thumb/f/fa/Flag_of_the_Kingdom_of_Bau.svg/640px-Flag_of_the_Kingdom_of_Bau.svg.png","HDFlag":"https://upload.wikimedia.org/wikipedia/commons/thumb/f/fa/Flag_of_the_Kingdom_of_Bau.svg/1280px-Flag_of_the_Kingdom_of_Bau.svg.png","type":"Historical", "describe": "\nA horizontal tricolour of white, blue and red, with a golden sunburst in the centre and a crown in the canton.", "isnew": ".", "links": "https://en.m.wikipedia.org/wiki/Flag_of_Fiji"},</v>
      </c>
      <c r="HO5" s="75">
        <v>45610</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ORA</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 t="shared" si="92"/>
        <v>-7</v>
      </c>
      <c r="IN5" s="78" t="str">
        <f t="shared" si="93"/>
        <v>http://mkweb.bcgsc.ca/color-summarizer/?url=https://upload.wikimedia.org/wikipedia/commons/thumb/f/fa/Flag_of_the_Kingdom_of_Bau.svg/640px-Flag_of_the_Kingdom_of_Bau.svg.png&amp;precision=low&amp;num_clusters=7&amp;text=1</v>
      </c>
      <c r="IO5" s="48" t="str">
        <f t="shared" si="94"/>
        <v>"black"</v>
      </c>
      <c r="IP5" s="48" t="str">
        <f t="shared" si="95"/>
        <v>"blue"</v>
      </c>
      <c r="IQ5" s="48" t="str">
        <f t="shared" si="96"/>
        <v>"green"</v>
      </c>
      <c r="IR5" s="48" t="str">
        <f t="shared" si="97"/>
        <v>"red"</v>
      </c>
      <c r="IS5" s="48" t="str">
        <f t="shared" si="98"/>
        <v>"yellow"</v>
      </c>
      <c r="IT5" s="48" t="str">
        <f t="shared" si="99"/>
        <v>"orange"</v>
      </c>
      <c r="IU5" s="48" t="str">
        <f t="shared" si="100"/>
        <v/>
      </c>
      <c r="IV5" s="48" t="str">
        <f t="shared" si="101"/>
        <v/>
      </c>
      <c r="IW5" s="48" t="str">
        <f t="shared" si="102"/>
        <v>"white"</v>
      </c>
      <c r="IX5" s="48" t="str">
        <f t="shared" si="103"/>
        <v>{"url":"http://mkweb.bcgsc.ca/color-summarizer/?url=https://upload.wikimedia.org/wikipedia/commons/thumb/f/fa/Flag_of_the_Kingdom_of_Bau.svg/640px-Flag_of_the_Kingdom_of_Bau.svg.png&amp;precision=low&amp;num_clusters=7&amp;text=1","name":"[FJI] Kingdom of Bau (1867)"},</v>
      </c>
      <c r="IY5" s="48">
        <v>1470</v>
      </c>
    </row>
    <row r="6" spans="1:259" s="48" customFormat="1" ht="38.4" customHeight="1" thickBot="1" x14ac:dyDescent="0.35">
      <c r="A6" s="81" t="s">
        <v>753</v>
      </c>
      <c r="B6" s="40" t="e" vm="36">
        <v>#VALUE!</v>
      </c>
      <c r="C6" s="41">
        <v>3</v>
      </c>
      <c r="D6" s="42" t="s">
        <v>754</v>
      </c>
      <c r="E6" s="43" t="s">
        <v>755</v>
      </c>
      <c r="F6" s="44" t="s">
        <v>166</v>
      </c>
      <c r="G6" s="45">
        <f>COUNTIF($A$1:$A$8292,A6)</f>
        <v>1</v>
      </c>
      <c r="H6" s="46" t="s">
        <v>742</v>
      </c>
      <c r="I6" s="47" t="s">
        <v>756</v>
      </c>
      <c r="J6" s="48" t="str">
        <f>""</f>
        <v/>
      </c>
      <c r="K6" s="49"/>
      <c r="L6" s="50"/>
      <c r="M6" s="50"/>
      <c r="N6" s="51" t="s">
        <v>169</v>
      </c>
      <c r="O6" s="52">
        <v>1871</v>
      </c>
      <c r="P6" s="53" t="s">
        <v>757</v>
      </c>
      <c r="Q6" s="54">
        <v>3</v>
      </c>
      <c r="R6" s="55" t="s">
        <v>169</v>
      </c>
      <c r="S6" s="56">
        <v>2</v>
      </c>
      <c r="T6" s="57" t="s">
        <v>173</v>
      </c>
      <c r="U6" s="58" t="s">
        <v>172</v>
      </c>
      <c r="V6" s="58" t="s">
        <v>172</v>
      </c>
      <c r="W6" s="58" t="s">
        <v>172</v>
      </c>
      <c r="X6" s="58" t="s">
        <v>172</v>
      </c>
      <c r="Y6" s="58" t="s">
        <v>172</v>
      </c>
      <c r="Z6" s="58" t="s">
        <v>172</v>
      </c>
      <c r="AA6" s="58" t="s">
        <v>172</v>
      </c>
      <c r="AB6" s="58" t="s">
        <v>173</v>
      </c>
      <c r="AC6" s="58" t="s">
        <v>173</v>
      </c>
      <c r="AD6" s="58" t="s">
        <v>173</v>
      </c>
      <c r="AE6" s="58" t="s">
        <v>173</v>
      </c>
      <c r="AF6" s="59" t="s">
        <v>173</v>
      </c>
      <c r="AG6" s="59" t="s">
        <v>172</v>
      </c>
      <c r="AH6" s="59" t="s">
        <v>172</v>
      </c>
      <c r="AI6" s="59" t="s">
        <v>173</v>
      </c>
      <c r="AJ6" s="59" t="s">
        <v>173</v>
      </c>
      <c r="AK6" s="59" t="s">
        <v>173</v>
      </c>
      <c r="AL6" s="59" t="s">
        <v>173</v>
      </c>
      <c r="AM6" s="59" t="s">
        <v>173</v>
      </c>
      <c r="AN6" s="59" t="s">
        <v>173</v>
      </c>
      <c r="AO6" s="59" t="s">
        <v>173</v>
      </c>
      <c r="AP6" s="59" t="s">
        <v>173</v>
      </c>
      <c r="AQ6" s="59" t="s">
        <v>172</v>
      </c>
      <c r="AR6" s="59" t="s">
        <v>173</v>
      </c>
      <c r="AS6" s="59" t="s">
        <v>173</v>
      </c>
      <c r="AT6" s="60">
        <v>0</v>
      </c>
      <c r="AU6" s="59" t="s">
        <v>677</v>
      </c>
      <c r="AV6" s="59" t="str">
        <f>IF(LEFT(A6,1)="[",LEFT(A6,5)&amp;AU6&amp;A6,"")</f>
        <v>[FJI]Historical[FJI] Kingdom of Fiji (1871)</v>
      </c>
      <c r="AW6" s="59" t="str">
        <f>C6&amp;H6&amp;A6</f>
        <v>3[FJI] Other[FJI] Kingdom of Fiji (1871)</v>
      </c>
      <c r="AX6" s="61"/>
      <c r="AY6" s="61"/>
      <c r="AZ6" s="62" t="s">
        <v>192</v>
      </c>
      <c r="BA6" s="62" t="s">
        <v>192</v>
      </c>
      <c r="BB6" s="62"/>
      <c r="BC6" s="63"/>
      <c r="BD6" s="64" t="s">
        <v>153</v>
      </c>
      <c r="BE6" s="47"/>
      <c r="BF6" s="64" t="s">
        <v>152</v>
      </c>
      <c r="BG6" s="64" t="s">
        <v>159</v>
      </c>
      <c r="BH6" s="64" t="s">
        <v>153</v>
      </c>
      <c r="BI6" s="64"/>
      <c r="BJ6" s="64"/>
      <c r="BK6" s="47"/>
      <c r="BL6" s="64" t="s">
        <v>192</v>
      </c>
      <c r="BM6" s="64" t="s">
        <v>152</v>
      </c>
      <c r="BN6" s="64" t="s">
        <v>153</v>
      </c>
      <c r="BO6" s="64" t="s">
        <v>154</v>
      </c>
      <c r="BP6" s="64" t="s">
        <v>155</v>
      </c>
      <c r="BQ6" s="64" t="s">
        <v>192</v>
      </c>
      <c r="BR6" s="64" t="s">
        <v>192</v>
      </c>
      <c r="BS6" s="64" t="s">
        <v>192</v>
      </c>
      <c r="BT6" s="64" t="s">
        <v>159</v>
      </c>
      <c r="BU6" s="65"/>
      <c r="BV6" s="66"/>
      <c r="BW6" s="66">
        <v>0</v>
      </c>
      <c r="BX6" s="47"/>
      <c r="CB6" s="6"/>
      <c r="CC6" s="6"/>
      <c r="CD6" s="67">
        <v>0</v>
      </c>
      <c r="CE6" s="67">
        <v>0</v>
      </c>
      <c r="CF6" s="67" t="e">
        <v>#REF!</v>
      </c>
      <c r="CG6" s="68" cm="1">
        <f t="array" ref="CG6">SUMPRODUCT(--(LEN(TRIM(BL6:BT6))&gt;0))</f>
        <v>5</v>
      </c>
      <c r="CH6" s="59" t="str">
        <f t="shared" si="0"/>
        <v>n</v>
      </c>
      <c r="CI6" s="59" t="str">
        <f t="shared" si="1"/>
        <v>n</v>
      </c>
      <c r="CJ6" s="59" t="str">
        <f t="shared" si="2"/>
        <v>n</v>
      </c>
      <c r="CK6" s="59" t="str">
        <f t="shared" si="3"/>
        <v>y</v>
      </c>
      <c r="CL6" s="59" t="str">
        <f t="shared" si="4"/>
        <v>n</v>
      </c>
      <c r="CM6" s="59" t="str">
        <f t="shared" si="5"/>
        <v>y</v>
      </c>
      <c r="CN6" s="59" t="str">
        <f t="shared" si="6"/>
        <v>n</v>
      </c>
      <c r="CO6" s="59" t="str">
        <f t="shared" si="7"/>
        <v>n</v>
      </c>
      <c r="CP6" s="59" t="str">
        <f t="shared" si="8"/>
        <v>y</v>
      </c>
      <c r="CQ6" s="59" t="str">
        <f t="shared" si="9"/>
        <v>n</v>
      </c>
      <c r="CR6" s="59" t="str">
        <f t="shared" si="10"/>
        <v>n</v>
      </c>
      <c r="CS6" s="59" t="str">
        <f t="shared" si="11"/>
        <v>n</v>
      </c>
      <c r="CT6" s="69" t="str">
        <f t="shared" si="12"/>
        <v>"[FJI] Kingdom of Fiji (1871)"</v>
      </c>
      <c r="CU6" s="70" t="str">
        <f t="shared" si="13"/>
        <v>"rgn_Oceania"</v>
      </c>
      <c r="CV6" s="48" t="str">
        <f t="shared" si="14"/>
        <v>"https://upload.wikimedia.org/wikipedia/commons/thumb/5/5a/Flag_of_the_Kingdom_of_Fiji_%281871-1874%29.svg/640px-Flag_of_the_Kingdom_of_Fiji_%281871-1874%29.svg.png"</v>
      </c>
      <c r="CW6" s="48" t="str">
        <f t="shared" si="15"/>
        <v/>
      </c>
      <c r="CX6" s="48" t="str">
        <f t="shared" si="15"/>
        <v/>
      </c>
      <c r="CY6" s="48" t="str">
        <f t="shared" si="15"/>
        <v/>
      </c>
      <c r="CZ6" s="48" t="str">
        <f t="shared" si="15"/>
        <v>"5+Colo",</v>
      </c>
      <c r="DA6" s="48" t="str">
        <f t="shared" si="16"/>
        <v>"words2",</v>
      </c>
      <c r="DB6" s="48" t="str">
        <f t="shared" si="17"/>
        <v>"words3",</v>
      </c>
      <c r="DD6" s="48" t="str">
        <f t="shared" si="104"/>
        <v>"lets19",</v>
      </c>
      <c r="DE6" s="48" t="str">
        <f t="shared" si="105"/>
        <v>"startK",</v>
      </c>
      <c r="DF6" s="48" t="str">
        <f t="shared" si="21"/>
        <v/>
      </c>
      <c r="DG6" s="48" t="str">
        <f t="shared" si="22"/>
        <v/>
      </c>
      <c r="DH6" s="48" t="str">
        <f t="shared" si="23"/>
        <v/>
      </c>
      <c r="DI6" s="48" t="str">
        <f t="shared" si="24"/>
        <v/>
      </c>
      <c r="DJ6" s="48" t="str">
        <f t="shared" si="25"/>
        <v/>
      </c>
      <c r="DK6" s="48" t="str">
        <f t="shared" si="26"/>
        <v/>
      </c>
      <c r="DL6" s="48" t="str">
        <f t="shared" si="27"/>
        <v/>
      </c>
      <c r="DM6" s="48" t="str" cm="1">
        <f t="array" ref="DM6">IF(CG6=3,CHAR(34) &amp; _xlfn.TEXTJOIN("", TRUE, RIGHT(HP6:HX6, 2)) &amp; CHAR(34) &amp; ",", "")</f>
        <v/>
      </c>
      <c r="DN6" s="48" t="str">
        <f t="shared" si="28"/>
        <v>"year18",</v>
      </c>
      <c r="DO6" s="48" t="str">
        <f t="shared" si="29"/>
        <v/>
      </c>
      <c r="DP6" s="6" t="str">
        <f t="shared" si="30"/>
        <v/>
      </c>
      <c r="DQ6" s="6" t="str">
        <f t="shared" si="31"/>
        <v/>
      </c>
      <c r="DR6" s="6" t="str">
        <f t="shared" si="32"/>
        <v/>
      </c>
      <c r="DS6" s="6" t="str">
        <f t="shared" si="33"/>
        <v/>
      </c>
      <c r="DT6" s="6" t="str">
        <f t="shared" si="34"/>
        <v/>
      </c>
      <c r="DU6" s="6" t="str">
        <f t="shared" si="35"/>
        <v/>
      </c>
      <c r="DW6" s="48" t="str">
        <f t="shared" si="37"/>
        <v/>
      </c>
      <c r="DX6" s="48" t="str">
        <f t="shared" si="37"/>
        <v>"2Bands",</v>
      </c>
      <c r="DY6" s="48" t="str">
        <f t="shared" si="37"/>
        <v/>
      </c>
      <c r="DZ6" s="48" t="str">
        <f t="shared" si="37"/>
        <v/>
      </c>
      <c r="EA6" s="48" t="str">
        <f t="shared" si="38"/>
        <v/>
      </c>
      <c r="EB6" s="48" t="str">
        <f t="shared" si="38"/>
        <v>"Crosse",</v>
      </c>
      <c r="EC6" s="48" t="str">
        <f t="shared" si="38"/>
        <v>"Horizo",</v>
      </c>
      <c r="ED6" s="48" t="str">
        <f t="shared" si="38"/>
        <v>"Vertic",</v>
      </c>
      <c r="EE6" s="48" t="str">
        <f t="shared" si="38"/>
        <v>"Circle",</v>
      </c>
      <c r="EF6" s="48" t="str">
        <f t="shared" si="39"/>
        <v>"Animal",</v>
      </c>
      <c r="EG6" s="48" t="str">
        <f t="shared" si="40"/>
        <v>"Bird",</v>
      </c>
      <c r="EH6" s="48" t="str">
        <f t="shared" si="40"/>
        <v>"Plants",</v>
      </c>
      <c r="EI6" s="48" t="str">
        <f t="shared" si="40"/>
        <v/>
      </c>
      <c r="EJ6" s="48" t="str">
        <f t="shared" si="40"/>
        <v/>
      </c>
      <c r="EK6" s="48" t="str">
        <f t="shared" si="40"/>
        <v/>
      </c>
      <c r="EL6" s="48" t="str">
        <f t="shared" si="40"/>
        <v/>
      </c>
      <c r="EM6" s="48" t="str">
        <f t="shared" si="40"/>
        <v/>
      </c>
      <c r="EN6" s="48" t="str">
        <f t="shared" si="40"/>
        <v>"Unequa",</v>
      </c>
      <c r="EO6" s="48" t="str">
        <f t="shared" si="40"/>
        <v>"Center",</v>
      </c>
      <c r="EP6" s="48" t="str">
        <f t="shared" si="40"/>
        <v/>
      </c>
      <c r="EQ6" s="48" t="str">
        <f t="shared" si="40"/>
        <v/>
      </c>
      <c r="ER6" s="48" t="str">
        <f t="shared" si="40"/>
        <v/>
      </c>
      <c r="ES6" s="48" t="str">
        <f t="shared" si="40"/>
        <v/>
      </c>
      <c r="ET6" s="48" t="str">
        <f t="shared" si="40"/>
        <v/>
      </c>
      <c r="EU6" s="48" t="str">
        <f t="shared" si="40"/>
        <v/>
      </c>
      <c r="EV6" s="48" t="str">
        <f t="shared" si="40"/>
        <v/>
      </c>
      <c r="EW6" s="48" t="str">
        <f t="shared" si="40"/>
        <v/>
      </c>
      <c r="EX6" s="48" t="str">
        <f t="shared" si="40"/>
        <v>"Crowns",</v>
      </c>
      <c r="EY6" s="48" t="str">
        <f t="shared" si="40"/>
        <v/>
      </c>
      <c r="EZ6" s="48" t="str">
        <f t="shared" si="40"/>
        <v/>
      </c>
      <c r="FA6" s="48" t="str">
        <f t="shared" si="41"/>
        <v/>
      </c>
      <c r="FB6" s="48" t="str">
        <f t="shared" si="42"/>
        <v/>
      </c>
      <c r="FD6" s="48" t="str">
        <f t="shared" si="44"/>
        <v/>
      </c>
      <c r="FE6" s="48" t="str">
        <f t="shared" si="45"/>
        <v/>
      </c>
      <c r="FF6" s="48" t="str">
        <f t="shared" si="46"/>
        <v/>
      </c>
      <c r="FG6" s="48" t="str">
        <f t="shared" si="47"/>
        <v/>
      </c>
      <c r="FH6" s="48" t="str">
        <f t="shared" si="48"/>
        <v/>
      </c>
      <c r="FI6" s="48" t="str">
        <f t="shared" si="49"/>
        <v/>
      </c>
      <c r="FJ6" s="48" t="str">
        <f t="shared" si="50"/>
        <v>"NO_BLA",</v>
      </c>
      <c r="FK6" s="48" t="str">
        <f t="shared" si="51"/>
        <v/>
      </c>
      <c r="FL6" s="48" t="str">
        <f t="shared" si="52"/>
        <v/>
      </c>
      <c r="FM6" s="48" t="str">
        <f t="shared" si="53"/>
        <v/>
      </c>
      <c r="FN6" s="48" t="str">
        <f t="shared" si="54"/>
        <v/>
      </c>
      <c r="FO6" s="48" t="str">
        <f t="shared" si="55"/>
        <v/>
      </c>
      <c r="FP6" s="48" t="str">
        <f t="shared" si="56"/>
        <v/>
      </c>
      <c r="FQ6" s="48" t="str">
        <f t="shared" si="57"/>
        <v>"001BLU",</v>
      </c>
      <c r="FR6" s="48" t="str">
        <f t="shared" si="58"/>
        <v>"002WHI",</v>
      </c>
      <c r="FS6" s="48" t="str">
        <f t="shared" si="59"/>
        <v>"003GRE",</v>
      </c>
      <c r="FT6" s="48" t="str">
        <f t="shared" si="60"/>
        <v>"myrGRE",</v>
      </c>
      <c r="FU6" s="48" t="str">
        <f t="shared" si="61"/>
        <v/>
      </c>
      <c r="FV6" s="48" t="str">
        <f t="shared" si="62"/>
        <v/>
      </c>
      <c r="FW6" s="48" t="str">
        <f t="shared" si="63"/>
        <v/>
      </c>
      <c r="FY6" s="48" t="str">
        <f t="shared" si="65"/>
        <v/>
      </c>
      <c r="FZ6" s="48" t="str">
        <f t="shared" si="66"/>
        <v/>
      </c>
      <c r="GA6" s="48" t="str">
        <f t="shared" si="67"/>
        <v/>
      </c>
      <c r="GB6" s="48" t="str">
        <f t="shared" si="68"/>
        <v/>
      </c>
      <c r="GE6" s="48" t="str">
        <f t="shared" si="71"/>
        <v/>
      </c>
      <c r="GF6" s="48" t="str">
        <f t="shared" si="72"/>
        <v>"histor",</v>
      </c>
      <c r="GG6" s="48" t="str">
        <f t="shared" si="73"/>
        <v/>
      </c>
      <c r="GH6" s="48" t="str">
        <f t="shared" si="74"/>
        <v/>
      </c>
      <c r="GI6" s="48" t="str">
        <f t="shared" si="75"/>
        <v/>
      </c>
      <c r="GJ6" s="48" t="str">
        <f t="shared" si="76"/>
        <v>"NoStar",</v>
      </c>
      <c r="GK6" s="48" t="str">
        <f t="shared" si="77"/>
        <v/>
      </c>
      <c r="GL6" s="48" t="str">
        <f t="shared" si="78"/>
        <v/>
      </c>
      <c r="GM6" s="48" t="str">
        <f t="shared" si="78"/>
        <v/>
      </c>
      <c r="GN6" s="48" t="str">
        <f t="shared" si="78"/>
        <v/>
      </c>
      <c r="GP6" s="48" t="str">
        <f t="shared" si="79"/>
        <v>"Historical"</v>
      </c>
      <c r="GS6" s="48" t="str">
        <f t="shared" si="80"/>
        <v>["5+Colo","words2","words3","lets19","startK","year18","2Bands","Crosse","Horizo","Vertic","Circle","Animal","Bird","Plants","Unequa","Center","Crowns","NO_BLA","001BLU","002WHI","003GRE","myrGRE","histor","NoStar"]</v>
      </c>
      <c r="GT6" s="48" t="str">
        <f t="shared" si="81"/>
        <v/>
      </c>
      <c r="GU6" s="48" t="str">
        <f t="shared" si="81"/>
        <v>"cl_BLU",</v>
      </c>
      <c r="GV6" s="48" t="str">
        <f t="shared" si="81"/>
        <v>"cl_GRE",</v>
      </c>
      <c r="GW6" s="48" t="str">
        <f t="shared" si="81"/>
        <v>"cl_RED",</v>
      </c>
      <c r="GX6" s="48" t="str">
        <f t="shared" si="81"/>
        <v>"cl_YEL",</v>
      </c>
      <c r="GY6" s="48" t="str">
        <f t="shared" si="81"/>
        <v/>
      </c>
      <c r="GZ6" s="48" t="str">
        <f t="shared" si="81"/>
        <v/>
      </c>
      <c r="HA6" s="48" t="str">
        <f t="shared" si="81"/>
        <v/>
      </c>
      <c r="HB6" s="48" t="str">
        <f t="shared" si="81"/>
        <v>"cl_WHI",</v>
      </c>
      <c r="HC6" s="48" t="str">
        <f t="shared" si="82"/>
        <v>["cl_BLU","cl_GRE","cl_RED","cl_YEL","cl_WHI"]</v>
      </c>
      <c r="HE6" s="71"/>
      <c r="HF6" s="72" t="str">
        <f t="shared" si="83"/>
        <v>{couname:"[FJI] Kingdom of Fiji (1871)",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links: "https://en.m.wikipedia.org/wiki/Kingdom_of_Fiji"},</v>
      </c>
      <c r="HG6" s="73" t="str">
        <f t="shared" si="84"/>
        <v>{couname:"[FJI] Kingdom of Fiji (1871)",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links: "https://en.m.wikipedia.org/wiki/Kingdom_of_Fiji"},</v>
      </c>
      <c r="HH6" s="48" t="str">
        <f t="shared" si="85"/>
        <v>"\nA blue and white vertical bicolor with a shield in the center containing a dove holding a branch inside as well as a crown above the shield."</v>
      </c>
      <c r="HI6" s="48" t="str">
        <f t="shared" si="86"/>
        <v>"\nA blue and white vertical bicolor with a shield in the center containing a dove holding a branch inside as well as a crown above the shield."</v>
      </c>
      <c r="HJ6" s="48" t="str">
        <f t="shared" si="87"/>
        <v>"1871"</v>
      </c>
      <c r="HL6" s="48" t="str">
        <f t="shared" si="88"/>
        <v>"https://en.m.wikipedia.org/wiki/Kingdom_of_Fiji"</v>
      </c>
      <c r="HM6" s="72" t="str">
        <f t="shared" si="89"/>
        <v>{"couname":"[FJI] Kingdom of Fiji (1871)","subtype":"[FJI] Other","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 "links": "https://en.m.wikipedia.org/wiki/Kingdom_of_Fiji"},</v>
      </c>
      <c r="HN6" s="74" t="str">
        <f t="shared" si="90"/>
        <v>{"couname":"[FJI] Kingdom of Fiji (1871)","subtype":"[FJI] Other","year":"1871","region":"rgn_Oceania","Colors":["cl_BLU","cl_GRE","cl_RED","cl_YEL","cl_WHI"],"Items":["5+Colo","words2","words3","lets19","startK","year18","2Bands","Crosse","Horizo","Vertic","Circle","Animal","Bird","Plants","Unequa","Center","Crowns","NO_BLA","001BLU","002WHI","003GRE","myrGRE","histor","NoStar"],"Flag":"https://upload.wikimedia.org/wikipedia/commons/thumb/5/5a/Flag_of_the_Kingdom_of_Fiji_%281871-1874%29.svg/640px-Flag_of_the_Kingdom_of_Fiji_%281871-1874%29.svg.png","HDFlag":"https://upload.wikimedia.org/wikipedia/commons/thumb/5/5a/Flag_of_the_Kingdom_of_Fiji_%281871-1874%29.svg/1280px-Flag_of_the_Kingdom_of_Fiji_%281871-1874%29.svg.png","type":"Historical", "describe": "\nA blue and white vertical bicolor with a shield in the center containing a dove holding a branch inside as well as a crown above the shield.", "isnew": ".", "links": "https://en.m.wikipedia.org/wiki/Kingdom_of_Fiji"},</v>
      </c>
      <c r="HO6" s="75">
        <v>45610</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 t="shared" si="92"/>
        <v>-5</v>
      </c>
      <c r="IN6" s="78" t="str">
        <f t="shared" si="93"/>
        <v>http://mkweb.bcgsc.ca/color-summarizer/?url=https://upload.wikimedia.org/wikipedia/commons/thumb/5/5a/Flag_of_the_Kingdom_of_Fiji_%281871-1874%29.svg/640px-Flag_of_the_Kingdom_of_Fiji_%281871-1874%29.svg.png&amp;precision=low&amp;num_clusters=5&amp;text=1</v>
      </c>
      <c r="IO6" s="48" t="str">
        <f t="shared" si="94"/>
        <v/>
      </c>
      <c r="IP6" s="48" t="str">
        <f t="shared" si="95"/>
        <v>"blue"</v>
      </c>
      <c r="IQ6" s="48" t="str">
        <f t="shared" si="96"/>
        <v>"green"</v>
      </c>
      <c r="IR6" s="48" t="str">
        <f t="shared" si="97"/>
        <v>"red"</v>
      </c>
      <c r="IS6" s="48" t="str">
        <f t="shared" si="98"/>
        <v>"yellow"</v>
      </c>
      <c r="IT6" s="48" t="str">
        <f t="shared" si="99"/>
        <v/>
      </c>
      <c r="IU6" s="48" t="str">
        <f t="shared" si="100"/>
        <v/>
      </c>
      <c r="IV6" s="48" t="str">
        <f t="shared" si="101"/>
        <v/>
      </c>
      <c r="IW6" s="48" t="str">
        <f t="shared" si="102"/>
        <v>"white"</v>
      </c>
      <c r="IX6" s="48" t="str">
        <f t="shared" si="103"/>
        <v>{"url":"http://mkweb.bcgsc.ca/color-summarizer/?url=https://upload.wikimedia.org/wikipedia/commons/thumb/5/5a/Flag_of_the_Kingdom_of_Fiji_%281871-1874%29.svg/640px-Flag_of_the_Kingdom_of_Fiji_%281871-1874%29.svg.png&amp;precision=low&amp;num_clusters=5&amp;text=1","name":"[FJI] Kingdom of Fiji (1871)"},</v>
      </c>
      <c r="IY6" s="48">
        <v>1471</v>
      </c>
    </row>
  </sheetData>
  <conditionalFormatting sqref="H1 CW1:GS1 IA1:IB1">
    <cfRule type="cellIs" dxfId="4509" priority="215" operator="greaterThan">
      <formula>0</formula>
    </cfRule>
  </conditionalFormatting>
  <conditionalFormatting sqref="H1">
    <cfRule type="cellIs" dxfId="4508" priority="181" stopIfTrue="1" operator="notEqual">
      <formula>""</formula>
    </cfRule>
  </conditionalFormatting>
  <conditionalFormatting sqref="T1:BK1">
    <cfRule type="cellIs" dxfId="4507" priority="218" operator="greaterThan">
      <formula>0</formula>
    </cfRule>
  </conditionalFormatting>
  <conditionalFormatting sqref="BV1:BW1">
    <cfRule type="cellIs" dxfId="4506" priority="217" operator="equal">
      <formula>"nc"</formula>
    </cfRule>
  </conditionalFormatting>
  <conditionalFormatting sqref="HF1:HG1">
    <cfRule type="cellIs" dxfId="4505" priority="219" operator="greaterThan">
      <formula>0</formula>
    </cfRule>
  </conditionalFormatting>
  <conditionalFormatting sqref="HK1">
    <cfRule type="cellIs" dxfId="4504" priority="216" operator="greaterThan">
      <formula>0</formula>
    </cfRule>
  </conditionalFormatting>
  <conditionalFormatting sqref="HP1:HX1">
    <cfRule type="cellIs" dxfId="4503" priority="193" operator="equal">
      <formula>"PIN"</formula>
    </cfRule>
    <cfRule type="cellIs" dxfId="4502" priority="194" operator="equal">
      <formula>"ORA"</formula>
    </cfRule>
    <cfRule type="cellIs" dxfId="4501" priority="195" operator="equal">
      <formula>"GRA"</formula>
    </cfRule>
    <cfRule type="cellIs" dxfId="4500" priority="196" operator="equal">
      <formula>"PUR"</formula>
    </cfRule>
    <cfRule type="cellIs" dxfId="4499" priority="197" operator="equal">
      <formula>"BRO"</formula>
    </cfRule>
    <cfRule type="cellIs" dxfId="4498" priority="198" operator="equal">
      <formula>"YEL"</formula>
    </cfRule>
    <cfRule type="cellIs" dxfId="4497" priority="199" operator="equal">
      <formula>"BLU"</formula>
    </cfRule>
    <cfRule type="cellIs" dxfId="4496" priority="200" operator="equal">
      <formula>"WHI"</formula>
    </cfRule>
    <cfRule type="cellIs" dxfId="4495" priority="201" operator="equal">
      <formula>"GRE"</formula>
    </cfRule>
    <cfRule type="cellIs" dxfId="4494" priority="202" operator="equal">
      <formula>"RED"</formula>
    </cfRule>
    <cfRule type="cellIs" dxfId="4493" priority="203" operator="equal">
      <formula>"BLA"</formula>
    </cfRule>
  </conditionalFormatting>
  <conditionalFormatting sqref="IC1:IK1">
    <cfRule type="cellIs" dxfId="4492" priority="204" operator="equal">
      <formula>"PIN"</formula>
    </cfRule>
    <cfRule type="cellIs" dxfId="4491" priority="205" operator="equal">
      <formula>"ORA"</formula>
    </cfRule>
    <cfRule type="cellIs" dxfId="4490" priority="206" operator="equal">
      <formula>"GRA"</formula>
    </cfRule>
    <cfRule type="cellIs" dxfId="4489" priority="207" operator="equal">
      <formula>"PUR"</formula>
    </cfRule>
    <cfRule type="cellIs" dxfId="4488" priority="208" operator="equal">
      <formula>"BRO"</formula>
    </cfRule>
    <cfRule type="cellIs" dxfId="4487" priority="209" operator="equal">
      <formula>"YEL"</formula>
    </cfRule>
    <cfRule type="cellIs" dxfId="4486" priority="210" operator="equal">
      <formula>"BLU"</formula>
    </cfRule>
    <cfRule type="cellIs" dxfId="4485" priority="211" operator="equal">
      <formula>"WHI"</formula>
    </cfRule>
    <cfRule type="cellIs" dxfId="4484" priority="212" operator="equal">
      <formula>"GRE"</formula>
    </cfRule>
    <cfRule type="cellIs" dxfId="4483" priority="213" operator="equal">
      <formula>"RED"</formula>
    </cfRule>
    <cfRule type="cellIs" dxfId="4482" priority="214" operator="equal">
      <formula>"BLA"</formula>
    </cfRule>
  </conditionalFormatting>
  <conditionalFormatting sqref="IO1:IW1">
    <cfRule type="cellIs" dxfId="4481" priority="182" operator="equal">
      <formula>"PIN"</formula>
    </cfRule>
    <cfRule type="cellIs" dxfId="4480" priority="183" operator="equal">
      <formula>"ORA"</formula>
    </cfRule>
    <cfRule type="cellIs" dxfId="4479" priority="184" operator="equal">
      <formula>"GRA"</formula>
    </cfRule>
    <cfRule type="cellIs" dxfId="4478" priority="185" operator="equal">
      <formula>"PUR"</formula>
    </cfRule>
    <cfRule type="cellIs" dxfId="4477" priority="186" operator="equal">
      <formula>"BRO"</formula>
    </cfRule>
    <cfRule type="cellIs" dxfId="4476" priority="187" operator="equal">
      <formula>"YEL"</formula>
    </cfRule>
    <cfRule type="cellIs" dxfId="4475" priority="188" operator="equal">
      <formula>"BLU"</formula>
    </cfRule>
    <cfRule type="cellIs" dxfId="4474" priority="189" operator="equal">
      <formula>"WHI"</formula>
    </cfRule>
    <cfRule type="cellIs" dxfId="4473" priority="190" operator="equal">
      <formula>"GRE"</formula>
    </cfRule>
    <cfRule type="cellIs" dxfId="4472" priority="191" operator="equal">
      <formula>"RED"</formula>
    </cfRule>
    <cfRule type="cellIs" dxfId="4471" priority="192" operator="equal">
      <formula>"BLA"</formula>
    </cfRule>
  </conditionalFormatting>
  <conditionalFormatting sqref="H2">
    <cfRule type="cellIs" dxfId="4470" priority="150" stopIfTrue="1" operator="notEqual">
      <formula>""</formula>
    </cfRule>
  </conditionalFormatting>
  <conditionalFormatting sqref="R2 CU2">
    <cfRule type="cellIs" dxfId="4469" priority="152" operator="greaterThan">
      <formula>0</formula>
    </cfRule>
  </conditionalFormatting>
  <conditionalFormatting sqref="T2:AS2 CH2:CS2">
    <cfRule type="cellIs" dxfId="4468" priority="147" stopIfTrue="1" operator="equal">
      <formula>"n"</formula>
    </cfRule>
    <cfRule type="cellIs" dxfId="4467" priority="148" stopIfTrue="1" operator="equal">
      <formula>"y"</formula>
    </cfRule>
    <cfRule type="cellIs" dxfId="4466" priority="149" operator="greaterThan">
      <formula>0</formula>
    </cfRule>
  </conditionalFormatting>
  <conditionalFormatting sqref="AZ2:BB2">
    <cfRule type="expression" dxfId="4465" priority="146">
      <formula>$AT2=0</formula>
    </cfRule>
  </conditionalFormatting>
  <conditionalFormatting sqref="AZ2:BU2">
    <cfRule type="cellIs" dxfId="4464" priority="155" operator="equal">
      <formula>"PIN"</formula>
    </cfRule>
    <cfRule type="cellIs" dxfId="4463" priority="156" operator="equal">
      <formula>"ORA"</formula>
    </cfRule>
    <cfRule type="cellIs" dxfId="4462" priority="157" operator="equal">
      <formula>"GRA"</formula>
    </cfRule>
    <cfRule type="cellIs" dxfId="4461" priority="158" operator="equal">
      <formula>"PUR"</formula>
    </cfRule>
    <cfRule type="cellIs" dxfId="4460" priority="159" operator="equal">
      <formula>"BRO"</formula>
    </cfRule>
    <cfRule type="cellIs" dxfId="4459" priority="160" operator="equal">
      <formula>"YEL"</formula>
    </cfRule>
    <cfRule type="cellIs" dxfId="4458" priority="161" operator="equal">
      <formula>"BLU"</formula>
    </cfRule>
    <cfRule type="cellIs" dxfId="4457" priority="162" operator="equal">
      <formula>"WHI"</formula>
    </cfRule>
    <cfRule type="cellIs" dxfId="4456" priority="163" operator="equal">
      <formula>"GRE"</formula>
    </cfRule>
    <cfRule type="cellIs" dxfId="4455" priority="164" operator="equal">
      <formula>"RED"</formula>
    </cfRule>
    <cfRule type="cellIs" dxfId="4454" priority="165" operator="equal">
      <formula>"BLA"</formula>
    </cfRule>
  </conditionalFormatting>
  <conditionalFormatting sqref="BV2:BW2">
    <cfRule type="cellIs" dxfId="4453" priority="177" operator="equal">
      <formula>"nc"</formula>
    </cfRule>
  </conditionalFormatting>
  <conditionalFormatting sqref="BX2:CA2 CD2:CF2">
    <cfRule type="cellIs" dxfId="4452" priority="151" operator="equal">
      <formula>"y"</formula>
    </cfRule>
    <cfRule type="cellIs" dxfId="4451" priority="166" operator="equal">
      <formula>"PIN"</formula>
    </cfRule>
    <cfRule type="cellIs" dxfId="4450" priority="167" operator="equal">
      <formula>"ORA"</formula>
    </cfRule>
    <cfRule type="cellIs" dxfId="4449" priority="168" operator="equal">
      <formula>"GRA"</formula>
    </cfRule>
    <cfRule type="cellIs" dxfId="4448" priority="169" operator="equal">
      <formula>"PUR"</formula>
    </cfRule>
    <cfRule type="cellIs" dxfId="4447" priority="170" operator="equal">
      <formula>"BRO"</formula>
    </cfRule>
    <cfRule type="cellIs" dxfId="4446" priority="171" operator="equal">
      <formula>"YEL"</formula>
    </cfRule>
    <cfRule type="cellIs" dxfId="4445" priority="172" operator="equal">
      <formula>"BLU"</formula>
    </cfRule>
    <cfRule type="cellIs" dxfId="4444" priority="173" operator="equal">
      <formula>"WHI"</formula>
    </cfRule>
    <cfRule type="cellIs" dxfId="4443" priority="174" operator="equal">
      <formula>"GRE"</formula>
    </cfRule>
    <cfRule type="cellIs" dxfId="4442" priority="175" operator="equal">
      <formula>"RED"</formula>
    </cfRule>
    <cfRule type="cellIs" dxfId="4441" priority="176" operator="equal">
      <formula>"BLA"</formula>
    </cfRule>
  </conditionalFormatting>
  <conditionalFormatting sqref="BZ2:CA2 CD2:CF2">
    <cfRule type="cellIs" dxfId="4440" priority="153" operator="greaterThan">
      <formula>0</formula>
    </cfRule>
  </conditionalFormatting>
  <conditionalFormatting sqref="IC2:IK2">
    <cfRule type="expression" dxfId="4439" priority="154">
      <formula>$IL2&gt;0</formula>
    </cfRule>
  </conditionalFormatting>
  <conditionalFormatting sqref="S2">
    <cfRule type="colorScale" priority="178">
      <colorScale>
        <cfvo type="min"/>
        <cfvo type="max"/>
        <color rgb="FFFCFCFF"/>
        <color rgb="FF754BFB"/>
      </colorScale>
    </cfRule>
  </conditionalFormatting>
  <conditionalFormatting sqref="AT2">
    <cfRule type="colorScale" priority="179">
      <colorScale>
        <cfvo type="min"/>
        <cfvo type="max"/>
        <color rgb="FFFCFCFF"/>
        <color theme="8" tint="0.39997558519241921"/>
      </colorScale>
    </cfRule>
  </conditionalFormatting>
  <conditionalFormatting sqref="CG2">
    <cfRule type="colorScale" priority="180">
      <colorScale>
        <cfvo type="min"/>
        <cfvo type="max"/>
        <color rgb="FFFCFCFF"/>
        <color rgb="FF63BE7B"/>
      </colorScale>
    </cfRule>
  </conditionalFormatting>
  <conditionalFormatting sqref="J2">
    <cfRule type="colorScale" priority="145">
      <colorScale>
        <cfvo type="min"/>
        <cfvo type="percentile" val="50"/>
        <cfvo type="max"/>
        <color rgb="FFF8696B"/>
        <color rgb="FFFFEB84"/>
        <color rgb="FF63BE7B"/>
      </colorScale>
    </cfRule>
  </conditionalFormatting>
  <conditionalFormatting sqref="H3">
    <cfRule type="cellIs" dxfId="639" priority="113" stopIfTrue="1" operator="notEqual">
      <formula>""</formula>
    </cfRule>
  </conditionalFormatting>
  <conditionalFormatting sqref="R3 CU3">
    <cfRule type="cellIs" dxfId="638" priority="115" operator="greaterThan">
      <formula>0</formula>
    </cfRule>
  </conditionalFormatting>
  <conditionalFormatting sqref="T3:AS3 CH3:CS3">
    <cfRule type="cellIs" dxfId="637" priority="110" stopIfTrue="1" operator="equal">
      <formula>"n"</formula>
    </cfRule>
    <cfRule type="cellIs" dxfId="636" priority="111" stopIfTrue="1" operator="equal">
      <formula>"y"</formula>
    </cfRule>
    <cfRule type="cellIs" dxfId="635" priority="112" operator="greaterThan">
      <formula>0</formula>
    </cfRule>
  </conditionalFormatting>
  <conditionalFormatting sqref="AZ3:BB3">
    <cfRule type="expression" dxfId="634" priority="109">
      <formula>$AT3=0</formula>
    </cfRule>
  </conditionalFormatting>
  <conditionalFormatting sqref="AZ3:BU3">
    <cfRule type="cellIs" dxfId="633" priority="118" operator="equal">
      <formula>"PIN"</formula>
    </cfRule>
    <cfRule type="cellIs" dxfId="632" priority="119" operator="equal">
      <formula>"ORA"</formula>
    </cfRule>
    <cfRule type="cellIs" dxfId="631" priority="120" operator="equal">
      <formula>"GRA"</formula>
    </cfRule>
    <cfRule type="cellIs" dxfId="630" priority="121" operator="equal">
      <formula>"PUR"</formula>
    </cfRule>
    <cfRule type="cellIs" dxfId="629" priority="122" operator="equal">
      <formula>"BRO"</formula>
    </cfRule>
    <cfRule type="cellIs" dxfId="628" priority="123" operator="equal">
      <formula>"YEL"</formula>
    </cfRule>
    <cfRule type="cellIs" dxfId="627" priority="124" operator="equal">
      <formula>"BLU"</formula>
    </cfRule>
    <cfRule type="cellIs" dxfId="626" priority="125" operator="equal">
      <formula>"WHI"</formula>
    </cfRule>
    <cfRule type="cellIs" dxfId="625" priority="126" operator="equal">
      <formula>"GRE"</formula>
    </cfRule>
    <cfRule type="cellIs" dxfId="624" priority="127" operator="equal">
      <formula>"RED"</formula>
    </cfRule>
    <cfRule type="cellIs" dxfId="623" priority="128" operator="equal">
      <formula>"BLA"</formula>
    </cfRule>
  </conditionalFormatting>
  <conditionalFormatting sqref="BV3">
    <cfRule type="cellIs" dxfId="622" priority="140" operator="equal">
      <formula>"nc"</formula>
    </cfRule>
  </conditionalFormatting>
  <conditionalFormatting sqref="BX3:CA3 CD3:CF3">
    <cfRule type="cellIs" dxfId="621" priority="114" operator="equal">
      <formula>"y"</formula>
    </cfRule>
    <cfRule type="cellIs" dxfId="620" priority="129" operator="equal">
      <formula>"PIN"</formula>
    </cfRule>
    <cfRule type="cellIs" dxfId="619" priority="130" operator="equal">
      <formula>"ORA"</formula>
    </cfRule>
    <cfRule type="cellIs" dxfId="618" priority="131" operator="equal">
      <formula>"GRA"</formula>
    </cfRule>
    <cfRule type="cellIs" dxfId="617" priority="132" operator="equal">
      <formula>"PUR"</formula>
    </cfRule>
    <cfRule type="cellIs" dxfId="616" priority="133" operator="equal">
      <formula>"BRO"</formula>
    </cfRule>
    <cfRule type="cellIs" dxfId="615" priority="134" operator="equal">
      <formula>"YEL"</formula>
    </cfRule>
    <cfRule type="cellIs" dxfId="614" priority="135" operator="equal">
      <formula>"BLU"</formula>
    </cfRule>
    <cfRule type="cellIs" dxfId="613" priority="136" operator="equal">
      <formula>"WHI"</formula>
    </cfRule>
    <cfRule type="cellIs" dxfId="612" priority="137" operator="equal">
      <formula>"GRE"</formula>
    </cfRule>
    <cfRule type="cellIs" dxfId="611" priority="138" operator="equal">
      <formula>"RED"</formula>
    </cfRule>
    <cfRule type="cellIs" dxfId="610" priority="139" operator="equal">
      <formula>"BLA"</formula>
    </cfRule>
  </conditionalFormatting>
  <conditionalFormatting sqref="BZ3:CA3 CD3:CF3">
    <cfRule type="cellIs" dxfId="609" priority="116" operator="greaterThan">
      <formula>0</formula>
    </cfRule>
  </conditionalFormatting>
  <conditionalFormatting sqref="IC3:IK3">
    <cfRule type="expression" dxfId="608" priority="117">
      <formula>$IL3&gt;0</formula>
    </cfRule>
  </conditionalFormatting>
  <conditionalFormatting sqref="J3">
    <cfRule type="colorScale" priority="141">
      <colorScale>
        <cfvo type="min"/>
        <cfvo type="percentile" val="50"/>
        <cfvo type="max"/>
        <color rgb="FFF8696B"/>
        <color rgb="FFFFEB84"/>
        <color rgb="FF63BE7B"/>
      </colorScale>
    </cfRule>
  </conditionalFormatting>
  <conditionalFormatting sqref="S3">
    <cfRule type="colorScale" priority="142">
      <colorScale>
        <cfvo type="min"/>
        <cfvo type="max"/>
        <color rgb="FFFCFCFF"/>
        <color rgb="FF754BFB"/>
      </colorScale>
    </cfRule>
  </conditionalFormatting>
  <conditionalFormatting sqref="AT3">
    <cfRule type="colorScale" priority="143">
      <colorScale>
        <cfvo type="min"/>
        <cfvo type="max"/>
        <color rgb="FFFCFCFF"/>
        <color theme="8" tint="0.39997558519241921"/>
      </colorScale>
    </cfRule>
  </conditionalFormatting>
  <conditionalFormatting sqref="CG3">
    <cfRule type="colorScale" priority="144">
      <colorScale>
        <cfvo type="min"/>
        <cfvo type="max"/>
        <color rgb="FFFCFCFF"/>
        <color rgb="FF63BE7B"/>
      </colorScale>
    </cfRule>
  </conditionalFormatting>
  <conditionalFormatting sqref="H4">
    <cfRule type="cellIs" dxfId="607" priority="77" stopIfTrue="1" operator="notEqual">
      <formula>""</formula>
    </cfRule>
  </conditionalFormatting>
  <conditionalFormatting sqref="R4 CU4">
    <cfRule type="cellIs" dxfId="606" priority="79" operator="greaterThan">
      <formula>0</formula>
    </cfRule>
  </conditionalFormatting>
  <conditionalFormatting sqref="T4:AS4 CH4:CS4">
    <cfRule type="cellIs" dxfId="605" priority="74" stopIfTrue="1" operator="equal">
      <formula>"n"</formula>
    </cfRule>
    <cfRule type="cellIs" dxfId="604" priority="75" stopIfTrue="1" operator="equal">
      <formula>"y"</formula>
    </cfRule>
    <cfRule type="cellIs" dxfId="603" priority="76" operator="greaterThan">
      <formula>0</formula>
    </cfRule>
  </conditionalFormatting>
  <conditionalFormatting sqref="AZ4:BB4">
    <cfRule type="expression" dxfId="602" priority="73">
      <formula>$AT4=0</formula>
    </cfRule>
  </conditionalFormatting>
  <conditionalFormatting sqref="AZ4:BU4">
    <cfRule type="cellIs" dxfId="601" priority="82" operator="equal">
      <formula>"PIN"</formula>
    </cfRule>
    <cfRule type="cellIs" dxfId="600" priority="83" operator="equal">
      <formula>"ORA"</formula>
    </cfRule>
    <cfRule type="cellIs" dxfId="599" priority="84" operator="equal">
      <formula>"GRA"</formula>
    </cfRule>
    <cfRule type="cellIs" dxfId="598" priority="85" operator="equal">
      <formula>"PUR"</formula>
    </cfRule>
    <cfRule type="cellIs" dxfId="597" priority="86" operator="equal">
      <formula>"BRO"</formula>
    </cfRule>
    <cfRule type="cellIs" dxfId="596" priority="87" operator="equal">
      <formula>"YEL"</formula>
    </cfRule>
    <cfRule type="cellIs" dxfId="595" priority="88" operator="equal">
      <formula>"BLU"</formula>
    </cfRule>
    <cfRule type="cellIs" dxfId="594" priority="89" operator="equal">
      <formula>"WHI"</formula>
    </cfRule>
    <cfRule type="cellIs" dxfId="593" priority="90" operator="equal">
      <formula>"GRE"</formula>
    </cfRule>
    <cfRule type="cellIs" dxfId="592" priority="91" operator="equal">
      <formula>"RED"</formula>
    </cfRule>
    <cfRule type="cellIs" dxfId="591" priority="92" operator="equal">
      <formula>"BLA"</formula>
    </cfRule>
  </conditionalFormatting>
  <conditionalFormatting sqref="BV4">
    <cfRule type="cellIs" dxfId="590" priority="104" operator="equal">
      <formula>"nc"</formula>
    </cfRule>
  </conditionalFormatting>
  <conditionalFormatting sqref="BX4:CA4 CD4:CF4">
    <cfRule type="cellIs" dxfId="589" priority="78" operator="equal">
      <formula>"y"</formula>
    </cfRule>
    <cfRule type="cellIs" dxfId="588" priority="93" operator="equal">
      <formula>"PIN"</formula>
    </cfRule>
    <cfRule type="cellIs" dxfId="587" priority="94" operator="equal">
      <formula>"ORA"</formula>
    </cfRule>
    <cfRule type="cellIs" dxfId="586" priority="95" operator="equal">
      <formula>"GRA"</formula>
    </cfRule>
    <cfRule type="cellIs" dxfId="585" priority="96" operator="equal">
      <formula>"PUR"</formula>
    </cfRule>
    <cfRule type="cellIs" dxfId="584" priority="97" operator="equal">
      <formula>"BRO"</formula>
    </cfRule>
    <cfRule type="cellIs" dxfId="583" priority="98" operator="equal">
      <formula>"YEL"</formula>
    </cfRule>
    <cfRule type="cellIs" dxfId="582" priority="99" operator="equal">
      <formula>"BLU"</formula>
    </cfRule>
    <cfRule type="cellIs" dxfId="581" priority="100" operator="equal">
      <formula>"WHI"</formula>
    </cfRule>
    <cfRule type="cellIs" dxfId="580" priority="101" operator="equal">
      <formula>"GRE"</formula>
    </cfRule>
    <cfRule type="cellIs" dxfId="579" priority="102" operator="equal">
      <formula>"RED"</formula>
    </cfRule>
    <cfRule type="cellIs" dxfId="578" priority="103" operator="equal">
      <formula>"BLA"</formula>
    </cfRule>
  </conditionalFormatting>
  <conditionalFormatting sqref="BZ4:CA4 CD4:CF4">
    <cfRule type="cellIs" dxfId="577" priority="80" operator="greaterThan">
      <formula>0</formula>
    </cfRule>
  </conditionalFormatting>
  <conditionalFormatting sqref="IC4:IK4">
    <cfRule type="expression" dxfId="576" priority="81">
      <formula>$IL4&gt;0</formula>
    </cfRule>
  </conditionalFormatting>
  <conditionalFormatting sqref="J4">
    <cfRule type="colorScale" priority="105">
      <colorScale>
        <cfvo type="min"/>
        <cfvo type="percentile" val="50"/>
        <cfvo type="max"/>
        <color rgb="FFF8696B"/>
        <color rgb="FFFFEB84"/>
        <color rgb="FF63BE7B"/>
      </colorScale>
    </cfRule>
  </conditionalFormatting>
  <conditionalFormatting sqref="S4">
    <cfRule type="colorScale" priority="106">
      <colorScale>
        <cfvo type="min"/>
        <cfvo type="max"/>
        <color rgb="FFFCFCFF"/>
        <color rgb="FF754BFB"/>
      </colorScale>
    </cfRule>
  </conditionalFormatting>
  <conditionalFormatting sqref="AT4">
    <cfRule type="colorScale" priority="107">
      <colorScale>
        <cfvo type="min"/>
        <cfvo type="max"/>
        <color rgb="FFFCFCFF"/>
        <color theme="8" tint="0.39997558519241921"/>
      </colorScale>
    </cfRule>
  </conditionalFormatting>
  <conditionalFormatting sqref="CG4">
    <cfRule type="colorScale" priority="108">
      <colorScale>
        <cfvo type="min"/>
        <cfvo type="max"/>
        <color rgb="FFFCFCFF"/>
        <color rgb="FF63BE7B"/>
      </colorScale>
    </cfRule>
  </conditionalFormatting>
  <conditionalFormatting sqref="H5">
    <cfRule type="cellIs" dxfId="575" priority="41" stopIfTrue="1" operator="notEqual">
      <formula>""</formula>
    </cfRule>
  </conditionalFormatting>
  <conditionalFormatting sqref="R5 CU5">
    <cfRule type="cellIs" dxfId="574" priority="43" operator="greaterThan">
      <formula>0</formula>
    </cfRule>
  </conditionalFormatting>
  <conditionalFormatting sqref="T5:AS5 CH5:CS5">
    <cfRule type="cellIs" dxfId="573" priority="38" stopIfTrue="1" operator="equal">
      <formula>"n"</formula>
    </cfRule>
    <cfRule type="cellIs" dxfId="572" priority="39" stopIfTrue="1" operator="equal">
      <formula>"y"</formula>
    </cfRule>
    <cfRule type="cellIs" dxfId="571" priority="40" operator="greaterThan">
      <formula>0</formula>
    </cfRule>
  </conditionalFormatting>
  <conditionalFormatting sqref="AZ5:BB5">
    <cfRule type="expression" dxfId="570" priority="37">
      <formula>$AT5=0</formula>
    </cfRule>
  </conditionalFormatting>
  <conditionalFormatting sqref="AZ5:BU5">
    <cfRule type="cellIs" dxfId="569" priority="46" operator="equal">
      <formula>"PIN"</formula>
    </cfRule>
    <cfRule type="cellIs" dxfId="568" priority="47" operator="equal">
      <formula>"ORA"</formula>
    </cfRule>
    <cfRule type="cellIs" dxfId="567" priority="48" operator="equal">
      <formula>"GRA"</formula>
    </cfRule>
    <cfRule type="cellIs" dxfId="566" priority="49" operator="equal">
      <formula>"PUR"</formula>
    </cfRule>
    <cfRule type="cellIs" dxfId="565" priority="50" operator="equal">
      <formula>"BRO"</formula>
    </cfRule>
    <cfRule type="cellIs" dxfId="564" priority="51" operator="equal">
      <formula>"YEL"</formula>
    </cfRule>
    <cfRule type="cellIs" dxfId="563" priority="52" operator="equal">
      <formula>"BLU"</formula>
    </cfRule>
    <cfRule type="cellIs" dxfId="562" priority="53" operator="equal">
      <formula>"WHI"</formula>
    </cfRule>
    <cfRule type="cellIs" dxfId="561" priority="54" operator="equal">
      <formula>"GRE"</formula>
    </cfRule>
    <cfRule type="cellIs" dxfId="560" priority="55" operator="equal">
      <formula>"RED"</formula>
    </cfRule>
    <cfRule type="cellIs" dxfId="559" priority="56" operator="equal">
      <formula>"BLA"</formula>
    </cfRule>
  </conditionalFormatting>
  <conditionalFormatting sqref="BV5">
    <cfRule type="cellIs" dxfId="558" priority="68" operator="equal">
      <formula>"nc"</formula>
    </cfRule>
  </conditionalFormatting>
  <conditionalFormatting sqref="BX5:CA5 CD5:CF5">
    <cfRule type="cellIs" dxfId="557" priority="42" operator="equal">
      <formula>"y"</formula>
    </cfRule>
    <cfRule type="cellIs" dxfId="556" priority="57" operator="equal">
      <formula>"PIN"</formula>
    </cfRule>
    <cfRule type="cellIs" dxfId="555" priority="58" operator="equal">
      <formula>"ORA"</formula>
    </cfRule>
    <cfRule type="cellIs" dxfId="554" priority="59" operator="equal">
      <formula>"GRA"</formula>
    </cfRule>
    <cfRule type="cellIs" dxfId="553" priority="60" operator="equal">
      <formula>"PUR"</formula>
    </cfRule>
    <cfRule type="cellIs" dxfId="552" priority="61" operator="equal">
      <formula>"BRO"</formula>
    </cfRule>
    <cfRule type="cellIs" dxfId="551" priority="62" operator="equal">
      <formula>"YEL"</formula>
    </cfRule>
    <cfRule type="cellIs" dxfId="550" priority="63" operator="equal">
      <formula>"BLU"</formula>
    </cfRule>
    <cfRule type="cellIs" dxfId="549" priority="64" operator="equal">
      <formula>"WHI"</formula>
    </cfRule>
    <cfRule type="cellIs" dxfId="548" priority="65" operator="equal">
      <formula>"GRE"</formula>
    </cfRule>
    <cfRule type="cellIs" dxfId="547" priority="66" operator="equal">
      <formula>"RED"</formula>
    </cfRule>
    <cfRule type="cellIs" dxfId="546" priority="67" operator="equal">
      <formula>"BLA"</formula>
    </cfRule>
  </conditionalFormatting>
  <conditionalFormatting sqref="BZ5:CA5 CD5:CF5">
    <cfRule type="cellIs" dxfId="545" priority="44" operator="greaterThan">
      <formula>0</formula>
    </cfRule>
  </conditionalFormatting>
  <conditionalFormatting sqref="IC5:IK5">
    <cfRule type="expression" dxfId="544" priority="45">
      <formula>$IL5&gt;0</formula>
    </cfRule>
  </conditionalFormatting>
  <conditionalFormatting sqref="J5">
    <cfRule type="colorScale" priority="69">
      <colorScale>
        <cfvo type="min"/>
        <cfvo type="percentile" val="50"/>
        <cfvo type="max"/>
        <color rgb="FFF8696B"/>
        <color rgb="FFFFEB84"/>
        <color rgb="FF63BE7B"/>
      </colorScale>
    </cfRule>
  </conditionalFormatting>
  <conditionalFormatting sqref="S5">
    <cfRule type="colorScale" priority="70">
      <colorScale>
        <cfvo type="min"/>
        <cfvo type="max"/>
        <color rgb="FFFCFCFF"/>
        <color rgb="FF754BFB"/>
      </colorScale>
    </cfRule>
  </conditionalFormatting>
  <conditionalFormatting sqref="AT5">
    <cfRule type="colorScale" priority="71">
      <colorScale>
        <cfvo type="min"/>
        <cfvo type="max"/>
        <color rgb="FFFCFCFF"/>
        <color theme="8" tint="0.39997558519241921"/>
      </colorScale>
    </cfRule>
  </conditionalFormatting>
  <conditionalFormatting sqref="CG5">
    <cfRule type="colorScale" priority="72">
      <colorScale>
        <cfvo type="min"/>
        <cfvo type="max"/>
        <color rgb="FFFCFCFF"/>
        <color rgb="FF63BE7B"/>
      </colorScale>
    </cfRule>
  </conditionalFormatting>
  <conditionalFormatting sqref="H6">
    <cfRule type="cellIs" dxfId="543" priority="5" stopIfTrue="1" operator="notEqual">
      <formula>""</formula>
    </cfRule>
  </conditionalFormatting>
  <conditionalFormatting sqref="R6 CU6">
    <cfRule type="cellIs" dxfId="542" priority="7" operator="greaterThan">
      <formula>0</formula>
    </cfRule>
  </conditionalFormatting>
  <conditionalFormatting sqref="T6:AS6 CH6:CS6">
    <cfRule type="cellIs" dxfId="541" priority="2" stopIfTrue="1" operator="equal">
      <formula>"n"</formula>
    </cfRule>
    <cfRule type="cellIs" dxfId="540" priority="3" stopIfTrue="1" operator="equal">
      <formula>"y"</formula>
    </cfRule>
    <cfRule type="cellIs" dxfId="539" priority="4" operator="greaterThan">
      <formula>0</formula>
    </cfRule>
  </conditionalFormatting>
  <conditionalFormatting sqref="AZ6:BB6">
    <cfRule type="expression" dxfId="538" priority="1">
      <formula>$AT6=0</formula>
    </cfRule>
  </conditionalFormatting>
  <conditionalFormatting sqref="AZ6:BU6">
    <cfRule type="cellIs" dxfId="537" priority="10" operator="equal">
      <formula>"PIN"</formula>
    </cfRule>
    <cfRule type="cellIs" dxfId="536" priority="11" operator="equal">
      <formula>"ORA"</formula>
    </cfRule>
    <cfRule type="cellIs" dxfId="535" priority="12" operator="equal">
      <formula>"GRA"</formula>
    </cfRule>
    <cfRule type="cellIs" dxfId="534" priority="13" operator="equal">
      <formula>"PUR"</formula>
    </cfRule>
    <cfRule type="cellIs" dxfId="533" priority="14" operator="equal">
      <formula>"BRO"</formula>
    </cfRule>
    <cfRule type="cellIs" dxfId="532" priority="15" operator="equal">
      <formula>"YEL"</formula>
    </cfRule>
    <cfRule type="cellIs" dxfId="531" priority="16" operator="equal">
      <formula>"BLU"</formula>
    </cfRule>
    <cfRule type="cellIs" dxfId="530" priority="17" operator="equal">
      <formula>"WHI"</formula>
    </cfRule>
    <cfRule type="cellIs" dxfId="529" priority="18" operator="equal">
      <formula>"GRE"</formula>
    </cfRule>
    <cfRule type="cellIs" dxfId="528" priority="19" operator="equal">
      <formula>"RED"</formula>
    </cfRule>
    <cfRule type="cellIs" dxfId="527" priority="20" operator="equal">
      <formula>"BLA"</formula>
    </cfRule>
  </conditionalFormatting>
  <conditionalFormatting sqref="BV6">
    <cfRule type="cellIs" dxfId="526" priority="32" operator="equal">
      <formula>"nc"</formula>
    </cfRule>
  </conditionalFormatting>
  <conditionalFormatting sqref="BX6:CA6 CD6:CF6">
    <cfRule type="cellIs" dxfId="525" priority="6" operator="equal">
      <formula>"y"</formula>
    </cfRule>
    <cfRule type="cellIs" dxfId="524" priority="21" operator="equal">
      <formula>"PIN"</formula>
    </cfRule>
    <cfRule type="cellIs" dxfId="523" priority="22" operator="equal">
      <formula>"ORA"</formula>
    </cfRule>
    <cfRule type="cellIs" dxfId="522" priority="23" operator="equal">
      <formula>"GRA"</formula>
    </cfRule>
    <cfRule type="cellIs" dxfId="521" priority="24" operator="equal">
      <formula>"PUR"</formula>
    </cfRule>
    <cfRule type="cellIs" dxfId="520" priority="25" operator="equal">
      <formula>"BRO"</formula>
    </cfRule>
    <cfRule type="cellIs" dxfId="519" priority="26" operator="equal">
      <formula>"YEL"</formula>
    </cfRule>
    <cfRule type="cellIs" dxfId="518" priority="27" operator="equal">
      <formula>"BLU"</formula>
    </cfRule>
    <cfRule type="cellIs" dxfId="517" priority="28" operator="equal">
      <formula>"WHI"</formula>
    </cfRule>
    <cfRule type="cellIs" dxfId="516" priority="29" operator="equal">
      <formula>"GRE"</formula>
    </cfRule>
    <cfRule type="cellIs" dxfId="515" priority="30" operator="equal">
      <formula>"RED"</formula>
    </cfRule>
    <cfRule type="cellIs" dxfId="514" priority="31" operator="equal">
      <formula>"BLA"</formula>
    </cfRule>
  </conditionalFormatting>
  <conditionalFormatting sqref="BZ6:CA6 CD6:CF6">
    <cfRule type="cellIs" dxfId="513" priority="8" operator="greaterThan">
      <formula>0</formula>
    </cfRule>
  </conditionalFormatting>
  <conditionalFormatting sqref="IC6:IK6">
    <cfRule type="expression" dxfId="512" priority="9">
      <formula>$IL6&gt;0</formula>
    </cfRule>
  </conditionalFormatting>
  <conditionalFormatting sqref="J6">
    <cfRule type="colorScale" priority="33">
      <colorScale>
        <cfvo type="min"/>
        <cfvo type="percentile" val="50"/>
        <cfvo type="max"/>
        <color rgb="FFF8696B"/>
        <color rgb="FFFFEB84"/>
        <color rgb="FF63BE7B"/>
      </colorScale>
    </cfRule>
  </conditionalFormatting>
  <conditionalFormatting sqref="S6">
    <cfRule type="colorScale" priority="34">
      <colorScale>
        <cfvo type="min"/>
        <cfvo type="max"/>
        <color rgb="FFFCFCFF"/>
        <color rgb="FF754BFB"/>
      </colorScale>
    </cfRule>
  </conditionalFormatting>
  <conditionalFormatting sqref="AT6">
    <cfRule type="colorScale" priority="35">
      <colorScale>
        <cfvo type="min"/>
        <cfvo type="max"/>
        <color rgb="FFFCFCFF"/>
        <color theme="8" tint="0.39997558519241921"/>
      </colorScale>
    </cfRule>
  </conditionalFormatting>
  <conditionalFormatting sqref="CG6">
    <cfRule type="colorScale" priority="36">
      <colorScale>
        <cfvo type="min"/>
        <cfvo type="max"/>
        <color rgb="FFFCFCFF"/>
        <color rgb="FF63BE7B"/>
      </colorScale>
    </cfRule>
  </conditionalFormatting>
  <hyperlinks>
    <hyperlink ref="A2" r:id="rId1" display="https://fbref.com/en/country/FIJ/Fiji-Football" xr:uid="{87BA866C-0F38-493C-AEF7-9F133AB507C2}"/>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5937E7-BBBF-49A3-AD54-D32ACF8B1CEA}">
  <dimension ref="A1:IY7"/>
  <sheetViews>
    <sheetView zoomScale="70" zoomScaleNormal="70" workbookViewId="0">
      <selection activeCell="A7" sqref="A7:XFD7"/>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214</v>
      </c>
      <c r="B2" s="40" t="e" vm="37">
        <v>#VALUE!</v>
      </c>
      <c r="C2" s="41">
        <v>1</v>
      </c>
      <c r="D2" s="42" t="s">
        <v>215</v>
      </c>
      <c r="E2" s="43" t="s">
        <v>216</v>
      </c>
      <c r="F2" s="44" t="s">
        <v>166</v>
      </c>
      <c r="G2" s="45">
        <f>COUNTIF($A$1:$A$8344,A2)</f>
        <v>1</v>
      </c>
      <c r="H2" s="46"/>
      <c r="I2" s="47" t="s">
        <v>217</v>
      </c>
      <c r="J2" s="48" t="str">
        <f>""</f>
        <v/>
      </c>
      <c r="K2" s="49">
        <v>308000</v>
      </c>
      <c r="L2" s="50">
        <v>304000</v>
      </c>
      <c r="M2" s="50" t="s">
        <v>218</v>
      </c>
      <c r="N2" s="51" t="s">
        <v>169</v>
      </c>
      <c r="O2" s="52" t="s">
        <v>219</v>
      </c>
      <c r="P2" s="53" t="s">
        <v>220</v>
      </c>
      <c r="Q2" s="54">
        <v>2</v>
      </c>
      <c r="R2" s="55" t="s">
        <v>169</v>
      </c>
      <c r="S2" s="56">
        <v>3</v>
      </c>
      <c r="T2" s="57" t="s">
        <v>173</v>
      </c>
      <c r="U2" s="58" t="s">
        <v>173</v>
      </c>
      <c r="V2" s="58" t="s">
        <v>172</v>
      </c>
      <c r="W2" s="58" t="s">
        <v>173</v>
      </c>
      <c r="X2" s="58" t="s">
        <v>172</v>
      </c>
      <c r="Y2" s="58" t="s">
        <v>173</v>
      </c>
      <c r="Z2" s="58" t="s">
        <v>173</v>
      </c>
      <c r="AA2" s="58" t="s">
        <v>173</v>
      </c>
      <c r="AB2" s="58" t="s">
        <v>173</v>
      </c>
      <c r="AC2" s="58" t="s">
        <v>173</v>
      </c>
      <c r="AD2" s="58" t="s">
        <v>172</v>
      </c>
      <c r="AE2" s="58" t="s">
        <v>173</v>
      </c>
      <c r="AF2" s="59" t="s">
        <v>173</v>
      </c>
      <c r="AG2" s="59" t="s">
        <v>172</v>
      </c>
      <c r="AH2" s="59" t="s">
        <v>172</v>
      </c>
      <c r="AI2" s="59" t="s">
        <v>173</v>
      </c>
      <c r="AJ2" s="59" t="s">
        <v>173</v>
      </c>
      <c r="AK2" s="59" t="s">
        <v>173</v>
      </c>
      <c r="AL2" s="59" t="s">
        <v>172</v>
      </c>
      <c r="AM2" s="59" t="s">
        <v>173</v>
      </c>
      <c r="AN2" s="59" t="s">
        <v>172</v>
      </c>
      <c r="AO2" s="59" t="s">
        <v>173</v>
      </c>
      <c r="AP2" s="59" t="s">
        <v>172</v>
      </c>
      <c r="AQ2" s="59" t="s">
        <v>173</v>
      </c>
      <c r="AR2" s="59" t="s">
        <v>173</v>
      </c>
      <c r="AS2" s="59" t="s">
        <v>172</v>
      </c>
      <c r="AT2" s="60">
        <v>0</v>
      </c>
      <c r="AU2" s="59"/>
      <c r="AV2" s="59" t="str">
        <f>IF(LEFT(A2,1)="[",LEFT(A2,5)&amp;AU2&amp;A2,"")</f>
        <v/>
      </c>
      <c r="AW2" s="59" t="str">
        <f>C2&amp;H2&amp;A2</f>
        <v>1French Polynesia</v>
      </c>
      <c r="AX2" s="61"/>
      <c r="AY2" s="61"/>
      <c r="AZ2" s="62" t="s">
        <v>159</v>
      </c>
      <c r="BA2" s="62" t="s">
        <v>152</v>
      </c>
      <c r="BB2" s="62"/>
      <c r="BC2" s="63"/>
      <c r="BD2" s="64" t="s">
        <v>152</v>
      </c>
      <c r="BE2" s="47"/>
      <c r="BF2" s="64" t="s">
        <v>192</v>
      </c>
      <c r="BG2" s="64" t="s">
        <v>192</v>
      </c>
      <c r="BH2" s="64" t="s">
        <v>192</v>
      </c>
      <c r="BI2" s="64"/>
      <c r="BJ2" s="64"/>
      <c r="BK2" s="47"/>
      <c r="BL2" s="64" t="s">
        <v>192</v>
      </c>
      <c r="BM2" s="64" t="s">
        <v>152</v>
      </c>
      <c r="BN2" s="64" t="s">
        <v>192</v>
      </c>
      <c r="BO2" s="64" t="s">
        <v>192</v>
      </c>
      <c r="BP2" s="64" t="s">
        <v>192</v>
      </c>
      <c r="BQ2" s="64" t="s">
        <v>192</v>
      </c>
      <c r="BR2" s="64" t="s">
        <v>192</v>
      </c>
      <c r="BS2" s="64" t="s">
        <v>192</v>
      </c>
      <c r="BT2" s="64" t="s">
        <v>159</v>
      </c>
      <c r="BU2" s="65"/>
      <c r="BV2" s="66"/>
      <c r="BW2" s="66">
        <v>0</v>
      </c>
      <c r="BX2" s="47"/>
      <c r="CB2" s="6"/>
      <c r="CC2" s="6"/>
      <c r="CD2" s="67">
        <v>1</v>
      </c>
      <c r="CE2" s="67">
        <v>0</v>
      </c>
      <c r="CF2" s="67" t="e">
        <v>#REF!</v>
      </c>
      <c r="CG2" s="68" cm="1">
        <f t="array" ref="CG2">SUMPRODUCT(--(LEN(TRIM(BL2:BT2))&gt;0))</f>
        <v>2</v>
      </c>
      <c r="CH2" s="59" t="str">
        <f t="shared" ref="CH2:CH7" si="0">IF(CG2=2,"y","n")</f>
        <v>y</v>
      </c>
      <c r="CI2" s="59" t="str">
        <f t="shared" ref="CI2:CI7" si="1">IF(CG2=3,"y","n")</f>
        <v>n</v>
      </c>
      <c r="CJ2" s="59" t="str">
        <f t="shared" ref="CJ2:CJ7" si="2">IF(CG2=4,"y","n")</f>
        <v>n</v>
      </c>
      <c r="CK2" s="59" t="str">
        <f t="shared" ref="CK2:CK7" si="3">IF(CG2&gt;4,"y","n")</f>
        <v>n</v>
      </c>
      <c r="CL2" s="59" t="str">
        <f t="shared" ref="CL2:CL7" si="4">IF(S2=0,"y","n")</f>
        <v>n</v>
      </c>
      <c r="CM2" s="59" t="str">
        <f t="shared" ref="CM2:CM7" si="5">IF(S2=2,"y","n")</f>
        <v>n</v>
      </c>
      <c r="CN2" s="59" t="str">
        <f t="shared" ref="CN2:CN7" si="6">IF(S2=3,"y","n")</f>
        <v>y</v>
      </c>
      <c r="CO2" s="59" t="str">
        <f t="shared" ref="CO2:CO7" si="7">IF(S2&gt;=4,"y","n")</f>
        <v>n</v>
      </c>
      <c r="CP2" s="59" t="str">
        <f t="shared" ref="CP2:CP7" si="8">IF(AT2=0,"y","n")</f>
        <v>y</v>
      </c>
      <c r="CQ2" s="59" t="str">
        <f t="shared" ref="CQ2:CQ7" si="9">IF(AT2=1,"y","n")</f>
        <v>n</v>
      </c>
      <c r="CR2" s="59" t="str">
        <f t="shared" ref="CR2:CR7" si="10">IF(AT2=2,"y","n")</f>
        <v>n</v>
      </c>
      <c r="CS2" s="59" t="str">
        <f t="shared" ref="CS2:CS7" si="11">IF(AT2&gt;=3,"y","n")</f>
        <v>n</v>
      </c>
      <c r="CT2" s="69" t="str">
        <f t="shared" ref="CT2:CT7" si="12">CHAR(34)&amp;A2&amp;CHAR(34)</f>
        <v>"French Polynesia"</v>
      </c>
      <c r="CU2" s="70" t="str">
        <f t="shared" ref="CU2:CU7" si="13">CHAR(34)&amp;"rgn_"&amp;R2&amp;CHAR(34)</f>
        <v>"rgn_Oceania"</v>
      </c>
      <c r="CV2" s="48" t="str">
        <f t="shared" ref="CV2:CV7" si="14">CHAR(34)&amp;D2&amp;CHAR(34)</f>
        <v>"https://i.ibb.co/jZ2wfRj/Tahiti-Flag.png"</v>
      </c>
      <c r="CW2" s="48" t="str">
        <f t="shared" ref="CW2:CZ7" si="15">IF(CH2="y",CHAR(34)&amp;CH$1&amp;CHAR(34)&amp;",","")</f>
        <v>"2Color",</v>
      </c>
      <c r="CX2" s="48" t="str">
        <f t="shared" si="15"/>
        <v/>
      </c>
      <c r="CY2" s="48" t="str">
        <f t="shared" si="15"/>
        <v/>
      </c>
      <c r="CZ2" s="48" t="str">
        <f t="shared" si="15"/>
        <v/>
      </c>
      <c r="DA2" s="48" t="str">
        <f t="shared" ref="DA2:DA7" si="16">IF(Q2&gt;1,CHAR(34)&amp;"words2"&amp;CHAR(34)&amp;",","")</f>
        <v>"words2",</v>
      </c>
      <c r="DB2" s="48" t="str">
        <f t="shared" ref="DB2:DB7" si="17">IF(Q2&gt;2,CHAR(34)&amp;"words3"&amp;CHAR(34)&amp;",","")</f>
        <v/>
      </c>
      <c r="DC2" s="48" t="str">
        <f t="shared" ref="DC2:DC7" si="18">IF(Q2=2,CHAR(34)&amp;"exact2"&amp;CHAR(34)&amp;",","")</f>
        <v>"exact2",</v>
      </c>
      <c r="DD2" s="48" t="str">
        <f t="shared" ref="DD2:DD7"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8" t="str">
        <f t="shared" ref="DE2:DE7"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"startF",</v>
      </c>
      <c r="DF2" s="48" t="str">
        <f t="shared" ref="DF2:DF7" si="21">IFERROR(IF(SEARCH("tan",A2)&gt;0,CHAR(34)&amp;"withtn"&amp;CHAR(34)&amp;",",""),"")</f>
        <v/>
      </c>
      <c r="DG2" s="48" t="str">
        <f t="shared" ref="DG2:DG7" si="22">IFERROR(IF(SEARCH("q",A2)&gt;0,CHAR(34)&amp;"with_q"&amp;CHAR(34)&amp;",",""),"")</f>
        <v/>
      </c>
      <c r="DH2" s="48" t="str">
        <f t="shared" ref="DH2:DH7" si="23">IFERROR(IF(SEARCH("v",A2)&gt;0,CHAR(34)&amp;"with_v"&amp;CHAR(34)&amp;",",""),"")</f>
        <v/>
      </c>
      <c r="DI2" s="48" t="str">
        <f t="shared" ref="DI2:DI7" si="24">IFERROR(IF(SEARCH("w",A2)&gt;0,CHAR(34)&amp;"with_w"&amp;CHAR(34)&amp;",",""),"")</f>
        <v/>
      </c>
      <c r="DJ2" s="48" t="str">
        <f t="shared" ref="DJ2:DJ7" si="25">IFERROR(IF(SEARCH("y",A2)&gt;0,CHAR(34)&amp;"with_y"&amp;CHAR(34)&amp;",",""),"")</f>
        <v>"with_y",</v>
      </c>
      <c r="DK2" s="48" t="str">
        <f t="shared" ref="DK2:DK7" si="26">IFERROR(IF(SEARCH("z",A2)&gt;0,CHAR(34)&amp;"with_z"&amp;CHAR(34)&amp;",",""),"")</f>
        <v/>
      </c>
      <c r="DL2" s="48" t="str">
        <f t="shared" ref="DL2:DL7" si="27">IF(CG2=2, CHAR(34) &amp; _xlfn.TEXTJOIN("", TRUE, _xlfn._xlws.SORT(HP2:HX2)) &amp; CHAR(34) &amp; ",", "")</f>
        <v>"BLUWHI",</v>
      </c>
      <c r="DM2" s="48" t="str" cm="1">
        <f t="array" ref="DM2">IF(CG2=3,CHAR(34) &amp; _xlfn.TEXTJOIN("", TRUE, RIGHT(HP2:HX2, 2)) &amp; CHAR(34) &amp; ",", "")</f>
        <v/>
      </c>
      <c r="DN2" s="48" t="str">
        <f t="shared" ref="DN2:DN7" si="28">IF(AND(ISNUMBER(SEARCH("18", O2)), ISERROR(SEARCH("1918", O2)), ISERROR(SEARCH("2018", O2))), CHAR(34) &amp; "year18" &amp; CHAR(34) &amp; ",", "")</f>
        <v/>
      </c>
      <c r="DO2" s="48" t="str">
        <f t="shared" ref="DO2:DO7" si="29">IF(AND(ISNUMBER(SEARCH("19", O2)), ISERROR(SEARCH("1819", O2)),  ISERROR(SEARCH("1219", O2)),ISERROR(SEARCH("1119", O2)),ISERROR(SEARCH("1190", O2)),ISERROR(SEARCH("2019", O2))), CHAR(34) &amp; "year19" &amp; CHAR(34) &amp; ",", "")</f>
        <v>"year19",</v>
      </c>
      <c r="DP2" s="6" t="str">
        <f t="shared" ref="DP2:DP7" si="30">IF(AND(ISNUMBER(SEARCH("20", O2)), ISERROR(SEARCH("1920", O2))), CHAR(34)&amp;"year00"&amp;CHAR(34)&amp;",", "")</f>
        <v/>
      </c>
      <c r="DQ2" s="6" t="str">
        <f t="shared" ref="DQ2:DQ7" si="31">IF(CC2="y",CHAR(34)&amp;"soviet"&amp;CHAR(34)&amp;",","")</f>
        <v/>
      </c>
      <c r="DR2" s="6" t="str">
        <f t="shared" ref="DR2:DR7" si="32">IF(BY2="y",CHAR(34)&amp;"dgband"&amp;CHAR(34)&amp;",","")</f>
        <v/>
      </c>
      <c r="DS2" s="6" t="str">
        <f t="shared" ref="DS2:DS7" si="33">IF(W2="y",IF(AND(V2="n",BY2&lt;&gt;"y"),CHAR(34)&amp;"allver"&amp;CHAR(34)&amp;",",""),"")</f>
        <v/>
      </c>
      <c r="DT2" s="6" t="str">
        <f t="shared" ref="DT2:DT7" si="34">IF(V2="y",IF(AND(W2="n",BY2&lt;&gt;"y"),CHAR(34)&amp;"allhor"&amp;CHAR(34)&amp;",",""),"")</f>
        <v>"allhor",</v>
      </c>
      <c r="DU2" s="6" t="str">
        <f t="shared" ref="DU2:DU7" si="35">IF(BY2="y",IF(AND(W2="n",V2="n"),CHAR(34)&amp;"alldia"&amp;CHAR(34)&amp;",",""),"")</f>
        <v/>
      </c>
      <c r="DV2" s="48" t="str">
        <f t="shared" ref="DV2:DV7" si="36">IF(IA2&lt;&gt;"",(IF(IA2="y",CHAR(34)&amp;"largec"&amp;CHAR(34)&amp;",",CHAR(34)&amp;"smallc"&amp;CHAR(34)&amp;",")),"")</f>
        <v>"smallc",</v>
      </c>
      <c r="DW2" s="48" t="str">
        <f t="shared" ref="DW2:DZ7" si="37">IF(CL2="y",CHAR(34)&amp;CL$1&amp;CHAR(34)&amp;",","")</f>
        <v/>
      </c>
      <c r="DX2" s="48" t="str">
        <f t="shared" si="37"/>
        <v/>
      </c>
      <c r="DY2" s="48" t="str">
        <f t="shared" si="37"/>
        <v>"3Bands",</v>
      </c>
      <c r="DZ2" s="48" t="str">
        <f t="shared" si="37"/>
        <v/>
      </c>
      <c r="EA2" s="48" t="str">
        <f t="shared" ref="EA2:EE7" si="38">IF(T2="y",CHAR(34)&amp;T$1&amp;CHAR(34)&amp;",","")</f>
        <v/>
      </c>
      <c r="EB2" s="48" t="str">
        <f t="shared" si="38"/>
        <v/>
      </c>
      <c r="EC2" s="48" t="str">
        <f t="shared" si="38"/>
        <v>"Horizo",</v>
      </c>
      <c r="ED2" s="48" t="str">
        <f t="shared" si="38"/>
        <v/>
      </c>
      <c r="EE2" s="48" t="str">
        <f t="shared" si="38"/>
        <v>"Circle",</v>
      </c>
      <c r="EF2" s="48" t="str">
        <f t="shared" ref="EF2:EF7" si="39">IF(AND(Y2&lt;&gt;"n",Y2&lt;&gt;""),CHAR(34)&amp;Y$1&amp;CHAR(34)&amp;",","")</f>
        <v/>
      </c>
      <c r="EG2" s="48" t="str">
        <f t="shared" ref="EG2:EZ7" si="40">IF(Z2="y",CHAR(34)&amp;Z$1&amp;CHAR(34)&amp;",","")</f>
        <v/>
      </c>
      <c r="EH2" s="48" t="str">
        <f t="shared" si="40"/>
        <v/>
      </c>
      <c r="EI2" s="48" t="str">
        <f t="shared" si="40"/>
        <v/>
      </c>
      <c r="EJ2" s="48" t="str">
        <f t="shared" si="40"/>
        <v/>
      </c>
      <c r="EK2" s="48" t="str">
        <f t="shared" si="40"/>
        <v>"HasSun",</v>
      </c>
      <c r="EL2" s="48" t="str">
        <f t="shared" si="40"/>
        <v/>
      </c>
      <c r="EM2" s="48" t="str">
        <f t="shared" si="40"/>
        <v/>
      </c>
      <c r="EN2" s="48" t="str">
        <f t="shared" si="40"/>
        <v>"Unequa",</v>
      </c>
      <c r="EO2" s="48" t="str">
        <f t="shared" si="40"/>
        <v>"Center",</v>
      </c>
      <c r="EP2" s="48" t="str">
        <f t="shared" si="40"/>
        <v/>
      </c>
      <c r="EQ2" s="48" t="str">
        <f t="shared" si="40"/>
        <v/>
      </c>
      <c r="ER2" s="48" t="str">
        <f t="shared" si="40"/>
        <v/>
      </c>
      <c r="ES2" s="48" t="str">
        <f t="shared" si="40"/>
        <v>"Wavess",</v>
      </c>
      <c r="ET2" s="48" t="str">
        <f t="shared" si="40"/>
        <v/>
      </c>
      <c r="EU2" s="48" t="str">
        <f t="shared" si="40"/>
        <v>"Humans",</v>
      </c>
      <c r="EV2" s="48" t="str">
        <f t="shared" si="40"/>
        <v/>
      </c>
      <c r="EW2" s="48" t="str">
        <f t="shared" si="40"/>
        <v>"Ships!",</v>
      </c>
      <c r="EX2" s="48" t="str">
        <f t="shared" si="40"/>
        <v/>
      </c>
      <c r="EY2" s="48" t="str">
        <f t="shared" si="40"/>
        <v/>
      </c>
      <c r="EZ2" s="48" t="str">
        <f t="shared" si="40"/>
        <v>"Waters",</v>
      </c>
      <c r="FA2" s="48" t="str">
        <f t="shared" ref="FA2:FA7" si="41">IF(AT2&gt;0,CHAR(34)&amp;"sta"&amp;AZ2&amp;CHAR(34)&amp;",","")</f>
        <v/>
      </c>
      <c r="FB2" s="48" t="str">
        <f t="shared" ref="FB2:FB7" si="42">IF(AND(AT2&gt;0,BA2&lt;&gt;""),CHAR(34)&amp;"sta"&amp;BA2&amp;CHAR(34)&amp;",","")</f>
        <v/>
      </c>
      <c r="FC2" s="48" t="str">
        <f t="shared" ref="FC2:FC7" si="43">IF(AND(AT2&gt;0,BB2&lt;&gt;""),CHAR(34)&amp;"sta"&amp;BB2&amp;CHAR(34)&amp;",","")</f>
        <v/>
      </c>
      <c r="FD2" s="48" t="str">
        <f t="shared" ref="FD2:FD7" si="44">IF(BV2="n",CHAR(34)&amp;"tcWHYE"&amp;CHAR(34)&amp;",",IF(BV2="y",CHAR(34)&amp;FD$1&amp;CHAR(34)&amp;",",""))</f>
        <v/>
      </c>
      <c r="FE2" s="48" t="str">
        <f t="shared" ref="FE2:FE7" si="45">IF(COUNTIF(BL2:BT2,"BLU")=0,CHAR(34)&amp;"NO_BLU"&amp;CHAR(34)&amp;",", "")</f>
        <v/>
      </c>
      <c r="FF2" s="48" t="str">
        <f t="shared" ref="FF2:FF7" si="46">IF(COUNTIF(BL2:BT2,"WHI")=0,CHAR(34)&amp;"NO_WHI"&amp;CHAR(34)&amp;",", "")</f>
        <v/>
      </c>
      <c r="FG2" s="48" t="str">
        <f t="shared" ref="FG2:FG7" si="47">IF(COUNTIF(BL2:BT2,"RED")=0,CHAR(34)&amp;"NO_RED"&amp;CHAR(34)&amp;",", "")</f>
        <v>"NO_RED",</v>
      </c>
      <c r="FH2" s="48" t="str">
        <f t="shared" ref="FH2:FH7" si="48">IF(COUNTIF(BL2:BS2,"GRE")=0,CHAR(34)&amp;"NO_GRE"&amp;CHAR(34)&amp;",", "")</f>
        <v>"NO_GRE",</v>
      </c>
      <c r="FI2" s="48" t="str">
        <f t="shared" ref="FI2:FI7" si="49">IF(COUNTIF(BL2:BT2,"YEL")=0,CHAR(34)&amp;"NO_YEL"&amp;CHAR(34)&amp;",", "")</f>
        <v>"NO_YEL",</v>
      </c>
      <c r="FJ2" s="48" t="str">
        <f t="shared" ref="FJ2:FJ7" si="50">IF(COUNTIF(BL2:BT2,"BLA")=0,CHAR(34)&amp;"NO_BLA"&amp;CHAR(34)&amp;",", "")</f>
        <v>"NO_BLA",</v>
      </c>
      <c r="FK2" s="48" t="str">
        <f t="shared" ref="FK2:FK7" si="51">IF(AND(FH2&lt;&gt;"",FF2&lt;&gt;""),CHAR(34)&amp;"WHGRNO"&amp;CHAR(34)&amp;",","")</f>
        <v/>
      </c>
      <c r="FL2" s="48" t="str">
        <f t="shared" ref="FL2:FL7" si="52">IF(AND(FI2&lt;&gt;"",FF2&lt;&gt;""),CHAR(34)&amp;"WHYENO"&amp;CHAR(34)&amp;",","")</f>
        <v/>
      </c>
      <c r="FM2" s="48" t="str">
        <f t="shared" ref="FM2:FM7" si="53">IF(AND(FJ2&lt;&gt;"",FF2&lt;&gt;""),CHAR(34)&amp;"BAWHNO"&amp;CHAR(34)&amp;",","")</f>
        <v/>
      </c>
      <c r="FN2" s="48" t="str">
        <f t="shared" ref="FN2:FN7" si="54">IF(AND(FE2&lt;&gt;"",FF2&lt;&gt;""),CHAR(34)&amp;"BLWHNO"&amp;CHAR(34)&amp;",","")</f>
        <v/>
      </c>
      <c r="FO2" s="48" t="str">
        <f t="shared" ref="FO2:FO7" si="55">IF(AND(FE2&lt;&gt;"",FG2&lt;&gt;""),CHAR(34)&amp;"BLRENO"&amp;CHAR(34)&amp;",","")</f>
        <v/>
      </c>
      <c r="FP2" s="48" t="str">
        <f t="shared" ref="FP2:FP7" si="56">IF(AND(FF2&lt;&gt;"",FF2&lt;&gt;""),CHAR(34)&amp;"WHRENO"&amp;CHAR(34)&amp;",","")</f>
        <v/>
      </c>
      <c r="FQ2" s="48" t="str">
        <f t="shared" ref="FQ2:FQ7" si="57">IF(LEN(BF2)=3,CHAR(34)&amp;"001"&amp;BF2&amp;CHAR(34)&amp;",","")</f>
        <v/>
      </c>
      <c r="FR2" s="48" t="str">
        <f t="shared" ref="FR2:FR7" si="58">IF(LEN(BG2)=3,CHAR(34)&amp;"002"&amp;BG2&amp;CHAR(34)&amp;",","")</f>
        <v/>
      </c>
      <c r="FS2" s="48" t="str">
        <f t="shared" ref="FS2:FS7" si="59">IF(LEN(BH2)=3,CHAR(34)&amp;"003"&amp;BH2&amp;CHAR(34)&amp;",","")</f>
        <v/>
      </c>
      <c r="FT2" s="48" t="str">
        <f t="shared" ref="FT2:FT7" si="60">CHAR(34)&amp;"myr"&amp;BD2&amp;CHAR(34)&amp;","</f>
        <v>"myrBLU",</v>
      </c>
      <c r="FU2" s="48" t="str">
        <f t="shared" ref="FU2:FU7" si="61">IF(AY2="y",CHAR(34)&amp;"island"&amp;CHAR(34)&amp;",","")</f>
        <v/>
      </c>
      <c r="FV2" s="48" t="str">
        <f t="shared" ref="FV2:FV7" si="62">IF(BZ2="y",CHAR(34)&amp;"landlo"&amp;CHAR(34)&amp;",","")</f>
        <v/>
      </c>
      <c r="FW2" s="48" t="str">
        <f t="shared" ref="FW2:FW7" si="63">IF(CA2="y",CHAR(34)&amp;"eunion"&amp;CHAR(34)&amp;",","")</f>
        <v/>
      </c>
      <c r="FX2" s="48" t="str">
        <f t="shared" ref="FX2:FX7" si="64">SUBSTITUTE(IFERROR(SEARCH("[",A2),IFERROR(IF(AND(CA2&lt;&gt;"y",SEARCH("Europe",R2)&gt;0),CHAR(34)&amp;"noeuni"&amp;CHAR(34)&amp;",",""),"")),"1","")</f>
        <v/>
      </c>
      <c r="FY2" s="48" t="str">
        <f t="shared" ref="FY2:FY7" si="65">IFERROR(IF(SEARCH("Arabic",CB2)&gt;0,CHAR(34)&amp;"arabic"&amp;CHAR(34)&amp;",",""),"")</f>
        <v/>
      </c>
      <c r="FZ2" s="48" t="str">
        <f t="shared" ref="FZ2:FZ7" si="66">IFERROR(IF(SEARCH("English",CB2)&gt;0,CHAR(34)&amp;"englis"&amp;CHAR(34)&amp;",",""),"")</f>
        <v/>
      </c>
      <c r="GA2" s="48" t="str">
        <f t="shared" ref="GA2:GA7" si="67">IFERROR(IF(SEARCH("French",CB2)&gt;0,CHAR(34)&amp;"french"&amp;CHAR(34)&amp;",",""),"")</f>
        <v/>
      </c>
      <c r="GB2" s="48" t="str">
        <f t="shared" ref="GB2:GB7" si="68">IFERROR(IF(SEARCH("Spanish",CB2)&gt;0,CHAR(34)&amp;"spanis"&amp;CHAR(34)&amp;",",""),"")</f>
        <v/>
      </c>
      <c r="GC2" s="48" t="str">
        <f t="shared" ref="GC2:GC7" si="69">IFERROR(IF(SEARCH("Portuguese",CB2)&gt;0,CHAR(34)&amp;"portug"&amp;CHAR(34)&amp;",",""),"")</f>
        <v/>
      </c>
      <c r="GD2" s="48" t="str">
        <f t="shared" ref="GD2:GD7" si="70">IFERROR(IF(SEARCH("German",CB2)&gt;0,CHAR(34)&amp;"german"&amp;CHAR(34)&amp;",",""),"")</f>
        <v/>
      </c>
      <c r="GE2" s="48" t="str">
        <f t="shared" ref="GE2:GE7" si="71">IFERROR(IF(SEARCH("Dutch",CB2)&gt;0,CHAR(34)&amp;"dutchs"&amp;CHAR(34)&amp;",",""),"")</f>
        <v/>
      </c>
      <c r="GF2" s="48" t="str">
        <f>IFERROR(IF(SEARCH("Historical",AU2)&gt;0,CHAR(34)&amp;"histor"&amp;CHAR(34)&amp;",",""),"")</f>
        <v/>
      </c>
      <c r="GG2" s="48" t="str">
        <f t="shared" ref="GG2:GG7" si="72">IF(BU2="y",CHAR(34)&amp;"unjack"&amp;CHAR(34)&amp;",","")</f>
        <v/>
      </c>
      <c r="GH2" s="48" t="str">
        <f t="shared" ref="GH2:GH7" si="73">IF(CD2=1,CHAR(34)&amp;"southc"&amp;CHAR(34)&amp;",","")</f>
        <v>"southc",</v>
      </c>
      <c r="GI2" s="48" t="str">
        <f t="shared" ref="GI2:GI7" si="74">IF(CE2=1,CHAR(34)&amp;"hasmap"&amp;CHAR(34)&amp;",","")</f>
        <v/>
      </c>
      <c r="GJ2" s="48" t="str">
        <f t="shared" ref="GJ2:GJ7" si="75">IF(CP2="y",CHAR(34)&amp;CP$1&amp;CHAR(34)&amp;",","")</f>
        <v>"NoStar",</v>
      </c>
      <c r="GK2" s="48" t="str">
        <f t="shared" ref="GK2:GK7" si="76">IF(GJ2="",CHAR(34)&amp;"HasSta"&amp;CHAR(34)&amp;",","")</f>
        <v/>
      </c>
      <c r="GL2" s="48" t="str">
        <f t="shared" ref="GL2:GN7" si="77">IF(CQ2="y",CHAR(34)&amp;CQ$1&amp;CHAR(34)&amp;",","")</f>
        <v/>
      </c>
      <c r="GM2" s="48" t="str">
        <f t="shared" si="77"/>
        <v/>
      </c>
      <c r="GN2" s="48" t="str">
        <f t="shared" si="77"/>
        <v/>
      </c>
      <c r="GP2" s="48" t="str">
        <f t="shared" ref="GP2:GP7" si="78">CHAR(34)&amp;AU2&amp;CHAR(34)</f>
        <v>""</v>
      </c>
      <c r="GS2" s="48" t="str">
        <f t="shared" ref="GS2:GS7" si="79">SUBSTITUTE("["&amp;_xlfn.CONCAT(CW2:GN2)&amp;"]",",]","]")</f>
        <v>["2Color","words2","exact2","lets15","startF","with_y","BLUWHI","year19","allhor","smallc","3Bands","Horizo","Circle","HasSun","Unequa","Center","Wavess","Humans","Ships!","Waters","NO_RED","NO_GRE","NO_YEL","NO_BLA","myrBLU","southc","NoStar"]</v>
      </c>
      <c r="GT2" s="48" t="str">
        <f t="shared" ref="GT2:HB7" si="80">IF(BL2&lt;&gt;"",CHAR(34)&amp;"cl_"&amp;BL2&amp;CHAR(34)&amp;",","")</f>
        <v/>
      </c>
      <c r="GU2" s="48" t="str">
        <f t="shared" si="80"/>
        <v>"cl_BLU",</v>
      </c>
      <c r="GV2" s="48" t="str">
        <f t="shared" si="80"/>
        <v/>
      </c>
      <c r="GW2" s="48" t="str">
        <f t="shared" si="80"/>
        <v/>
      </c>
      <c r="GX2" s="48" t="str">
        <f t="shared" si="80"/>
        <v/>
      </c>
      <c r="GY2" s="48" t="str">
        <f t="shared" si="80"/>
        <v/>
      </c>
      <c r="GZ2" s="48" t="str">
        <f t="shared" si="80"/>
        <v/>
      </c>
      <c r="HA2" s="48" t="str">
        <f t="shared" si="80"/>
        <v/>
      </c>
      <c r="HB2" s="48" t="str">
        <f t="shared" si="80"/>
        <v>"cl_WHI",</v>
      </c>
      <c r="HC2" s="48" t="str">
        <f t="shared" ref="HC2:HC7" si="81">SUBSTITUTE("["&amp;_xlfn.CONCAT(GT2:HB2)&amp;"]",",]","]")</f>
        <v>["cl_BLU","cl_WHI"]</v>
      </c>
      <c r="HE2" s="71"/>
      <c r="HF2" s="72" t="str">
        <f t="shared" ref="HF2:HF7" si="82">"{couname:"&amp;CT2&amp;(IF(HK2&lt;&gt;"",",subtype:"&amp;CHAR(34)&amp;HK2&amp;CHAR(34),""))&amp;",year:"&amp;HJ2&amp;",region:"&amp;CU2&amp;",Colors:"&amp;HC2&amp;",Items:"&amp;GS2&amp;",Flag:"&amp;CV2&amp;",HDFlag:"&amp;CHAR(34)&amp;E2&amp;CHAR(34)&amp;",type:"&amp;GP2&amp;", describe: "&amp;HH2&amp;", isnew:"&amp;CHAR(34)&amp;F2&amp;CHAR(34)&amp;", links: "&amp;HL2&amp;"},"</f>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links: "https://en.wikipedia.org/wiki/Flag_of_French_Polynesia"},</v>
      </c>
      <c r="HG2" s="73" t="str">
        <f t="shared" ref="HG2:HG7" si="83">"{couname:"&amp;CT2&amp;(IF(HK2&lt;&gt;"",",subtype:"&amp;CHAR(34)&amp;HK2&amp;CHAR(34),""))&amp;",year:"&amp;HJ2&amp;",region:"&amp;CU2&amp;",Colors:"&amp;HC2&amp;",Items:"&amp;GS2&amp;",Flag:"&amp;CV2&amp;",HDFlag:"&amp;CHAR(34)&amp;E2&amp;CHAR(34)&amp;",type:"&amp;GP2&amp;", describe: "&amp;HI2&amp;", links: "&amp;HL2&amp;"},"</f>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links: "https://en.wikipedia.org/wiki/Flag_of_French_Polynesia"},</v>
      </c>
      <c r="HH2" s="48" t="str">
        <f t="shared" ref="HH2:HH7" si="84">IF(P2&lt;&gt;"",CHAR(34)&amp;"\n"&amp;P2&amp;CHAR(34),CHAR(34)&amp;CHAR(34))</f>
        <v>"\nIts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v>
      </c>
      <c r="HI2" s="48" t="str">
        <f t="shared" ref="HI2:HI7" si="85">IF(J2=0,CHAR(34)&amp;CHAR(34),HH2)</f>
        <v>"\nIts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v>
      </c>
      <c r="HJ2" s="48" t="str">
        <f t="shared" ref="HJ2:HJ7" si="86">CHAR(34)&amp;O2&amp;CHAR(34)</f>
        <v>"1984 "</v>
      </c>
      <c r="HL2" s="48" t="str">
        <f t="shared" ref="HL2:HL7" si="87">CHAR(34)&amp;I2&amp;CHAR(34)</f>
        <v>"https://en.wikipedia.org/wiki/Flag_of_French_Polynesia"</v>
      </c>
      <c r="HM2" s="72" t="str">
        <f t="shared" ref="HM2:HM7"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 "links": "https://en.wikipedia.org/wiki/Flag_of_French_Polynesia"},</v>
      </c>
      <c r="HN2" s="74" t="str">
        <f t="shared" ref="HN2:HN7"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{"couname":"French Polynesia","year":"1984 ","region":"rgn_Oceania","Colors":["cl_BLU","cl_WHI"],"Items":["2Color","words2","exact2","lets15","startF","with_y","BLUWHI","year19","allhor","smallc","3Bands","Horizo","Circle","HasSun","Unequa","Center","Wavess","Humans","Ships!","Waters","NO_RED","NO_GRE","NO_YEL","NO_BLA","myrBLU","southc","NoStar"],"Flag":"https://i.ibb.co/jZ2wfRj/Tahiti-Flag.png","HDFlag":"https://upload.wikimedia.org/wikipedia/commons/thumb/d/db/Flag_of_French_Polynesia.svg/2560px-Flag_of_French_Polynesia.svg.png","type":"", "describe": "\nIts main feature is a piragua, which is a status symbol as well as an indispensable boat used for fishing and trasportation. The figures in the piragua stand for the five parts of French Polynesia: the Windward Islands, the Leeward Islands, the Tuamotu Archipelago, the Austral Islands and the Marquesas Islands. The rays symbolize the sun and light, and the blue and white waves represent the riches of the Pacific on which the people have always relied for their livelihood.", "isnew": ".", "links": "https://en.wikipedia.org/wiki/Flag_of_French_Polynesia"},</v>
      </c>
      <c r="HO2" s="75">
        <v>45576</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c r="IC2" s="77"/>
      <c r="ID2" s="77"/>
      <c r="IE2" s="77"/>
      <c r="IF2" s="77"/>
      <c r="IG2" s="77"/>
      <c r="IH2" s="77"/>
      <c r="II2" s="77"/>
      <c r="IJ2" s="77"/>
      <c r="IK2" s="77"/>
      <c r="IL2" s="48">
        <f t="shared" ref="IL2:IL7" si="90">SUM(IC2:IK2)</f>
        <v>0</v>
      </c>
      <c r="IM2" s="45">
        <f t="shared" ref="IM2:IM7" si="91">COUNTIF(IC2:IK2,"&gt;0")-CG2</f>
        <v>-2</v>
      </c>
      <c r="IN2" s="78" t="str">
        <f t="shared" ref="IN2:IN7" si="92">"http://mkweb.bcgsc.ca/color-summarizer/?url="&amp;D2&amp;"&amp;precision=low&amp;num_clusters="&amp;CG2&amp;"&amp;text=1"</f>
        <v>http://mkweb.bcgsc.ca/color-summarizer/?url=https://i.ibb.co/jZ2wfRj/Tahiti-Flag.png&amp;precision=low&amp;num_clusters=2&amp;text=1</v>
      </c>
      <c r="IO2" s="48" t="str">
        <f t="shared" ref="IO2:IO7" si="93">IF(HP2&lt;&gt;"",CHAR(34)&amp;"black"&amp;CHAR(34),"")</f>
        <v/>
      </c>
      <c r="IP2" s="48" t="str">
        <f t="shared" ref="IP2:IP7" si="94">IF(HQ2&lt;&gt;"",CHAR(34)&amp;"blue"&amp;CHAR(34),"")</f>
        <v>"blue"</v>
      </c>
      <c r="IQ2" s="48" t="str">
        <f t="shared" ref="IQ2:IQ7" si="95">IF(HR2&lt;&gt;"",CHAR(34)&amp;"green"&amp;CHAR(34),"")</f>
        <v/>
      </c>
      <c r="IR2" s="48" t="str">
        <f t="shared" ref="IR2:IR7" si="96">IF(HS2&lt;&gt;"",CHAR(34)&amp;"red"&amp;CHAR(34),"")</f>
        <v/>
      </c>
      <c r="IS2" s="48" t="str">
        <f t="shared" ref="IS2:IS7" si="97">IF(HT2&lt;&gt;"",CHAR(34)&amp;"yellow"&amp;CHAR(34),"")</f>
        <v/>
      </c>
      <c r="IT2" s="48" t="str">
        <f t="shared" ref="IT2:IT7" si="98">IF(HU2&lt;&gt;"",CHAR(34)&amp;"orange"&amp;CHAR(34),"")</f>
        <v/>
      </c>
      <c r="IU2" s="48" t="str">
        <f t="shared" ref="IU2:IU7" si="99">IF(HV2&lt;&gt;"",CHAR(34)&amp;"brown"&amp;CHAR(34),"")</f>
        <v/>
      </c>
      <c r="IV2" s="48" t="str">
        <f t="shared" ref="IV2:IV7" si="100">IF(HW2&lt;&gt;"",CHAR(34)&amp;"purple"&amp;CHAR(34),"")</f>
        <v/>
      </c>
      <c r="IW2" s="48" t="str">
        <f t="shared" ref="IW2:IW7" si="101">IF(HX2&lt;&gt;"",CHAR(34)&amp;"white"&amp;CHAR(34),"")</f>
        <v>"white"</v>
      </c>
      <c r="IX2" s="48" t="str">
        <f t="shared" ref="IX2:IX7" si="102">"{"&amp;CHAR(34)&amp;"url"&amp;CHAR(34)&amp;":"&amp;CHAR(34)&amp;IN2&amp;CHAR(34)&amp;","&amp;CHAR(34)&amp;"name"&amp;CHAR(34)&amp;":"&amp;CHAR(34)&amp;A2&amp;CHAR(34)&amp;"},"</f>
        <v>{"url":"http://mkweb.bcgsc.ca/color-summarizer/?url=https://i.ibb.co/jZ2wfRj/Tahiti-Flag.png&amp;precision=low&amp;num_clusters=2&amp;text=1","name":"French Polynesia"},</v>
      </c>
      <c r="IY2" s="48">
        <v>949</v>
      </c>
    </row>
    <row r="3" spans="1:259" s="48" customFormat="1" ht="38.4" customHeight="1" thickBot="1" x14ac:dyDescent="0.35">
      <c r="A3" s="79" t="s">
        <v>552</v>
      </c>
      <c r="B3" s="40" t="e" vm="38">
        <v>#VALUE!</v>
      </c>
      <c r="C3" s="41">
        <v>2</v>
      </c>
      <c r="D3" s="42" t="s">
        <v>553</v>
      </c>
      <c r="E3" s="43" t="s">
        <v>554</v>
      </c>
      <c r="F3" s="44" t="s">
        <v>166</v>
      </c>
      <c r="G3" s="45">
        <f>COUNTIF($A$1:$A$8344,A3)</f>
        <v>1</v>
      </c>
      <c r="H3" s="46"/>
      <c r="I3" s="47" t="s">
        <v>555</v>
      </c>
      <c r="J3" s="48" t="str">
        <f>""</f>
        <v/>
      </c>
      <c r="K3" s="49"/>
      <c r="L3" s="50"/>
      <c r="M3" s="50"/>
      <c r="N3" s="51" t="s">
        <v>169</v>
      </c>
      <c r="O3" s="52" t="s">
        <v>556</v>
      </c>
      <c r="P3" s="53" t="s">
        <v>557</v>
      </c>
      <c r="Q3" s="54">
        <v>2</v>
      </c>
      <c r="R3" s="55" t="s">
        <v>169</v>
      </c>
      <c r="S3" s="56">
        <v>3</v>
      </c>
      <c r="T3" s="57" t="s">
        <v>173</v>
      </c>
      <c r="U3" s="58" t="s">
        <v>173</v>
      </c>
      <c r="V3" s="58" t="s">
        <v>173</v>
      </c>
      <c r="W3" s="58" t="s">
        <v>172</v>
      </c>
      <c r="X3" s="58" t="s">
        <v>173</v>
      </c>
      <c r="Y3" s="58" t="s">
        <v>173</v>
      </c>
      <c r="Z3" s="58" t="s">
        <v>173</v>
      </c>
      <c r="AA3" s="58" t="s">
        <v>173</v>
      </c>
      <c r="AB3" s="58" t="s">
        <v>173</v>
      </c>
      <c r="AC3" s="58" t="s">
        <v>173</v>
      </c>
      <c r="AD3" s="58" t="s">
        <v>173</v>
      </c>
      <c r="AE3" s="58" t="s">
        <v>173</v>
      </c>
      <c r="AF3" s="59" t="s">
        <v>173</v>
      </c>
      <c r="AG3" s="59" t="s">
        <v>173</v>
      </c>
      <c r="AH3" s="59" t="s">
        <v>172</v>
      </c>
      <c r="AI3" s="59" t="s">
        <v>173</v>
      </c>
      <c r="AJ3" s="59" t="s">
        <v>173</v>
      </c>
      <c r="AK3" s="59" t="s">
        <v>173</v>
      </c>
      <c r="AL3" s="59" t="s">
        <v>173</v>
      </c>
      <c r="AM3" s="59" t="s">
        <v>172</v>
      </c>
      <c r="AN3" s="59" t="s">
        <v>173</v>
      </c>
      <c r="AO3" s="59" t="s">
        <v>173</v>
      </c>
      <c r="AP3" s="59" t="s">
        <v>173</v>
      </c>
      <c r="AQ3" s="59" t="s">
        <v>173</v>
      </c>
      <c r="AR3" s="59" t="s">
        <v>173</v>
      </c>
      <c r="AS3" s="59" t="s">
        <v>173</v>
      </c>
      <c r="AT3" s="60">
        <v>5</v>
      </c>
      <c r="AU3" s="59" t="s">
        <v>558</v>
      </c>
      <c r="AV3" s="59" t="str">
        <f>IF(LEFT(A3,1)="[",LEFT(A3,5)&amp;AU3&amp;A3,"")</f>
        <v>[PLY]Archipelago[PLY] Austral Islands</v>
      </c>
      <c r="AW3" s="59" t="str">
        <f>C3&amp;H3&amp;A3</f>
        <v>2[PLY] Austral Islands</v>
      </c>
      <c r="AX3" s="61"/>
      <c r="AY3" s="61"/>
      <c r="AZ3" s="62" t="s">
        <v>159</v>
      </c>
      <c r="BA3" s="62"/>
      <c r="BB3" s="62"/>
      <c r="BC3" s="63"/>
      <c r="BD3" s="64" t="s">
        <v>159</v>
      </c>
      <c r="BE3" s="47"/>
      <c r="BF3" s="64" t="s">
        <v>159</v>
      </c>
      <c r="BG3" s="64" t="s">
        <v>154</v>
      </c>
      <c r="BH3" s="64" t="s">
        <v>159</v>
      </c>
      <c r="BI3" s="64"/>
      <c r="BJ3" s="64"/>
      <c r="BK3" s="47"/>
      <c r="BL3" s="64" t="s">
        <v>159</v>
      </c>
      <c r="BM3" s="64" t="s">
        <v>154</v>
      </c>
      <c r="BN3" s="64" t="s">
        <v>152</v>
      </c>
      <c r="BO3" s="64"/>
      <c r="BP3" s="64"/>
      <c r="BQ3" s="64"/>
      <c r="BR3" s="64"/>
      <c r="BS3" s="64"/>
      <c r="BT3" s="64"/>
      <c r="BU3" s="65" t="s">
        <v>173</v>
      </c>
      <c r="BV3" s="66"/>
      <c r="BW3" s="66">
        <v>0</v>
      </c>
      <c r="BX3" s="47"/>
      <c r="CB3" s="6"/>
      <c r="CC3" s="6"/>
      <c r="CD3" s="67">
        <v>0</v>
      </c>
      <c r="CE3" s="67">
        <v>0</v>
      </c>
      <c r="CF3" s="67" t="e">
        <v>#REF!</v>
      </c>
      <c r="CG3" s="68" cm="1">
        <f t="array" ref="CG3">SUMPRODUCT(--(LEN(TRIM(BL3:BT3))&gt;0))</f>
        <v>3</v>
      </c>
      <c r="CH3" s="59" t="str">
        <f t="shared" si="0"/>
        <v>n</v>
      </c>
      <c r="CI3" s="59" t="str">
        <f t="shared" si="1"/>
        <v>y</v>
      </c>
      <c r="CJ3" s="59" t="str">
        <f t="shared" si="2"/>
        <v>n</v>
      </c>
      <c r="CK3" s="59" t="str">
        <f t="shared" si="3"/>
        <v>n</v>
      </c>
      <c r="CL3" s="59" t="str">
        <f t="shared" si="4"/>
        <v>n</v>
      </c>
      <c r="CM3" s="59" t="str">
        <f t="shared" si="5"/>
        <v>n</v>
      </c>
      <c r="CN3" s="59" t="str">
        <f t="shared" si="6"/>
        <v>y</v>
      </c>
      <c r="CO3" s="59" t="str">
        <f t="shared" si="7"/>
        <v>n</v>
      </c>
      <c r="CP3" s="59" t="str">
        <f t="shared" si="8"/>
        <v>n</v>
      </c>
      <c r="CQ3" s="59" t="str">
        <f t="shared" si="9"/>
        <v>n</v>
      </c>
      <c r="CR3" s="59" t="str">
        <f t="shared" si="10"/>
        <v>n</v>
      </c>
      <c r="CS3" s="59" t="str">
        <f t="shared" si="11"/>
        <v>y</v>
      </c>
      <c r="CT3" s="69" t="str">
        <f t="shared" si="12"/>
        <v>"[PLY] Austral Islands"</v>
      </c>
      <c r="CU3" s="70" t="str">
        <f t="shared" si="13"/>
        <v>"rgn_Oceania"</v>
      </c>
      <c r="CV3" s="48" t="str">
        <f t="shared" si="14"/>
        <v>"https://upload.wikimedia.org/wikipedia/commons/thumb/2/2e/Flag_of_the_Austral_Islands.svg/1280px-Flag_of_the_Austral_Islands.svg.png"</v>
      </c>
      <c r="CW3" s="48" t="str">
        <f t="shared" si="15"/>
        <v/>
      </c>
      <c r="CX3" s="48" t="str">
        <f t="shared" si="15"/>
        <v>"3Color",</v>
      </c>
      <c r="CY3" s="48" t="str">
        <f t="shared" si="15"/>
        <v/>
      </c>
      <c r="CZ3" s="48" t="str">
        <f t="shared" si="15"/>
        <v/>
      </c>
      <c r="DA3" s="48" t="str">
        <f t="shared" si="16"/>
        <v>"words2",</v>
      </c>
      <c r="DB3" s="48" t="str">
        <f t="shared" si="17"/>
        <v/>
      </c>
      <c r="DC3" s="48" t="str">
        <f t="shared" si="18"/>
        <v>"exact2",</v>
      </c>
      <c r="DD3" s="48" t="str">
        <f t="shared" si="19"/>
        <v>"lets14",</v>
      </c>
      <c r="DE3" s="48" t="str">
        <f t="shared" si="20"/>
        <v>"startA",</v>
      </c>
      <c r="DF3" s="48" t="str">
        <f t="shared" si="21"/>
        <v/>
      </c>
      <c r="DG3" s="48" t="str">
        <f t="shared" si="22"/>
        <v/>
      </c>
      <c r="DH3" s="48" t="str">
        <f t="shared" si="23"/>
        <v/>
      </c>
      <c r="DI3" s="48" t="str">
        <f t="shared" si="24"/>
        <v/>
      </c>
      <c r="DJ3" s="48" t="str">
        <f t="shared" si="25"/>
        <v>"with_y",</v>
      </c>
      <c r="DK3" s="48" t="str">
        <f t="shared" si="26"/>
        <v/>
      </c>
      <c r="DL3" s="48" t="str">
        <f t="shared" si="27"/>
        <v/>
      </c>
      <c r="DM3" s="48" t="str" cm="1">
        <f t="array" ref="DM3">IF(CG3=3,CHAR(34) &amp; _xlfn.TEXTJOIN("", TRUE, RIGHT(HP3:HX3, 2)) &amp; CHAR(34) &amp; ",", "")</f>
        <v>"LUEDHI",</v>
      </c>
      <c r="DN3" s="48" t="str">
        <f t="shared" si="28"/>
        <v/>
      </c>
      <c r="DO3" s="48" t="str">
        <f t="shared" si="29"/>
        <v>"year19",</v>
      </c>
      <c r="DP3" s="6" t="str">
        <f t="shared" si="30"/>
        <v/>
      </c>
      <c r="DQ3" s="6" t="str">
        <f t="shared" si="31"/>
        <v/>
      </c>
      <c r="DR3" s="6" t="str">
        <f t="shared" si="32"/>
        <v/>
      </c>
      <c r="DS3" s="6" t="str">
        <f t="shared" si="33"/>
        <v>"allver",</v>
      </c>
      <c r="DT3" s="6" t="str">
        <f t="shared" si="34"/>
        <v/>
      </c>
      <c r="DU3" s="6" t="str">
        <f t="shared" si="35"/>
        <v/>
      </c>
      <c r="DV3" s="48" t="str">
        <f t="shared" si="36"/>
        <v/>
      </c>
      <c r="DW3" s="48" t="str">
        <f t="shared" si="37"/>
        <v/>
      </c>
      <c r="DX3" s="48" t="str">
        <f t="shared" si="37"/>
        <v/>
      </c>
      <c r="DY3" s="48" t="str">
        <f t="shared" si="37"/>
        <v>"3Bands",</v>
      </c>
      <c r="DZ3" s="48" t="str">
        <f t="shared" si="37"/>
        <v/>
      </c>
      <c r="EA3" s="48" t="str">
        <f t="shared" si="38"/>
        <v/>
      </c>
      <c r="EB3" s="48" t="str">
        <f t="shared" si="38"/>
        <v/>
      </c>
      <c r="EC3" s="48" t="str">
        <f t="shared" si="38"/>
        <v/>
      </c>
      <c r="ED3" s="48" t="str">
        <f t="shared" si="38"/>
        <v>"Vertic",</v>
      </c>
      <c r="EE3" s="48" t="str">
        <f t="shared" si="38"/>
        <v/>
      </c>
      <c r="EF3" s="48" t="str">
        <f t="shared" si="39"/>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"Geogrh",</v>
      </c>
      <c r="EU3" s="48" t="str">
        <f t="shared" si="40"/>
        <v/>
      </c>
      <c r="EV3" s="48" t="str">
        <f t="shared" si="40"/>
        <v/>
      </c>
      <c r="EW3" s="48" t="str">
        <f t="shared" si="40"/>
        <v/>
      </c>
      <c r="EX3" s="48" t="str">
        <f t="shared" si="40"/>
        <v/>
      </c>
      <c r="EY3" s="48" t="str">
        <f t="shared" si="40"/>
        <v/>
      </c>
      <c r="EZ3" s="48" t="str">
        <f t="shared" si="40"/>
        <v/>
      </c>
      <c r="FA3" s="48" t="str">
        <f t="shared" si="41"/>
        <v>"staWHI",</v>
      </c>
      <c r="FB3" s="48" t="str">
        <f t="shared" si="42"/>
        <v/>
      </c>
      <c r="FC3" s="48" t="str">
        <f t="shared" si="43"/>
        <v/>
      </c>
      <c r="FD3" s="48" t="str">
        <f t="shared" si="44"/>
        <v/>
      </c>
      <c r="FE3" s="48" t="str">
        <f t="shared" si="45"/>
        <v/>
      </c>
      <c r="FF3" s="48" t="str">
        <f t="shared" si="46"/>
        <v/>
      </c>
      <c r="FG3" s="48" t="str">
        <f t="shared" si="47"/>
        <v/>
      </c>
      <c r="FH3" s="48" t="str">
        <f t="shared" si="48"/>
        <v>"NO_GRE",</v>
      </c>
      <c r="FI3" s="48" t="str">
        <f t="shared" si="49"/>
        <v>"NO_YEL",</v>
      </c>
      <c r="FJ3" s="48" t="str">
        <f t="shared" si="50"/>
        <v>"NO_BLA",</v>
      </c>
      <c r="FK3" s="48" t="str">
        <f t="shared" si="51"/>
        <v/>
      </c>
      <c r="FL3" s="48" t="str">
        <f t="shared" si="52"/>
        <v/>
      </c>
      <c r="FM3" s="48" t="str">
        <f t="shared" si="53"/>
        <v/>
      </c>
      <c r="FN3" s="48" t="str">
        <f t="shared" si="54"/>
        <v/>
      </c>
      <c r="FO3" s="48" t="str">
        <f t="shared" si="55"/>
        <v/>
      </c>
      <c r="FP3" s="48" t="str">
        <f t="shared" si="56"/>
        <v/>
      </c>
      <c r="FQ3" s="48" t="str">
        <f t="shared" si="57"/>
        <v>"001WHI",</v>
      </c>
      <c r="FR3" s="48" t="str">
        <f t="shared" si="58"/>
        <v>"002RED",</v>
      </c>
      <c r="FS3" s="48" t="str">
        <f t="shared" si="59"/>
        <v>"003WHI",</v>
      </c>
      <c r="FT3" s="48" t="str">
        <f t="shared" si="60"/>
        <v>"myrWHI",</v>
      </c>
      <c r="FU3" s="48" t="str">
        <f t="shared" si="61"/>
        <v/>
      </c>
      <c r="FV3" s="48" t="str">
        <f t="shared" si="62"/>
        <v/>
      </c>
      <c r="FW3" s="48" t="str">
        <f t="shared" si="63"/>
        <v/>
      </c>
      <c r="FX3" s="48" t="str">
        <f t="shared" si="64"/>
        <v/>
      </c>
      <c r="FY3" s="48" t="str">
        <f t="shared" si="65"/>
        <v/>
      </c>
      <c r="FZ3" s="48" t="str">
        <f t="shared" si="66"/>
        <v/>
      </c>
      <c r="GA3" s="48" t="str">
        <f t="shared" si="67"/>
        <v/>
      </c>
      <c r="GB3" s="48" t="str">
        <f t="shared" si="68"/>
        <v/>
      </c>
      <c r="GC3" s="48" t="str">
        <f t="shared" si="69"/>
        <v/>
      </c>
      <c r="GD3" s="48" t="str">
        <f t="shared" si="70"/>
        <v/>
      </c>
      <c r="GE3" s="48" t="str">
        <f t="shared" si="71"/>
        <v/>
      </c>
      <c r="GF3" s="48" t="str">
        <f t="shared" ref="GF3:GF7" si="103">IFERROR(IF(SEARCH("Historical",AU3)&gt;0,CHAR(34)&amp;"histor"&amp;CHAR(34)&amp;",",""),"")</f>
        <v/>
      </c>
      <c r="GG3" s="48" t="str">
        <f t="shared" si="72"/>
        <v/>
      </c>
      <c r="GH3" s="48" t="str">
        <f t="shared" si="73"/>
        <v/>
      </c>
      <c r="GI3" s="48" t="str">
        <f t="shared" si="74"/>
        <v/>
      </c>
      <c r="GJ3" s="48" t="str">
        <f t="shared" si="75"/>
        <v/>
      </c>
      <c r="GK3" s="48" t="str">
        <f t="shared" si="76"/>
        <v>"HasSta",</v>
      </c>
      <c r="GL3" s="48" t="str">
        <f t="shared" si="77"/>
        <v/>
      </c>
      <c r="GM3" s="48" t="str">
        <f t="shared" si="77"/>
        <v/>
      </c>
      <c r="GN3" s="48" t="str">
        <f t="shared" si="77"/>
        <v>"3+Star",</v>
      </c>
      <c r="GP3" s="48" t="str">
        <f t="shared" si="78"/>
        <v>"Archipelago"</v>
      </c>
      <c r="GS3" s="48" t="str">
        <f t="shared" si="79"/>
        <v>["3Color","words2","exact2","lets14","startA","with_y","LUEDHI","year19","allver","3Bands","Vertic","Center","Geogrh","staWHI","NO_GRE","NO_YEL","NO_BLA","001WHI","002RED","003WHI","myrWHI","HasSta","3+Star"]</v>
      </c>
      <c r="GT3" s="48" t="str">
        <f t="shared" si="80"/>
        <v>"cl_WHI",</v>
      </c>
      <c r="GU3" s="48" t="str">
        <f t="shared" si="80"/>
        <v>"cl_RED",</v>
      </c>
      <c r="GV3" s="48" t="str">
        <f t="shared" si="80"/>
        <v>"cl_BLU",</v>
      </c>
      <c r="GW3" s="48" t="str">
        <f t="shared" si="80"/>
        <v/>
      </c>
      <c r="GX3" s="48" t="str">
        <f t="shared" si="80"/>
        <v/>
      </c>
      <c r="GY3" s="48" t="str">
        <f t="shared" si="80"/>
        <v/>
      </c>
      <c r="GZ3" s="48" t="str">
        <f t="shared" si="80"/>
        <v/>
      </c>
      <c r="HA3" s="48" t="str">
        <f t="shared" si="80"/>
        <v/>
      </c>
      <c r="HB3" s="48" t="str">
        <f t="shared" si="80"/>
        <v/>
      </c>
      <c r="HC3" s="48" t="str">
        <f t="shared" si="81"/>
        <v>["cl_WHI","cl_RED","cl_BLU"]</v>
      </c>
      <c r="HE3" s="71"/>
      <c r="HF3" s="72" t="str">
        <f t="shared" si="82"/>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links: "https://en.wikipedia.org/wiki/Flag_of_the_Austral_Islands"},</v>
      </c>
      <c r="HG3" s="73" t="str">
        <f t="shared" si="83"/>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links: "https://en.wikipedia.org/wiki/Flag_of_the_Austral_Islands"},</v>
      </c>
      <c r="HH3" s="48" t="str">
        <f t="shared" si="84"/>
        <v>"\nIn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v>
      </c>
      <c r="HI3" s="48" t="str">
        <f t="shared" si="85"/>
        <v>"\nIn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v>
      </c>
      <c r="HJ3" s="48" t="str">
        <f t="shared" si="86"/>
        <v>"1985"</v>
      </c>
      <c r="HL3" s="48" t="str">
        <f t="shared" si="87"/>
        <v>"https://en.wikipedia.org/wiki/Flag_of_the_Austral_Islands"</v>
      </c>
      <c r="HM3" s="72" t="str">
        <f t="shared" si="88"/>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 "links": "https://en.wikipedia.org/wiki/Flag_of_the_Austral_Islands"},</v>
      </c>
      <c r="HN3" s="74" t="str">
        <f t="shared" si="89"/>
        <v>{"couname":"[PLY] Austral Islands","year":"1985","region":"rgn_Oceania","Colors":["cl_WHI","cl_RED","cl_BLU"],"Items":["3Color","words2","exact2","lets14","startA","with_y","LUEDHI","year19","allver","3Bands","Vertic","Center","Geogrh","staWHI","NO_GRE","NO_YEL","NO_BLA","001WHI","002RED","003WHI","myrWHI","HasSta","3+Star"],"Flag":"https://upload.wikimedia.org/wikipedia/commons/thumb/2/2e/Flag_of_the_Austral_Islands.svg/1280px-Flag_of_the_Austral_Islands.svg.png","HDFlag":"https://upload.wikimedia.org/wikipedia/commons/thumb/2/2e/Flag_of_the_Austral_Islands.svg/2560px-Flag_of_the_Austral_Islands.svg.png","type":"Archipelago", "describe": "\nIn the white central stripe is a blue emblem surrounded by five stars representing the five high islands that constitute the Austral Islands: Rūrutu, Tubua'i, Rimatara, Ra'ivāvae and Rapa. The central emblem represents a penu, a traditional carved rock or coral tool common across the archipelago which is used to crush food, similar to a pestle. The red stripes symbolize French Polynesia, of which the archipelago is a part of, and blue symbolizes the sea.", "isnew": ".", "links": "https://en.wikipedia.org/wiki/Flag_of_the_Austral_Islands"},</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si="90"/>
        <v>0</v>
      </c>
      <c r="IM3" s="45">
        <f t="shared" si="91"/>
        <v>-3</v>
      </c>
      <c r="IN3" s="78" t="str">
        <f t="shared" si="92"/>
        <v>http://mkweb.bcgsc.ca/color-summarizer/?url=https://upload.wikimedia.org/wikipedia/commons/thumb/2/2e/Flag_of_the_Austral_Islands.svg/1280px-Flag_of_the_Austral_Islands.svg.png&amp;precision=low&amp;num_clusters=3&amp;text=1</v>
      </c>
      <c r="IO3" s="48" t="str">
        <f t="shared" si="93"/>
        <v/>
      </c>
      <c r="IP3" s="48" t="str">
        <f t="shared" si="94"/>
        <v>"blue"</v>
      </c>
      <c r="IQ3" s="48" t="str">
        <f t="shared" si="95"/>
        <v/>
      </c>
      <c r="IR3" s="48" t="str">
        <f t="shared" si="96"/>
        <v>"red"</v>
      </c>
      <c r="IS3" s="48" t="str">
        <f t="shared" si="97"/>
        <v/>
      </c>
      <c r="IT3" s="48" t="str">
        <f t="shared" si="98"/>
        <v/>
      </c>
      <c r="IU3" s="48" t="str">
        <f t="shared" si="99"/>
        <v/>
      </c>
      <c r="IV3" s="48" t="str">
        <f t="shared" si="100"/>
        <v/>
      </c>
      <c r="IW3" s="48" t="str">
        <f t="shared" si="101"/>
        <v>"white"</v>
      </c>
      <c r="IX3" s="48" t="str">
        <f t="shared" si="102"/>
        <v>{"url":"http://mkweb.bcgsc.ca/color-summarizer/?url=https://upload.wikimedia.org/wikipedia/commons/thumb/2/2e/Flag_of_the_Austral_Islands.svg/1280px-Flag_of_the_Austral_Islands.svg.png&amp;precision=low&amp;num_clusters=3&amp;text=1","name":"[PLY] Austral Islands"},</v>
      </c>
      <c r="IY3" s="48">
        <v>330</v>
      </c>
    </row>
    <row r="4" spans="1:259" s="48" customFormat="1" ht="38.4" customHeight="1" thickBot="1" x14ac:dyDescent="0.35">
      <c r="A4" s="79" t="s">
        <v>559</v>
      </c>
      <c r="B4" s="40" t="e" vm="39">
        <v>#VALUE!</v>
      </c>
      <c r="C4" s="41">
        <v>2</v>
      </c>
      <c r="D4" s="42" t="s">
        <v>560</v>
      </c>
      <c r="E4" s="43" t="s">
        <v>561</v>
      </c>
      <c r="F4" s="44" t="s">
        <v>166</v>
      </c>
      <c r="G4" s="45">
        <f>COUNTIF($A$1:$A$8344,A4)</f>
        <v>1</v>
      </c>
      <c r="H4" s="46"/>
      <c r="I4" s="47" t="s">
        <v>562</v>
      </c>
      <c r="J4" s="48" t="str">
        <f>""</f>
        <v/>
      </c>
      <c r="K4" s="49"/>
      <c r="L4" s="50"/>
      <c r="M4" s="50"/>
      <c r="N4" s="51" t="s">
        <v>169</v>
      </c>
      <c r="O4" s="52" t="s">
        <v>563</v>
      </c>
      <c r="P4" s="53" t="s">
        <v>564</v>
      </c>
      <c r="Q4" s="54">
        <v>2</v>
      </c>
      <c r="R4" s="55" t="s">
        <v>169</v>
      </c>
      <c r="S4" s="56">
        <v>3</v>
      </c>
      <c r="T4" s="57" t="s">
        <v>173</v>
      </c>
      <c r="U4" s="58" t="s">
        <v>173</v>
      </c>
      <c r="V4" s="58" t="s">
        <v>172</v>
      </c>
      <c r="W4" s="58" t="s">
        <v>173</v>
      </c>
      <c r="X4" s="58" t="s">
        <v>173</v>
      </c>
      <c r="Y4" s="58" t="s">
        <v>173</v>
      </c>
      <c r="Z4" s="58" t="s">
        <v>173</v>
      </c>
      <c r="AA4" s="58" t="s">
        <v>173</v>
      </c>
      <c r="AB4" s="58" t="s">
        <v>173</v>
      </c>
      <c r="AC4" s="58" t="s">
        <v>173</v>
      </c>
      <c r="AD4" s="58" t="s">
        <v>173</v>
      </c>
      <c r="AE4" s="58" t="s">
        <v>173</v>
      </c>
      <c r="AF4" s="59" t="s">
        <v>173</v>
      </c>
      <c r="AG4" s="59" t="s">
        <v>173</v>
      </c>
      <c r="AH4" s="59" t="s">
        <v>173</v>
      </c>
      <c r="AI4" s="59" t="s">
        <v>173</v>
      </c>
      <c r="AJ4" s="59" t="s">
        <v>173</v>
      </c>
      <c r="AK4" s="59" t="s">
        <v>173</v>
      </c>
      <c r="AL4" s="59" t="s">
        <v>173</v>
      </c>
      <c r="AM4" s="59" t="s">
        <v>173</v>
      </c>
      <c r="AN4" s="59" t="s">
        <v>173</v>
      </c>
      <c r="AO4" s="59" t="s">
        <v>173</v>
      </c>
      <c r="AP4" s="59" t="s">
        <v>173</v>
      </c>
      <c r="AQ4" s="59" t="s">
        <v>173</v>
      </c>
      <c r="AR4" s="59" t="s">
        <v>173</v>
      </c>
      <c r="AS4" s="59" t="s">
        <v>173</v>
      </c>
      <c r="AT4" s="60">
        <v>5</v>
      </c>
      <c r="AU4" s="59" t="s">
        <v>558</v>
      </c>
      <c r="AV4" s="59" t="str">
        <f>IF(LEFT(A4,1)="[",LEFT(A4,5)&amp;AU4&amp;A4,"")</f>
        <v>[PLY]Archipelago[PLY] Gambier Islands</v>
      </c>
      <c r="AW4" s="59" t="str">
        <f>C4&amp;H4&amp;A4</f>
        <v>2[PLY] Gambier Islands</v>
      </c>
      <c r="AX4" s="61"/>
      <c r="AY4" s="61"/>
      <c r="AZ4" s="62"/>
      <c r="BA4" s="62"/>
      <c r="BB4" s="62"/>
      <c r="BC4" s="63"/>
      <c r="BD4" s="64" t="s">
        <v>159</v>
      </c>
      <c r="BE4" s="47"/>
      <c r="BF4" s="64" t="s">
        <v>159</v>
      </c>
      <c r="BG4" s="64"/>
      <c r="BH4" s="64" t="s">
        <v>154</v>
      </c>
      <c r="BI4" s="64"/>
      <c r="BJ4" s="64"/>
      <c r="BK4" s="47"/>
      <c r="BL4" s="64" t="s">
        <v>159</v>
      </c>
      <c r="BM4" s="64" t="s">
        <v>154</v>
      </c>
      <c r="BN4" s="64" t="s">
        <v>152</v>
      </c>
      <c r="BO4" s="64"/>
      <c r="BP4" s="64"/>
      <c r="BQ4" s="64"/>
      <c r="BR4" s="64"/>
      <c r="BS4" s="64"/>
      <c r="BT4" s="64"/>
      <c r="BU4" s="65" t="s">
        <v>173</v>
      </c>
      <c r="BV4" s="66"/>
      <c r="BW4" s="66">
        <v>0</v>
      </c>
      <c r="BX4" s="47"/>
      <c r="CB4" s="6"/>
      <c r="CC4" s="6"/>
      <c r="CD4" s="67">
        <v>0</v>
      </c>
      <c r="CE4" s="67">
        <v>0</v>
      </c>
      <c r="CF4" s="67" t="e">
        <v>#REF!</v>
      </c>
      <c r="CG4" s="68" cm="1">
        <f t="array" ref="CG4">SUMPRODUCT(--(LEN(TRIM(BL4:BT4))&gt;0))</f>
        <v>3</v>
      </c>
      <c r="CH4" s="59" t="str">
        <f t="shared" si="0"/>
        <v>n</v>
      </c>
      <c r="CI4" s="59" t="str">
        <f t="shared" si="1"/>
        <v>y</v>
      </c>
      <c r="CJ4" s="59" t="str">
        <f t="shared" si="2"/>
        <v>n</v>
      </c>
      <c r="CK4" s="59" t="str">
        <f t="shared" si="3"/>
        <v>n</v>
      </c>
      <c r="CL4" s="59" t="str">
        <f t="shared" si="4"/>
        <v>n</v>
      </c>
      <c r="CM4" s="59" t="str">
        <f t="shared" si="5"/>
        <v>n</v>
      </c>
      <c r="CN4" s="59" t="str">
        <f t="shared" si="6"/>
        <v>y</v>
      </c>
      <c r="CO4" s="59" t="str">
        <f t="shared" si="7"/>
        <v>n</v>
      </c>
      <c r="CP4" s="59" t="str">
        <f t="shared" si="8"/>
        <v>n</v>
      </c>
      <c r="CQ4" s="59" t="str">
        <f t="shared" si="9"/>
        <v>n</v>
      </c>
      <c r="CR4" s="59" t="str">
        <f t="shared" si="10"/>
        <v>n</v>
      </c>
      <c r="CS4" s="59" t="str">
        <f t="shared" si="11"/>
        <v>y</v>
      </c>
      <c r="CT4" s="69" t="str">
        <f t="shared" si="12"/>
        <v>"[PLY] Gambier Islands"</v>
      </c>
      <c r="CU4" s="70" t="str">
        <f t="shared" si="13"/>
        <v>"rgn_Oceania"</v>
      </c>
      <c r="CV4" s="48" t="str">
        <f t="shared" si="14"/>
        <v>"https://upload.wikimedia.org/wikipedia/commons/thumb/f/f7/Flag_of_the_Gambier_Islands.svg/1024px-Flag_of_the_Gambier_Islands.svg.png"</v>
      </c>
      <c r="CW4" s="48" t="str">
        <f t="shared" si="15"/>
        <v/>
      </c>
      <c r="CX4" s="48" t="str">
        <f t="shared" si="15"/>
        <v>"3Color",</v>
      </c>
      <c r="CY4" s="48" t="str">
        <f t="shared" si="15"/>
        <v/>
      </c>
      <c r="CZ4" s="48" t="str">
        <f t="shared" si="15"/>
        <v/>
      </c>
      <c r="DA4" s="48" t="str">
        <f t="shared" si="16"/>
        <v>"words2",</v>
      </c>
      <c r="DB4" s="48" t="str">
        <f t="shared" si="17"/>
        <v/>
      </c>
      <c r="DC4" s="48" t="str">
        <f t="shared" si="18"/>
        <v>"exact2",</v>
      </c>
      <c r="DD4" s="48" t="str">
        <f t="shared" si="19"/>
        <v>"lets14",</v>
      </c>
      <c r="DE4" s="48" t="str">
        <f t="shared" si="20"/>
        <v>"startG",</v>
      </c>
      <c r="DF4" s="48" t="str">
        <f t="shared" si="21"/>
        <v/>
      </c>
      <c r="DG4" s="48" t="str">
        <f t="shared" si="22"/>
        <v/>
      </c>
      <c r="DH4" s="48" t="str">
        <f t="shared" si="23"/>
        <v/>
      </c>
      <c r="DI4" s="48" t="str">
        <f t="shared" si="24"/>
        <v/>
      </c>
      <c r="DJ4" s="48" t="str">
        <f t="shared" si="25"/>
        <v>"with_y",</v>
      </c>
      <c r="DK4" s="48" t="str">
        <f t="shared" si="26"/>
        <v/>
      </c>
      <c r="DL4" s="48" t="str">
        <f t="shared" si="27"/>
        <v/>
      </c>
      <c r="DM4" s="48" t="str" cm="1">
        <f t="array" ref="DM4">IF(CG4=3,CHAR(34) &amp; _xlfn.TEXTJOIN("", TRUE, RIGHT(HP4:HX4, 2)) &amp; CHAR(34) &amp; ",", "")</f>
        <v>"LUEDHI",</v>
      </c>
      <c r="DN4" s="48" t="str">
        <f t="shared" si="28"/>
        <v>"year18",</v>
      </c>
      <c r="DO4" s="48" t="str">
        <f t="shared" si="29"/>
        <v/>
      </c>
      <c r="DP4" s="6" t="str">
        <f t="shared" si="30"/>
        <v/>
      </c>
      <c r="DQ4" s="6" t="str">
        <f t="shared" si="31"/>
        <v/>
      </c>
      <c r="DR4" s="6" t="str">
        <f t="shared" si="32"/>
        <v/>
      </c>
      <c r="DS4" s="6" t="str">
        <f t="shared" si="33"/>
        <v/>
      </c>
      <c r="DT4" s="6" t="str">
        <f t="shared" si="34"/>
        <v>"allhor",</v>
      </c>
      <c r="DU4" s="6" t="str">
        <f t="shared" si="35"/>
        <v/>
      </c>
      <c r="DV4" s="48" t="str">
        <f t="shared" si="36"/>
        <v/>
      </c>
      <c r="DW4" s="48" t="str">
        <f t="shared" si="37"/>
        <v/>
      </c>
      <c r="DX4" s="48" t="str">
        <f t="shared" si="37"/>
        <v/>
      </c>
      <c r="DY4" s="48" t="str">
        <f t="shared" si="37"/>
        <v>"3Bands",</v>
      </c>
      <c r="DZ4" s="48" t="str">
        <f t="shared" si="37"/>
        <v/>
      </c>
      <c r="EA4" s="48" t="str">
        <f t="shared" si="38"/>
        <v/>
      </c>
      <c r="EB4" s="48" t="str">
        <f t="shared" si="38"/>
        <v/>
      </c>
      <c r="EC4" s="48" t="str">
        <f t="shared" si="38"/>
        <v>"Horizo",</v>
      </c>
      <c r="ED4" s="48" t="str">
        <f t="shared" si="38"/>
        <v/>
      </c>
      <c r="EE4" s="48" t="str">
        <f t="shared" si="38"/>
        <v/>
      </c>
      <c r="EF4" s="48" t="str">
        <f t="shared" si="39"/>
        <v/>
      </c>
      <c r="EG4" s="48" t="str">
        <f t="shared" si="40"/>
        <v/>
      </c>
      <c r="EH4" s="48" t="str">
        <f t="shared" si="40"/>
        <v/>
      </c>
      <c r="EI4" s="48" t="str">
        <f t="shared" si="40"/>
        <v/>
      </c>
      <c r="EJ4" s="48" t="str">
        <f t="shared" si="40"/>
        <v/>
      </c>
      <c r="EK4" s="48" t="str">
        <f t="shared" si="40"/>
        <v/>
      </c>
      <c r="EL4" s="48" t="str">
        <f t="shared" si="40"/>
        <v/>
      </c>
      <c r="EM4" s="48" t="str">
        <f t="shared" si="40"/>
        <v/>
      </c>
      <c r="EN4" s="48" t="str">
        <f t="shared" si="40"/>
        <v/>
      </c>
      <c r="EO4" s="48" t="str">
        <f t="shared" si="40"/>
        <v/>
      </c>
      <c r="EP4" s="48" t="str">
        <f t="shared" si="40"/>
        <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 t="shared" si="41"/>
        <v>"sta",</v>
      </c>
      <c r="FB4" s="48" t="str">
        <f t="shared" si="42"/>
        <v/>
      </c>
      <c r="FC4" s="48" t="str">
        <f t="shared" si="43"/>
        <v/>
      </c>
      <c r="FD4" s="48" t="str">
        <f t="shared" si="44"/>
        <v/>
      </c>
      <c r="FE4" s="48" t="str">
        <f t="shared" si="45"/>
        <v/>
      </c>
      <c r="FF4" s="48" t="str">
        <f t="shared" si="46"/>
        <v/>
      </c>
      <c r="FG4" s="48" t="str">
        <f t="shared" si="47"/>
        <v/>
      </c>
      <c r="FH4" s="48" t="str">
        <f t="shared" si="48"/>
        <v>"NO_GRE",</v>
      </c>
      <c r="FI4" s="48" t="str">
        <f t="shared" si="49"/>
        <v>"NO_YEL",</v>
      </c>
      <c r="FJ4" s="48" t="str">
        <f t="shared" si="50"/>
        <v>"NO_BLA",</v>
      </c>
      <c r="FK4" s="48" t="str">
        <f t="shared" si="51"/>
        <v/>
      </c>
      <c r="FL4" s="48" t="str">
        <f t="shared" si="52"/>
        <v/>
      </c>
      <c r="FM4" s="48" t="str">
        <f t="shared" si="53"/>
        <v/>
      </c>
      <c r="FN4" s="48" t="str">
        <f t="shared" si="54"/>
        <v/>
      </c>
      <c r="FO4" s="48" t="str">
        <f t="shared" si="55"/>
        <v/>
      </c>
      <c r="FP4" s="48" t="str">
        <f t="shared" si="56"/>
        <v/>
      </c>
      <c r="FQ4" s="48" t="str">
        <f t="shared" si="57"/>
        <v>"001WHI",</v>
      </c>
      <c r="FR4" s="48" t="str">
        <f t="shared" si="58"/>
        <v/>
      </c>
      <c r="FS4" s="48" t="str">
        <f t="shared" si="59"/>
        <v>"003RED",</v>
      </c>
      <c r="FT4" s="48" t="str">
        <f t="shared" si="60"/>
        <v>"myrWHI",</v>
      </c>
      <c r="FU4" s="48" t="str">
        <f t="shared" si="61"/>
        <v/>
      </c>
      <c r="FV4" s="48" t="str">
        <f t="shared" si="62"/>
        <v/>
      </c>
      <c r="FW4" s="48" t="str">
        <f t="shared" si="63"/>
        <v/>
      </c>
      <c r="FX4" s="48" t="str">
        <f t="shared" si="64"/>
        <v/>
      </c>
      <c r="FY4" s="48" t="str">
        <f t="shared" si="65"/>
        <v/>
      </c>
      <c r="FZ4" s="48" t="str">
        <f t="shared" si="66"/>
        <v/>
      </c>
      <c r="GA4" s="48" t="str">
        <f t="shared" si="67"/>
        <v/>
      </c>
      <c r="GB4" s="48" t="str">
        <f t="shared" si="68"/>
        <v/>
      </c>
      <c r="GC4" s="48" t="str">
        <f t="shared" si="69"/>
        <v/>
      </c>
      <c r="GD4" s="48" t="str">
        <f t="shared" si="70"/>
        <v/>
      </c>
      <c r="GE4" s="48" t="str">
        <f t="shared" si="71"/>
        <v/>
      </c>
      <c r="GF4" s="48" t="str">
        <f t="shared" si="103"/>
        <v/>
      </c>
      <c r="GG4" s="48" t="str">
        <f t="shared" si="72"/>
        <v/>
      </c>
      <c r="GH4" s="48" t="str">
        <f t="shared" si="73"/>
        <v/>
      </c>
      <c r="GI4" s="48" t="str">
        <f t="shared" si="74"/>
        <v/>
      </c>
      <c r="GJ4" s="48" t="str">
        <f t="shared" si="75"/>
        <v/>
      </c>
      <c r="GK4" s="48" t="str">
        <f t="shared" si="76"/>
        <v>"HasSta",</v>
      </c>
      <c r="GL4" s="48" t="str">
        <f t="shared" si="77"/>
        <v/>
      </c>
      <c r="GM4" s="48" t="str">
        <f t="shared" si="77"/>
        <v/>
      </c>
      <c r="GN4" s="48" t="str">
        <f t="shared" si="77"/>
        <v>"3+Star",</v>
      </c>
      <c r="GP4" s="48" t="str">
        <f t="shared" si="78"/>
        <v>"Archipelago"</v>
      </c>
      <c r="GS4" s="48" t="str">
        <f t="shared" si="79"/>
        <v>["3Color","words2","exact2","lets14","startG","with_y","LUEDHI","year18","allhor","3Bands","Horizo","sta","NO_GRE","NO_YEL","NO_BLA","001WHI","003RED","myrWHI","HasSta","3+Star"]</v>
      </c>
      <c r="GT4" s="48" t="str">
        <f t="shared" si="80"/>
        <v>"cl_WHI",</v>
      </c>
      <c r="GU4" s="48" t="str">
        <f t="shared" si="80"/>
        <v>"cl_RED",</v>
      </c>
      <c r="GV4" s="48" t="str">
        <f t="shared" si="80"/>
        <v>"cl_BLU",</v>
      </c>
      <c r="GW4" s="48" t="str">
        <f t="shared" si="80"/>
        <v/>
      </c>
      <c r="GX4" s="48" t="str">
        <f t="shared" si="80"/>
        <v/>
      </c>
      <c r="GY4" s="48" t="str">
        <f t="shared" si="80"/>
        <v/>
      </c>
      <c r="GZ4" s="48" t="str">
        <f t="shared" si="80"/>
        <v/>
      </c>
      <c r="HA4" s="48" t="str">
        <f t="shared" si="80"/>
        <v/>
      </c>
      <c r="HB4" s="48" t="str">
        <f t="shared" si="80"/>
        <v/>
      </c>
      <c r="HC4" s="48" t="str">
        <f t="shared" si="81"/>
        <v>["cl_WHI","cl_RED","cl_BLU"]</v>
      </c>
      <c r="HE4" s="71"/>
      <c r="HF4" s="72" t="str">
        <f t="shared" si="82"/>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links: "https://en.wikipedia.org/wiki/Flag_of_the_Gambier_Islands"},</v>
      </c>
      <c r="HG4" s="73" t="str">
        <f t="shared" si="83"/>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links: "https://en.wikipedia.org/wiki/Flag_of_the_Gambier_Islands"},</v>
      </c>
      <c r="HH4" s="48" t="str">
        <f t="shared" si="84"/>
        <v>"\nEach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v>
      </c>
      <c r="HI4" s="48" t="str">
        <f t="shared" si="85"/>
        <v>"\nEach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v>
      </c>
      <c r="HJ4" s="48" t="str">
        <f t="shared" si="86"/>
        <v>"1837"</v>
      </c>
      <c r="HL4" s="48" t="str">
        <f t="shared" si="87"/>
        <v>"https://en.wikipedia.org/wiki/Flag_of_the_Gambier_Islands"</v>
      </c>
      <c r="HM4" s="72" t="str">
        <f t="shared" si="88"/>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 "links": "https://en.wikipedia.org/wiki/Flag_of_the_Gambier_Islands"},</v>
      </c>
      <c r="HN4" s="74" t="str">
        <f t="shared" si="89"/>
        <v>{"couname":"[PLY] Gambier Islands","year":"1837","region":"rgn_Oceania","Colors":["cl_WHI","cl_RED","cl_BLU"],"Items":["3Color","words2","exact2","lets14","startG","with_y","LUEDHI","year18","allhor","3Bands","Horizo","sta","NO_GRE","NO_YEL","NO_BLA","001WHI","003RED","myrWHI","HasSta","3+Star"],"Flag":"https://upload.wikimedia.org/wikipedia/commons/thumb/f/f7/Flag_of_the_Gambier_Islands.svg/1024px-Flag_of_the_Gambier_Islands.svg.png","HDFlag":"https://upload.wikimedia.org/wikipedia/commons/thumb/f/f7/Flag_of_the_Gambier_Islands.svg/2560px-Flag_of_the_Gambier_Islands.svg.png","type":"Archipelago", "describe": "\nEach of the stars represent one of the major islands in the group, with the blue stars representing Mangareva, Taravai, Aukena, and Akamaru, and the white star representing the islet Temoe, which is geographically distant from the others. The blue represents the sea while the white represents purity, and evangelism. The blue and white may also relate to the distinctive color of the local churches.", "isnew": ".", "links": "https://en.wikipedia.org/wiki/Flag_of_the_Gambier_Islands"},</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0"/>
        <v>0</v>
      </c>
      <c r="IM4" s="45">
        <f t="shared" si="91"/>
        <v>-3</v>
      </c>
      <c r="IN4" s="78" t="str">
        <f t="shared" si="92"/>
        <v>http://mkweb.bcgsc.ca/color-summarizer/?url=https://upload.wikimedia.org/wikipedia/commons/thumb/f/f7/Flag_of_the_Gambier_Islands.svg/1024px-Flag_of_the_Gambier_Islands.svg.png&amp;precision=low&amp;num_clusters=3&amp;text=1</v>
      </c>
      <c r="IO4" s="48" t="str">
        <f t="shared" si="93"/>
        <v/>
      </c>
      <c r="IP4" s="48" t="str">
        <f t="shared" si="94"/>
        <v>"blue"</v>
      </c>
      <c r="IQ4" s="48" t="str">
        <f t="shared" si="95"/>
        <v/>
      </c>
      <c r="IR4" s="48" t="str">
        <f t="shared" si="96"/>
        <v>"red"</v>
      </c>
      <c r="IS4" s="48" t="str">
        <f t="shared" si="97"/>
        <v/>
      </c>
      <c r="IT4" s="48" t="str">
        <f t="shared" si="98"/>
        <v/>
      </c>
      <c r="IU4" s="48" t="str">
        <f t="shared" si="99"/>
        <v/>
      </c>
      <c r="IV4" s="48" t="str">
        <f t="shared" si="100"/>
        <v/>
      </c>
      <c r="IW4" s="48" t="str">
        <f t="shared" si="101"/>
        <v>"white"</v>
      </c>
      <c r="IX4" s="48" t="str">
        <f t="shared" si="102"/>
        <v>{"url":"http://mkweb.bcgsc.ca/color-summarizer/?url=https://upload.wikimedia.org/wikipedia/commons/thumb/f/f7/Flag_of_the_Gambier_Islands.svg/1024px-Flag_of_the_Gambier_Islands.svg.png&amp;precision=low&amp;num_clusters=3&amp;text=1","name":"[PLY] Gambier Islands"},</v>
      </c>
      <c r="IY4" s="48">
        <v>331</v>
      </c>
    </row>
    <row r="5" spans="1:259" s="48" customFormat="1" ht="38.4" customHeight="1" thickBot="1" x14ac:dyDescent="0.35">
      <c r="A5" s="79" t="s">
        <v>565</v>
      </c>
      <c r="B5" s="40" t="e" vm="40">
        <v>#VALUE!</v>
      </c>
      <c r="C5" s="41">
        <v>2</v>
      </c>
      <c r="D5" s="42" t="s">
        <v>566</v>
      </c>
      <c r="E5" s="43" t="s">
        <v>567</v>
      </c>
      <c r="F5" s="44" t="s">
        <v>166</v>
      </c>
      <c r="G5" s="45">
        <f>COUNTIF($A$1:$A$8344,A5)</f>
        <v>1</v>
      </c>
      <c r="H5" s="46"/>
      <c r="I5" s="47" t="s">
        <v>568</v>
      </c>
      <c r="J5" s="48" t="str">
        <f>""</f>
        <v/>
      </c>
      <c r="K5" s="49"/>
      <c r="L5" s="50"/>
      <c r="M5" s="50"/>
      <c r="N5" s="51" t="s">
        <v>169</v>
      </c>
      <c r="O5" s="52" t="s">
        <v>355</v>
      </c>
      <c r="P5" s="53" t="s">
        <v>569</v>
      </c>
      <c r="Q5" s="54">
        <v>2</v>
      </c>
      <c r="R5" s="55" t="s">
        <v>169</v>
      </c>
      <c r="S5" s="56">
        <v>7</v>
      </c>
      <c r="T5" s="57" t="s">
        <v>173</v>
      </c>
      <c r="U5" s="58" t="s">
        <v>173</v>
      </c>
      <c r="V5" s="58" t="s">
        <v>172</v>
      </c>
      <c r="W5" s="58" t="s">
        <v>173</v>
      </c>
      <c r="X5" s="58" t="s">
        <v>173</v>
      </c>
      <c r="Y5" s="58" t="s">
        <v>173</v>
      </c>
      <c r="Z5" s="58" t="s">
        <v>173</v>
      </c>
      <c r="AA5" s="58" t="s">
        <v>173</v>
      </c>
      <c r="AB5" s="58" t="s">
        <v>173</v>
      </c>
      <c r="AC5" s="58" t="s">
        <v>173</v>
      </c>
      <c r="AD5" s="58" t="s">
        <v>173</v>
      </c>
      <c r="AE5" s="58" t="s">
        <v>173</v>
      </c>
      <c r="AF5" s="59" t="s">
        <v>173</v>
      </c>
      <c r="AG5" s="59" t="s">
        <v>173</v>
      </c>
      <c r="AH5" s="59" t="s">
        <v>173</v>
      </c>
      <c r="AI5" s="59" t="s">
        <v>173</v>
      </c>
      <c r="AJ5" s="59" t="s">
        <v>173</v>
      </c>
      <c r="AK5" s="59" t="s">
        <v>172</v>
      </c>
      <c r="AL5" s="59" t="s">
        <v>173</v>
      </c>
      <c r="AM5" s="59" t="s">
        <v>173</v>
      </c>
      <c r="AN5" s="59" t="s">
        <v>173</v>
      </c>
      <c r="AO5" s="59" t="s">
        <v>173</v>
      </c>
      <c r="AP5" s="59" t="s">
        <v>173</v>
      </c>
      <c r="AQ5" s="59" t="s">
        <v>173</v>
      </c>
      <c r="AR5" s="59" t="s">
        <v>172</v>
      </c>
      <c r="AS5" s="59" t="s">
        <v>173</v>
      </c>
      <c r="AT5" s="60">
        <v>0</v>
      </c>
      <c r="AU5" s="59" t="s">
        <v>558</v>
      </c>
      <c r="AV5" s="59" t="str">
        <f>IF(LEFT(A5,1)="[",LEFT(A5,5)&amp;AU5&amp;A5,"")</f>
        <v>[PLY]Archipelago[PLY] Leeward Islands</v>
      </c>
      <c r="AW5" s="59" t="str">
        <f>C5&amp;H5&amp;A5</f>
        <v>2[PLY] Leeward Islands</v>
      </c>
      <c r="AX5" s="61"/>
      <c r="AY5" s="61"/>
      <c r="AZ5" s="62" t="s">
        <v>159</v>
      </c>
      <c r="BA5" s="62"/>
      <c r="BB5" s="62"/>
      <c r="BC5" s="63"/>
      <c r="BD5" s="64" t="s">
        <v>153</v>
      </c>
      <c r="BE5" s="47"/>
      <c r="BF5" s="64"/>
      <c r="BG5" s="64"/>
      <c r="BH5" s="64"/>
      <c r="BI5" s="64"/>
      <c r="BJ5" s="64"/>
      <c r="BK5" s="47"/>
      <c r="BL5" s="64" t="s">
        <v>153</v>
      </c>
      <c r="BM5" s="64" t="s">
        <v>155</v>
      </c>
      <c r="BN5" s="64" t="s">
        <v>159</v>
      </c>
      <c r="BO5" s="64" t="s">
        <v>157</v>
      </c>
      <c r="BP5" s="64" t="s">
        <v>151</v>
      </c>
      <c r="BQ5" s="64"/>
      <c r="BR5" s="64"/>
      <c r="BS5" s="64"/>
      <c r="BT5" s="64"/>
      <c r="BU5" s="65"/>
      <c r="BV5" s="66"/>
      <c r="BW5" s="66">
        <v>0</v>
      </c>
      <c r="BX5" s="47"/>
      <c r="BY5" s="48" t="s">
        <v>173</v>
      </c>
      <c r="CB5" s="6"/>
      <c r="CC5" s="6"/>
      <c r="CD5" s="67">
        <v>0</v>
      </c>
      <c r="CE5" s="67">
        <v>0</v>
      </c>
      <c r="CF5" s="67" t="e">
        <v>#REF!</v>
      </c>
      <c r="CG5" s="68" cm="1">
        <f t="array" ref="CG5">SUMPRODUCT(--(LEN(TRIM(BL5:BT5))&gt;0))</f>
        <v>5</v>
      </c>
      <c r="CH5" s="59" t="str">
        <f t="shared" si="0"/>
        <v>n</v>
      </c>
      <c r="CI5" s="59" t="str">
        <f t="shared" si="1"/>
        <v>n</v>
      </c>
      <c r="CJ5" s="59" t="str">
        <f t="shared" si="2"/>
        <v>n</v>
      </c>
      <c r="CK5" s="59" t="str">
        <f t="shared" si="3"/>
        <v>y</v>
      </c>
      <c r="CL5" s="59" t="str">
        <f t="shared" si="4"/>
        <v>n</v>
      </c>
      <c r="CM5" s="59" t="str">
        <f t="shared" si="5"/>
        <v>n</v>
      </c>
      <c r="CN5" s="59" t="str">
        <f t="shared" si="6"/>
        <v>n</v>
      </c>
      <c r="CO5" s="59" t="str">
        <f t="shared" si="7"/>
        <v>y</v>
      </c>
      <c r="CP5" s="59" t="str">
        <f t="shared" si="8"/>
        <v>y</v>
      </c>
      <c r="CQ5" s="59" t="str">
        <f t="shared" si="9"/>
        <v>n</v>
      </c>
      <c r="CR5" s="59" t="str">
        <f t="shared" si="10"/>
        <v>n</v>
      </c>
      <c r="CS5" s="59" t="str">
        <f t="shared" si="11"/>
        <v>n</v>
      </c>
      <c r="CT5" s="69" t="str">
        <f t="shared" si="12"/>
        <v>"[PLY] Leeward Islands"</v>
      </c>
      <c r="CU5" s="70" t="str">
        <f t="shared" si="13"/>
        <v>"rgn_Oceania"</v>
      </c>
      <c r="CV5" s="48" t="str">
        <f t="shared" si="14"/>
        <v>"https://upload.wikimedia.org/wikipedia/commons/thumb/e/e0/Flag_of_the_Leeward_Islands.svg/1024px-Flag_of_the_Leeward_Islands.svg.png"</v>
      </c>
      <c r="CW5" s="48" t="str">
        <f t="shared" si="15"/>
        <v/>
      </c>
      <c r="CX5" s="48" t="str">
        <f t="shared" si="15"/>
        <v/>
      </c>
      <c r="CY5" s="48" t="str">
        <f t="shared" si="15"/>
        <v/>
      </c>
      <c r="CZ5" s="48" t="str">
        <f t="shared" si="15"/>
        <v>"5+Colo",</v>
      </c>
      <c r="DA5" s="48" t="str">
        <f t="shared" si="16"/>
        <v>"words2",</v>
      </c>
      <c r="DB5" s="48" t="str">
        <f t="shared" si="17"/>
        <v/>
      </c>
      <c r="DC5" s="48" t="str">
        <f t="shared" si="18"/>
        <v>"exact2",</v>
      </c>
      <c r="DD5" s="48" t="str">
        <f t="shared" si="19"/>
        <v>"lets14",</v>
      </c>
      <c r="DE5" s="48" t="str">
        <f t="shared" si="20"/>
        <v>"startL",</v>
      </c>
      <c r="DF5" s="48" t="str">
        <f t="shared" si="21"/>
        <v/>
      </c>
      <c r="DG5" s="48" t="str">
        <f t="shared" si="22"/>
        <v/>
      </c>
      <c r="DH5" s="48" t="str">
        <f t="shared" si="23"/>
        <v/>
      </c>
      <c r="DI5" s="48" t="str">
        <f t="shared" si="24"/>
        <v>"with_w",</v>
      </c>
      <c r="DJ5" s="48" t="str">
        <f t="shared" si="25"/>
        <v>"with_y",</v>
      </c>
      <c r="DK5" s="48" t="str">
        <f t="shared" si="26"/>
        <v/>
      </c>
      <c r="DL5" s="48" t="str">
        <f t="shared" si="27"/>
        <v/>
      </c>
      <c r="DM5" s="48" t="str" cm="1">
        <f t="array" ref="DM5">IF(CG5=3,CHAR(34) &amp; _xlfn.TEXTJOIN("", TRUE, RIGHT(HP5:HX5, 2)) &amp; CHAR(34) &amp; ",", "")</f>
        <v/>
      </c>
      <c r="DN5" s="48" t="str">
        <f t="shared" si="28"/>
        <v/>
      </c>
      <c r="DO5" s="48" t="str">
        <f t="shared" si="29"/>
        <v/>
      </c>
      <c r="DP5" s="6" t="str">
        <f t="shared" si="30"/>
        <v/>
      </c>
      <c r="DQ5" s="6" t="str">
        <f t="shared" si="31"/>
        <v/>
      </c>
      <c r="DR5" s="6" t="str">
        <f t="shared" si="32"/>
        <v/>
      </c>
      <c r="DS5" s="6" t="str">
        <f t="shared" si="33"/>
        <v/>
      </c>
      <c r="DT5" s="6" t="str">
        <f t="shared" si="34"/>
        <v>"allhor",</v>
      </c>
      <c r="DU5" s="6" t="str">
        <f t="shared" si="35"/>
        <v/>
      </c>
      <c r="DV5" s="48" t="str">
        <f t="shared" si="36"/>
        <v/>
      </c>
      <c r="DW5" s="48" t="str">
        <f t="shared" si="37"/>
        <v/>
      </c>
      <c r="DX5" s="48" t="str">
        <f t="shared" si="37"/>
        <v/>
      </c>
      <c r="DY5" s="48" t="str">
        <f t="shared" si="37"/>
        <v/>
      </c>
      <c r="DZ5" s="48" t="str">
        <f t="shared" si="37"/>
        <v>"4+Band",</v>
      </c>
      <c r="EA5" s="48" t="str">
        <f t="shared" si="38"/>
        <v/>
      </c>
      <c r="EB5" s="48" t="str">
        <f t="shared" si="38"/>
        <v/>
      </c>
      <c r="EC5" s="48" t="str">
        <f t="shared" si="38"/>
        <v>"Horizo",</v>
      </c>
      <c r="ED5" s="48" t="str">
        <f t="shared" si="38"/>
        <v/>
      </c>
      <c r="EE5" s="48" t="str">
        <f t="shared" si="38"/>
        <v/>
      </c>
      <c r="EF5" s="48" t="str">
        <f t="shared" si="39"/>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
      </c>
      <c r="EO5" s="48" t="str">
        <f t="shared" si="40"/>
        <v/>
      </c>
      <c r="EP5" s="48" t="str">
        <f t="shared" si="40"/>
        <v/>
      </c>
      <c r="EQ5" s="48" t="str">
        <f t="shared" si="40"/>
        <v/>
      </c>
      <c r="ER5" s="48" t="str">
        <f t="shared" si="40"/>
        <v>"OnlyBa",</v>
      </c>
      <c r="ES5" s="48" t="str">
        <f t="shared" si="40"/>
        <v/>
      </c>
      <c r="ET5" s="48" t="str">
        <f t="shared" si="40"/>
        <v/>
      </c>
      <c r="EU5" s="48" t="str">
        <f t="shared" si="40"/>
        <v/>
      </c>
      <c r="EV5" s="48" t="str">
        <f t="shared" si="40"/>
        <v/>
      </c>
      <c r="EW5" s="48" t="str">
        <f t="shared" si="40"/>
        <v/>
      </c>
      <c r="EX5" s="48" t="str">
        <f t="shared" si="40"/>
        <v/>
      </c>
      <c r="EY5" s="48" t="str">
        <f t="shared" si="40"/>
        <v>"Rotate",</v>
      </c>
      <c r="EZ5" s="48" t="str">
        <f t="shared" si="40"/>
        <v/>
      </c>
      <c r="FA5" s="48" t="str">
        <f t="shared" si="41"/>
        <v/>
      </c>
      <c r="FB5" s="48" t="str">
        <f t="shared" si="42"/>
        <v/>
      </c>
      <c r="FC5" s="48" t="str">
        <f t="shared" si="43"/>
        <v/>
      </c>
      <c r="FD5" s="48" t="str">
        <f t="shared" si="44"/>
        <v/>
      </c>
      <c r="FE5" s="48" t="str">
        <f t="shared" si="45"/>
        <v>"NO_BLU",</v>
      </c>
      <c r="FF5" s="48" t="str">
        <f t="shared" si="46"/>
        <v/>
      </c>
      <c r="FG5" s="48" t="str">
        <f t="shared" si="47"/>
        <v>"NO_RED",</v>
      </c>
      <c r="FH5" s="48" t="str">
        <f t="shared" si="48"/>
        <v/>
      </c>
      <c r="FI5" s="48" t="str">
        <f t="shared" si="49"/>
        <v/>
      </c>
      <c r="FJ5" s="48" t="str">
        <f t="shared" si="50"/>
        <v/>
      </c>
      <c r="FK5" s="48" t="str">
        <f t="shared" si="51"/>
        <v/>
      </c>
      <c r="FL5" s="48" t="str">
        <f t="shared" si="52"/>
        <v/>
      </c>
      <c r="FM5" s="48" t="str">
        <f t="shared" si="53"/>
        <v/>
      </c>
      <c r="FN5" s="48" t="str">
        <f t="shared" si="54"/>
        <v/>
      </c>
      <c r="FO5" s="48" t="str">
        <f t="shared" si="55"/>
        <v>"BLRENO",</v>
      </c>
      <c r="FP5" s="48" t="str">
        <f t="shared" si="56"/>
        <v/>
      </c>
      <c r="FQ5" s="48" t="str">
        <f t="shared" si="57"/>
        <v/>
      </c>
      <c r="FR5" s="48" t="str">
        <f t="shared" si="58"/>
        <v/>
      </c>
      <c r="FS5" s="48" t="str">
        <f t="shared" si="59"/>
        <v/>
      </c>
      <c r="FT5" s="48" t="str">
        <f t="shared" si="60"/>
        <v>"myrGRE",</v>
      </c>
      <c r="FU5" s="48" t="str">
        <f t="shared" si="61"/>
        <v/>
      </c>
      <c r="FV5" s="48" t="str">
        <f t="shared" si="62"/>
        <v/>
      </c>
      <c r="FW5" s="48" t="str">
        <f t="shared" si="63"/>
        <v/>
      </c>
      <c r="FX5" s="48" t="str">
        <f t="shared" si="64"/>
        <v/>
      </c>
      <c r="FY5" s="48" t="str">
        <f t="shared" si="65"/>
        <v/>
      </c>
      <c r="FZ5" s="48" t="str">
        <f t="shared" si="66"/>
        <v/>
      </c>
      <c r="GA5" s="48" t="str">
        <f t="shared" si="67"/>
        <v/>
      </c>
      <c r="GB5" s="48" t="str">
        <f t="shared" si="68"/>
        <v/>
      </c>
      <c r="GC5" s="48" t="str">
        <f t="shared" si="69"/>
        <v/>
      </c>
      <c r="GD5" s="48" t="str">
        <f t="shared" si="70"/>
        <v/>
      </c>
      <c r="GE5" s="48" t="str">
        <f t="shared" si="71"/>
        <v/>
      </c>
      <c r="GF5" s="48" t="str">
        <f t="shared" si="103"/>
        <v/>
      </c>
      <c r="GG5" s="48" t="str">
        <f t="shared" si="72"/>
        <v/>
      </c>
      <c r="GH5" s="48" t="str">
        <f t="shared" si="73"/>
        <v/>
      </c>
      <c r="GI5" s="48" t="str">
        <f t="shared" si="74"/>
        <v/>
      </c>
      <c r="GJ5" s="48" t="str">
        <f t="shared" si="75"/>
        <v>"NoStar",</v>
      </c>
      <c r="GK5" s="48" t="str">
        <f t="shared" si="76"/>
        <v/>
      </c>
      <c r="GL5" s="48" t="str">
        <f t="shared" si="77"/>
        <v/>
      </c>
      <c r="GM5" s="48" t="str">
        <f t="shared" si="77"/>
        <v/>
      </c>
      <c r="GN5" s="48" t="str">
        <f t="shared" si="77"/>
        <v/>
      </c>
      <c r="GP5" s="48" t="str">
        <f t="shared" si="78"/>
        <v>"Archipelago"</v>
      </c>
      <c r="GS5" s="48" t="str">
        <f t="shared" si="79"/>
        <v>["5+Colo","words2","exact2","lets14","startL","with_w","with_y","allhor","4+Band","Horizo","OnlyBa","Rotate","NO_BLU","NO_RED","BLRENO","myrGRE","NoStar"]</v>
      </c>
      <c r="GT5" s="48" t="str">
        <f t="shared" si="80"/>
        <v>"cl_GRE",</v>
      </c>
      <c r="GU5" s="48" t="str">
        <f t="shared" si="80"/>
        <v>"cl_YEL",</v>
      </c>
      <c r="GV5" s="48" t="str">
        <f t="shared" si="80"/>
        <v>"cl_WHI",</v>
      </c>
      <c r="GW5" s="48" t="str">
        <f t="shared" si="80"/>
        <v>"cl_BRO",</v>
      </c>
      <c r="GX5" s="48" t="str">
        <f t="shared" si="80"/>
        <v>"cl_BLA",</v>
      </c>
      <c r="GY5" s="48" t="str">
        <f t="shared" si="80"/>
        <v/>
      </c>
      <c r="GZ5" s="48" t="str">
        <f t="shared" si="80"/>
        <v/>
      </c>
      <c r="HA5" s="48" t="str">
        <f t="shared" si="80"/>
        <v/>
      </c>
      <c r="HB5" s="48" t="str">
        <f t="shared" si="80"/>
        <v/>
      </c>
      <c r="HC5" s="48" t="str">
        <f t="shared" si="81"/>
        <v>["cl_GRE","cl_YEL","cl_WHI","cl_BRO","cl_BLA"]</v>
      </c>
      <c r="HE5" s="71"/>
      <c r="HF5" s="72" t="str">
        <f t="shared" si="82"/>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links: "https://www.fotw.info/flags/pf-li.html"},</v>
      </c>
      <c r="HG5" s="73" t="str">
        <f t="shared" si="83"/>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links: "https://www.fotw.info/flags/pf-li.html"},</v>
      </c>
      <c r="HH5" s="48" t="str">
        <f t="shared" si="84"/>
        <v>"\nNot available"</v>
      </c>
      <c r="HI5" s="48" t="str">
        <f t="shared" si="85"/>
        <v>"\nNot available"</v>
      </c>
      <c r="HJ5" s="48" t="str">
        <f t="shared" si="86"/>
        <v>"???"</v>
      </c>
      <c r="HL5" s="48" t="str">
        <f t="shared" si="87"/>
        <v>"https://www.fotw.info/flags/pf-li.html"</v>
      </c>
      <c r="HM5" s="72" t="str">
        <f t="shared" si="88"/>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 "links": "https://www.fotw.info/flags/pf-li.html"},</v>
      </c>
      <c r="HN5" s="74" t="str">
        <f t="shared" si="89"/>
        <v>{"couname":"[PLY] Leeward Islands","year":"???","region":"rgn_Oceania","Colors":["cl_GRE","cl_YEL","cl_WHI","cl_BRO","cl_BLA"],"Items":["5+Colo","words2","exact2","lets14","startL","with_w","with_y","allhor","4+Band","Horizo","OnlyBa","Rotate","NO_BLU","NO_RED","BLRENO","myrGRE","NoStar"],"Flag":"https://upload.wikimedia.org/wikipedia/commons/thumb/e/e0/Flag_of_the_Leeward_Islands.svg/1024px-Flag_of_the_Leeward_Islands.svg.png","HDFlag":"https://upload.wikimedia.org/wikipedia/commons/thumb/e/e0/Flag_of_the_Leeward_Islands.svg/2560px-Flag_of_the_Leeward_Islands.svg.png","type":"Archipelago", "describe": "\nNot available", "isnew": ".", "links": "https://www.fotw.info/flags/pf-li.html"},</v>
      </c>
      <c r="HO5" s="75"/>
      <c r="HP5" s="48" t="str" cm="1">
        <f t="array" ref="HP5">IF(_xlfn.TEXTJOIN(", ", TRUE, IF(ISNUMBER(SEARCH("BLA", BL5:BT5)), COLUMN(BL5:BT5) - COLUMN(BL5) + 1, ""))&lt;&gt;"","BLA","")</f>
        <v>BLA</v>
      </c>
      <c r="HQ5" s="48" t="str" cm="1">
        <f t="array" ref="HQ5">IF(_xlfn.TEXTJOIN(", ", TRUE, IF(ISNUMBER(SEARCH("BLU", BL5:BT5)), COLUMN(BL5:BT5) - COLUMN(BL5) + 1, ""))&lt;&gt;"","BLU","")</f>
        <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 t="shared" si="90"/>
        <v>0</v>
      </c>
      <c r="IM5" s="45">
        <f t="shared" si="91"/>
        <v>-5</v>
      </c>
      <c r="IN5" s="78" t="str">
        <f t="shared" si="92"/>
        <v>http://mkweb.bcgsc.ca/color-summarizer/?url=https://upload.wikimedia.org/wikipedia/commons/thumb/e/e0/Flag_of_the_Leeward_Islands.svg/1024px-Flag_of_the_Leeward_Islands.svg.png&amp;precision=low&amp;num_clusters=5&amp;text=1</v>
      </c>
      <c r="IO5" s="48" t="str">
        <f t="shared" si="93"/>
        <v>"black"</v>
      </c>
      <c r="IP5" s="48" t="str">
        <f t="shared" si="94"/>
        <v/>
      </c>
      <c r="IQ5" s="48" t="str">
        <f t="shared" si="95"/>
        <v>"green"</v>
      </c>
      <c r="IR5" s="48" t="str">
        <f t="shared" si="96"/>
        <v/>
      </c>
      <c r="IS5" s="48" t="str">
        <f t="shared" si="97"/>
        <v>"yellow"</v>
      </c>
      <c r="IT5" s="48" t="str">
        <f t="shared" si="98"/>
        <v/>
      </c>
      <c r="IU5" s="48" t="str">
        <f t="shared" si="99"/>
        <v>"brown"</v>
      </c>
      <c r="IV5" s="48" t="str">
        <f t="shared" si="100"/>
        <v/>
      </c>
      <c r="IW5" s="48" t="str">
        <f t="shared" si="101"/>
        <v>"white"</v>
      </c>
      <c r="IX5" s="48" t="str">
        <f t="shared" si="102"/>
        <v>{"url":"http://mkweb.bcgsc.ca/color-summarizer/?url=https://upload.wikimedia.org/wikipedia/commons/thumb/e/e0/Flag_of_the_Leeward_Islands.svg/1024px-Flag_of_the_Leeward_Islands.svg.png&amp;precision=low&amp;num_clusters=5&amp;text=1","name":"[PLY] Leeward Islands"},</v>
      </c>
      <c r="IY5" s="48">
        <v>332</v>
      </c>
    </row>
    <row r="6" spans="1:259" s="48" customFormat="1" ht="38.4" customHeight="1" thickBot="1" x14ac:dyDescent="0.35">
      <c r="A6" s="79" t="s">
        <v>570</v>
      </c>
      <c r="B6" s="40" t="e" vm="41">
        <v>#VALUE!</v>
      </c>
      <c r="C6" s="41">
        <v>2</v>
      </c>
      <c r="D6" s="42" t="s">
        <v>571</v>
      </c>
      <c r="E6" s="43" t="s">
        <v>572</v>
      </c>
      <c r="F6" s="44" t="s">
        <v>166</v>
      </c>
      <c r="G6" s="45">
        <f>COUNTIF($A$1:$A$8344,A6)</f>
        <v>1</v>
      </c>
      <c r="H6" s="46"/>
      <c r="I6" s="47" t="s">
        <v>573</v>
      </c>
      <c r="J6" s="48" t="str">
        <f>""</f>
        <v/>
      </c>
      <c r="K6" s="49"/>
      <c r="L6" s="50"/>
      <c r="M6" s="50"/>
      <c r="N6" s="51" t="s">
        <v>169</v>
      </c>
      <c r="O6" s="52" t="s">
        <v>574</v>
      </c>
      <c r="P6" s="53" t="s">
        <v>575</v>
      </c>
      <c r="Q6" s="54">
        <v>2</v>
      </c>
      <c r="R6" s="55" t="s">
        <v>169</v>
      </c>
      <c r="S6" s="56">
        <v>2</v>
      </c>
      <c r="T6" s="57" t="s">
        <v>173</v>
      </c>
      <c r="U6" s="58" t="s">
        <v>173</v>
      </c>
      <c r="V6" s="58" t="s">
        <v>172</v>
      </c>
      <c r="W6" s="58" t="s">
        <v>173</v>
      </c>
      <c r="X6" s="58" t="s">
        <v>173</v>
      </c>
      <c r="Y6" s="58" t="s">
        <v>173</v>
      </c>
      <c r="Z6" s="58" t="s">
        <v>173</v>
      </c>
      <c r="AA6" s="58" t="s">
        <v>173</v>
      </c>
      <c r="AB6" s="58" t="s">
        <v>173</v>
      </c>
      <c r="AC6" s="58" t="s">
        <v>173</v>
      </c>
      <c r="AD6" s="58" t="s">
        <v>173</v>
      </c>
      <c r="AE6" s="58" t="s">
        <v>173</v>
      </c>
      <c r="AF6" s="59" t="s">
        <v>172</v>
      </c>
      <c r="AG6" s="59" t="s">
        <v>173</v>
      </c>
      <c r="AH6" s="59" t="s">
        <v>173</v>
      </c>
      <c r="AI6" s="59" t="s">
        <v>173</v>
      </c>
      <c r="AJ6" s="59" t="s">
        <v>173</v>
      </c>
      <c r="AK6" s="59" t="s">
        <v>173</v>
      </c>
      <c r="AL6" s="59" t="s">
        <v>173</v>
      </c>
      <c r="AM6" s="59" t="s">
        <v>173</v>
      </c>
      <c r="AN6" s="59" t="s">
        <v>172</v>
      </c>
      <c r="AO6" s="59" t="s">
        <v>173</v>
      </c>
      <c r="AP6" s="59" t="s">
        <v>173</v>
      </c>
      <c r="AQ6" s="59" t="s">
        <v>173</v>
      </c>
      <c r="AR6" s="59" t="s">
        <v>173</v>
      </c>
      <c r="AS6" s="59" t="s">
        <v>173</v>
      </c>
      <c r="AT6" s="60"/>
      <c r="AU6" s="59" t="s">
        <v>558</v>
      </c>
      <c r="AV6" s="59" t="str">
        <f>IF(LEFT(A6,1)="[",LEFT(A6,5)&amp;AU6&amp;A6,"")</f>
        <v>[PLY]Archipelago[PLY] Marquesas Islands</v>
      </c>
      <c r="AW6" s="59" t="str">
        <f>C6&amp;H6&amp;A6</f>
        <v>2[PLY] Marquesas Islands</v>
      </c>
      <c r="AX6" s="61"/>
      <c r="AY6" s="61"/>
      <c r="AZ6" s="62"/>
      <c r="BA6" s="62"/>
      <c r="BB6" s="62"/>
      <c r="BC6" s="63"/>
      <c r="BD6" s="64" t="s">
        <v>152</v>
      </c>
      <c r="BE6" s="47"/>
      <c r="BF6" s="64" t="s">
        <v>152</v>
      </c>
      <c r="BG6" s="64" t="s">
        <v>159</v>
      </c>
      <c r="BH6" s="64" t="s">
        <v>158</v>
      </c>
      <c r="BI6" s="64"/>
      <c r="BJ6" s="64"/>
      <c r="BK6" s="47"/>
      <c r="BL6" s="64" t="s">
        <v>152</v>
      </c>
      <c r="BM6" s="64" t="s">
        <v>159</v>
      </c>
      <c r="BN6" s="64" t="s">
        <v>158</v>
      </c>
      <c r="BO6" s="64"/>
      <c r="BP6" s="64"/>
      <c r="BQ6" s="64"/>
      <c r="BR6" s="64"/>
      <c r="BS6" s="64"/>
      <c r="BT6" s="64"/>
      <c r="BU6" s="65"/>
      <c r="BV6" s="66"/>
      <c r="BW6" s="66">
        <v>0</v>
      </c>
      <c r="BX6" s="47"/>
      <c r="CB6" s="6"/>
      <c r="CC6" s="6"/>
      <c r="CD6" s="67">
        <v>0</v>
      </c>
      <c r="CE6" s="67">
        <v>0</v>
      </c>
      <c r="CF6" s="67" t="e">
        <v>#REF!</v>
      </c>
      <c r="CG6" s="68" cm="1">
        <f t="array" ref="CG6">SUMPRODUCT(--(LEN(TRIM(BL6:BT6))&gt;0))</f>
        <v>3</v>
      </c>
      <c r="CH6" s="59" t="str">
        <f t="shared" si="0"/>
        <v>n</v>
      </c>
      <c r="CI6" s="59" t="str">
        <f t="shared" si="1"/>
        <v>y</v>
      </c>
      <c r="CJ6" s="59" t="str">
        <f t="shared" si="2"/>
        <v>n</v>
      </c>
      <c r="CK6" s="59" t="str">
        <f t="shared" si="3"/>
        <v>n</v>
      </c>
      <c r="CL6" s="59" t="str">
        <f t="shared" si="4"/>
        <v>n</v>
      </c>
      <c r="CM6" s="59" t="str">
        <f t="shared" si="5"/>
        <v>y</v>
      </c>
      <c r="CN6" s="59" t="str">
        <f t="shared" si="6"/>
        <v>n</v>
      </c>
      <c r="CO6" s="59" t="str">
        <f t="shared" si="7"/>
        <v>n</v>
      </c>
      <c r="CP6" s="59" t="str">
        <f t="shared" si="8"/>
        <v>y</v>
      </c>
      <c r="CQ6" s="59" t="str">
        <f t="shared" si="9"/>
        <v>n</v>
      </c>
      <c r="CR6" s="59" t="str">
        <f t="shared" si="10"/>
        <v>n</v>
      </c>
      <c r="CS6" s="59" t="str">
        <f t="shared" si="11"/>
        <v>n</v>
      </c>
      <c r="CT6" s="69" t="str">
        <f t="shared" si="12"/>
        <v>"[PLY] Marquesas Islands"</v>
      </c>
      <c r="CU6" s="70" t="str">
        <f t="shared" si="13"/>
        <v>"rgn_Oceania"</v>
      </c>
      <c r="CV6" s="48" t="str">
        <f t="shared" si="14"/>
        <v>"https://upload.wikimedia.org/wikipedia/commons/thumb/3/3f/Flag_of_Marquesas_Islands.svg/1024px-Flag_of_Marquesas_Islands.svg.png"</v>
      </c>
      <c r="CW6" s="48" t="str">
        <f t="shared" si="15"/>
        <v/>
      </c>
      <c r="CX6" s="48" t="str">
        <f t="shared" si="15"/>
        <v>"3Color",</v>
      </c>
      <c r="CY6" s="48" t="str">
        <f t="shared" si="15"/>
        <v/>
      </c>
      <c r="CZ6" s="48" t="str">
        <f t="shared" si="15"/>
        <v/>
      </c>
      <c r="DA6" s="48" t="str">
        <f t="shared" si="16"/>
        <v>"words2",</v>
      </c>
      <c r="DB6" s="48" t="str">
        <f t="shared" si="17"/>
        <v/>
      </c>
      <c r="DC6" s="48" t="str">
        <f t="shared" si="18"/>
        <v>"exact2",</v>
      </c>
      <c r="DD6" s="48" t="str">
        <f t="shared" si="19"/>
        <v>"lets16",</v>
      </c>
      <c r="DE6" s="48" t="str">
        <f t="shared" si="20"/>
        <v>"startM",</v>
      </c>
      <c r="DF6" s="48" t="str">
        <f t="shared" si="21"/>
        <v/>
      </c>
      <c r="DG6" s="48" t="str">
        <f t="shared" si="22"/>
        <v>"with_q",</v>
      </c>
      <c r="DH6" s="48" t="str">
        <f t="shared" si="23"/>
        <v/>
      </c>
      <c r="DI6" s="48" t="str">
        <f t="shared" si="24"/>
        <v/>
      </c>
      <c r="DJ6" s="48" t="str">
        <f t="shared" si="25"/>
        <v>"with_y",</v>
      </c>
      <c r="DK6" s="48" t="str">
        <f t="shared" si="26"/>
        <v/>
      </c>
      <c r="DL6" s="48" t="str">
        <f t="shared" si="27"/>
        <v/>
      </c>
      <c r="DM6" s="48" t="str" cm="1">
        <f t="array" ref="DM6">IF(CG6=3,CHAR(34) &amp; _xlfn.TEXTJOIN("", TRUE, RIGHT(HP6:HX6, 2)) &amp; CHAR(34) &amp; ",", "")</f>
        <v>"LUURHI",</v>
      </c>
      <c r="DN6" s="48" t="str">
        <f t="shared" si="28"/>
        <v/>
      </c>
      <c r="DO6" s="48" t="str">
        <f t="shared" si="29"/>
        <v>"year19",</v>
      </c>
      <c r="DP6" s="6" t="str">
        <f t="shared" si="30"/>
        <v>"year00",</v>
      </c>
      <c r="DQ6" s="6" t="str">
        <f t="shared" si="31"/>
        <v/>
      </c>
      <c r="DR6" s="6" t="str">
        <f t="shared" si="32"/>
        <v/>
      </c>
      <c r="DS6" s="6" t="str">
        <f t="shared" si="33"/>
        <v/>
      </c>
      <c r="DT6" s="6" t="str">
        <f t="shared" si="34"/>
        <v>"allhor",</v>
      </c>
      <c r="DU6" s="6" t="str">
        <f t="shared" si="35"/>
        <v/>
      </c>
      <c r="DV6" s="48" t="str">
        <f t="shared" si="36"/>
        <v/>
      </c>
      <c r="DW6" s="48" t="str">
        <f t="shared" si="37"/>
        <v/>
      </c>
      <c r="DX6" s="48" t="str">
        <f t="shared" si="37"/>
        <v>"2Bands",</v>
      </c>
      <c r="DY6" s="48" t="str">
        <f t="shared" si="37"/>
        <v/>
      </c>
      <c r="DZ6" s="48" t="str">
        <f t="shared" si="37"/>
        <v/>
      </c>
      <c r="EA6" s="48" t="str">
        <f t="shared" si="38"/>
        <v/>
      </c>
      <c r="EB6" s="48" t="str">
        <f t="shared" si="38"/>
        <v/>
      </c>
      <c r="EC6" s="48" t="str">
        <f t="shared" si="38"/>
        <v>"Horizo",</v>
      </c>
      <c r="ED6" s="48" t="str">
        <f t="shared" si="38"/>
        <v/>
      </c>
      <c r="EE6" s="48" t="str">
        <f t="shared" si="38"/>
        <v/>
      </c>
      <c r="EF6" s="48" t="str">
        <f t="shared" si="39"/>
        <v/>
      </c>
      <c r="EG6" s="48" t="str">
        <f t="shared" si="40"/>
        <v/>
      </c>
      <c r="EH6" s="48" t="str">
        <f t="shared" si="40"/>
        <v/>
      </c>
      <c r="EI6" s="48" t="str">
        <f t="shared" si="40"/>
        <v/>
      </c>
      <c r="EJ6" s="48" t="str">
        <f t="shared" si="40"/>
        <v/>
      </c>
      <c r="EK6" s="48" t="str">
        <f t="shared" si="40"/>
        <v/>
      </c>
      <c r="EL6" s="48" t="str">
        <f t="shared" si="40"/>
        <v/>
      </c>
      <c r="EM6" s="48" t="str">
        <f t="shared" si="40"/>
        <v>"Trside",</v>
      </c>
      <c r="EN6" s="48" t="str">
        <f t="shared" si="40"/>
        <v/>
      </c>
      <c r="EO6" s="48" t="str">
        <f t="shared" si="40"/>
        <v/>
      </c>
      <c r="EP6" s="48" t="str">
        <f t="shared" si="40"/>
        <v/>
      </c>
      <c r="EQ6" s="48" t="str">
        <f t="shared" si="40"/>
        <v/>
      </c>
      <c r="ER6" s="48" t="str">
        <f t="shared" si="40"/>
        <v/>
      </c>
      <c r="ES6" s="48" t="str">
        <f t="shared" si="40"/>
        <v/>
      </c>
      <c r="ET6" s="48" t="str">
        <f t="shared" si="40"/>
        <v/>
      </c>
      <c r="EU6" s="48" t="str">
        <f t="shared" si="40"/>
        <v>"Humans",</v>
      </c>
      <c r="EV6" s="48" t="str">
        <f t="shared" si="40"/>
        <v/>
      </c>
      <c r="EW6" s="48" t="str">
        <f t="shared" si="40"/>
        <v/>
      </c>
      <c r="EX6" s="48" t="str">
        <f t="shared" si="40"/>
        <v/>
      </c>
      <c r="EY6" s="48" t="str">
        <f t="shared" si="40"/>
        <v/>
      </c>
      <c r="EZ6" s="48" t="str">
        <f t="shared" si="40"/>
        <v/>
      </c>
      <c r="FA6" s="48" t="str">
        <f t="shared" si="41"/>
        <v/>
      </c>
      <c r="FB6" s="48" t="str">
        <f t="shared" si="42"/>
        <v/>
      </c>
      <c r="FC6" s="48" t="str">
        <f t="shared" si="43"/>
        <v/>
      </c>
      <c r="FD6" s="48" t="str">
        <f t="shared" si="44"/>
        <v/>
      </c>
      <c r="FE6" s="48" t="str">
        <f t="shared" si="45"/>
        <v/>
      </c>
      <c r="FF6" s="48" t="str">
        <f t="shared" si="46"/>
        <v/>
      </c>
      <c r="FG6" s="48" t="str">
        <f t="shared" si="47"/>
        <v>"NO_RED",</v>
      </c>
      <c r="FH6" s="48" t="str">
        <f t="shared" si="48"/>
        <v>"NO_GRE",</v>
      </c>
      <c r="FI6" s="48" t="str">
        <f t="shared" si="49"/>
        <v>"NO_YEL",</v>
      </c>
      <c r="FJ6" s="48" t="str">
        <f t="shared" si="50"/>
        <v>"NO_BLA",</v>
      </c>
      <c r="FK6" s="48" t="str">
        <f t="shared" si="51"/>
        <v/>
      </c>
      <c r="FL6" s="48" t="str">
        <f t="shared" si="52"/>
        <v/>
      </c>
      <c r="FM6" s="48" t="str">
        <f t="shared" si="53"/>
        <v/>
      </c>
      <c r="FN6" s="48" t="str">
        <f t="shared" si="54"/>
        <v/>
      </c>
      <c r="FO6" s="48" t="str">
        <f t="shared" si="55"/>
        <v/>
      </c>
      <c r="FP6" s="48" t="str">
        <f t="shared" si="56"/>
        <v/>
      </c>
      <c r="FQ6" s="48" t="str">
        <f t="shared" si="57"/>
        <v>"001BLU",</v>
      </c>
      <c r="FR6" s="48" t="str">
        <f t="shared" si="58"/>
        <v>"002WHI",</v>
      </c>
      <c r="FS6" s="48" t="str">
        <f t="shared" si="59"/>
        <v>"003PUR",</v>
      </c>
      <c r="FT6" s="48" t="str">
        <f t="shared" si="60"/>
        <v>"myrBLU",</v>
      </c>
      <c r="FU6" s="48" t="str">
        <f t="shared" si="61"/>
        <v/>
      </c>
      <c r="FV6" s="48" t="str">
        <f t="shared" si="62"/>
        <v/>
      </c>
      <c r="FW6" s="48" t="str">
        <f t="shared" si="63"/>
        <v/>
      </c>
      <c r="FX6" s="48" t="str">
        <f t="shared" si="64"/>
        <v/>
      </c>
      <c r="FY6" s="48" t="str">
        <f t="shared" si="65"/>
        <v/>
      </c>
      <c r="FZ6" s="48" t="str">
        <f t="shared" si="66"/>
        <v/>
      </c>
      <c r="GA6" s="48" t="str">
        <f t="shared" si="67"/>
        <v/>
      </c>
      <c r="GB6" s="48" t="str">
        <f t="shared" si="68"/>
        <v/>
      </c>
      <c r="GC6" s="48" t="str">
        <f t="shared" si="69"/>
        <v/>
      </c>
      <c r="GD6" s="48" t="str">
        <f t="shared" si="70"/>
        <v/>
      </c>
      <c r="GE6" s="48" t="str">
        <f t="shared" si="71"/>
        <v/>
      </c>
      <c r="GF6" s="48" t="str">
        <f t="shared" si="103"/>
        <v/>
      </c>
      <c r="GG6" s="48" t="str">
        <f t="shared" si="72"/>
        <v/>
      </c>
      <c r="GH6" s="48" t="str">
        <f t="shared" si="73"/>
        <v/>
      </c>
      <c r="GI6" s="48" t="str">
        <f t="shared" si="74"/>
        <v/>
      </c>
      <c r="GJ6" s="48" t="str">
        <f t="shared" si="75"/>
        <v>"NoStar",</v>
      </c>
      <c r="GK6" s="48" t="str">
        <f t="shared" si="76"/>
        <v/>
      </c>
      <c r="GL6" s="48" t="str">
        <f t="shared" si="77"/>
        <v/>
      </c>
      <c r="GM6" s="48" t="str">
        <f t="shared" si="77"/>
        <v/>
      </c>
      <c r="GN6" s="48" t="str">
        <f t="shared" si="77"/>
        <v/>
      </c>
      <c r="GP6" s="48" t="str">
        <f t="shared" si="78"/>
        <v>"Archipelago"</v>
      </c>
      <c r="GS6" s="48" t="str">
        <f t="shared" si="79"/>
        <v>["3Color","words2","exact2","lets16","startM","with_q","with_y","LUURHI","year19","year00","allhor","2Bands","Horizo","Trside","Humans","NO_RED","NO_GRE","NO_YEL","NO_BLA","001BLU","002WHI","003PUR","myrBLU","NoStar"]</v>
      </c>
      <c r="GT6" s="48" t="str">
        <f t="shared" si="80"/>
        <v>"cl_BLU",</v>
      </c>
      <c r="GU6" s="48" t="str">
        <f t="shared" si="80"/>
        <v>"cl_WHI",</v>
      </c>
      <c r="GV6" s="48" t="str">
        <f t="shared" si="80"/>
        <v>"cl_PUR",</v>
      </c>
      <c r="GW6" s="48" t="str">
        <f t="shared" si="80"/>
        <v/>
      </c>
      <c r="GX6" s="48" t="str">
        <f t="shared" si="80"/>
        <v/>
      </c>
      <c r="GY6" s="48" t="str">
        <f t="shared" si="80"/>
        <v/>
      </c>
      <c r="GZ6" s="48" t="str">
        <f t="shared" si="80"/>
        <v/>
      </c>
      <c r="HA6" s="48" t="str">
        <f t="shared" si="80"/>
        <v/>
      </c>
      <c r="HB6" s="48" t="str">
        <f t="shared" si="80"/>
        <v/>
      </c>
      <c r="HC6" s="48" t="str">
        <f t="shared" si="81"/>
        <v>["cl_BLU","cl_WHI","cl_PUR"]</v>
      </c>
      <c r="HE6" s="71"/>
      <c r="HF6" s="72" t="str">
        <f t="shared" si="82"/>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links: "https://en.wikipedia.org/wiki/Flag_of_the_Marquesas_Islands"},</v>
      </c>
      <c r="HG6" s="73" t="str">
        <f t="shared" si="83"/>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links: "https://en.wikipedia.org/wiki/Flag_of_the_Marquesas_Islands"},</v>
      </c>
      <c r="HH6" s="48" t="str">
        <f t="shared" si="84"/>
        <v>"\nThe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v>
      </c>
      <c r="HI6" s="48" t="str">
        <f t="shared" si="85"/>
        <v>"\nThe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v>
      </c>
      <c r="HJ6" s="48" t="str">
        <f t="shared" si="86"/>
        <v>"1998, 2017"</v>
      </c>
      <c r="HL6" s="48" t="str">
        <f t="shared" si="87"/>
        <v>"https://en.wikipedia.org/wiki/Flag_of_the_Marquesas_Islands"</v>
      </c>
      <c r="HM6" s="72" t="str">
        <f t="shared" si="88"/>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 "links": "https://en.wikipedia.org/wiki/Flag_of_the_Marquesas_Islands"},</v>
      </c>
      <c r="HN6" s="74" t="str">
        <f t="shared" si="89"/>
        <v>{"couname":"[PLY] Marquesas Islands","year":"1998, 2017","region":"rgn_Oceania","Colors":["cl_BLU","cl_WHI","cl_PUR"],"Items":["3Color","words2","exact2","lets16","startM","with_q","with_y","LUURHI","year19","year00","allhor","2Bands","Horizo","Trside","Humans","NO_RED","NO_GRE","NO_YEL","NO_BLA","001BLU","002WHI","003PUR","myrBLU","NoStar"],"Flag":"https://upload.wikimedia.org/wikipedia/commons/thumb/3/3f/Flag_of_Marquesas_Islands.svg/1024px-Flag_of_Marquesas_Islands.svg.png","HDFlag":"https://upload.wikimedia.org/wikipedia/commons/thumb/3/3f/Flag_of_Marquesas_Islands.svg/2560px-Flag_of_Marquesas_Islands.svg.png","type":"Archipelago", "describe": "\nThe flag is divided into two horizontal stripes with yellow on top and red on the bottom, with a white equilateral triangle emerging from the hoist. The yellow represents youth and joy, while the red and white are tapu, or sacred, to the chiefs and priests respectively.\n\nIn the white triangle, a black design of Matatiki (the gaze of Tiki) represents the first man in Polynesian mythology, and the inventor of sculpture and tattooing. The tattoo design on Tiki's cheeks are tapu symbols.", "isnew": ".", "links": "https://en.wikipedia.org/wiki/Flag_of_the_Marquesas_Islands"},</v>
      </c>
      <c r="HO6" s="75"/>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PUR</v>
      </c>
      <c r="HX6" s="48" t="str" cm="1">
        <f t="array" ref="HX6">IF(_xlfn.TEXTJOIN(", ", TRUE, IF(ISNUMBER(SEARCH("WHI", BL6:BT6)), COLUMN(BL6:BT6) - COLUMN(BL6) + 1, ""))&lt;&gt;"","WHI","")</f>
        <v>WHI</v>
      </c>
      <c r="HY6" s="76"/>
      <c r="HZ6" s="76"/>
      <c r="IA6" s="6"/>
      <c r="IB6" s="6"/>
      <c r="IC6" s="77"/>
      <c r="ID6" s="77"/>
      <c r="IE6" s="77"/>
      <c r="IF6" s="77"/>
      <c r="IG6" s="77"/>
      <c r="IH6" s="77"/>
      <c r="II6" s="77"/>
      <c r="IJ6" s="77"/>
      <c r="IK6" s="77"/>
      <c r="IL6" s="48">
        <f t="shared" si="90"/>
        <v>0</v>
      </c>
      <c r="IM6" s="45">
        <f t="shared" si="91"/>
        <v>-3</v>
      </c>
      <c r="IN6" s="78" t="str">
        <f t="shared" si="92"/>
        <v>http://mkweb.bcgsc.ca/color-summarizer/?url=https://upload.wikimedia.org/wikipedia/commons/thumb/3/3f/Flag_of_Marquesas_Islands.svg/1024px-Flag_of_Marquesas_Islands.svg.png&amp;precision=low&amp;num_clusters=3&amp;text=1</v>
      </c>
      <c r="IO6" s="48" t="str">
        <f t="shared" si="93"/>
        <v/>
      </c>
      <c r="IP6" s="48" t="str">
        <f t="shared" si="94"/>
        <v>"blue"</v>
      </c>
      <c r="IQ6" s="48" t="str">
        <f t="shared" si="95"/>
        <v/>
      </c>
      <c r="IR6" s="48" t="str">
        <f t="shared" si="96"/>
        <v/>
      </c>
      <c r="IS6" s="48" t="str">
        <f t="shared" si="97"/>
        <v/>
      </c>
      <c r="IT6" s="48" t="str">
        <f t="shared" si="98"/>
        <v/>
      </c>
      <c r="IU6" s="48" t="str">
        <f t="shared" si="99"/>
        <v/>
      </c>
      <c r="IV6" s="48" t="str">
        <f t="shared" si="100"/>
        <v>"purple"</v>
      </c>
      <c r="IW6" s="48" t="str">
        <f t="shared" si="101"/>
        <v>"white"</v>
      </c>
      <c r="IX6" s="48" t="str">
        <f t="shared" si="102"/>
        <v>{"url":"http://mkweb.bcgsc.ca/color-summarizer/?url=https://upload.wikimedia.org/wikipedia/commons/thumb/3/3f/Flag_of_Marquesas_Islands.svg/1024px-Flag_of_Marquesas_Islands.svg.png&amp;precision=low&amp;num_clusters=3&amp;text=1","name":"[PLY] Marquesas Islands"},</v>
      </c>
      <c r="IY6" s="48">
        <v>333</v>
      </c>
    </row>
    <row r="7" spans="1:259" s="48" customFormat="1" ht="38.4" customHeight="1" thickBot="1" x14ac:dyDescent="0.35">
      <c r="A7" s="79" t="s">
        <v>576</v>
      </c>
      <c r="B7" s="40" t="e" vm="42">
        <v>#VALUE!</v>
      </c>
      <c r="C7" s="41">
        <v>2</v>
      </c>
      <c r="D7" s="42" t="s">
        <v>577</v>
      </c>
      <c r="E7" s="43" t="s">
        <v>578</v>
      </c>
      <c r="F7" s="44" t="s">
        <v>166</v>
      </c>
      <c r="G7" s="45">
        <f>COUNTIF($A$1:$A$8344,A7)</f>
        <v>1</v>
      </c>
      <c r="H7" s="46"/>
      <c r="I7" s="47" t="s">
        <v>579</v>
      </c>
      <c r="J7" s="48" t="str">
        <f>""</f>
        <v/>
      </c>
      <c r="K7" s="49"/>
      <c r="L7" s="50"/>
      <c r="M7" s="50"/>
      <c r="N7" s="51" t="s">
        <v>169</v>
      </c>
      <c r="O7" s="52" t="s">
        <v>556</v>
      </c>
      <c r="P7" s="53" t="s">
        <v>580</v>
      </c>
      <c r="Q7" s="54">
        <v>2</v>
      </c>
      <c r="R7" s="55" t="s">
        <v>169</v>
      </c>
      <c r="S7" s="56">
        <v>4</v>
      </c>
      <c r="T7" s="57" t="s">
        <v>173</v>
      </c>
      <c r="U7" s="58" t="s">
        <v>173</v>
      </c>
      <c r="V7" s="58" t="s">
        <v>172</v>
      </c>
      <c r="W7" s="58" t="s">
        <v>172</v>
      </c>
      <c r="X7" s="58" t="s">
        <v>173</v>
      </c>
      <c r="Y7" s="58" t="s">
        <v>173</v>
      </c>
      <c r="Z7" s="58" t="s">
        <v>173</v>
      </c>
      <c r="AA7" s="58" t="s">
        <v>173</v>
      </c>
      <c r="AB7" s="58" t="s">
        <v>173</v>
      </c>
      <c r="AC7" s="58" t="s">
        <v>173</v>
      </c>
      <c r="AD7" s="58" t="s">
        <v>173</v>
      </c>
      <c r="AE7" s="58" t="s">
        <v>173</v>
      </c>
      <c r="AF7" s="59" t="s">
        <v>173</v>
      </c>
      <c r="AG7" s="59" t="s">
        <v>172</v>
      </c>
      <c r="AH7" s="59" t="s">
        <v>173</v>
      </c>
      <c r="AI7" s="59" t="s">
        <v>173</v>
      </c>
      <c r="AJ7" s="59" t="s">
        <v>173</v>
      </c>
      <c r="AK7" s="59" t="s">
        <v>173</v>
      </c>
      <c r="AL7" s="59" t="s">
        <v>173</v>
      </c>
      <c r="AM7" s="59" t="s">
        <v>173</v>
      </c>
      <c r="AN7" s="59" t="s">
        <v>173</v>
      </c>
      <c r="AO7" s="59" t="s">
        <v>173</v>
      </c>
      <c r="AP7" s="59" t="s">
        <v>173</v>
      </c>
      <c r="AQ7" s="59" t="s">
        <v>173</v>
      </c>
      <c r="AR7" s="59" t="s">
        <v>173</v>
      </c>
      <c r="AS7" s="59" t="s">
        <v>173</v>
      </c>
      <c r="AT7" s="60">
        <v>16</v>
      </c>
      <c r="AU7" s="59" t="s">
        <v>558</v>
      </c>
      <c r="AV7" s="59" t="str">
        <f>IF(LEFT(A7,1)="[",LEFT(A7,5)&amp;AU7&amp;A7,"")</f>
        <v>[PLY]Archipelago[PLY] Tuamotu Archipelago</v>
      </c>
      <c r="AW7" s="59" t="str">
        <f>C7&amp;H7&amp;A7</f>
        <v>2[PLY] Tuamotu Archipelago</v>
      </c>
      <c r="AX7" s="61"/>
      <c r="AY7" s="61"/>
      <c r="AZ7" s="62"/>
      <c r="BA7" s="62"/>
      <c r="BB7" s="62"/>
      <c r="BC7" s="63"/>
      <c r="BD7" s="64" t="s">
        <v>159</v>
      </c>
      <c r="BE7" s="47"/>
      <c r="BF7" s="64"/>
      <c r="BG7" s="64"/>
      <c r="BH7" s="64"/>
      <c r="BI7" s="64"/>
      <c r="BJ7" s="64"/>
      <c r="BK7" s="47"/>
      <c r="BL7" s="64" t="s">
        <v>159</v>
      </c>
      <c r="BM7" s="64" t="s">
        <v>153</v>
      </c>
      <c r="BN7" s="64" t="s">
        <v>155</v>
      </c>
      <c r="BO7" s="64"/>
      <c r="BP7" s="64"/>
      <c r="BQ7" s="64"/>
      <c r="BR7" s="64"/>
      <c r="BS7" s="64"/>
      <c r="BT7" s="64"/>
      <c r="BU7" s="65"/>
      <c r="BV7" s="66"/>
      <c r="BW7" s="66">
        <v>0</v>
      </c>
      <c r="BX7" s="47"/>
      <c r="BY7" s="48" t="s">
        <v>173</v>
      </c>
      <c r="CB7" s="6"/>
      <c r="CC7" s="6"/>
      <c r="CD7" s="67">
        <v>0</v>
      </c>
      <c r="CE7" s="67">
        <v>0</v>
      </c>
      <c r="CF7" s="67" t="e">
        <v>#REF!</v>
      </c>
      <c r="CG7" s="68" cm="1">
        <f t="array" ref="CG7">SUMPRODUCT(--(LEN(TRIM(BL7:BT7))&gt;0))</f>
        <v>3</v>
      </c>
      <c r="CH7" s="59" t="str">
        <f t="shared" si="0"/>
        <v>n</v>
      </c>
      <c r="CI7" s="59" t="str">
        <f t="shared" si="1"/>
        <v>y</v>
      </c>
      <c r="CJ7" s="59" t="str">
        <f t="shared" si="2"/>
        <v>n</v>
      </c>
      <c r="CK7" s="59" t="str">
        <f t="shared" si="3"/>
        <v>n</v>
      </c>
      <c r="CL7" s="59" t="str">
        <f t="shared" si="4"/>
        <v>n</v>
      </c>
      <c r="CM7" s="59" t="str">
        <f t="shared" si="5"/>
        <v>n</v>
      </c>
      <c r="CN7" s="59" t="str">
        <f t="shared" si="6"/>
        <v>n</v>
      </c>
      <c r="CO7" s="59" t="str">
        <f t="shared" si="7"/>
        <v>y</v>
      </c>
      <c r="CP7" s="59" t="str">
        <f t="shared" si="8"/>
        <v>n</v>
      </c>
      <c r="CQ7" s="59" t="str">
        <f t="shared" si="9"/>
        <v>n</v>
      </c>
      <c r="CR7" s="59" t="str">
        <f t="shared" si="10"/>
        <v>n</v>
      </c>
      <c r="CS7" s="59" t="str">
        <f t="shared" si="11"/>
        <v>y</v>
      </c>
      <c r="CT7" s="69" t="str">
        <f t="shared" si="12"/>
        <v>"[PLY] Tuamotu Archipelago"</v>
      </c>
      <c r="CU7" s="70" t="str">
        <f t="shared" si="13"/>
        <v>"rgn_Oceania"</v>
      </c>
      <c r="CV7" s="48" t="str">
        <f t="shared" si="14"/>
        <v>"https://upload.wikimedia.org/wikipedia/commons/thumb/d/dc/Flag_of_Tuamotu_Archipelago.svg/640px-Flag_of_Tuamotu_Archipelago.svg.png"</v>
      </c>
      <c r="CW7" s="48" t="str">
        <f t="shared" si="15"/>
        <v/>
      </c>
      <c r="CX7" s="48" t="str">
        <f t="shared" si="15"/>
        <v>"3Color",</v>
      </c>
      <c r="CY7" s="48" t="str">
        <f t="shared" si="15"/>
        <v/>
      </c>
      <c r="CZ7" s="48" t="str">
        <f t="shared" si="15"/>
        <v/>
      </c>
      <c r="DA7" s="48" t="str">
        <f t="shared" si="16"/>
        <v>"words2",</v>
      </c>
      <c r="DB7" s="48" t="str">
        <f t="shared" si="17"/>
        <v/>
      </c>
      <c r="DC7" s="48" t="str">
        <f t="shared" si="18"/>
        <v>"exact2",</v>
      </c>
      <c r="DD7" s="48" t="str">
        <f t="shared" si="19"/>
        <v>"lets18",</v>
      </c>
      <c r="DE7" s="48" t="str">
        <f t="shared" si="20"/>
        <v>"startT",</v>
      </c>
      <c r="DF7" s="48" t="str">
        <f t="shared" si="21"/>
        <v/>
      </c>
      <c r="DG7" s="48" t="str">
        <f t="shared" si="22"/>
        <v/>
      </c>
      <c r="DH7" s="48" t="str">
        <f t="shared" si="23"/>
        <v/>
      </c>
      <c r="DI7" s="48" t="str">
        <f t="shared" si="24"/>
        <v/>
      </c>
      <c r="DJ7" s="48" t="str">
        <f t="shared" si="25"/>
        <v>"with_y",</v>
      </c>
      <c r="DK7" s="48" t="str">
        <f t="shared" si="26"/>
        <v/>
      </c>
      <c r="DL7" s="48" t="str">
        <f t="shared" si="27"/>
        <v/>
      </c>
      <c r="DM7" s="48" t="str" cm="1">
        <f t="array" ref="DM7">IF(CG7=3,CHAR(34) &amp; _xlfn.TEXTJOIN("", TRUE, RIGHT(HP7:HX7, 2)) &amp; CHAR(34) &amp; ",", "")</f>
        <v>"REELHI",</v>
      </c>
      <c r="DN7" s="48" t="str">
        <f t="shared" si="28"/>
        <v/>
      </c>
      <c r="DO7" s="48" t="str">
        <f t="shared" si="29"/>
        <v>"year19",</v>
      </c>
      <c r="DP7" s="6" t="str">
        <f t="shared" si="30"/>
        <v/>
      </c>
      <c r="DQ7" s="6" t="str">
        <f t="shared" si="31"/>
        <v/>
      </c>
      <c r="DR7" s="6" t="str">
        <f t="shared" si="32"/>
        <v/>
      </c>
      <c r="DS7" s="6" t="str">
        <f t="shared" si="33"/>
        <v/>
      </c>
      <c r="DT7" s="6" t="str">
        <f t="shared" si="34"/>
        <v/>
      </c>
      <c r="DU7" s="6" t="str">
        <f t="shared" si="35"/>
        <v/>
      </c>
      <c r="DV7" s="48" t="str">
        <f t="shared" si="36"/>
        <v/>
      </c>
      <c r="DW7" s="48" t="str">
        <f t="shared" si="37"/>
        <v/>
      </c>
      <c r="DX7" s="48" t="str">
        <f t="shared" si="37"/>
        <v/>
      </c>
      <c r="DY7" s="48" t="str">
        <f t="shared" si="37"/>
        <v/>
      </c>
      <c r="DZ7" s="48" t="str">
        <f t="shared" si="37"/>
        <v>"4+Band",</v>
      </c>
      <c r="EA7" s="48" t="str">
        <f t="shared" si="38"/>
        <v/>
      </c>
      <c r="EB7" s="48" t="str">
        <f t="shared" si="38"/>
        <v/>
      </c>
      <c r="EC7" s="48" t="str">
        <f t="shared" si="38"/>
        <v>"Horizo",</v>
      </c>
      <c r="ED7" s="48" t="str">
        <f t="shared" si="38"/>
        <v>"Vertic",</v>
      </c>
      <c r="EE7" s="48" t="str">
        <f t="shared" si="38"/>
        <v/>
      </c>
      <c r="EF7" s="48" t="str">
        <f t="shared" si="39"/>
        <v/>
      </c>
      <c r="EG7" s="48" t="str">
        <f t="shared" si="40"/>
        <v/>
      </c>
      <c r="EH7" s="48" t="str">
        <f t="shared" si="40"/>
        <v/>
      </c>
      <c r="EI7" s="48" t="str">
        <f t="shared" si="40"/>
        <v/>
      </c>
      <c r="EJ7" s="48" t="str">
        <f t="shared" si="40"/>
        <v/>
      </c>
      <c r="EK7" s="48" t="str">
        <f t="shared" si="40"/>
        <v/>
      </c>
      <c r="EL7" s="48" t="str">
        <f t="shared" si="40"/>
        <v/>
      </c>
      <c r="EM7" s="48" t="str">
        <f t="shared" si="40"/>
        <v/>
      </c>
      <c r="EN7" s="48" t="str">
        <f t="shared" si="40"/>
        <v>"Unequa",</v>
      </c>
      <c r="EO7" s="48" t="str">
        <f t="shared" si="40"/>
        <v/>
      </c>
      <c r="EP7" s="48" t="str">
        <f t="shared" si="40"/>
        <v/>
      </c>
      <c r="EQ7" s="48" t="str">
        <f t="shared" si="40"/>
        <v/>
      </c>
      <c r="ER7" s="48" t="str">
        <f t="shared" si="40"/>
        <v/>
      </c>
      <c r="ES7" s="48" t="str">
        <f t="shared" si="40"/>
        <v/>
      </c>
      <c r="ET7" s="48" t="str">
        <f t="shared" si="40"/>
        <v/>
      </c>
      <c r="EU7" s="48" t="str">
        <f t="shared" si="40"/>
        <v/>
      </c>
      <c r="EV7" s="48" t="str">
        <f t="shared" si="40"/>
        <v/>
      </c>
      <c r="EW7" s="48" t="str">
        <f t="shared" si="40"/>
        <v/>
      </c>
      <c r="EX7" s="48" t="str">
        <f t="shared" si="40"/>
        <v/>
      </c>
      <c r="EY7" s="48" t="str">
        <f t="shared" si="40"/>
        <v/>
      </c>
      <c r="EZ7" s="48" t="str">
        <f t="shared" si="40"/>
        <v/>
      </c>
      <c r="FA7" s="48" t="str">
        <f t="shared" si="41"/>
        <v>"sta",</v>
      </c>
      <c r="FB7" s="48" t="str">
        <f t="shared" si="42"/>
        <v/>
      </c>
      <c r="FC7" s="48" t="str">
        <f t="shared" si="43"/>
        <v/>
      </c>
      <c r="FD7" s="48" t="str">
        <f t="shared" si="44"/>
        <v/>
      </c>
      <c r="FE7" s="48" t="str">
        <f t="shared" si="45"/>
        <v>"NO_BLU",</v>
      </c>
      <c r="FF7" s="48" t="str">
        <f t="shared" si="46"/>
        <v/>
      </c>
      <c r="FG7" s="48" t="str">
        <f t="shared" si="47"/>
        <v>"NO_RED",</v>
      </c>
      <c r="FH7" s="48" t="str">
        <f t="shared" si="48"/>
        <v/>
      </c>
      <c r="FI7" s="48" t="str">
        <f t="shared" si="49"/>
        <v/>
      </c>
      <c r="FJ7" s="48" t="str">
        <f t="shared" si="50"/>
        <v>"NO_BLA",</v>
      </c>
      <c r="FK7" s="48" t="str">
        <f t="shared" si="51"/>
        <v/>
      </c>
      <c r="FL7" s="48" t="str">
        <f t="shared" si="52"/>
        <v/>
      </c>
      <c r="FM7" s="48" t="str">
        <f t="shared" si="53"/>
        <v/>
      </c>
      <c r="FN7" s="48" t="str">
        <f t="shared" si="54"/>
        <v/>
      </c>
      <c r="FO7" s="48" t="str">
        <f t="shared" si="55"/>
        <v>"BLRENO",</v>
      </c>
      <c r="FP7" s="48" t="str">
        <f t="shared" si="56"/>
        <v/>
      </c>
      <c r="FQ7" s="48" t="str">
        <f t="shared" si="57"/>
        <v/>
      </c>
      <c r="FR7" s="48" t="str">
        <f t="shared" si="58"/>
        <v/>
      </c>
      <c r="FS7" s="48" t="str">
        <f t="shared" si="59"/>
        <v/>
      </c>
      <c r="FT7" s="48" t="str">
        <f t="shared" si="60"/>
        <v>"myrWHI",</v>
      </c>
      <c r="FU7" s="48" t="str">
        <f t="shared" si="61"/>
        <v/>
      </c>
      <c r="FV7" s="48" t="str">
        <f t="shared" si="62"/>
        <v/>
      </c>
      <c r="FW7" s="48" t="str">
        <f t="shared" si="63"/>
        <v/>
      </c>
      <c r="FX7" s="48" t="str">
        <f t="shared" si="64"/>
        <v/>
      </c>
      <c r="FY7" s="48" t="str">
        <f t="shared" si="65"/>
        <v/>
      </c>
      <c r="FZ7" s="48" t="str">
        <f t="shared" si="66"/>
        <v/>
      </c>
      <c r="GA7" s="48" t="str">
        <f t="shared" si="67"/>
        <v/>
      </c>
      <c r="GB7" s="48" t="str">
        <f t="shared" si="68"/>
        <v/>
      </c>
      <c r="GC7" s="48" t="str">
        <f t="shared" si="69"/>
        <v/>
      </c>
      <c r="GD7" s="48" t="str">
        <f t="shared" si="70"/>
        <v/>
      </c>
      <c r="GE7" s="48" t="str">
        <f t="shared" si="71"/>
        <v/>
      </c>
      <c r="GF7" s="48" t="str">
        <f t="shared" si="103"/>
        <v/>
      </c>
      <c r="GG7" s="48" t="str">
        <f t="shared" si="72"/>
        <v/>
      </c>
      <c r="GH7" s="48" t="str">
        <f t="shared" si="73"/>
        <v/>
      </c>
      <c r="GI7" s="48" t="str">
        <f t="shared" si="74"/>
        <v/>
      </c>
      <c r="GJ7" s="48" t="str">
        <f t="shared" si="75"/>
        <v/>
      </c>
      <c r="GK7" s="48" t="str">
        <f t="shared" si="76"/>
        <v>"HasSta",</v>
      </c>
      <c r="GL7" s="48" t="str">
        <f t="shared" si="77"/>
        <v/>
      </c>
      <c r="GM7" s="48" t="str">
        <f t="shared" si="77"/>
        <v/>
      </c>
      <c r="GN7" s="48" t="str">
        <f t="shared" si="77"/>
        <v>"3+Star",</v>
      </c>
      <c r="GP7" s="48" t="str">
        <f t="shared" si="78"/>
        <v>"Archipelago"</v>
      </c>
      <c r="GS7" s="48" t="str">
        <f t="shared" si="79"/>
        <v>["3Color","words2","exact2","lets18","startT","with_y","REELHI","year19","4+Band","Horizo","Vertic","Unequa","sta","NO_BLU","NO_RED","NO_BLA","BLRENO","myrWHI","HasSta","3+Star"]</v>
      </c>
      <c r="GT7" s="48" t="str">
        <f t="shared" si="80"/>
        <v>"cl_WHI",</v>
      </c>
      <c r="GU7" s="48" t="str">
        <f t="shared" si="80"/>
        <v>"cl_GRE",</v>
      </c>
      <c r="GV7" s="48" t="str">
        <f t="shared" si="80"/>
        <v>"cl_YEL",</v>
      </c>
      <c r="GW7" s="48" t="str">
        <f t="shared" si="80"/>
        <v/>
      </c>
      <c r="GX7" s="48" t="str">
        <f t="shared" si="80"/>
        <v/>
      </c>
      <c r="GY7" s="48" t="str">
        <f t="shared" si="80"/>
        <v/>
      </c>
      <c r="GZ7" s="48" t="str">
        <f t="shared" si="80"/>
        <v/>
      </c>
      <c r="HA7" s="48" t="str">
        <f t="shared" si="80"/>
        <v/>
      </c>
      <c r="HB7" s="48" t="str">
        <f t="shared" si="80"/>
        <v/>
      </c>
      <c r="HC7" s="48" t="str">
        <f t="shared" si="81"/>
        <v>["cl_WHI","cl_GRE","cl_YEL"]</v>
      </c>
      <c r="HE7" s="71"/>
      <c r="HF7" s="72" t="str">
        <f t="shared" si="82"/>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links: "https://vexillology.fandom.com/wiki/Tuamotu_Archipelago"},</v>
      </c>
      <c r="HG7" s="73" t="str">
        <f t="shared" si="83"/>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links: "https://vexillology.fandom.com/wiki/Tuamotu_Archipelago"},</v>
      </c>
      <c r="HH7" s="48" t="str">
        <f t="shared" si="84"/>
        <v>"\nThe sixteen stars represent the sixteen municipalities forming the archipelago and not its number of islands and atolls. The red and white stripes recall the flag of French Polynesia, whereas the blue stripe recalls the French flag and represents also the sky and the sea."</v>
      </c>
      <c r="HI7" s="48" t="str">
        <f t="shared" si="85"/>
        <v>"\nThe sixteen stars represent the sixteen municipalities forming the archipelago and not its number of islands and atolls. The red and white stripes recall the flag of French Polynesia, whereas the blue stripe recalls the French flag and represents also the sky and the sea."</v>
      </c>
      <c r="HJ7" s="48" t="str">
        <f t="shared" si="86"/>
        <v>"1985"</v>
      </c>
      <c r="HL7" s="48" t="str">
        <f t="shared" si="87"/>
        <v>"https://vexillology.fandom.com/wiki/Tuamotu_Archipelago"</v>
      </c>
      <c r="HM7" s="72" t="str">
        <f t="shared" si="88"/>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 "links": "https://vexillology.fandom.com/wiki/Tuamotu_Archipelago"},</v>
      </c>
      <c r="HN7" s="74" t="str">
        <f t="shared" si="89"/>
        <v>{"couname":"[PLY] Tuamotu Archipelago","year":"1985","region":"rgn_Oceania","Colors":["cl_WHI","cl_GRE","cl_YEL"],"Items":["3Color","words2","exact2","lets18","startT","with_y","REELHI","year19","4+Band","Horizo","Vertic","Unequa","sta","NO_BLU","NO_RED","NO_BLA","BLRENO","myrWHI","HasSta","3+Star"],"Flag":"https://upload.wikimedia.org/wikipedia/commons/thumb/d/dc/Flag_of_Tuamotu_Archipelago.svg/640px-Flag_of_Tuamotu_Archipelago.svg.png","HDFlag":"https://upload.wikimedia.org/wikipedia/commons/thumb/d/dc/Flag_of_Tuamotu_Archipelago.svg/2560px-Flag_of_Tuamotu_Archipelago.svg.png","type":"Archipelago", "describe": "\nThe sixteen stars represent the sixteen municipalities forming the archipelago and not its number of islands and atolls. The red and white stripes recall the flag of French Polynesia, whereas the blue stripe recalls the French flag and represents also the sky and the sea.", "isnew": ".", "links": "https://vexillology.fandom.com/wiki/Tuamotu_Archipelago"},</v>
      </c>
      <c r="HO7" s="75"/>
      <c r="HP7" s="48" t="str" cm="1">
        <f t="array" ref="HP7">IF(_xlfn.TEXTJOIN(", ", TRUE, IF(ISNUMBER(SEARCH("BLA", BL7:BT7)), COLUMN(BL7:BT7) - COLUMN(BL7) + 1, ""))&lt;&gt;"","BLA","")</f>
        <v/>
      </c>
      <c r="HQ7" s="48" t="str" cm="1">
        <f t="array" ref="HQ7">IF(_xlfn.TEXTJOIN(", ", TRUE, IF(ISNUMBER(SEARCH("BLU", BL7:BT7)), COLUMN(BL7:BT7) - COLUMN(BL7) + 1, ""))&lt;&gt;"","BLU","")</f>
        <v/>
      </c>
      <c r="HR7" s="48" t="str" cm="1">
        <f t="array" ref="HR7">IF(_xlfn.TEXTJOIN(", ", TRUE, IF(ISNUMBER(SEARCH("GRE", BL7:BT7)), COLUMN(BL7:BT7) - COLUMN(BL7) + 1, ""))&lt;&gt;"","GRE","")</f>
        <v>GRE</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 t="shared" si="90"/>
        <v>0</v>
      </c>
      <c r="IM7" s="45">
        <f t="shared" si="91"/>
        <v>-3</v>
      </c>
      <c r="IN7" s="78" t="str">
        <f t="shared" si="92"/>
        <v>http://mkweb.bcgsc.ca/color-summarizer/?url=https://upload.wikimedia.org/wikipedia/commons/thumb/d/dc/Flag_of_Tuamotu_Archipelago.svg/640px-Flag_of_Tuamotu_Archipelago.svg.png&amp;precision=low&amp;num_clusters=3&amp;text=1</v>
      </c>
      <c r="IO7" s="48" t="str">
        <f t="shared" si="93"/>
        <v/>
      </c>
      <c r="IP7" s="48" t="str">
        <f t="shared" si="94"/>
        <v/>
      </c>
      <c r="IQ7" s="48" t="str">
        <f t="shared" si="95"/>
        <v>"green"</v>
      </c>
      <c r="IR7" s="48" t="str">
        <f t="shared" si="96"/>
        <v/>
      </c>
      <c r="IS7" s="48" t="str">
        <f t="shared" si="97"/>
        <v>"yellow"</v>
      </c>
      <c r="IT7" s="48" t="str">
        <f t="shared" si="98"/>
        <v/>
      </c>
      <c r="IU7" s="48" t="str">
        <f t="shared" si="99"/>
        <v/>
      </c>
      <c r="IV7" s="48" t="str">
        <f t="shared" si="100"/>
        <v/>
      </c>
      <c r="IW7" s="48" t="str">
        <f t="shared" si="101"/>
        <v>"white"</v>
      </c>
      <c r="IX7" s="48" t="str">
        <f t="shared" si="102"/>
        <v>{"url":"http://mkweb.bcgsc.ca/color-summarizer/?url=https://upload.wikimedia.org/wikipedia/commons/thumb/d/dc/Flag_of_Tuamotu_Archipelago.svg/640px-Flag_of_Tuamotu_Archipelago.svg.png&amp;precision=low&amp;num_clusters=3&amp;text=1","name":"[PLY] Tuamotu Archipelago"},</v>
      </c>
      <c r="IY7" s="48">
        <v>334</v>
      </c>
    </row>
  </sheetData>
  <conditionalFormatting sqref="H1 CW1:GS1 IA1:IB1">
    <cfRule type="cellIs" dxfId="4438" priority="251" operator="greaterThan">
      <formula>0</formula>
    </cfRule>
  </conditionalFormatting>
  <conditionalFormatting sqref="H1">
    <cfRule type="cellIs" dxfId="4437" priority="217" stopIfTrue="1" operator="notEqual">
      <formula>""</formula>
    </cfRule>
  </conditionalFormatting>
  <conditionalFormatting sqref="T1:BK1">
    <cfRule type="cellIs" dxfId="4436" priority="254" operator="greaterThan">
      <formula>0</formula>
    </cfRule>
  </conditionalFormatting>
  <conditionalFormatting sqref="BV1:BW1">
    <cfRule type="cellIs" dxfId="4435" priority="253" operator="equal">
      <formula>"nc"</formula>
    </cfRule>
  </conditionalFormatting>
  <conditionalFormatting sqref="HF1:HG1">
    <cfRule type="cellIs" dxfId="4434" priority="255" operator="greaterThan">
      <formula>0</formula>
    </cfRule>
  </conditionalFormatting>
  <conditionalFormatting sqref="HK1">
    <cfRule type="cellIs" dxfId="4433" priority="252" operator="greaterThan">
      <formula>0</formula>
    </cfRule>
  </conditionalFormatting>
  <conditionalFormatting sqref="HP1:HX1">
    <cfRule type="cellIs" dxfId="4432" priority="229" operator="equal">
      <formula>"PIN"</formula>
    </cfRule>
    <cfRule type="cellIs" dxfId="4431" priority="230" operator="equal">
      <formula>"ORA"</formula>
    </cfRule>
    <cfRule type="cellIs" dxfId="4430" priority="231" operator="equal">
      <formula>"GRA"</formula>
    </cfRule>
    <cfRule type="cellIs" dxfId="4429" priority="232" operator="equal">
      <formula>"PUR"</formula>
    </cfRule>
    <cfRule type="cellIs" dxfId="4428" priority="233" operator="equal">
      <formula>"BRO"</formula>
    </cfRule>
    <cfRule type="cellIs" dxfId="4427" priority="234" operator="equal">
      <formula>"YEL"</formula>
    </cfRule>
    <cfRule type="cellIs" dxfId="4426" priority="235" operator="equal">
      <formula>"BLU"</formula>
    </cfRule>
    <cfRule type="cellIs" dxfId="4425" priority="236" operator="equal">
      <formula>"WHI"</formula>
    </cfRule>
    <cfRule type="cellIs" dxfId="4424" priority="237" operator="equal">
      <formula>"GRE"</formula>
    </cfRule>
    <cfRule type="cellIs" dxfId="4423" priority="238" operator="equal">
      <formula>"RED"</formula>
    </cfRule>
    <cfRule type="cellIs" dxfId="4422" priority="239" operator="equal">
      <formula>"BLA"</formula>
    </cfRule>
  </conditionalFormatting>
  <conditionalFormatting sqref="IC1:IK1">
    <cfRule type="cellIs" dxfId="4421" priority="240" operator="equal">
      <formula>"PIN"</formula>
    </cfRule>
    <cfRule type="cellIs" dxfId="4420" priority="241" operator="equal">
      <formula>"ORA"</formula>
    </cfRule>
    <cfRule type="cellIs" dxfId="4419" priority="242" operator="equal">
      <formula>"GRA"</formula>
    </cfRule>
    <cfRule type="cellIs" dxfId="4418" priority="243" operator="equal">
      <formula>"PUR"</formula>
    </cfRule>
    <cfRule type="cellIs" dxfId="4417" priority="244" operator="equal">
      <formula>"BRO"</formula>
    </cfRule>
    <cfRule type="cellIs" dxfId="4416" priority="245" operator="equal">
      <formula>"YEL"</formula>
    </cfRule>
    <cfRule type="cellIs" dxfId="4415" priority="246" operator="equal">
      <formula>"BLU"</formula>
    </cfRule>
    <cfRule type="cellIs" dxfId="4414" priority="247" operator="equal">
      <formula>"WHI"</formula>
    </cfRule>
    <cfRule type="cellIs" dxfId="4413" priority="248" operator="equal">
      <formula>"GRE"</formula>
    </cfRule>
    <cfRule type="cellIs" dxfId="4412" priority="249" operator="equal">
      <formula>"RED"</formula>
    </cfRule>
    <cfRule type="cellIs" dxfId="4411" priority="250" operator="equal">
      <formula>"BLA"</formula>
    </cfRule>
  </conditionalFormatting>
  <conditionalFormatting sqref="IO1:IW1">
    <cfRule type="cellIs" dxfId="4410" priority="218" operator="equal">
      <formula>"PIN"</formula>
    </cfRule>
    <cfRule type="cellIs" dxfId="4409" priority="219" operator="equal">
      <formula>"ORA"</formula>
    </cfRule>
    <cfRule type="cellIs" dxfId="4408" priority="220" operator="equal">
      <formula>"GRA"</formula>
    </cfRule>
    <cfRule type="cellIs" dxfId="4407" priority="221" operator="equal">
      <formula>"PUR"</formula>
    </cfRule>
    <cfRule type="cellIs" dxfId="4406" priority="222" operator="equal">
      <formula>"BRO"</formula>
    </cfRule>
    <cfRule type="cellIs" dxfId="4405" priority="223" operator="equal">
      <formula>"YEL"</formula>
    </cfRule>
    <cfRule type="cellIs" dxfId="4404" priority="224" operator="equal">
      <formula>"BLU"</formula>
    </cfRule>
    <cfRule type="cellIs" dxfId="4403" priority="225" operator="equal">
      <formula>"WHI"</formula>
    </cfRule>
    <cfRule type="cellIs" dxfId="4402" priority="226" operator="equal">
      <formula>"GRE"</formula>
    </cfRule>
    <cfRule type="cellIs" dxfId="4401" priority="227" operator="equal">
      <formula>"RED"</formula>
    </cfRule>
    <cfRule type="cellIs" dxfId="4400" priority="228" operator="equal">
      <formula>"BLA"</formula>
    </cfRule>
  </conditionalFormatting>
  <conditionalFormatting sqref="H2">
    <cfRule type="cellIs" dxfId="4399" priority="186" stopIfTrue="1" operator="notEqual">
      <formula>""</formula>
    </cfRule>
  </conditionalFormatting>
  <conditionalFormatting sqref="R2 CU2">
    <cfRule type="cellIs" dxfId="4398" priority="188" operator="greaterThan">
      <formula>0</formula>
    </cfRule>
  </conditionalFormatting>
  <conditionalFormatting sqref="T2:AS2 CH2:CS2">
    <cfRule type="cellIs" dxfId="4397" priority="183" stopIfTrue="1" operator="equal">
      <formula>"n"</formula>
    </cfRule>
    <cfRule type="cellIs" dxfId="4396" priority="184" stopIfTrue="1" operator="equal">
      <formula>"y"</formula>
    </cfRule>
    <cfRule type="cellIs" dxfId="4395" priority="185" operator="greaterThan">
      <formula>0</formula>
    </cfRule>
  </conditionalFormatting>
  <conditionalFormatting sqref="AZ2:BB2">
    <cfRule type="expression" dxfId="4394" priority="182">
      <formula>$AT2=0</formula>
    </cfRule>
  </conditionalFormatting>
  <conditionalFormatting sqref="AZ2:BU2">
    <cfRule type="cellIs" dxfId="4393" priority="191" operator="equal">
      <formula>"PIN"</formula>
    </cfRule>
    <cfRule type="cellIs" dxfId="4392" priority="192" operator="equal">
      <formula>"ORA"</formula>
    </cfRule>
    <cfRule type="cellIs" dxfId="4391" priority="193" operator="equal">
      <formula>"GRA"</formula>
    </cfRule>
    <cfRule type="cellIs" dxfId="4390" priority="194" operator="equal">
      <formula>"PUR"</formula>
    </cfRule>
    <cfRule type="cellIs" dxfId="4389" priority="195" operator="equal">
      <formula>"BRO"</formula>
    </cfRule>
    <cfRule type="cellIs" dxfId="4388" priority="196" operator="equal">
      <formula>"YEL"</formula>
    </cfRule>
    <cfRule type="cellIs" dxfId="4387" priority="197" operator="equal">
      <formula>"BLU"</formula>
    </cfRule>
    <cfRule type="cellIs" dxfId="4386" priority="198" operator="equal">
      <formula>"WHI"</formula>
    </cfRule>
    <cfRule type="cellIs" dxfId="4385" priority="199" operator="equal">
      <formula>"GRE"</formula>
    </cfRule>
    <cfRule type="cellIs" dxfId="4384" priority="200" operator="equal">
      <formula>"RED"</formula>
    </cfRule>
    <cfRule type="cellIs" dxfId="4383" priority="201" operator="equal">
      <formula>"BLA"</formula>
    </cfRule>
  </conditionalFormatting>
  <conditionalFormatting sqref="BV2:BW2">
    <cfRule type="cellIs" dxfId="4382" priority="213" operator="equal">
      <formula>"nc"</formula>
    </cfRule>
  </conditionalFormatting>
  <conditionalFormatting sqref="BX2:CA2 CD2:CF2">
    <cfRule type="cellIs" dxfId="4381" priority="187" operator="equal">
      <formula>"y"</formula>
    </cfRule>
    <cfRule type="cellIs" dxfId="4380" priority="202" operator="equal">
      <formula>"PIN"</formula>
    </cfRule>
    <cfRule type="cellIs" dxfId="4379" priority="203" operator="equal">
      <formula>"ORA"</formula>
    </cfRule>
    <cfRule type="cellIs" dxfId="4378" priority="204" operator="equal">
      <formula>"GRA"</formula>
    </cfRule>
    <cfRule type="cellIs" dxfId="4377" priority="205" operator="equal">
      <formula>"PUR"</formula>
    </cfRule>
    <cfRule type="cellIs" dxfId="4376" priority="206" operator="equal">
      <formula>"BRO"</formula>
    </cfRule>
    <cfRule type="cellIs" dxfId="4375" priority="207" operator="equal">
      <formula>"YEL"</formula>
    </cfRule>
    <cfRule type="cellIs" dxfId="4374" priority="208" operator="equal">
      <formula>"BLU"</formula>
    </cfRule>
    <cfRule type="cellIs" dxfId="4373" priority="209" operator="equal">
      <formula>"WHI"</formula>
    </cfRule>
    <cfRule type="cellIs" dxfId="4372" priority="210" operator="equal">
      <formula>"GRE"</formula>
    </cfRule>
    <cfRule type="cellIs" dxfId="4371" priority="211" operator="equal">
      <formula>"RED"</formula>
    </cfRule>
    <cfRule type="cellIs" dxfId="4370" priority="212" operator="equal">
      <formula>"BLA"</formula>
    </cfRule>
  </conditionalFormatting>
  <conditionalFormatting sqref="BZ2:CA2 CD2:CF2">
    <cfRule type="cellIs" dxfId="4369" priority="189" operator="greaterThan">
      <formula>0</formula>
    </cfRule>
  </conditionalFormatting>
  <conditionalFormatting sqref="IC2:IK2">
    <cfRule type="expression" dxfId="4368" priority="190">
      <formula>$IL2&gt;0</formula>
    </cfRule>
  </conditionalFormatting>
  <conditionalFormatting sqref="S2">
    <cfRule type="colorScale" priority="214">
      <colorScale>
        <cfvo type="min"/>
        <cfvo type="max"/>
        <color rgb="FFFCFCFF"/>
        <color rgb="FF754BFB"/>
      </colorScale>
    </cfRule>
  </conditionalFormatting>
  <conditionalFormatting sqref="AT2">
    <cfRule type="colorScale" priority="215">
      <colorScale>
        <cfvo type="min"/>
        <cfvo type="max"/>
        <color rgb="FFFCFCFF"/>
        <color theme="8" tint="0.39997558519241921"/>
      </colorScale>
    </cfRule>
  </conditionalFormatting>
  <conditionalFormatting sqref="CG2">
    <cfRule type="colorScale" priority="216">
      <colorScale>
        <cfvo type="min"/>
        <cfvo type="max"/>
        <color rgb="FFFCFCFF"/>
        <color rgb="FF63BE7B"/>
      </colorScale>
    </cfRule>
  </conditionalFormatting>
  <conditionalFormatting sqref="J2">
    <cfRule type="colorScale" priority="181">
      <colorScale>
        <cfvo type="min"/>
        <cfvo type="percentile" val="50"/>
        <cfvo type="max"/>
        <color rgb="FFF8696B"/>
        <color rgb="FFFFEB84"/>
        <color rgb="FF63BE7B"/>
      </colorScale>
    </cfRule>
  </conditionalFormatting>
  <conditionalFormatting sqref="H3">
    <cfRule type="cellIs" dxfId="1738" priority="149" stopIfTrue="1" operator="notEqual">
      <formula>""</formula>
    </cfRule>
  </conditionalFormatting>
  <conditionalFormatting sqref="R3 CU3">
    <cfRule type="cellIs" dxfId="1737" priority="151" operator="greaterThan">
      <formula>0</formula>
    </cfRule>
  </conditionalFormatting>
  <conditionalFormatting sqref="T3:AS3 CH3:CS3">
    <cfRule type="cellIs" dxfId="1736" priority="146" stopIfTrue="1" operator="equal">
      <formula>"n"</formula>
    </cfRule>
    <cfRule type="cellIs" dxfId="1735" priority="147" stopIfTrue="1" operator="equal">
      <formula>"y"</formula>
    </cfRule>
    <cfRule type="cellIs" dxfId="1734" priority="148" operator="greaterThan">
      <formula>0</formula>
    </cfRule>
  </conditionalFormatting>
  <conditionalFormatting sqref="AZ3:BB3">
    <cfRule type="expression" dxfId="1733" priority="145">
      <formula>$AT3=0</formula>
    </cfRule>
  </conditionalFormatting>
  <conditionalFormatting sqref="AZ3:BU3">
    <cfRule type="cellIs" dxfId="1732" priority="154" operator="equal">
      <formula>"PIN"</formula>
    </cfRule>
    <cfRule type="cellIs" dxfId="1731" priority="155" operator="equal">
      <formula>"ORA"</formula>
    </cfRule>
    <cfRule type="cellIs" dxfId="1730" priority="156" operator="equal">
      <formula>"GRA"</formula>
    </cfRule>
    <cfRule type="cellIs" dxfId="1729" priority="157" operator="equal">
      <formula>"PUR"</formula>
    </cfRule>
    <cfRule type="cellIs" dxfId="1728" priority="158" operator="equal">
      <formula>"BRO"</formula>
    </cfRule>
    <cfRule type="cellIs" dxfId="1727" priority="159" operator="equal">
      <formula>"YEL"</formula>
    </cfRule>
    <cfRule type="cellIs" dxfId="1726" priority="160" operator="equal">
      <formula>"BLU"</formula>
    </cfRule>
    <cfRule type="cellIs" dxfId="1725" priority="161" operator="equal">
      <formula>"WHI"</formula>
    </cfRule>
    <cfRule type="cellIs" dxfId="1724" priority="162" operator="equal">
      <formula>"GRE"</formula>
    </cfRule>
    <cfRule type="cellIs" dxfId="1723" priority="163" operator="equal">
      <formula>"RED"</formula>
    </cfRule>
    <cfRule type="cellIs" dxfId="1722" priority="164" operator="equal">
      <formula>"BLA"</formula>
    </cfRule>
  </conditionalFormatting>
  <conditionalFormatting sqref="BV3">
    <cfRule type="cellIs" dxfId="1721" priority="176" operator="equal">
      <formula>"nc"</formula>
    </cfRule>
  </conditionalFormatting>
  <conditionalFormatting sqref="BX3:CA3 CD3:CF3">
    <cfRule type="cellIs" dxfId="1720" priority="150" operator="equal">
      <formula>"y"</formula>
    </cfRule>
    <cfRule type="cellIs" dxfId="1719" priority="165" operator="equal">
      <formula>"PIN"</formula>
    </cfRule>
    <cfRule type="cellIs" dxfId="1718" priority="166" operator="equal">
      <formula>"ORA"</formula>
    </cfRule>
    <cfRule type="cellIs" dxfId="1717" priority="167" operator="equal">
      <formula>"GRA"</formula>
    </cfRule>
    <cfRule type="cellIs" dxfId="1716" priority="168" operator="equal">
      <formula>"PUR"</formula>
    </cfRule>
    <cfRule type="cellIs" dxfId="1715" priority="169" operator="equal">
      <formula>"BRO"</formula>
    </cfRule>
    <cfRule type="cellIs" dxfId="1714" priority="170" operator="equal">
      <formula>"YEL"</formula>
    </cfRule>
    <cfRule type="cellIs" dxfId="1713" priority="171" operator="equal">
      <formula>"BLU"</formula>
    </cfRule>
    <cfRule type="cellIs" dxfId="1712" priority="172" operator="equal">
      <formula>"WHI"</formula>
    </cfRule>
    <cfRule type="cellIs" dxfId="1711" priority="173" operator="equal">
      <formula>"GRE"</formula>
    </cfRule>
    <cfRule type="cellIs" dxfId="1710" priority="174" operator="equal">
      <formula>"RED"</formula>
    </cfRule>
    <cfRule type="cellIs" dxfId="1709" priority="175" operator="equal">
      <formula>"BLA"</formula>
    </cfRule>
  </conditionalFormatting>
  <conditionalFormatting sqref="BZ3:CA3 CD3:CF3">
    <cfRule type="cellIs" dxfId="1708" priority="152" operator="greaterThan">
      <formula>0</formula>
    </cfRule>
  </conditionalFormatting>
  <conditionalFormatting sqref="IC3:IK3">
    <cfRule type="expression" dxfId="1707" priority="153">
      <formula>$IL3&gt;0</formula>
    </cfRule>
  </conditionalFormatting>
  <conditionalFormatting sqref="J3">
    <cfRule type="colorScale" priority="177">
      <colorScale>
        <cfvo type="min"/>
        <cfvo type="percentile" val="50"/>
        <cfvo type="max"/>
        <color rgb="FFF8696B"/>
        <color rgb="FFFFEB84"/>
        <color rgb="FF63BE7B"/>
      </colorScale>
    </cfRule>
  </conditionalFormatting>
  <conditionalFormatting sqref="S3">
    <cfRule type="colorScale" priority="178">
      <colorScale>
        <cfvo type="min"/>
        <cfvo type="max"/>
        <color rgb="FFFCFCFF"/>
        <color rgb="FF754BFB"/>
      </colorScale>
    </cfRule>
  </conditionalFormatting>
  <conditionalFormatting sqref="AT3">
    <cfRule type="colorScale" priority="179">
      <colorScale>
        <cfvo type="min"/>
        <cfvo type="max"/>
        <color rgb="FFFCFCFF"/>
        <color theme="8" tint="0.39997558519241921"/>
      </colorScale>
    </cfRule>
  </conditionalFormatting>
  <conditionalFormatting sqref="CG3">
    <cfRule type="colorScale" priority="180">
      <colorScale>
        <cfvo type="min"/>
        <cfvo type="max"/>
        <color rgb="FFFCFCFF"/>
        <color rgb="FF63BE7B"/>
      </colorScale>
    </cfRule>
  </conditionalFormatting>
  <conditionalFormatting sqref="H4">
    <cfRule type="cellIs" dxfId="1706" priority="113" stopIfTrue="1" operator="notEqual">
      <formula>""</formula>
    </cfRule>
  </conditionalFormatting>
  <conditionalFormatting sqref="R4 CU4">
    <cfRule type="cellIs" dxfId="1705" priority="115" operator="greaterThan">
      <formula>0</formula>
    </cfRule>
  </conditionalFormatting>
  <conditionalFormatting sqref="T4:AS4 CH4:CS4">
    <cfRule type="cellIs" dxfId="1704" priority="110" stopIfTrue="1" operator="equal">
      <formula>"n"</formula>
    </cfRule>
    <cfRule type="cellIs" dxfId="1703" priority="111" stopIfTrue="1" operator="equal">
      <formula>"y"</formula>
    </cfRule>
    <cfRule type="cellIs" dxfId="1702" priority="112" operator="greaterThan">
      <formula>0</formula>
    </cfRule>
  </conditionalFormatting>
  <conditionalFormatting sqref="AZ4:BB4">
    <cfRule type="expression" dxfId="1701" priority="109">
      <formula>$AT4=0</formula>
    </cfRule>
  </conditionalFormatting>
  <conditionalFormatting sqref="AZ4:BU4">
    <cfRule type="cellIs" dxfId="1700" priority="118" operator="equal">
      <formula>"PIN"</formula>
    </cfRule>
    <cfRule type="cellIs" dxfId="1699" priority="119" operator="equal">
      <formula>"ORA"</formula>
    </cfRule>
    <cfRule type="cellIs" dxfId="1698" priority="120" operator="equal">
      <formula>"GRA"</formula>
    </cfRule>
    <cfRule type="cellIs" dxfId="1697" priority="121" operator="equal">
      <formula>"PUR"</formula>
    </cfRule>
    <cfRule type="cellIs" dxfId="1696" priority="122" operator="equal">
      <formula>"BRO"</formula>
    </cfRule>
    <cfRule type="cellIs" dxfId="1695" priority="123" operator="equal">
      <formula>"YEL"</formula>
    </cfRule>
    <cfRule type="cellIs" dxfId="1694" priority="124" operator="equal">
      <formula>"BLU"</formula>
    </cfRule>
    <cfRule type="cellIs" dxfId="1693" priority="125" operator="equal">
      <formula>"WHI"</formula>
    </cfRule>
    <cfRule type="cellIs" dxfId="1692" priority="126" operator="equal">
      <formula>"GRE"</formula>
    </cfRule>
    <cfRule type="cellIs" dxfId="1691" priority="127" operator="equal">
      <formula>"RED"</formula>
    </cfRule>
    <cfRule type="cellIs" dxfId="1690" priority="128" operator="equal">
      <formula>"BLA"</formula>
    </cfRule>
  </conditionalFormatting>
  <conditionalFormatting sqref="BV4">
    <cfRule type="cellIs" dxfId="1689" priority="140" operator="equal">
      <formula>"nc"</formula>
    </cfRule>
  </conditionalFormatting>
  <conditionalFormatting sqref="BX4:CA4 CD4:CF4">
    <cfRule type="cellIs" dxfId="1688" priority="114" operator="equal">
      <formula>"y"</formula>
    </cfRule>
    <cfRule type="cellIs" dxfId="1687" priority="129" operator="equal">
      <formula>"PIN"</formula>
    </cfRule>
    <cfRule type="cellIs" dxfId="1686" priority="130" operator="equal">
      <formula>"ORA"</formula>
    </cfRule>
    <cfRule type="cellIs" dxfId="1685" priority="131" operator="equal">
      <formula>"GRA"</formula>
    </cfRule>
    <cfRule type="cellIs" dxfId="1684" priority="132" operator="equal">
      <formula>"PUR"</formula>
    </cfRule>
    <cfRule type="cellIs" dxfId="1683" priority="133" operator="equal">
      <formula>"BRO"</formula>
    </cfRule>
    <cfRule type="cellIs" dxfId="1682" priority="134" operator="equal">
      <formula>"YEL"</formula>
    </cfRule>
    <cfRule type="cellIs" dxfId="1681" priority="135" operator="equal">
      <formula>"BLU"</formula>
    </cfRule>
    <cfRule type="cellIs" dxfId="1680" priority="136" operator="equal">
      <formula>"WHI"</formula>
    </cfRule>
    <cfRule type="cellIs" dxfId="1679" priority="137" operator="equal">
      <formula>"GRE"</formula>
    </cfRule>
    <cfRule type="cellIs" dxfId="1678" priority="138" operator="equal">
      <formula>"RED"</formula>
    </cfRule>
    <cfRule type="cellIs" dxfId="1677" priority="139" operator="equal">
      <formula>"BLA"</formula>
    </cfRule>
  </conditionalFormatting>
  <conditionalFormatting sqref="BZ4:CA4 CD4:CF4">
    <cfRule type="cellIs" dxfId="1676" priority="116" operator="greaterThan">
      <formula>0</formula>
    </cfRule>
  </conditionalFormatting>
  <conditionalFormatting sqref="IC4:IK4">
    <cfRule type="expression" dxfId="1675" priority="117">
      <formula>$IL4&gt;0</formula>
    </cfRule>
  </conditionalFormatting>
  <conditionalFormatting sqref="J4">
    <cfRule type="colorScale" priority="141">
      <colorScale>
        <cfvo type="min"/>
        <cfvo type="percentile" val="50"/>
        <cfvo type="max"/>
        <color rgb="FFF8696B"/>
        <color rgb="FFFFEB84"/>
        <color rgb="FF63BE7B"/>
      </colorScale>
    </cfRule>
  </conditionalFormatting>
  <conditionalFormatting sqref="S4">
    <cfRule type="colorScale" priority="142">
      <colorScale>
        <cfvo type="min"/>
        <cfvo type="max"/>
        <color rgb="FFFCFCFF"/>
        <color rgb="FF754BFB"/>
      </colorScale>
    </cfRule>
  </conditionalFormatting>
  <conditionalFormatting sqref="AT4">
    <cfRule type="colorScale" priority="143">
      <colorScale>
        <cfvo type="min"/>
        <cfvo type="max"/>
        <color rgb="FFFCFCFF"/>
        <color theme="8" tint="0.39997558519241921"/>
      </colorScale>
    </cfRule>
  </conditionalFormatting>
  <conditionalFormatting sqref="CG4">
    <cfRule type="colorScale" priority="144">
      <colorScale>
        <cfvo type="min"/>
        <cfvo type="max"/>
        <color rgb="FFFCFCFF"/>
        <color rgb="FF63BE7B"/>
      </colorScale>
    </cfRule>
  </conditionalFormatting>
  <conditionalFormatting sqref="H5">
    <cfRule type="cellIs" dxfId="1674" priority="77" stopIfTrue="1" operator="notEqual">
      <formula>""</formula>
    </cfRule>
  </conditionalFormatting>
  <conditionalFormatting sqref="R5 CU5">
    <cfRule type="cellIs" dxfId="1673" priority="79" operator="greaterThan">
      <formula>0</formula>
    </cfRule>
  </conditionalFormatting>
  <conditionalFormatting sqref="T5:AS5 CH5:CS5">
    <cfRule type="cellIs" dxfId="1672" priority="74" stopIfTrue="1" operator="equal">
      <formula>"n"</formula>
    </cfRule>
    <cfRule type="cellIs" dxfId="1671" priority="75" stopIfTrue="1" operator="equal">
      <formula>"y"</formula>
    </cfRule>
    <cfRule type="cellIs" dxfId="1670" priority="76" operator="greaterThan">
      <formula>0</formula>
    </cfRule>
  </conditionalFormatting>
  <conditionalFormatting sqref="AZ5:BB5">
    <cfRule type="expression" dxfId="1669" priority="73">
      <formula>$AT5=0</formula>
    </cfRule>
  </conditionalFormatting>
  <conditionalFormatting sqref="AZ5:BU5">
    <cfRule type="cellIs" dxfId="1668" priority="82" operator="equal">
      <formula>"PIN"</formula>
    </cfRule>
    <cfRule type="cellIs" dxfId="1667" priority="83" operator="equal">
      <formula>"ORA"</formula>
    </cfRule>
    <cfRule type="cellIs" dxfId="1666" priority="84" operator="equal">
      <formula>"GRA"</formula>
    </cfRule>
    <cfRule type="cellIs" dxfId="1665" priority="85" operator="equal">
      <formula>"PUR"</formula>
    </cfRule>
    <cfRule type="cellIs" dxfId="1664" priority="86" operator="equal">
      <formula>"BRO"</formula>
    </cfRule>
    <cfRule type="cellIs" dxfId="1663" priority="87" operator="equal">
      <formula>"YEL"</formula>
    </cfRule>
    <cfRule type="cellIs" dxfId="1662" priority="88" operator="equal">
      <formula>"BLU"</formula>
    </cfRule>
    <cfRule type="cellIs" dxfId="1661" priority="89" operator="equal">
      <formula>"WHI"</formula>
    </cfRule>
    <cfRule type="cellIs" dxfId="1660" priority="90" operator="equal">
      <formula>"GRE"</formula>
    </cfRule>
    <cfRule type="cellIs" dxfId="1659" priority="91" operator="equal">
      <formula>"RED"</formula>
    </cfRule>
    <cfRule type="cellIs" dxfId="1658" priority="92" operator="equal">
      <formula>"BLA"</formula>
    </cfRule>
  </conditionalFormatting>
  <conditionalFormatting sqref="BV5">
    <cfRule type="cellIs" dxfId="1657" priority="104" operator="equal">
      <formula>"nc"</formula>
    </cfRule>
  </conditionalFormatting>
  <conditionalFormatting sqref="BX5:CA5 CD5:CF5">
    <cfRule type="cellIs" dxfId="1656" priority="78" operator="equal">
      <formula>"y"</formula>
    </cfRule>
    <cfRule type="cellIs" dxfId="1655" priority="93" operator="equal">
      <formula>"PIN"</formula>
    </cfRule>
    <cfRule type="cellIs" dxfId="1654" priority="94" operator="equal">
      <formula>"ORA"</formula>
    </cfRule>
    <cfRule type="cellIs" dxfId="1653" priority="95" operator="equal">
      <formula>"GRA"</formula>
    </cfRule>
    <cfRule type="cellIs" dxfId="1652" priority="96" operator="equal">
      <formula>"PUR"</formula>
    </cfRule>
    <cfRule type="cellIs" dxfId="1651" priority="97" operator="equal">
      <formula>"BRO"</formula>
    </cfRule>
    <cfRule type="cellIs" dxfId="1650" priority="98" operator="equal">
      <formula>"YEL"</formula>
    </cfRule>
    <cfRule type="cellIs" dxfId="1649" priority="99" operator="equal">
      <formula>"BLU"</formula>
    </cfRule>
    <cfRule type="cellIs" dxfId="1648" priority="100" operator="equal">
      <formula>"WHI"</formula>
    </cfRule>
    <cfRule type="cellIs" dxfId="1647" priority="101" operator="equal">
      <formula>"GRE"</formula>
    </cfRule>
    <cfRule type="cellIs" dxfId="1646" priority="102" operator="equal">
      <formula>"RED"</formula>
    </cfRule>
    <cfRule type="cellIs" dxfId="1645" priority="103" operator="equal">
      <formula>"BLA"</formula>
    </cfRule>
  </conditionalFormatting>
  <conditionalFormatting sqref="BZ5:CA5 CD5:CF5">
    <cfRule type="cellIs" dxfId="1644" priority="80" operator="greaterThan">
      <formula>0</formula>
    </cfRule>
  </conditionalFormatting>
  <conditionalFormatting sqref="IC5:IK5">
    <cfRule type="expression" dxfId="1643" priority="81">
      <formula>$IL5&gt;0</formula>
    </cfRule>
  </conditionalFormatting>
  <conditionalFormatting sqref="J5">
    <cfRule type="colorScale" priority="105">
      <colorScale>
        <cfvo type="min"/>
        <cfvo type="percentile" val="50"/>
        <cfvo type="max"/>
        <color rgb="FFF8696B"/>
        <color rgb="FFFFEB84"/>
        <color rgb="FF63BE7B"/>
      </colorScale>
    </cfRule>
  </conditionalFormatting>
  <conditionalFormatting sqref="S5">
    <cfRule type="colorScale" priority="106">
      <colorScale>
        <cfvo type="min"/>
        <cfvo type="max"/>
        <color rgb="FFFCFCFF"/>
        <color rgb="FF754BFB"/>
      </colorScale>
    </cfRule>
  </conditionalFormatting>
  <conditionalFormatting sqref="AT5">
    <cfRule type="colorScale" priority="107">
      <colorScale>
        <cfvo type="min"/>
        <cfvo type="max"/>
        <color rgb="FFFCFCFF"/>
        <color theme="8" tint="0.39997558519241921"/>
      </colorScale>
    </cfRule>
  </conditionalFormatting>
  <conditionalFormatting sqref="CG5">
    <cfRule type="colorScale" priority="108">
      <colorScale>
        <cfvo type="min"/>
        <cfvo type="max"/>
        <color rgb="FFFCFCFF"/>
        <color rgb="FF63BE7B"/>
      </colorScale>
    </cfRule>
  </conditionalFormatting>
  <conditionalFormatting sqref="H6">
    <cfRule type="cellIs" dxfId="1642" priority="41" stopIfTrue="1" operator="notEqual">
      <formula>""</formula>
    </cfRule>
  </conditionalFormatting>
  <conditionalFormatting sqref="R6 CU6">
    <cfRule type="cellIs" dxfId="1641" priority="43" operator="greaterThan">
      <formula>0</formula>
    </cfRule>
  </conditionalFormatting>
  <conditionalFormatting sqref="T6:AS6 CH6:CS6">
    <cfRule type="cellIs" dxfId="1640" priority="38" stopIfTrue="1" operator="equal">
      <formula>"n"</formula>
    </cfRule>
    <cfRule type="cellIs" dxfId="1639" priority="39" stopIfTrue="1" operator="equal">
      <formula>"y"</formula>
    </cfRule>
    <cfRule type="cellIs" dxfId="1638" priority="40" operator="greaterThan">
      <formula>0</formula>
    </cfRule>
  </conditionalFormatting>
  <conditionalFormatting sqref="AZ6:BB6">
    <cfRule type="expression" dxfId="1637" priority="37">
      <formula>$AT6=0</formula>
    </cfRule>
  </conditionalFormatting>
  <conditionalFormatting sqref="AZ6:BU6">
    <cfRule type="cellIs" dxfId="1636" priority="46" operator="equal">
      <formula>"PIN"</formula>
    </cfRule>
    <cfRule type="cellIs" dxfId="1635" priority="47" operator="equal">
      <formula>"ORA"</formula>
    </cfRule>
    <cfRule type="cellIs" dxfId="1634" priority="48" operator="equal">
      <formula>"GRA"</formula>
    </cfRule>
    <cfRule type="cellIs" dxfId="1633" priority="49" operator="equal">
      <formula>"PUR"</formula>
    </cfRule>
    <cfRule type="cellIs" dxfId="1632" priority="50" operator="equal">
      <formula>"BRO"</formula>
    </cfRule>
    <cfRule type="cellIs" dxfId="1631" priority="51" operator="equal">
      <formula>"YEL"</formula>
    </cfRule>
    <cfRule type="cellIs" dxfId="1630" priority="52" operator="equal">
      <formula>"BLU"</formula>
    </cfRule>
    <cfRule type="cellIs" dxfId="1629" priority="53" operator="equal">
      <formula>"WHI"</formula>
    </cfRule>
    <cfRule type="cellIs" dxfId="1628" priority="54" operator="equal">
      <formula>"GRE"</formula>
    </cfRule>
    <cfRule type="cellIs" dxfId="1627" priority="55" operator="equal">
      <formula>"RED"</formula>
    </cfRule>
    <cfRule type="cellIs" dxfId="1626" priority="56" operator="equal">
      <formula>"BLA"</formula>
    </cfRule>
  </conditionalFormatting>
  <conditionalFormatting sqref="BV6">
    <cfRule type="cellIs" dxfId="1625" priority="68" operator="equal">
      <formula>"nc"</formula>
    </cfRule>
  </conditionalFormatting>
  <conditionalFormatting sqref="BX6:CA6 CD6:CF6">
    <cfRule type="cellIs" dxfId="1624" priority="42" operator="equal">
      <formula>"y"</formula>
    </cfRule>
    <cfRule type="cellIs" dxfId="1623" priority="57" operator="equal">
      <formula>"PIN"</formula>
    </cfRule>
    <cfRule type="cellIs" dxfId="1622" priority="58" operator="equal">
      <formula>"ORA"</formula>
    </cfRule>
    <cfRule type="cellIs" dxfId="1621" priority="59" operator="equal">
      <formula>"GRA"</formula>
    </cfRule>
    <cfRule type="cellIs" dxfId="1620" priority="60" operator="equal">
      <formula>"PUR"</formula>
    </cfRule>
    <cfRule type="cellIs" dxfId="1619" priority="61" operator="equal">
      <formula>"BRO"</formula>
    </cfRule>
    <cfRule type="cellIs" dxfId="1618" priority="62" operator="equal">
      <formula>"YEL"</formula>
    </cfRule>
    <cfRule type="cellIs" dxfId="1617" priority="63" operator="equal">
      <formula>"BLU"</formula>
    </cfRule>
    <cfRule type="cellIs" dxfId="1616" priority="64" operator="equal">
      <formula>"WHI"</formula>
    </cfRule>
    <cfRule type="cellIs" dxfId="1615" priority="65" operator="equal">
      <formula>"GRE"</formula>
    </cfRule>
    <cfRule type="cellIs" dxfId="1614" priority="66" operator="equal">
      <formula>"RED"</formula>
    </cfRule>
    <cfRule type="cellIs" dxfId="1613" priority="67" operator="equal">
      <formula>"BLA"</formula>
    </cfRule>
  </conditionalFormatting>
  <conditionalFormatting sqref="BZ6:CA6 CD6:CF6">
    <cfRule type="cellIs" dxfId="1612" priority="44" operator="greaterThan">
      <formula>0</formula>
    </cfRule>
  </conditionalFormatting>
  <conditionalFormatting sqref="IC6:IK6">
    <cfRule type="expression" dxfId="1611" priority="45">
      <formula>$IL6&gt;0</formula>
    </cfRule>
  </conditionalFormatting>
  <conditionalFormatting sqref="J6">
    <cfRule type="colorScale" priority="69">
      <colorScale>
        <cfvo type="min"/>
        <cfvo type="percentile" val="50"/>
        <cfvo type="max"/>
        <color rgb="FFF8696B"/>
        <color rgb="FFFFEB84"/>
        <color rgb="FF63BE7B"/>
      </colorScale>
    </cfRule>
  </conditionalFormatting>
  <conditionalFormatting sqref="S6">
    <cfRule type="colorScale" priority="70">
      <colorScale>
        <cfvo type="min"/>
        <cfvo type="max"/>
        <color rgb="FFFCFCFF"/>
        <color rgb="FF754BFB"/>
      </colorScale>
    </cfRule>
  </conditionalFormatting>
  <conditionalFormatting sqref="AT6">
    <cfRule type="colorScale" priority="71">
      <colorScale>
        <cfvo type="min"/>
        <cfvo type="max"/>
        <color rgb="FFFCFCFF"/>
        <color theme="8" tint="0.39997558519241921"/>
      </colorScale>
    </cfRule>
  </conditionalFormatting>
  <conditionalFormatting sqref="CG6">
    <cfRule type="colorScale" priority="72">
      <colorScale>
        <cfvo type="min"/>
        <cfvo type="max"/>
        <color rgb="FFFCFCFF"/>
        <color rgb="FF63BE7B"/>
      </colorScale>
    </cfRule>
  </conditionalFormatting>
  <conditionalFormatting sqref="H7">
    <cfRule type="cellIs" dxfId="1610" priority="5" stopIfTrue="1" operator="notEqual">
      <formula>""</formula>
    </cfRule>
  </conditionalFormatting>
  <conditionalFormatting sqref="R7 CU7">
    <cfRule type="cellIs" dxfId="1609" priority="7" operator="greaterThan">
      <formula>0</formula>
    </cfRule>
  </conditionalFormatting>
  <conditionalFormatting sqref="T7:AS7 CH7:CS7">
    <cfRule type="cellIs" dxfId="1608" priority="2" stopIfTrue="1" operator="equal">
      <formula>"n"</formula>
    </cfRule>
    <cfRule type="cellIs" dxfId="1607" priority="3" stopIfTrue="1" operator="equal">
      <formula>"y"</formula>
    </cfRule>
    <cfRule type="cellIs" dxfId="1606" priority="4" operator="greaterThan">
      <formula>0</formula>
    </cfRule>
  </conditionalFormatting>
  <conditionalFormatting sqref="AZ7:BB7">
    <cfRule type="expression" dxfId="1605" priority="1">
      <formula>$AT7=0</formula>
    </cfRule>
  </conditionalFormatting>
  <conditionalFormatting sqref="AZ7:BU7">
    <cfRule type="cellIs" dxfId="1604" priority="10" operator="equal">
      <formula>"PIN"</formula>
    </cfRule>
    <cfRule type="cellIs" dxfId="1603" priority="11" operator="equal">
      <formula>"ORA"</formula>
    </cfRule>
    <cfRule type="cellIs" dxfId="1602" priority="12" operator="equal">
      <formula>"GRA"</formula>
    </cfRule>
    <cfRule type="cellIs" dxfId="1601" priority="13" operator="equal">
      <formula>"PUR"</formula>
    </cfRule>
    <cfRule type="cellIs" dxfId="1600" priority="14" operator="equal">
      <formula>"BRO"</formula>
    </cfRule>
    <cfRule type="cellIs" dxfId="1599" priority="15" operator="equal">
      <formula>"YEL"</formula>
    </cfRule>
    <cfRule type="cellIs" dxfId="1598" priority="16" operator="equal">
      <formula>"BLU"</formula>
    </cfRule>
    <cfRule type="cellIs" dxfId="1597" priority="17" operator="equal">
      <formula>"WHI"</formula>
    </cfRule>
    <cfRule type="cellIs" dxfId="1596" priority="18" operator="equal">
      <formula>"GRE"</formula>
    </cfRule>
    <cfRule type="cellIs" dxfId="1595" priority="19" operator="equal">
      <formula>"RED"</formula>
    </cfRule>
    <cfRule type="cellIs" dxfId="1594" priority="20" operator="equal">
      <formula>"BLA"</formula>
    </cfRule>
  </conditionalFormatting>
  <conditionalFormatting sqref="BV7">
    <cfRule type="cellIs" dxfId="1593" priority="32" operator="equal">
      <formula>"nc"</formula>
    </cfRule>
  </conditionalFormatting>
  <conditionalFormatting sqref="BX7:CA7 CD7:CF7">
    <cfRule type="cellIs" dxfId="1592" priority="6" operator="equal">
      <formula>"y"</formula>
    </cfRule>
    <cfRule type="cellIs" dxfId="1591" priority="21" operator="equal">
      <formula>"PIN"</formula>
    </cfRule>
    <cfRule type="cellIs" dxfId="1590" priority="22" operator="equal">
      <formula>"ORA"</formula>
    </cfRule>
    <cfRule type="cellIs" dxfId="1589" priority="23" operator="equal">
      <formula>"GRA"</formula>
    </cfRule>
    <cfRule type="cellIs" dxfId="1588" priority="24" operator="equal">
      <formula>"PUR"</formula>
    </cfRule>
    <cfRule type="cellIs" dxfId="1587" priority="25" operator="equal">
      <formula>"BRO"</formula>
    </cfRule>
    <cfRule type="cellIs" dxfId="1586" priority="26" operator="equal">
      <formula>"YEL"</formula>
    </cfRule>
    <cfRule type="cellIs" dxfId="1585" priority="27" operator="equal">
      <formula>"BLU"</formula>
    </cfRule>
    <cfRule type="cellIs" dxfId="1584" priority="28" operator="equal">
      <formula>"WHI"</formula>
    </cfRule>
    <cfRule type="cellIs" dxfId="1583" priority="29" operator="equal">
      <formula>"GRE"</formula>
    </cfRule>
    <cfRule type="cellIs" dxfId="1582" priority="30" operator="equal">
      <formula>"RED"</formula>
    </cfRule>
    <cfRule type="cellIs" dxfId="1581" priority="31" operator="equal">
      <formula>"BLA"</formula>
    </cfRule>
  </conditionalFormatting>
  <conditionalFormatting sqref="BZ7:CA7 CD7:CF7">
    <cfRule type="cellIs" dxfId="1580" priority="8" operator="greaterThan">
      <formula>0</formula>
    </cfRule>
  </conditionalFormatting>
  <conditionalFormatting sqref="IC7:IK7">
    <cfRule type="expression" dxfId="1579" priority="9">
      <formula>$IL7&gt;0</formula>
    </cfRule>
  </conditionalFormatting>
  <conditionalFormatting sqref="J7">
    <cfRule type="colorScale" priority="33">
      <colorScale>
        <cfvo type="min"/>
        <cfvo type="percentile" val="50"/>
        <cfvo type="max"/>
        <color rgb="FFF8696B"/>
        <color rgb="FFFFEB84"/>
        <color rgb="FF63BE7B"/>
      </colorScale>
    </cfRule>
  </conditionalFormatting>
  <conditionalFormatting sqref="S7">
    <cfRule type="colorScale" priority="34">
      <colorScale>
        <cfvo type="min"/>
        <cfvo type="max"/>
        <color rgb="FFFCFCFF"/>
        <color rgb="FF754BFB"/>
      </colorScale>
    </cfRule>
  </conditionalFormatting>
  <conditionalFormatting sqref="AT7">
    <cfRule type="colorScale" priority="35">
      <colorScale>
        <cfvo type="min"/>
        <cfvo type="max"/>
        <color rgb="FFFCFCFF"/>
        <color theme="8" tint="0.39997558519241921"/>
      </colorScale>
    </cfRule>
  </conditionalFormatting>
  <conditionalFormatting sqref="CG7">
    <cfRule type="colorScale" priority="36">
      <colorScale>
        <cfvo type="min"/>
        <cfvo type="max"/>
        <color rgb="FFFCFCFF"/>
        <color rgb="FF63BE7B"/>
      </colorScale>
    </cfRule>
  </conditionalFormatting>
  <hyperlinks>
    <hyperlink ref="A2" r:id="rId1" display="https://fbref.com/en/country/TAH/Tahiti-Football" xr:uid="{2CBE33DE-497F-4CA6-ACAD-36A890FBBC3E}"/>
    <hyperlink ref="E2" r:id="rId2" xr:uid="{7720F22C-7475-4192-99C1-0FB901A198C8}"/>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25C17-6FAE-42BA-AC14-1E7F62D167C8}">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221</v>
      </c>
      <c r="B2" s="40" t="e" vm="43">
        <v>#VALUE!</v>
      </c>
      <c r="C2" s="41">
        <v>1</v>
      </c>
      <c r="D2" s="42" t="s">
        <v>222</v>
      </c>
      <c r="E2" s="43" t="s">
        <v>222</v>
      </c>
      <c r="F2" s="44" t="s">
        <v>166</v>
      </c>
      <c r="G2" s="45">
        <f>COUNTIF($A$1:$A$8197,A2)</f>
        <v>1</v>
      </c>
      <c r="H2" s="46"/>
      <c r="I2" s="47" t="s">
        <v>223</v>
      </c>
      <c r="J2" s="48" t="str">
        <f>""</f>
        <v/>
      </c>
      <c r="K2" s="49">
        <v>172000</v>
      </c>
      <c r="L2" s="50">
        <v>1500000</v>
      </c>
      <c r="M2" s="50" t="s">
        <v>224</v>
      </c>
      <c r="N2" s="51" t="s">
        <v>169</v>
      </c>
      <c r="O2" s="52" t="s">
        <v>225</v>
      </c>
      <c r="P2" s="53" t="s">
        <v>226</v>
      </c>
      <c r="Q2" s="54">
        <v>1</v>
      </c>
      <c r="R2" s="55" t="s">
        <v>227</v>
      </c>
      <c r="S2" s="56">
        <v>0</v>
      </c>
      <c r="T2" s="57" t="s">
        <v>173</v>
      </c>
      <c r="U2" s="58" t="s">
        <v>173</v>
      </c>
      <c r="V2" s="58" t="s">
        <v>173</v>
      </c>
      <c r="W2" s="58" t="s">
        <v>173</v>
      </c>
      <c r="X2" s="58" t="s">
        <v>173</v>
      </c>
      <c r="Y2" s="58" t="s">
        <v>173</v>
      </c>
      <c r="Z2" s="58" t="s">
        <v>173</v>
      </c>
      <c r="AA2" s="58" t="s">
        <v>172</v>
      </c>
      <c r="AB2" s="58" t="s">
        <v>172</v>
      </c>
      <c r="AC2" s="58" t="s">
        <v>173</v>
      </c>
      <c r="AD2" s="58" t="s">
        <v>173</v>
      </c>
      <c r="AE2" s="58" t="s">
        <v>173</v>
      </c>
      <c r="AF2" s="59" t="s">
        <v>173</v>
      </c>
      <c r="AG2" s="59" t="s">
        <v>173</v>
      </c>
      <c r="AH2" s="59" t="s">
        <v>172</v>
      </c>
      <c r="AI2" s="59" t="s">
        <v>173</v>
      </c>
      <c r="AJ2" s="59" t="s">
        <v>173</v>
      </c>
      <c r="AK2" s="59" t="s">
        <v>173</v>
      </c>
      <c r="AL2" s="59" t="s">
        <v>172</v>
      </c>
      <c r="AM2" s="59" t="s">
        <v>172</v>
      </c>
      <c r="AN2" s="59" t="s">
        <v>173</v>
      </c>
      <c r="AO2" s="59" t="s">
        <v>173</v>
      </c>
      <c r="AP2" s="59" t="s">
        <v>172</v>
      </c>
      <c r="AQ2" s="59" t="s">
        <v>173</v>
      </c>
      <c r="AR2" s="59" t="s">
        <v>173</v>
      </c>
      <c r="AS2" s="59" t="s">
        <v>172</v>
      </c>
      <c r="AT2" s="60">
        <v>0</v>
      </c>
      <c r="AU2" s="59"/>
      <c r="AV2" s="59" t="str">
        <f>IF(LEFT(A2,1)="[",LEFT(A2,5)&amp;AU2&amp;A2,"")</f>
        <v/>
      </c>
      <c r="AW2" s="59" t="str">
        <f>C2&amp;H2&amp;A2</f>
        <v>1Guam</v>
      </c>
      <c r="AX2" s="61"/>
      <c r="AY2" s="61"/>
      <c r="AZ2" s="62"/>
      <c r="BA2" s="62"/>
      <c r="BB2" s="62"/>
      <c r="BC2" s="63"/>
      <c r="BD2" s="64" t="s">
        <v>159</v>
      </c>
      <c r="BE2" s="47"/>
      <c r="BF2" s="64"/>
      <c r="BG2" s="64"/>
      <c r="BH2" s="64"/>
      <c r="BI2" s="64" t="s">
        <v>152</v>
      </c>
      <c r="BJ2" s="64"/>
      <c r="BK2" s="47"/>
      <c r="BL2" s="64" t="s">
        <v>159</v>
      </c>
      <c r="BM2" s="64" t="s">
        <v>152</v>
      </c>
      <c r="BN2" s="64"/>
      <c r="BO2" s="64"/>
      <c r="BP2" s="64"/>
      <c r="BQ2" s="64"/>
      <c r="BR2" s="64"/>
      <c r="BS2" s="64"/>
      <c r="BT2" s="64"/>
      <c r="BU2" s="65"/>
      <c r="BV2" s="66"/>
      <c r="BW2" s="66">
        <v>0</v>
      </c>
      <c r="BX2" s="47"/>
      <c r="CB2" s="6"/>
      <c r="CC2" s="6"/>
      <c r="CD2" s="67">
        <v>0</v>
      </c>
      <c r="CE2" s="67">
        <v>0</v>
      </c>
      <c r="CF2" s="67" t="e">
        <v>#REF!</v>
      </c>
      <c r="CG2" s="68" cm="1">
        <f t="array" ref="CG2">SUMPRODUCT(--(LEN(TRIM(BL2:BT2))&gt;0))</f>
        <v>2</v>
      </c>
      <c r="CH2" s="59" t="str">
        <f t="shared" ref="CH2" si="0">IF(CG2=2,"y","n")</f>
        <v>y</v>
      </c>
      <c r="CI2" s="59" t="str">
        <f t="shared" ref="CI2" si="1">IF(CG2=3,"y","n")</f>
        <v>n</v>
      </c>
      <c r="CJ2" s="59" t="str">
        <f t="shared" ref="CJ2" si="2">IF(CG2=4,"y","n")</f>
        <v>n</v>
      </c>
      <c r="CK2" s="59" t="str">
        <f t="shared" ref="CK2" si="3">IF(CG2&gt;4,"y","n")</f>
        <v>n</v>
      </c>
      <c r="CL2" s="59" t="str">
        <f t="shared" ref="CL2" si="4">IF(S2=0,"y","n")</f>
        <v>y</v>
      </c>
      <c r="CM2" s="59" t="str">
        <f t="shared" ref="CM2" si="5">IF(S2=2,"y","n")</f>
        <v>n</v>
      </c>
      <c r="CN2" s="59" t="str">
        <f t="shared" ref="CN2" si="6">IF(S2=3,"y","n")</f>
        <v>n</v>
      </c>
      <c r="CO2" s="59" t="str">
        <f t="shared" ref="CO2" si="7">IF(S2&gt;=4,"y","n")</f>
        <v>n</v>
      </c>
      <c r="CP2" s="59" t="str">
        <f t="shared" ref="CP2" si="8">IF(AT2=0,"y","n")</f>
        <v>y</v>
      </c>
      <c r="CQ2" s="59" t="str">
        <f t="shared" ref="CQ2" si="9">IF(AT2=1,"y","n")</f>
        <v>n</v>
      </c>
      <c r="CR2" s="59" t="str">
        <f t="shared" ref="CR2" si="10">IF(AT2=2,"y","n")</f>
        <v>n</v>
      </c>
      <c r="CS2" s="59" t="str">
        <f t="shared" ref="CS2" si="11">IF(AT2&gt;=3,"y","n")</f>
        <v>n</v>
      </c>
      <c r="CT2" s="69" t="str">
        <f t="shared" ref="CT2" si="12">CHAR(34)&amp;A2&amp;CHAR(34)</f>
        <v>"Guam"</v>
      </c>
      <c r="CU2" s="70" t="str">
        <f t="shared" ref="CU2" si="13">CHAR(34)&amp;"rgn_"&amp;R2&amp;CHAR(34)</f>
        <v>"rgn_Oceania, rgn_North America"</v>
      </c>
      <c r="CV2" s="48" t="str">
        <f t="shared" ref="CV2" si="14">CHAR(34)&amp;D2&amp;CHAR(34)</f>
        <v>"https://upload.wikimedia.org/wikipedia/commons/thumb/0/07/Flag_of_Guam.svg/2560px-Flag_of_Guam.svg.png"</v>
      </c>
      <c r="CW2" s="48" t="str">
        <f t="shared" ref="CW2:CZ3" si="15">IF(CH2="y",CHAR(34)&amp;CH$1&amp;CHAR(34)&amp;",","")</f>
        <v>"2Color",</v>
      </c>
      <c r="CX2" s="48" t="str">
        <f t="shared" si="15"/>
        <v/>
      </c>
      <c r="CY2" s="48" t="str">
        <f t="shared" si="15"/>
        <v/>
      </c>
      <c r="CZ2" s="48" t="str">
        <f t="shared" si="15"/>
        <v/>
      </c>
      <c r="DA2" s="48" t="str">
        <f t="shared" ref="DA2" si="16">IF(Q2&gt;1,CHAR(34)&amp;"words2"&amp;CHAR(34)&amp;",","")</f>
        <v/>
      </c>
      <c r="DB2" s="48" t="str">
        <f t="shared" ref="DB2"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"startG",</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"BLUWHI",</v>
      </c>
      <c r="DM2" s="48" t="str" cm="1">
        <f t="array" ref="DM2">IF(CG2=3,CHAR(34) &amp; _xlfn.TEXTJOIN("", TRUE, RIGHT(HP2:HX2, 2)) &amp; CHAR(34) &amp; ",", "")</f>
        <v/>
      </c>
      <c r="DN2" s="48" t="str">
        <f t="shared" ref="DN2" si="28">IF(AND(ISNUMBER(SEARCH("18", O2)), ISERROR(SEARCH("1918", O2)), ISERROR(SEARCH("2018", O2))), CHAR(34) &amp; "year18" &amp; CHAR(34) &amp; ",", "")</f>
        <v/>
      </c>
      <c r="DO2" s="48" t="str">
        <f t="shared" ref="DO2" si="29">IF(AND(ISNUMBER(SEARCH("19", O2)), ISERROR(SEARCH("1819", O2)),  ISERROR(SEARCH("1219", O2)),ISERROR(SEARCH("1119", O2)),ISERROR(SEARCH("1190", O2)),ISERROR(SEARCH("2019", O2))), CHAR(34) &amp; "year19" &amp; CHAR(34) &amp; ",", "")</f>
        <v>"year19",</v>
      </c>
      <c r="DP2" s="6" t="str">
        <f t="shared" ref="DP2" si="30">IF(AND(ISNUMBER(SEARCH("20", O2)), ISERROR(SEARCH("1920", O2))), CHAR(34)&amp;"year00"&amp;CHAR(34)&amp;",", "")</f>
        <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"largec",</v>
      </c>
      <c r="DW2" s="48" t="str">
        <f t="shared" ref="DW2:DZ3" si="37">IF(CL2="y",CHAR(34)&amp;CL$1&amp;CHAR(34)&amp;",","")</f>
        <v>"NoBand",</v>
      </c>
      <c r="DX2" s="48" t="str">
        <f t="shared" si="37"/>
        <v/>
      </c>
      <c r="DY2" s="48" t="str">
        <f t="shared" si="37"/>
        <v/>
      </c>
      <c r="DZ2" s="48" t="str">
        <f t="shared" si="37"/>
        <v/>
      </c>
      <c r="EA2" s="48" t="str">
        <f t="shared" ref="EA2:EE3" si="38">IF(T2="y",CHAR(34)&amp;T$1&amp;CHAR(34)&amp;",","")</f>
        <v/>
      </c>
      <c r="EB2" s="48" t="str">
        <f t="shared" si="38"/>
        <v/>
      </c>
      <c r="EC2" s="48" t="str">
        <f t="shared" si="38"/>
        <v/>
      </c>
      <c r="ED2" s="48" t="str">
        <f t="shared" si="38"/>
        <v/>
      </c>
      <c r="EE2" s="48" t="str">
        <f t="shared" si="38"/>
        <v/>
      </c>
      <c r="EF2" s="48" t="str">
        <f t="shared" ref="EF2" si="39">IF(AND(Y2&lt;&gt;"n",Y2&lt;&gt;""),CHAR(34)&amp;Y$1&amp;CHAR(34)&amp;",","")</f>
        <v/>
      </c>
      <c r="EG2" s="48" t="str">
        <f t="shared" ref="EG2:EZ3" si="40">IF(Z2="y",CHAR(34)&amp;Z$1&amp;CHAR(34)&amp;",","")</f>
        <v/>
      </c>
      <c r="EH2" s="48" t="str">
        <f t="shared" si="40"/>
        <v>"Plants",</v>
      </c>
      <c r="EI2" s="48" t="str">
        <f t="shared" si="40"/>
        <v>"Texted",</v>
      </c>
      <c r="EJ2" s="48" t="str">
        <f t="shared" si="40"/>
        <v/>
      </c>
      <c r="EK2" s="48" t="str">
        <f t="shared" si="40"/>
        <v/>
      </c>
      <c r="EL2" s="48" t="str">
        <f t="shared" si="40"/>
        <v/>
      </c>
      <c r="EM2" s="48" t="str">
        <f t="shared" si="40"/>
        <v/>
      </c>
      <c r="EN2" s="48" t="str">
        <f t="shared" si="40"/>
        <v/>
      </c>
      <c r="EO2" s="48" t="str">
        <f t="shared" si="40"/>
        <v>"Center",</v>
      </c>
      <c r="EP2" s="48" t="str">
        <f t="shared" si="40"/>
        <v/>
      </c>
      <c r="EQ2" s="48" t="str">
        <f t="shared" si="40"/>
        <v/>
      </c>
      <c r="ER2" s="48" t="str">
        <f t="shared" si="40"/>
        <v/>
      </c>
      <c r="ES2" s="48" t="str">
        <f t="shared" si="40"/>
        <v>"Wavess",</v>
      </c>
      <c r="ET2" s="48" t="str">
        <f t="shared" si="40"/>
        <v>"Geogrh",</v>
      </c>
      <c r="EU2" s="48" t="str">
        <f t="shared" si="40"/>
        <v/>
      </c>
      <c r="EV2" s="48" t="str">
        <f t="shared" si="40"/>
        <v/>
      </c>
      <c r="EW2" s="48" t="str">
        <f t="shared" si="40"/>
        <v>"Ships!",</v>
      </c>
      <c r="EX2" s="48" t="str">
        <f t="shared" si="40"/>
        <v/>
      </c>
      <c r="EY2" s="48" t="str">
        <f t="shared" si="40"/>
        <v/>
      </c>
      <c r="EZ2" s="48" t="str">
        <f t="shared" si="40"/>
        <v>"Waters",</v>
      </c>
      <c r="FA2" s="48" t="str">
        <f t="shared" ref="FA2" si="41">IF(AT2&gt;0,CHAR(34)&amp;"sta"&amp;AZ2&amp;CHAR(34)&amp;",","")</f>
        <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"NO_RED",</v>
      </c>
      <c r="FH2" s="48" t="str">
        <f t="shared" ref="FH2" si="48">IF(COUNTIF(BL2:BS2,"GRE")=0,CHAR(34)&amp;"NO_GRE"&amp;CHAR(34)&amp;",", "")</f>
        <v>"NO_GRE",</v>
      </c>
      <c r="FI2" s="48" t="str">
        <f t="shared" ref="FI2" si="49">IF(COUNTIF(BL2:BT2,"YEL")=0,CHAR(34)&amp;"NO_YEL"&amp;CHAR(34)&amp;",", "")</f>
        <v>"NO_YEL",</v>
      </c>
      <c r="FJ2" s="48" t="str">
        <f t="shared" ref="FJ2" si="50">IF(COUNTIF(BL2:BT2,"BLA")=0,CHAR(34)&amp;"NO_BLA"&amp;CHAR(34)&amp;",", "")</f>
        <v>"NO_BLA",</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"myrWHI",</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IFERROR(IF(SEARCH("Histor",AU2)&gt;0,CHAR(34)&amp;"histor"&amp;CHAR(34)&amp;",",""),"")</f>
        <v/>
      </c>
      <c r="GG2" s="48" t="str">
        <f t="shared" ref="GG2" si="72">IF(BU2="y",CHAR(34)&amp;"unjack"&amp;CHAR(34)&amp;",","")</f>
        <v/>
      </c>
      <c r="GH2" s="48" t="str">
        <f t="shared" ref="GH2" si="73">IF(CD2=1,CHAR(34)&amp;"southc"&amp;CHAR(34)&amp;",","")</f>
        <v/>
      </c>
      <c r="GI2" s="48" t="str">
        <f t="shared" ref="GI2" si="74">IF(CE2=1,CHAR(34)&amp;"hasmap"&amp;CHAR(34)&amp;",","")</f>
        <v/>
      </c>
      <c r="GJ2" s="48" t="str">
        <f t="shared" ref="GJ2" si="75">IF(CP2="y",CHAR(34)&amp;CP$1&amp;CHAR(34)&amp;",","")</f>
        <v>"NoStar",</v>
      </c>
      <c r="GK2" s="48" t="str">
        <f t="shared" ref="GK2" si="76">IF(GJ2="",CHAR(34)&amp;"HasSta"&amp;CHAR(34)&amp;",","")</f>
        <v/>
      </c>
      <c r="GL2" s="48" t="str">
        <f t="shared" ref="GL2:GN3" si="77">IF(CQ2="y",CHAR(34)&amp;CQ$1&amp;CHAR(34)&amp;",","")</f>
        <v/>
      </c>
      <c r="GM2" s="48" t="str">
        <f t="shared" si="77"/>
        <v/>
      </c>
      <c r="GN2" s="48" t="str">
        <f t="shared" si="77"/>
        <v/>
      </c>
      <c r="GP2" s="48" t="str">
        <f t="shared" ref="GP2" si="78">CHAR(34)&amp;AU2&amp;CHAR(34)</f>
        <v>""</v>
      </c>
      <c r="GS2" s="48" t="str">
        <f t="shared" ref="GS2" si="79">SUBSTITUTE("["&amp;_xlfn.CONCAT(CW2:GN2)&amp;"]",",]","]")</f>
        <v>["2Color","lets04","startG","BLUWHI","year19","largec","NoBand","Plants","Texted","Center","Wavess","Geogrh","Ships!","Waters","NO_RED","NO_GRE","NO_YEL","NO_BLA","myrWHI","NoStar"]</v>
      </c>
      <c r="GT2" s="48" t="str">
        <f t="shared" ref="GT2:HB3" si="80">IF(BL2&lt;&gt;"",CHAR(34)&amp;"cl_"&amp;BL2&amp;CHAR(34)&amp;",","")</f>
        <v>"cl_WHI",</v>
      </c>
      <c r="GU2" s="48" t="str">
        <f t="shared" si="80"/>
        <v>"cl_BLU",</v>
      </c>
      <c r="GV2" s="48" t="str">
        <f t="shared" si="80"/>
        <v/>
      </c>
      <c r="GW2" s="48" t="str">
        <f t="shared" si="80"/>
        <v/>
      </c>
      <c r="GX2" s="48" t="str">
        <f t="shared" si="80"/>
        <v/>
      </c>
      <c r="GY2" s="48" t="str">
        <f t="shared" si="80"/>
        <v/>
      </c>
      <c r="GZ2" s="48" t="str">
        <f t="shared" si="80"/>
        <v/>
      </c>
      <c r="HA2" s="48" t="str">
        <f t="shared" si="80"/>
        <v/>
      </c>
      <c r="HB2" s="48" t="str">
        <f t="shared" si="80"/>
        <v/>
      </c>
      <c r="HC2" s="48" t="str">
        <f t="shared" ref="HC2" si="81">SUBSTITUTE("["&amp;_xlfn.CONCAT(GT2:HB2)&amp;"]",",]","]")</f>
        <v>["cl_WHI","cl_BLU"]</v>
      </c>
      <c r="HE2" s="71"/>
      <c r="HF2" s="72" t="str">
        <f t="shared" ref="HF2" si="82">"{couname:"&amp;CT2&amp;(IF(HK2&lt;&gt;"",",subtype:"&amp;CHAR(34)&amp;HK2&amp;CHAR(34),""))&amp;",year:"&amp;HJ2&amp;",region:"&amp;CU2&amp;",Colors:"&amp;HC2&amp;",Items:"&amp;GS2&amp;",Flag:"&amp;CV2&amp;",HDFlag:"&amp;CHAR(34)&amp;E2&amp;CHAR(34)&amp;",type:"&amp;GP2&amp;", describe: "&amp;HH2&amp;", isnew:"&amp;CHAR(34)&amp;F2&amp;CHAR(34)&amp;", links: "&amp;HL2&amp;"},"</f>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links: "https://en.wikipedia.org/wiki/Flag_of_Guam"},</v>
      </c>
      <c r="HG2" s="73" t="str">
        <f t="shared" ref="HG2" si="83">"{couname:"&amp;CT2&amp;(IF(HK2&lt;&gt;"",",subtype:"&amp;CHAR(34)&amp;HK2&amp;CHAR(34),""))&amp;",year:"&amp;HJ2&amp;",region:"&amp;CU2&amp;",Colors:"&amp;HC2&amp;",Items:"&amp;GS2&amp;",Flag:"&amp;CV2&amp;",HDFlag:"&amp;CHAR(34)&amp;E2&amp;CHAR(34)&amp;",type:"&amp;GP2&amp;", describe: "&amp;HI2&amp;", links: "&amp;HL2&amp;"},"</f>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links: "https://en.wikipedia.org/wiki/Flag_of_Guam"},</v>
      </c>
      <c r="HH2" s="48" t="str">
        <f t="shared" ref="HH2" si="84">IF(P2&lt;&gt;"",CHAR(34)&amp;"\n"&amp;P2&amp;CHAR(34),CHAR(34)&amp;CHAR(34))</f>
        <v>"\nThe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v>
      </c>
      <c r="HI2" s="48" t="str">
        <f t="shared" ref="HI2" si="85">IF(J2=0,CHAR(34)&amp;CHAR(34),HH2)</f>
        <v>"\nThe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v>
      </c>
      <c r="HJ2" s="48" t="str">
        <f t="shared" ref="HJ2" si="86">CHAR(34)&amp;O2&amp;CHAR(34)</f>
        <v>"1948 "</v>
      </c>
      <c r="HL2" s="48" t="str">
        <f t="shared" ref="HL2" si="87">CHAR(34)&amp;I2&amp;CHAR(34)</f>
        <v>"https://en.wikipedia.org/wiki/Flag_of_Guam"</v>
      </c>
      <c r="HM2" s="72" t="str">
        <f t="shared" ref="HM2"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 "links": "https://en.wikipedia.org/wiki/Flag_of_Guam"},</v>
      </c>
      <c r="HN2" s="74" t="str">
        <f t="shared" ref="HN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{"couname":"Guam","year":"1948 ","region":"rgn_Oceania, rgn_North America","Colors":["cl_WHI","cl_BLU"],"Items":["2Color","lets04","startG","BLUWHI","year19","largec","NoBand","Plants","Texted","Center","Wavess","Geogrh","Ships!","Waters","NO_RED","NO_GRE","NO_YEL","NO_BLA","myrWHI","NoStar"],"Flag":"https://upload.wikimedia.org/wikipedia/commons/thumb/0/07/Flag_of_Guam.svg/2560px-Flag_of_Guam.svg.png","HDFlag":"https://upload.wikimedia.org/wikipedia/commons/thumb/0/07/Flag_of_Guam.svg/2560px-Flag_of_Guam.svg.png","type":"", "describe": "\nThe red border – a later addition – represents the blood spilled during World War II and earlier Spanish sovereignty. In the center of the flag is the Seal of Guam; almond in shape, it depicts a proa sailing in Hagåtña Bay near Hagåtña, and GUAM in red letters. The shape of the emblem recalls the slingshot stones used by ancient Chamorro people. The landform in the background depicts the Two Lovers Point cliff on the northern edge of Tumon.", "isnew": ".", "links": "https://en.wikipedia.org/wiki/Flag_of_Guam"},</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0">SUM(IC2:IK2)</f>
        <v>0</v>
      </c>
      <c r="IM2" s="45">
        <f t="shared" ref="IM2" si="91">COUNTIF(IC2:IK2,"&gt;0")-CG2</f>
        <v>-2</v>
      </c>
      <c r="IN2" s="78" t="str">
        <f t="shared" ref="IN2" si="92">"http://mkweb.bcgsc.ca/color-summarizer/?url="&amp;D2&amp;"&amp;precision=low&amp;num_clusters="&amp;CG2&amp;"&amp;text=1"</f>
        <v>http://mkweb.bcgsc.ca/color-summarizer/?url=https://upload.wikimedia.org/wikipedia/commons/thumb/0/07/Flag_of_Guam.svg/2560px-Flag_of_Guam.svg.png&amp;precision=low&amp;num_clusters=2&amp;text=1</v>
      </c>
      <c r="IO2" s="48" t="str">
        <f t="shared" ref="IO2" si="93">IF(HP2&lt;&gt;"",CHAR(34)&amp;"black"&amp;CHAR(34),"")</f>
        <v/>
      </c>
      <c r="IP2" s="48" t="str">
        <f t="shared" ref="IP2" si="94">IF(HQ2&lt;&gt;"",CHAR(34)&amp;"blue"&amp;CHAR(34),"")</f>
        <v>"blue"</v>
      </c>
      <c r="IQ2" s="48" t="str">
        <f t="shared" ref="IQ2" si="95">IF(HR2&lt;&gt;"",CHAR(34)&amp;"green"&amp;CHAR(34),"")</f>
        <v/>
      </c>
      <c r="IR2" s="48" t="str">
        <f t="shared" ref="IR2" si="96">IF(HS2&lt;&gt;"",CHAR(34)&amp;"red"&amp;CHAR(34),"")</f>
        <v/>
      </c>
      <c r="IS2" s="48" t="str">
        <f t="shared" ref="IS2" si="97">IF(HT2&lt;&gt;"",CHAR(34)&amp;"yellow"&amp;CHAR(34),"")</f>
        <v/>
      </c>
      <c r="IT2" s="48" t="str">
        <f t="shared" ref="IT2" si="98">IF(HU2&lt;&gt;"",CHAR(34)&amp;"orange"&amp;CHAR(34),"")</f>
        <v/>
      </c>
      <c r="IU2" s="48" t="str">
        <f t="shared" ref="IU2" si="99">IF(HV2&lt;&gt;"",CHAR(34)&amp;"brown"&amp;CHAR(34),"")</f>
        <v/>
      </c>
      <c r="IV2" s="48" t="str">
        <f t="shared" ref="IV2" si="100">IF(HW2&lt;&gt;"",CHAR(34)&amp;"purple"&amp;CHAR(34),"")</f>
        <v/>
      </c>
      <c r="IW2" s="48" t="str">
        <f t="shared" ref="IW2" si="101">IF(HX2&lt;&gt;"",CHAR(34)&amp;"white"&amp;CHAR(34),"")</f>
        <v>"white"</v>
      </c>
      <c r="IX2" s="48" t="str">
        <f t="shared" ref="IX2" si="102">"{"&amp;CHAR(34)&amp;"url"&amp;CHAR(34)&amp;":"&amp;CHAR(34)&amp;IN2&amp;CHAR(34)&amp;","&amp;CHAR(34)&amp;"name"&amp;CHAR(34)&amp;":"&amp;CHAR(34)&amp;A2&amp;CHAR(34)&amp;"},"</f>
        <v>{"url":"http://mkweb.bcgsc.ca/color-summarizer/?url=https://upload.wikimedia.org/wikipedia/commons/thumb/0/07/Flag_of_Guam.svg/2560px-Flag_of_Guam.svg.png&amp;precision=low&amp;num_clusters=2&amp;text=1","name":"Guam"},</v>
      </c>
      <c r="IY2" s="48">
        <v>950</v>
      </c>
    </row>
    <row r="3" spans="1:259" s="48" customFormat="1" ht="38.4" customHeight="1" thickBot="1" x14ac:dyDescent="0.35">
      <c r="A3" s="79" t="s">
        <v>401</v>
      </c>
      <c r="B3" s="40" t="e" vm="44">
        <v>#VALUE!</v>
      </c>
      <c r="C3" s="41">
        <v>2</v>
      </c>
      <c r="D3" s="42" t="s">
        <v>402</v>
      </c>
      <c r="E3" s="43" t="s">
        <v>403</v>
      </c>
      <c r="F3" s="44" t="s">
        <v>166</v>
      </c>
      <c r="G3" s="45">
        <f>COUNTIF($A$1:$A$8197,A3)</f>
        <v>1</v>
      </c>
      <c r="H3" s="46"/>
      <c r="I3" s="47" t="s">
        <v>404</v>
      </c>
      <c r="J3" s="48" t="str">
        <f>""</f>
        <v/>
      </c>
      <c r="K3" s="49"/>
      <c r="L3" s="50"/>
      <c r="M3" s="50"/>
      <c r="N3" s="51" t="s">
        <v>169</v>
      </c>
      <c r="O3" s="52" t="s">
        <v>405</v>
      </c>
      <c r="P3" s="53" t="s">
        <v>406</v>
      </c>
      <c r="Q3" s="54">
        <v>1</v>
      </c>
      <c r="R3" s="55" t="s">
        <v>227</v>
      </c>
      <c r="S3" s="56">
        <v>2</v>
      </c>
      <c r="T3" s="57" t="s">
        <v>173</v>
      </c>
      <c r="U3" s="58" t="s">
        <v>172</v>
      </c>
      <c r="V3" s="58" t="s">
        <v>173</v>
      </c>
      <c r="W3" s="58" t="s">
        <v>172</v>
      </c>
      <c r="X3" s="58" t="s">
        <v>172</v>
      </c>
      <c r="Y3" s="58" t="s">
        <v>173</v>
      </c>
      <c r="Z3" s="58" t="s">
        <v>172</v>
      </c>
      <c r="AA3" s="58" t="s">
        <v>173</v>
      </c>
      <c r="AB3" s="58" t="s">
        <v>172</v>
      </c>
      <c r="AC3" s="58" t="s">
        <v>173</v>
      </c>
      <c r="AD3" s="58" t="s">
        <v>173</v>
      </c>
      <c r="AE3" s="58" t="s">
        <v>173</v>
      </c>
      <c r="AF3" s="59" t="s">
        <v>173</v>
      </c>
      <c r="AG3" s="59" t="s">
        <v>172</v>
      </c>
      <c r="AH3" s="59" t="s">
        <v>173</v>
      </c>
      <c r="AI3" s="59" t="s">
        <v>173</v>
      </c>
      <c r="AJ3" s="59" t="s">
        <v>173</v>
      </c>
      <c r="AK3" s="59" t="s">
        <v>173</v>
      </c>
      <c r="AL3" s="59" t="s">
        <v>173</v>
      </c>
      <c r="AM3" s="59" t="s">
        <v>172</v>
      </c>
      <c r="AN3" s="59" t="s">
        <v>172</v>
      </c>
      <c r="AO3" s="59" t="s">
        <v>172</v>
      </c>
      <c r="AP3" s="59" t="s">
        <v>173</v>
      </c>
      <c r="AQ3" s="59" t="s">
        <v>172</v>
      </c>
      <c r="AR3" s="59" t="s">
        <v>173</v>
      </c>
      <c r="AS3" s="59" t="s">
        <v>173</v>
      </c>
      <c r="AT3" s="60">
        <v>0</v>
      </c>
      <c r="AU3" s="59" t="s">
        <v>407</v>
      </c>
      <c r="AV3" s="59" t="str">
        <f>IF(LEFT(A3,1)="[",LEFT(A3,5)&amp;AU3&amp;A3,"")</f>
        <v>[GUM]Village, Capital[GUM] Hagatna</v>
      </c>
      <c r="AW3" s="59" t="str">
        <f>C3&amp;H3&amp;A3</f>
        <v>2[GUM] Hagatna</v>
      </c>
      <c r="AX3" s="61" t="str">
        <f>_xlfn.TEXTJOIN(";",TRUE,AU3:AW3)</f>
        <v>Village, Capital;[GUM]Village, Capital[GUM] Hagatna;2[GUM] Hagatna</v>
      </c>
      <c r="AY3" s="61" t="s">
        <v>172</v>
      </c>
      <c r="AZ3" s="62"/>
      <c r="BA3" s="62"/>
      <c r="BB3" s="62"/>
      <c r="BC3" s="63"/>
      <c r="BD3" s="64" t="s">
        <v>408</v>
      </c>
      <c r="BE3" s="47"/>
      <c r="BF3" s="64" t="s">
        <v>154</v>
      </c>
      <c r="BG3" s="64" t="s">
        <v>155</v>
      </c>
      <c r="BH3" s="64" t="s">
        <v>153</v>
      </c>
      <c r="BI3" s="64" t="s">
        <v>151</v>
      </c>
      <c r="BJ3" s="64"/>
      <c r="BK3" s="47"/>
      <c r="BL3" s="64" t="s">
        <v>154</v>
      </c>
      <c r="BM3" s="64" t="s">
        <v>153</v>
      </c>
      <c r="BN3" s="64" t="s">
        <v>151</v>
      </c>
      <c r="BO3" s="64" t="s">
        <v>155</v>
      </c>
      <c r="BP3" s="64"/>
      <c r="BQ3" s="64"/>
      <c r="BR3" s="64"/>
      <c r="BS3" s="64"/>
      <c r="BT3" s="64"/>
      <c r="BU3" s="65"/>
      <c r="BV3" s="66" t="s">
        <v>183</v>
      </c>
      <c r="BW3" s="66">
        <v>0</v>
      </c>
      <c r="BX3" s="47"/>
      <c r="BY3" s="48" t="s">
        <v>173</v>
      </c>
      <c r="CB3" s="6" t="s">
        <v>409</v>
      </c>
      <c r="CC3" s="6"/>
      <c r="CD3" s="67">
        <v>0</v>
      </c>
      <c r="CE3" s="67">
        <v>0</v>
      </c>
      <c r="CF3" s="67" t="e">
        <v>#REF!</v>
      </c>
      <c r="CG3" s="68" cm="1">
        <f t="array" ref="CG3">SUMPRODUCT(--(LEN(TRIM(BL3:BT3))&gt;0))</f>
        <v>4</v>
      </c>
      <c r="CH3" s="59" t="str">
        <f>IF(CG3=2,"y","n")</f>
        <v>n</v>
      </c>
      <c r="CI3" s="59" t="str">
        <f>IF(CG3=3,"y","n")</f>
        <v>n</v>
      </c>
      <c r="CJ3" s="59" t="str">
        <f>IF(CG3=4,"y","n")</f>
        <v>y</v>
      </c>
      <c r="CK3" s="59" t="str">
        <f>IF(CG3&gt;4,"y","n")</f>
        <v>n</v>
      </c>
      <c r="CL3" s="59" t="str">
        <f>IF(S3=0,"y","n")</f>
        <v>n</v>
      </c>
      <c r="CM3" s="59" t="str">
        <f>IF(S3=2,"y","n")</f>
        <v>y</v>
      </c>
      <c r="CN3" s="59" t="str">
        <f>IF(S3=3,"y","n")</f>
        <v>n</v>
      </c>
      <c r="CO3" s="59" t="str">
        <f>IF(S3&gt;=4,"y","n")</f>
        <v>n</v>
      </c>
      <c r="CP3" s="59" t="str">
        <f>IF(AT3=0,"y","n")</f>
        <v>y</v>
      </c>
      <c r="CQ3" s="59" t="str">
        <f>IF(AT3=1,"y","n")</f>
        <v>n</v>
      </c>
      <c r="CR3" s="59" t="str">
        <f>IF(AT3=2,"y","n")</f>
        <v>n</v>
      </c>
      <c r="CS3" s="59" t="str">
        <f>IF(AT3&gt;=3,"y","n")</f>
        <v>n</v>
      </c>
      <c r="CT3" s="69" t="str">
        <f>CHAR(34)&amp;A3&amp;CHAR(34)</f>
        <v>"[GUM] Hagatna"</v>
      </c>
      <c r="CU3" s="70" t="str">
        <f>CHAR(34)&amp;"rgn_"&amp;R3&amp;CHAR(34)</f>
        <v>"rgn_Oceania, rgn_North America"</v>
      </c>
      <c r="CV3" s="48" t="str">
        <f>CHAR(34)&amp;D3&amp;CHAR(34)</f>
        <v>"https://upload.wikimedia.org/wikipedia/commons/thumb/4/4c/Flag_of_Hag%C3%A5t%C3%B1a%2C_Guam.svg/640px-Flag_of_Hag%C3%A5t%C3%B1a%2C_Guam.svg.png"</v>
      </c>
      <c r="CW3" s="48" t="str">
        <f t="shared" si="15"/>
        <v/>
      </c>
      <c r="CX3" s="48" t="str">
        <f t="shared" si="15"/>
        <v/>
      </c>
      <c r="CY3" s="48" t="str">
        <f t="shared" si="15"/>
        <v>"4Color",</v>
      </c>
      <c r="CZ3" s="48" t="str">
        <f t="shared" si="15"/>
        <v/>
      </c>
      <c r="DA3" s="48" t="str">
        <f>IF(Q3&gt;1,CHAR(34)&amp;"words2"&amp;CHAR(34)&amp;",","")</f>
        <v/>
      </c>
      <c r="DB3" s="48" t="str">
        <f>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"lets07",</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"startH",</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"year19",</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V3" s="48" t="str">
        <f>IF(IA3&lt;&gt;"",(IF(IA3="y",CHAR(34)&amp;"largec"&amp;CHAR(34)&amp;",",CHAR(34)&amp;"smallc"&amp;CHAR(34)&amp;",")),"")</f>
        <v/>
      </c>
      <c r="DW3" s="48" t="str">
        <f t="shared" si="37"/>
        <v/>
      </c>
      <c r="DX3" s="48" t="str">
        <f t="shared" si="37"/>
        <v>"2Bands",</v>
      </c>
      <c r="DY3" s="48" t="str">
        <f t="shared" si="37"/>
        <v/>
      </c>
      <c r="DZ3" s="48" t="str">
        <f t="shared" si="37"/>
        <v/>
      </c>
      <c r="EA3" s="48" t="str">
        <f t="shared" si="38"/>
        <v/>
      </c>
      <c r="EB3" s="48" t="str">
        <f t="shared" si="38"/>
        <v>"Crosse",</v>
      </c>
      <c r="EC3" s="48" t="str">
        <f t="shared" si="38"/>
        <v/>
      </c>
      <c r="ED3" s="48" t="str">
        <f t="shared" si="38"/>
        <v>"Vertic",</v>
      </c>
      <c r="EE3" s="48" t="str">
        <f t="shared" si="38"/>
        <v>"Circle",</v>
      </c>
      <c r="EF3" s="48" t="str">
        <f>IF(AND(Y3&lt;&gt;"n",Y3&lt;&gt;""),CHAR(34)&amp;Y$1&amp;CHAR(34)&amp;",","")</f>
        <v/>
      </c>
      <c r="EG3" s="48" t="str">
        <f t="shared" si="40"/>
        <v>"Bird",</v>
      </c>
      <c r="EH3" s="48" t="str">
        <f t="shared" si="40"/>
        <v/>
      </c>
      <c r="EI3" s="48" t="str">
        <f t="shared" si="40"/>
        <v>"Texted",</v>
      </c>
      <c r="EJ3" s="48" t="str">
        <f t="shared" si="40"/>
        <v/>
      </c>
      <c r="EK3" s="48" t="str">
        <f t="shared" si="40"/>
        <v/>
      </c>
      <c r="EL3" s="48" t="str">
        <f t="shared" si="40"/>
        <v/>
      </c>
      <c r="EM3" s="48" t="str">
        <f t="shared" si="40"/>
        <v/>
      </c>
      <c r="EN3" s="48" t="str">
        <f t="shared" si="40"/>
        <v>"Unequa",</v>
      </c>
      <c r="EO3" s="48" t="str">
        <f t="shared" si="40"/>
        <v/>
      </c>
      <c r="EP3" s="48" t="str">
        <f t="shared" si="40"/>
        <v/>
      </c>
      <c r="EQ3" s="48" t="str">
        <f t="shared" si="40"/>
        <v/>
      </c>
      <c r="ER3" s="48" t="str">
        <f t="shared" si="40"/>
        <v/>
      </c>
      <c r="ES3" s="48" t="str">
        <f t="shared" si="40"/>
        <v/>
      </c>
      <c r="ET3" s="48" t="str">
        <f t="shared" si="40"/>
        <v>"Geogrh",</v>
      </c>
      <c r="EU3" s="48" t="str">
        <f t="shared" si="40"/>
        <v>"Humans",</v>
      </c>
      <c r="EV3" s="48" t="str">
        <f t="shared" si="40"/>
        <v>"Builds",</v>
      </c>
      <c r="EW3" s="48" t="str">
        <f t="shared" si="40"/>
        <v/>
      </c>
      <c r="EX3" s="48" t="str">
        <f t="shared" si="40"/>
        <v>"Crowns",</v>
      </c>
      <c r="EY3" s="48" t="str">
        <f t="shared" si="40"/>
        <v/>
      </c>
      <c r="EZ3" s="48" t="str">
        <f t="shared" si="40"/>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
      </c>
      <c r="FH3" s="48" t="str">
        <f>IF(COUNTIF(BL3:BS3,"GRE")=0,CHAR(34)&amp;"NO_GRE"&amp;CHAR(34)&amp;",", "")</f>
        <v/>
      </c>
      <c r="FI3" s="48" t="str">
        <f>IF(COUNTIF(BL3:BT3,"YEL")=0,CHAR(34)&amp;"NO_YEL"&amp;CHAR(34)&amp;",", "")</f>
        <v/>
      </c>
      <c r="FJ3" s="48" t="str">
        <f>IF(COUNTIF(BL3:BT3,"BLA")=0,CHAR(34)&amp;"NO_BLA"&amp;CHAR(34)&amp;",", "")</f>
        <v/>
      </c>
      <c r="FK3" s="48" t="str">
        <f>IF(AND(FH3&lt;&gt;"",FF3&lt;&gt;""),CHAR(34)&amp;"WHGRNO"&amp;CHAR(34)&amp;",","")</f>
        <v/>
      </c>
      <c r="FL3" s="48" t="str">
        <f>IF(AND(FI3&lt;&gt;"",FF3&lt;&gt;""),CHAR(34)&amp;"WHYENO"&amp;CHAR(34)&amp;",","")</f>
        <v/>
      </c>
      <c r="FM3" s="48" t="str">
        <f>IF(AND(FJ3&lt;&gt;"",FF3&lt;&gt;""),CHAR(34)&amp;"BAWHNO"&amp;CHAR(34)&amp;",","")</f>
        <v/>
      </c>
      <c r="FN3" s="48" t="str">
        <f>IF(AND(FE3&lt;&gt;"",FF3&lt;&gt;""),CHAR(34)&amp;"BLWHNO"&amp;CHAR(34)&amp;",","")</f>
        <v>"BLWHNO",</v>
      </c>
      <c r="FO3" s="48" t="str">
        <f>IF(AND(FE3&lt;&gt;"",FG3&lt;&gt;""),CHAR(34)&amp;"BLRENO"&amp;CHAR(34)&amp;",","")</f>
        <v/>
      </c>
      <c r="FP3" s="48" t="str">
        <f>IF(AND(FF3&lt;&gt;"",FF3&lt;&gt;""),CHAR(34)&amp;"WHRENO"&amp;CHAR(34)&amp;",","")</f>
        <v>"WHRENO",</v>
      </c>
      <c r="FQ3" s="48" t="str">
        <f>IF(LEN(BF3)=3,CHAR(34)&amp;"001"&amp;BF3&amp;CHAR(34)&amp;",","")</f>
        <v>"001RED",</v>
      </c>
      <c r="FR3" s="48" t="str">
        <f>IF(LEN(BG3)=3,CHAR(34)&amp;"002"&amp;BG3&amp;CHAR(34)&amp;",","")</f>
        <v>"002YEL",</v>
      </c>
      <c r="FS3" s="48" t="str">
        <f>IF(LEN(BH3)=3,CHAR(34)&amp;"003"&amp;BH3&amp;CHAR(34)&amp;",","")</f>
        <v>"003GRE",</v>
      </c>
      <c r="FT3" s="48" t="str">
        <f>CHAR(34)&amp;"myr"&amp;BD3&amp;CHAR(34)&amp;","</f>
        <v>"myrEQ",</v>
      </c>
      <c r="FU3" s="48" t="str">
        <f>IF(AY3="y",CHAR(34)&amp;"island"&amp;CHAR(34)&amp;",","")</f>
        <v>"island",</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"englis",</v>
      </c>
      <c r="GA3" s="48" t="str">
        <f>IFERROR(IF(SEARCH("French",CB3)&gt;0,CHAR(34)&amp;"french"&amp;CHAR(34)&amp;",",""),"")</f>
        <v>"french",</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77"/>
        <v/>
      </c>
      <c r="GM3" s="48" t="str">
        <f t="shared" si="77"/>
        <v/>
      </c>
      <c r="GN3" s="48" t="str">
        <f t="shared" si="77"/>
        <v/>
      </c>
      <c r="GP3" s="48" t="str">
        <f>CHAR(34)&amp;AU3&amp;CHAR(34)</f>
        <v>"Village, Capital"</v>
      </c>
      <c r="GS3" s="48" t="str">
        <f>SUBSTITUTE("["&amp;_xlfn.CONCAT(CW3:GN3)&amp;"]",",]","]")</f>
        <v>["4Color","lets07","startH","year19","allver","2Bands","Crosse","Vertic","Circle","Bird","Texted","Unequa","Geogrh","Humans","Builds","Crowns","NO_BLU","NO_WHI","BLWHNO","WHRENO","001RED","002YEL","003GRE","myrEQ","island","englis","french","NoStar"]</v>
      </c>
      <c r="GT3" s="48" t="str">
        <f t="shared" si="80"/>
        <v>"cl_RED",</v>
      </c>
      <c r="GU3" s="48" t="str">
        <f t="shared" si="80"/>
        <v>"cl_GRE",</v>
      </c>
      <c r="GV3" s="48" t="str">
        <f t="shared" si="80"/>
        <v>"cl_BLA",</v>
      </c>
      <c r="GW3" s="48" t="str">
        <f t="shared" si="80"/>
        <v>"cl_YEL",</v>
      </c>
      <c r="GX3" s="48" t="str">
        <f t="shared" si="80"/>
        <v/>
      </c>
      <c r="GY3" s="48" t="str">
        <f t="shared" si="80"/>
        <v/>
      </c>
      <c r="GZ3" s="48" t="str">
        <f t="shared" si="80"/>
        <v/>
      </c>
      <c r="HA3" s="48" t="str">
        <f t="shared" si="80"/>
        <v/>
      </c>
      <c r="HB3" s="48" t="str">
        <f t="shared" si="80"/>
        <v/>
      </c>
      <c r="HC3" s="48" t="str">
        <f>SUBSTITUTE("["&amp;_xlfn.CONCAT(GT3:HB3)&amp;"]",",]","]")</f>
        <v>["cl_RED","cl_GRE","cl_BLA","cl_YEL"]</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links: "https://en.m.wikipedia.org/wiki/Hag%C3%A5t%C3%B1a,_Guam"},</v>
      </c>
      <c r="HG3" s="73" t="str">
        <f>"{couname:"&amp;CT3&amp;(IF(HK3&lt;&gt;"",",subtype:"&amp;CHAR(34)&amp;HK3&amp;CHAR(34),""))&amp;",year:"&amp;HJ3&amp;",region:"&amp;CU3&amp;",Colors:"&amp;HC3&amp;",Items:"&amp;GS3&amp;",Flag:"&amp;CV3&amp;",HDFlag:"&amp;CHAR(34)&amp;E3&amp;CHAR(34)&amp;",type:"&amp;GP3&amp;", describe: "&amp;HI3&amp;", links: "&amp;HL3&amp;"},"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links: "https://en.m.wikipedia.org/wiki/Hag%C3%A5t%C3%B1a,_Guam"},</v>
      </c>
      <c r="HH3" s="48" t="str">
        <f>IF(P3&lt;&gt;"",CHAR(34)&amp;"\n"&amp;P3&amp;CHAR(34),CHAR(34)&amp;CHAR(34))</f>
        <v>"\nA white field with a brown vertical band on the left side and the seal of the city over the right side of the field."</v>
      </c>
      <c r="HI3" s="48" t="str">
        <f>IF(J3=0,CHAR(34)&amp;CHAR(34),HH3)</f>
        <v>"\nA white field with a brown vertical band on the left side and the seal of the city over the right side of the field."</v>
      </c>
      <c r="HJ3" s="48" t="str">
        <f>CHAR(34)&amp;O3&amp;CHAR(34)</f>
        <v>"1980"</v>
      </c>
      <c r="HL3" s="48" t="str">
        <f>CHAR(34)&amp;I3&amp;CHAR(34)</f>
        <v>"https://en.m.wikipedia.org/wiki/Hag%C3%A5t%C3%B1a,_Guam"</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 "links": "https://en.m.wikipedia.org/wiki/Hag%C3%A5t%C3%B1a,_Guam"},</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{"couname":"[GUM] Hagatna","year":"1980","region":"rgn_Oceania, rgn_North America","Colors":["cl_RED","cl_GRE","cl_BLA","cl_YEL"],"Items":["4Color","lets07","startH","year19","allver","2Bands","Crosse","Vertic","Circle","Bird","Texted","Unequa","Geogrh","Humans","Builds","Crowns","NO_BLU","NO_WHI","BLWHNO","WHRENO","001RED","002YEL","003GRE","myrEQ","island","englis","french","NoStar"],"Flag":"https://upload.wikimedia.org/wikipedia/commons/thumb/4/4c/Flag_of_Hag%C3%A5t%C3%B1a%2C_Guam.svg/640px-Flag_of_Hag%C3%A5t%C3%B1a%2C_Guam.svg.png","HDFlag":"https://upload.wikimedia.org/wikipedia/commons/thumb/4/4c/Flag_of_Hag%C3%A5t%C3%B1a%2C_Guam.svg/1280px-Flag_of_Hag%C3%A5t%C3%B1a%2C_Guam.svg.png","type":"Village, Capital", "describe": "\nA white field with a brown vertical band on the left side and the seal of the city over the right side of the field.", "isnew": ".", "links": "https://en.m.wikipedia.org/wiki/Hag%C3%A5t%C3%B1a,_Guam"},</v>
      </c>
      <c r="HO3" s="75"/>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L3" s="48">
        <f>SUM(IC3:IK3)</f>
        <v>0</v>
      </c>
      <c r="IM3" s="45">
        <f>COUNTIF(IC3:IK3,"&gt;0")-CG3</f>
        <v>-4</v>
      </c>
      <c r="IN3" s="78" t="str">
        <f>"http://mkweb.bcgsc.ca/color-summarizer/?url="&amp;D3&amp;"&amp;precision=low&amp;num_clusters="&amp;CG3&amp;"&amp;text=1"</f>
        <v>http://mkweb.bcgsc.ca/color-summarizer/?url=https://upload.wikimedia.org/wikipedia/commons/thumb/4/4c/Flag_of_Hag%C3%A5t%C3%B1a%2C_Guam.svg/640px-Flag_of_Hag%C3%A5t%C3%B1a%2C_Guam.svg.png&amp;precision=low&amp;num_clusters=4&amp;text=1</v>
      </c>
      <c r="IO3" s="48" t="str">
        <f>IF(HP3&lt;&gt;"",CHAR(34)&amp;"black"&amp;CHAR(34),"")</f>
        <v>"black"</v>
      </c>
      <c r="IP3" s="48" t="str">
        <f>IF(HQ3&lt;&gt;"",CHAR(34)&amp;"blue"&amp;CHAR(34),"")</f>
        <v/>
      </c>
      <c r="IQ3" s="48" t="str">
        <f>IF(HR3&lt;&gt;"",CHAR(34)&amp;"green"&amp;CHAR(34),"")</f>
        <v>"green"</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{"url":"http://mkweb.bcgsc.ca/color-summarizer/?url=https://upload.wikimedia.org/wikipedia/commons/thumb/4/4c/Flag_of_Hag%C3%A5t%C3%B1a%2C_Guam.svg/640px-Flag_of_Hag%C3%A5t%C3%B1a%2C_Guam.svg.png&amp;precision=low&amp;num_clusters=4&amp;text=1","name":"[GUM] Hagatna"},</v>
      </c>
      <c r="IY3" s="48">
        <v>235</v>
      </c>
    </row>
  </sheetData>
  <conditionalFormatting sqref="H1 CW1:GS1 IA1:IB1">
    <cfRule type="cellIs" dxfId="4367" priority="107" operator="greaterThan">
      <formula>0</formula>
    </cfRule>
  </conditionalFormatting>
  <conditionalFormatting sqref="H1">
    <cfRule type="cellIs" dxfId="4366" priority="73" stopIfTrue="1" operator="notEqual">
      <formula>""</formula>
    </cfRule>
  </conditionalFormatting>
  <conditionalFormatting sqref="T1:BK1">
    <cfRule type="cellIs" dxfId="4365" priority="110" operator="greaterThan">
      <formula>0</formula>
    </cfRule>
  </conditionalFormatting>
  <conditionalFormatting sqref="BV1:BW1">
    <cfRule type="cellIs" dxfId="4364" priority="109" operator="equal">
      <formula>"nc"</formula>
    </cfRule>
  </conditionalFormatting>
  <conditionalFormatting sqref="HF1:HG1">
    <cfRule type="cellIs" dxfId="4363" priority="111" operator="greaterThan">
      <formula>0</formula>
    </cfRule>
  </conditionalFormatting>
  <conditionalFormatting sqref="HK1">
    <cfRule type="cellIs" dxfId="4362" priority="108" operator="greaterThan">
      <formula>0</formula>
    </cfRule>
  </conditionalFormatting>
  <conditionalFormatting sqref="HP1:HX1">
    <cfRule type="cellIs" dxfId="4361" priority="85" operator="equal">
      <formula>"PIN"</formula>
    </cfRule>
    <cfRule type="cellIs" dxfId="4360" priority="86" operator="equal">
      <formula>"ORA"</formula>
    </cfRule>
    <cfRule type="cellIs" dxfId="4359" priority="87" operator="equal">
      <formula>"GRA"</formula>
    </cfRule>
    <cfRule type="cellIs" dxfId="4358" priority="88" operator="equal">
      <formula>"PUR"</formula>
    </cfRule>
    <cfRule type="cellIs" dxfId="4357" priority="89" operator="equal">
      <formula>"BRO"</formula>
    </cfRule>
    <cfRule type="cellIs" dxfId="4356" priority="90" operator="equal">
      <formula>"YEL"</formula>
    </cfRule>
    <cfRule type="cellIs" dxfId="4355" priority="91" operator="equal">
      <formula>"BLU"</formula>
    </cfRule>
    <cfRule type="cellIs" dxfId="4354" priority="92" operator="equal">
      <formula>"WHI"</formula>
    </cfRule>
    <cfRule type="cellIs" dxfId="4353" priority="93" operator="equal">
      <formula>"GRE"</formula>
    </cfRule>
    <cfRule type="cellIs" dxfId="4352" priority="94" operator="equal">
      <formula>"RED"</formula>
    </cfRule>
    <cfRule type="cellIs" dxfId="4351" priority="95" operator="equal">
      <formula>"BLA"</formula>
    </cfRule>
  </conditionalFormatting>
  <conditionalFormatting sqref="IC1:IK1">
    <cfRule type="cellIs" dxfId="4350" priority="96" operator="equal">
      <formula>"PIN"</formula>
    </cfRule>
    <cfRule type="cellIs" dxfId="4349" priority="97" operator="equal">
      <formula>"ORA"</formula>
    </cfRule>
    <cfRule type="cellIs" dxfId="4348" priority="98" operator="equal">
      <formula>"GRA"</formula>
    </cfRule>
    <cfRule type="cellIs" dxfId="4347" priority="99" operator="equal">
      <formula>"PUR"</formula>
    </cfRule>
    <cfRule type="cellIs" dxfId="4346" priority="100" operator="equal">
      <formula>"BRO"</formula>
    </cfRule>
    <cfRule type="cellIs" dxfId="4345" priority="101" operator="equal">
      <formula>"YEL"</formula>
    </cfRule>
    <cfRule type="cellIs" dxfId="4344" priority="102" operator="equal">
      <formula>"BLU"</formula>
    </cfRule>
    <cfRule type="cellIs" dxfId="4343" priority="103" operator="equal">
      <formula>"WHI"</formula>
    </cfRule>
    <cfRule type="cellIs" dxfId="4342" priority="104" operator="equal">
      <formula>"GRE"</formula>
    </cfRule>
    <cfRule type="cellIs" dxfId="4341" priority="105" operator="equal">
      <formula>"RED"</formula>
    </cfRule>
    <cfRule type="cellIs" dxfId="4340" priority="106" operator="equal">
      <formula>"BLA"</formula>
    </cfRule>
  </conditionalFormatting>
  <conditionalFormatting sqref="IO1:IW1">
    <cfRule type="cellIs" dxfId="4339" priority="74" operator="equal">
      <formula>"PIN"</formula>
    </cfRule>
    <cfRule type="cellIs" dxfId="4338" priority="75" operator="equal">
      <formula>"ORA"</formula>
    </cfRule>
    <cfRule type="cellIs" dxfId="4337" priority="76" operator="equal">
      <formula>"GRA"</formula>
    </cfRule>
    <cfRule type="cellIs" dxfId="4336" priority="77" operator="equal">
      <formula>"PUR"</formula>
    </cfRule>
    <cfRule type="cellIs" dxfId="4335" priority="78" operator="equal">
      <formula>"BRO"</formula>
    </cfRule>
    <cfRule type="cellIs" dxfId="4334" priority="79" operator="equal">
      <formula>"YEL"</formula>
    </cfRule>
    <cfRule type="cellIs" dxfId="4333" priority="80" operator="equal">
      <formula>"BLU"</formula>
    </cfRule>
    <cfRule type="cellIs" dxfId="4332" priority="81" operator="equal">
      <formula>"WHI"</formula>
    </cfRule>
    <cfRule type="cellIs" dxfId="4331" priority="82" operator="equal">
      <formula>"GRE"</formula>
    </cfRule>
    <cfRule type="cellIs" dxfId="4330" priority="83" operator="equal">
      <formula>"RED"</formula>
    </cfRule>
    <cfRule type="cellIs" dxfId="4329" priority="84" operator="equal">
      <formula>"BLA"</formula>
    </cfRule>
  </conditionalFormatting>
  <conditionalFormatting sqref="H2">
    <cfRule type="cellIs" dxfId="4328" priority="42" stopIfTrue="1" operator="notEqual">
      <formula>""</formula>
    </cfRule>
  </conditionalFormatting>
  <conditionalFormatting sqref="R2 CU2">
    <cfRule type="cellIs" dxfId="4327" priority="44" operator="greaterThan">
      <formula>0</formula>
    </cfRule>
  </conditionalFormatting>
  <conditionalFormatting sqref="T2:AS2 CH2:CS2">
    <cfRule type="cellIs" dxfId="4326" priority="39" stopIfTrue="1" operator="equal">
      <formula>"n"</formula>
    </cfRule>
    <cfRule type="cellIs" dxfId="4325" priority="40" stopIfTrue="1" operator="equal">
      <formula>"y"</formula>
    </cfRule>
    <cfRule type="cellIs" dxfId="4324" priority="41" operator="greaterThan">
      <formula>0</formula>
    </cfRule>
  </conditionalFormatting>
  <conditionalFormatting sqref="AZ2:BB2">
    <cfRule type="expression" dxfId="4323" priority="38">
      <formula>$AT2=0</formula>
    </cfRule>
  </conditionalFormatting>
  <conditionalFormatting sqref="AZ2:BU2">
    <cfRule type="cellIs" dxfId="4322" priority="47" operator="equal">
      <formula>"PIN"</formula>
    </cfRule>
    <cfRule type="cellIs" dxfId="4321" priority="48" operator="equal">
      <formula>"ORA"</formula>
    </cfRule>
    <cfRule type="cellIs" dxfId="4320" priority="49" operator="equal">
      <formula>"GRA"</formula>
    </cfRule>
    <cfRule type="cellIs" dxfId="4319" priority="50" operator="equal">
      <formula>"PUR"</formula>
    </cfRule>
    <cfRule type="cellIs" dxfId="4318" priority="51" operator="equal">
      <formula>"BRO"</formula>
    </cfRule>
    <cfRule type="cellIs" dxfId="4317" priority="52" operator="equal">
      <formula>"YEL"</formula>
    </cfRule>
    <cfRule type="cellIs" dxfId="4316" priority="53" operator="equal">
      <formula>"BLU"</formula>
    </cfRule>
    <cfRule type="cellIs" dxfId="4315" priority="54" operator="equal">
      <formula>"WHI"</formula>
    </cfRule>
    <cfRule type="cellIs" dxfId="4314" priority="55" operator="equal">
      <formula>"GRE"</formula>
    </cfRule>
    <cfRule type="cellIs" dxfId="4313" priority="56" operator="equal">
      <formula>"RED"</formula>
    </cfRule>
    <cfRule type="cellIs" dxfId="4312" priority="57" operator="equal">
      <formula>"BLA"</formula>
    </cfRule>
  </conditionalFormatting>
  <conditionalFormatting sqref="BV2:BW2">
    <cfRule type="cellIs" dxfId="4311" priority="69" operator="equal">
      <formula>"nc"</formula>
    </cfRule>
  </conditionalFormatting>
  <conditionalFormatting sqref="BX2:CA2 CD2:CF2">
    <cfRule type="cellIs" dxfId="4310" priority="43" operator="equal">
      <formula>"y"</formula>
    </cfRule>
    <cfRule type="cellIs" dxfId="4309" priority="58" operator="equal">
      <formula>"PIN"</formula>
    </cfRule>
    <cfRule type="cellIs" dxfId="4308" priority="59" operator="equal">
      <formula>"ORA"</formula>
    </cfRule>
    <cfRule type="cellIs" dxfId="4307" priority="60" operator="equal">
      <formula>"GRA"</formula>
    </cfRule>
    <cfRule type="cellIs" dxfId="4306" priority="61" operator="equal">
      <formula>"PUR"</formula>
    </cfRule>
    <cfRule type="cellIs" dxfId="4305" priority="62" operator="equal">
      <formula>"BRO"</formula>
    </cfRule>
    <cfRule type="cellIs" dxfId="4304" priority="63" operator="equal">
      <formula>"YEL"</formula>
    </cfRule>
    <cfRule type="cellIs" dxfId="4303" priority="64" operator="equal">
      <formula>"BLU"</formula>
    </cfRule>
    <cfRule type="cellIs" dxfId="4302" priority="65" operator="equal">
      <formula>"WHI"</formula>
    </cfRule>
    <cfRule type="cellIs" dxfId="4301" priority="66" operator="equal">
      <formula>"GRE"</formula>
    </cfRule>
    <cfRule type="cellIs" dxfId="4300" priority="67" operator="equal">
      <formula>"RED"</formula>
    </cfRule>
    <cfRule type="cellIs" dxfId="4299" priority="68" operator="equal">
      <formula>"BLA"</formula>
    </cfRule>
  </conditionalFormatting>
  <conditionalFormatting sqref="BZ2:CA2 CD2:CF2">
    <cfRule type="cellIs" dxfId="4298" priority="45" operator="greaterThan">
      <formula>0</formula>
    </cfRule>
  </conditionalFormatting>
  <conditionalFormatting sqref="IC2:IK2">
    <cfRule type="expression" dxfId="4297"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2730" priority="6" stopIfTrue="1" operator="notEqual">
      <formula>""</formula>
    </cfRule>
  </conditionalFormatting>
  <conditionalFormatting sqref="R3 CU3">
    <cfRule type="cellIs" dxfId="2729" priority="8" operator="greaterThan">
      <formula>0</formula>
    </cfRule>
  </conditionalFormatting>
  <conditionalFormatting sqref="T3:AS3 CH3:CS3">
    <cfRule type="cellIs" dxfId="2728" priority="3" stopIfTrue="1" operator="equal">
      <formula>"n"</formula>
    </cfRule>
    <cfRule type="cellIs" dxfId="2727" priority="4" stopIfTrue="1" operator="equal">
      <formula>"y"</formula>
    </cfRule>
    <cfRule type="cellIs" dxfId="2726" priority="5" operator="greaterThan">
      <formula>0</formula>
    </cfRule>
  </conditionalFormatting>
  <conditionalFormatting sqref="AZ3:BB3">
    <cfRule type="expression" dxfId="2725" priority="2">
      <formula>$AT3=0</formula>
    </cfRule>
  </conditionalFormatting>
  <conditionalFormatting sqref="AZ3:BU3">
    <cfRule type="cellIs" dxfId="2724" priority="11" operator="equal">
      <formula>"PIN"</formula>
    </cfRule>
    <cfRule type="cellIs" dxfId="2723" priority="12" operator="equal">
      <formula>"ORA"</formula>
    </cfRule>
    <cfRule type="cellIs" dxfId="2722" priority="13" operator="equal">
      <formula>"GRA"</formula>
    </cfRule>
    <cfRule type="cellIs" dxfId="2721" priority="14" operator="equal">
      <formula>"PUR"</formula>
    </cfRule>
    <cfRule type="cellIs" dxfId="2720" priority="15" operator="equal">
      <formula>"BRO"</formula>
    </cfRule>
    <cfRule type="cellIs" dxfId="2719" priority="16" operator="equal">
      <formula>"YEL"</formula>
    </cfRule>
    <cfRule type="cellIs" dxfId="2718" priority="17" operator="equal">
      <formula>"BLU"</formula>
    </cfRule>
    <cfRule type="cellIs" dxfId="2717" priority="18" operator="equal">
      <formula>"WHI"</formula>
    </cfRule>
    <cfRule type="cellIs" dxfId="2716" priority="19" operator="equal">
      <formula>"GRE"</formula>
    </cfRule>
    <cfRule type="cellIs" dxfId="2715" priority="20" operator="equal">
      <formula>"RED"</formula>
    </cfRule>
    <cfRule type="cellIs" dxfId="2714" priority="21" operator="equal">
      <formula>"BLA"</formula>
    </cfRule>
  </conditionalFormatting>
  <conditionalFormatting sqref="BV3:BW3">
    <cfRule type="cellIs" dxfId="2713" priority="33" operator="equal">
      <formula>"nc"</formula>
    </cfRule>
  </conditionalFormatting>
  <conditionalFormatting sqref="BX3:CA3 CD3:CF3">
    <cfRule type="cellIs" dxfId="2712" priority="7" operator="equal">
      <formula>"y"</formula>
    </cfRule>
    <cfRule type="cellIs" dxfId="2711" priority="22" operator="equal">
      <formula>"PIN"</formula>
    </cfRule>
    <cfRule type="cellIs" dxfId="2710" priority="23" operator="equal">
      <formula>"ORA"</formula>
    </cfRule>
    <cfRule type="cellIs" dxfId="2709" priority="24" operator="equal">
      <formula>"GRA"</formula>
    </cfRule>
    <cfRule type="cellIs" dxfId="2708" priority="25" operator="equal">
      <formula>"PUR"</formula>
    </cfRule>
    <cfRule type="cellIs" dxfId="2707" priority="26" operator="equal">
      <formula>"BRO"</formula>
    </cfRule>
    <cfRule type="cellIs" dxfId="2706" priority="27" operator="equal">
      <formula>"YEL"</formula>
    </cfRule>
    <cfRule type="cellIs" dxfId="2705" priority="28" operator="equal">
      <formula>"BLU"</formula>
    </cfRule>
    <cfRule type="cellIs" dxfId="2704" priority="29" operator="equal">
      <formula>"WHI"</formula>
    </cfRule>
    <cfRule type="cellIs" dxfId="2703" priority="30" operator="equal">
      <formula>"GRE"</formula>
    </cfRule>
    <cfRule type="cellIs" dxfId="2702" priority="31" operator="equal">
      <formula>"RED"</formula>
    </cfRule>
    <cfRule type="cellIs" dxfId="2701" priority="32" operator="equal">
      <formula>"BLA"</formula>
    </cfRule>
  </conditionalFormatting>
  <conditionalFormatting sqref="BZ3:CA3 CD3:CF3">
    <cfRule type="cellIs" dxfId="2700" priority="9" operator="greaterThan">
      <formula>0</formula>
    </cfRule>
  </conditionalFormatting>
  <conditionalFormatting sqref="IC3:IK3">
    <cfRule type="expression" dxfId="2699" priority="10">
      <formula>$IL3&gt;0</formula>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conditionalFormatting sqref="J3">
    <cfRule type="colorScale" priority="1">
      <colorScale>
        <cfvo type="min"/>
        <cfvo type="percentile" val="50"/>
        <cfvo type="max"/>
        <color rgb="FFF8696B"/>
        <color rgb="FFFFEB84"/>
        <color rgb="FF63BE7B"/>
      </colorScale>
    </cfRule>
  </conditionalFormatting>
  <hyperlinks>
    <hyperlink ref="A2" r:id="rId1" display="https://fbref.com/en/country/GUM/Guam-Football" xr:uid="{732B0FD4-E439-4B40-9265-5D7E150F6BDC}"/>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0735F-5494-41E3-9471-6F883E4B4F9E}">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228</v>
      </c>
      <c r="B2" s="40" t="e" vm="45">
        <v>#VALUE!</v>
      </c>
      <c r="C2" s="41">
        <v>1</v>
      </c>
      <c r="D2" s="42" t="s">
        <v>229</v>
      </c>
      <c r="E2" s="43" t="s">
        <v>230</v>
      </c>
      <c r="F2" s="44" t="s">
        <v>166</v>
      </c>
      <c r="G2" s="45">
        <f>COUNTIF($A$1:$A$8222,A2)</f>
        <v>1</v>
      </c>
      <c r="H2" s="46"/>
      <c r="I2" s="47" t="s">
        <v>231</v>
      </c>
      <c r="J2" s="48" t="str">
        <f>""</f>
        <v/>
      </c>
      <c r="K2" s="49">
        <v>133315</v>
      </c>
      <c r="L2" s="50">
        <v>10000</v>
      </c>
      <c r="M2" s="50" t="s">
        <v>232</v>
      </c>
      <c r="N2" s="51" t="s">
        <v>169</v>
      </c>
      <c r="O2" s="52" t="s">
        <v>205</v>
      </c>
      <c r="P2" s="53" t="s">
        <v>233</v>
      </c>
      <c r="Q2" s="54">
        <v>1</v>
      </c>
      <c r="R2" s="55" t="s">
        <v>169</v>
      </c>
      <c r="S2" s="56">
        <v>6</v>
      </c>
      <c r="T2" s="57" t="s">
        <v>173</v>
      </c>
      <c r="U2" s="58" t="s">
        <v>173</v>
      </c>
      <c r="V2" s="58" t="s">
        <v>172</v>
      </c>
      <c r="W2" s="58" t="s">
        <v>173</v>
      </c>
      <c r="X2" s="58" t="s">
        <v>173</v>
      </c>
      <c r="Y2" s="58" t="s">
        <v>172</v>
      </c>
      <c r="Z2" s="58" t="s">
        <v>172</v>
      </c>
      <c r="AA2" s="58" t="s">
        <v>173</v>
      </c>
      <c r="AB2" s="58" t="s">
        <v>173</v>
      </c>
      <c r="AC2" s="58" t="s">
        <v>173</v>
      </c>
      <c r="AD2" s="58" t="s">
        <v>172</v>
      </c>
      <c r="AE2" s="58" t="s">
        <v>173</v>
      </c>
      <c r="AF2" s="59" t="s">
        <v>173</v>
      </c>
      <c r="AG2" s="59" t="s">
        <v>173</v>
      </c>
      <c r="AH2" s="59" t="s">
        <v>173</v>
      </c>
      <c r="AI2" s="59" t="s">
        <v>173</v>
      </c>
      <c r="AJ2" s="59" t="s">
        <v>173</v>
      </c>
      <c r="AK2" s="59" t="s">
        <v>173</v>
      </c>
      <c r="AL2" s="59" t="s">
        <v>172</v>
      </c>
      <c r="AM2" s="59" t="s">
        <v>173</v>
      </c>
      <c r="AN2" s="59" t="s">
        <v>173</v>
      </c>
      <c r="AO2" s="59" t="s">
        <v>173</v>
      </c>
      <c r="AP2" s="59" t="s">
        <v>173</v>
      </c>
      <c r="AQ2" s="59" t="s">
        <v>173</v>
      </c>
      <c r="AR2" s="59" t="s">
        <v>173</v>
      </c>
      <c r="AS2" s="59" t="s">
        <v>172</v>
      </c>
      <c r="AT2" s="60">
        <v>0</v>
      </c>
      <c r="AU2" s="59"/>
      <c r="AV2" s="59" t="str">
        <f>IF(LEFT(A2,1)="[",LEFT(A2,5)&amp;AU2&amp;A2,"")</f>
        <v/>
      </c>
      <c r="AW2" s="59" t="str">
        <f>C2&amp;H2&amp;A2</f>
        <v>1Kiribati</v>
      </c>
      <c r="AX2" s="61"/>
      <c r="AY2" s="61"/>
      <c r="AZ2" s="62" t="s">
        <v>159</v>
      </c>
      <c r="BA2" s="62"/>
      <c r="BB2" s="62"/>
      <c r="BC2" s="63"/>
      <c r="BD2" s="64" t="s">
        <v>153</v>
      </c>
      <c r="BE2" s="47"/>
      <c r="BF2" s="64" t="s">
        <v>153</v>
      </c>
      <c r="BG2" s="64" t="s">
        <v>152</v>
      </c>
      <c r="BH2" s="64" t="s">
        <v>153</v>
      </c>
      <c r="BI2" s="64" t="s">
        <v>151</v>
      </c>
      <c r="BJ2" s="64"/>
      <c r="BK2" s="47"/>
      <c r="BL2" s="64" t="s">
        <v>153</v>
      </c>
      <c r="BM2" s="64" t="s">
        <v>152</v>
      </c>
      <c r="BN2" s="64" t="s">
        <v>151</v>
      </c>
      <c r="BO2" s="64" t="s">
        <v>159</v>
      </c>
      <c r="BP2" s="64"/>
      <c r="BQ2" s="64"/>
      <c r="BR2" s="64"/>
      <c r="BS2" s="64"/>
      <c r="BT2" s="64"/>
      <c r="BU2" s="65"/>
      <c r="BV2" s="66"/>
      <c r="BW2" s="66">
        <v>0</v>
      </c>
      <c r="BX2" s="47"/>
      <c r="CB2" s="6"/>
      <c r="CC2" s="6"/>
      <c r="CD2" s="67">
        <v>0</v>
      </c>
      <c r="CE2" s="67">
        <v>0</v>
      </c>
      <c r="CF2" s="67" t="e">
        <v>#REF!</v>
      </c>
      <c r="CG2" s="68" cm="1">
        <f t="array" ref="CG2">SUMPRODUCT(--(LEN(TRIM(BL2:BT2))&gt;0))</f>
        <v>4</v>
      </c>
      <c r="CH2" s="59" t="str">
        <f t="shared" ref="CH2:CH3" si="0">IF(CG2=2,"y","n")</f>
        <v>n</v>
      </c>
      <c r="CI2" s="59" t="str">
        <f t="shared" ref="CI2:CI3" si="1">IF(CG2=3,"y","n")</f>
        <v>n</v>
      </c>
      <c r="CJ2" s="59" t="str">
        <f t="shared" ref="CJ2:CJ3" si="2">IF(CG2=4,"y","n")</f>
        <v>y</v>
      </c>
      <c r="CK2" s="59" t="str">
        <f t="shared" ref="CK2:CK3" si="3">IF(CG2&gt;4,"y","n")</f>
        <v>n</v>
      </c>
      <c r="CL2" s="59" t="str">
        <f t="shared" ref="CL2:CL3" si="4">IF(S2=0,"y","n")</f>
        <v>n</v>
      </c>
      <c r="CM2" s="59" t="str">
        <f t="shared" ref="CM2:CM3" si="5">IF(S2=2,"y","n")</f>
        <v>n</v>
      </c>
      <c r="CN2" s="59" t="str">
        <f t="shared" ref="CN2:CN3" si="6">IF(S2=3,"y","n")</f>
        <v>n</v>
      </c>
      <c r="CO2" s="59" t="str">
        <f t="shared" ref="CO2:CO3" si="7">IF(S2&gt;=4,"y","n")</f>
        <v>y</v>
      </c>
      <c r="CP2" s="59" t="str">
        <f t="shared" ref="CP2:CP3" si="8">IF(AT2=0,"y","n")</f>
        <v>y</v>
      </c>
      <c r="CQ2" s="59" t="str">
        <f t="shared" ref="CQ2:CQ3" si="9">IF(AT2=1,"y","n")</f>
        <v>n</v>
      </c>
      <c r="CR2" s="59" t="str">
        <f t="shared" ref="CR2:CR3" si="10">IF(AT2=2,"y","n")</f>
        <v>n</v>
      </c>
      <c r="CS2" s="59" t="str">
        <f t="shared" ref="CS2:CS3" si="11">IF(AT2&gt;=3,"y","n")</f>
        <v>n</v>
      </c>
      <c r="CT2" s="69" t="str">
        <f t="shared" ref="CT2:CT3" si="12">CHAR(34)&amp;A2&amp;CHAR(34)</f>
        <v>"Kiribati"</v>
      </c>
      <c r="CU2" s="70" t="str">
        <f t="shared" ref="CU2:CU3" si="13">CHAR(34)&amp;"rgn_"&amp;R2&amp;CHAR(34)</f>
        <v>"rgn_Oceania"</v>
      </c>
      <c r="CV2" s="48" t="str">
        <f t="shared" ref="CV2:CV3" si="14">CHAR(34)&amp;D2&amp;CHAR(34)</f>
        <v>"https://i.ibb.co/zJCR6VG/Kiribati-Flag.png"</v>
      </c>
      <c r="CW2" s="48" t="str">
        <f t="shared" ref="CW2:CZ3" si="15">IF(CH2="y",CHAR(34)&amp;CH$1&amp;CHAR(34)&amp;",","")</f>
        <v/>
      </c>
      <c r="CX2" s="48" t="str">
        <f t="shared" si="15"/>
        <v/>
      </c>
      <c r="CY2" s="48" t="str">
        <f t="shared" si="15"/>
        <v>"4Color",</v>
      </c>
      <c r="CZ2" s="48" t="str">
        <f t="shared" si="15"/>
        <v/>
      </c>
      <c r="DA2" s="48" t="str">
        <f t="shared" ref="DA2:DA3" si="16">IF(Q2&gt;1,CHAR(34)&amp;"words2"&amp;CHAR(34)&amp;",","")</f>
        <v/>
      </c>
      <c r="DB2" s="48" t="str">
        <f t="shared" ref="DB2:DB3"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"lets08",</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"startK",</v>
      </c>
      <c r="DF2" s="48" t="str">
        <f t="shared" ref="DF2:DF3" si="21">IFERROR(IF(SEARCH("tan",A2)&gt;0,CHAR(34)&amp;"withtn"&amp;CHAR(34)&amp;",",""),"")</f>
        <v/>
      </c>
      <c r="DG2" s="48" t="str">
        <f t="shared" ref="DG2:DG3" si="22">IFERROR(IF(SEARCH("q",A2)&gt;0,CHAR(34)&amp;"with_q"&amp;CHAR(34)&amp;",",""),"")</f>
        <v/>
      </c>
      <c r="DH2" s="48" t="str">
        <f t="shared" ref="DH2:DH3" si="23">IFERROR(IF(SEARCH("v",A2)&gt;0,CHAR(34)&amp;"with_v"&amp;CHAR(34)&amp;",",""),"")</f>
        <v/>
      </c>
      <c r="DI2" s="48" t="str">
        <f t="shared" ref="DI2:DI3" si="24">IFERROR(IF(SEARCH("w",A2)&gt;0,CHAR(34)&amp;"with_w"&amp;CHAR(34)&amp;",",""),"")</f>
        <v/>
      </c>
      <c r="DJ2" s="48" t="str">
        <f t="shared" ref="DJ2:DJ3" si="25">IFERROR(IF(SEARCH("y",A2)&gt;0,CHAR(34)&amp;"with_y"&amp;CHAR(34)&amp;",",""),"")</f>
        <v/>
      </c>
      <c r="DK2" s="48" t="str">
        <f t="shared" ref="DK2:DK3" si="26">IFERROR(IF(SEARCH("z",A2)&gt;0,CHAR(34)&amp;"with_z"&amp;CHAR(34)&amp;",",""),"")</f>
        <v/>
      </c>
      <c r="DL2" s="48" t="str">
        <f t="shared" ref="DL2:DL3" si="27">IF(CG2=2, CHAR(34) &amp; _xlfn.TEXTJOIN("", TRUE, _xlfn._xlws.SORT(HP2:HX2)) &amp; CHAR(34) &amp; ",", "")</f>
        <v/>
      </c>
      <c r="DM2" s="48" t="str" cm="1">
        <f t="array" ref="DM2">IF(CG2=3,CHAR(34) &amp; _xlfn.TEXTJOIN("", TRUE, RIGHT(HP2:HX2, 2)) &amp; CHAR(34) &amp; ",", "")</f>
        <v/>
      </c>
      <c r="DN2" s="48" t="str">
        <f t="shared" ref="DN2:DN3" si="28">IF(AND(ISNUMBER(SEARCH("18", O2)), ISERROR(SEARCH("1918", O2)), ISERROR(SEARCH("2018", O2))), CHAR(34) &amp; "year18" &amp; CHAR(34) &amp; ",", "")</f>
        <v/>
      </c>
      <c r="DO2" s="48" t="str">
        <f t="shared" ref="DO2:DO3" si="29">IF(AND(ISNUMBER(SEARCH("19", O2)), ISERROR(SEARCH("1819", O2)),  ISERROR(SEARCH("1219", O2)),ISERROR(SEARCH("1119", O2)),ISERROR(SEARCH("1190", O2)),ISERROR(SEARCH("2019", O2))), CHAR(34) &amp; "year19" &amp; CHAR(34) &amp; ",", "")</f>
        <v>"year19",</v>
      </c>
      <c r="DP2" s="6" t="str">
        <f t="shared" ref="DP2:DP3" si="30">IF(AND(ISNUMBER(SEARCH("20", O2)), ISERROR(SEARCH("1920", O2))), CHAR(34)&amp;"year00"&amp;CHAR(34)&amp;",", "")</f>
        <v/>
      </c>
      <c r="DQ2" s="6" t="str">
        <f t="shared" ref="DQ2:DQ3" si="31">IF(CC2="y",CHAR(34)&amp;"soviet"&amp;CHAR(34)&amp;",","")</f>
        <v/>
      </c>
      <c r="DR2" s="6" t="str">
        <f t="shared" ref="DR2:DR3" si="32">IF(BY2="y",CHAR(34)&amp;"dgband"&amp;CHAR(34)&amp;",","")</f>
        <v/>
      </c>
      <c r="DS2" s="6" t="str">
        <f t="shared" ref="DS2:DS3" si="33">IF(W2="y",IF(AND(V2="n",BY2&lt;&gt;"y"),CHAR(34)&amp;"allver"&amp;CHAR(34)&amp;",",""),"")</f>
        <v/>
      </c>
      <c r="DT2" s="6" t="str">
        <f t="shared" ref="DT2:DT3" si="34">IF(V2="y",IF(AND(W2="n",BY2&lt;&gt;"y"),CHAR(34)&amp;"allhor"&amp;CHAR(34)&amp;",",""),"")</f>
        <v>"allhor",</v>
      </c>
      <c r="DU2" s="6" t="str">
        <f t="shared" ref="DU2:DU3" si="35">IF(BY2="y",IF(AND(W2="n",V2="n"),CHAR(34)&amp;"alldia"&amp;CHAR(34)&amp;",",""),"")</f>
        <v/>
      </c>
      <c r="DV2" s="48" t="str">
        <f t="shared" ref="DV2" si="36">IF(IA2&lt;&gt;"",(IF(IA2="y",CHAR(34)&amp;"largec"&amp;CHAR(34)&amp;",",CHAR(34)&amp;"smallc"&amp;CHAR(34)&amp;",")),"")</f>
        <v/>
      </c>
      <c r="DW2" s="48" t="str">
        <f t="shared" ref="DW2:DZ3" si="37">IF(CL2="y",CHAR(34)&amp;CL$1&amp;CHAR(34)&amp;",","")</f>
        <v/>
      </c>
      <c r="DX2" s="48" t="str">
        <f t="shared" si="37"/>
        <v/>
      </c>
      <c r="DY2" s="48" t="str">
        <f t="shared" si="37"/>
        <v/>
      </c>
      <c r="DZ2" s="48" t="str">
        <f t="shared" si="37"/>
        <v>"4+Band",</v>
      </c>
      <c r="EA2" s="48" t="str">
        <f t="shared" ref="EA2:EE3" si="38">IF(T2="y",CHAR(34)&amp;T$1&amp;CHAR(34)&amp;",","")</f>
        <v/>
      </c>
      <c r="EB2" s="48" t="str">
        <f t="shared" si="38"/>
        <v/>
      </c>
      <c r="EC2" s="48" t="str">
        <f t="shared" si="38"/>
        <v>"Horizo",</v>
      </c>
      <c r="ED2" s="48" t="str">
        <f t="shared" si="38"/>
        <v/>
      </c>
      <c r="EE2" s="48" t="str">
        <f t="shared" si="38"/>
        <v/>
      </c>
      <c r="EF2" s="48" t="str">
        <f t="shared" ref="EF2:EF3" si="39">IF(AND(Y2&lt;&gt;"n",Y2&lt;&gt;""),CHAR(34)&amp;Y$1&amp;CHAR(34)&amp;",","")</f>
        <v>"Animal",</v>
      </c>
      <c r="EG2" s="48" t="str">
        <f t="shared" ref="EG2:EZ3" si="40">IF(Z2="y",CHAR(34)&amp;Z$1&amp;CHAR(34)&amp;",","")</f>
        <v>"Bird",</v>
      </c>
      <c r="EH2" s="48" t="str">
        <f t="shared" si="40"/>
        <v/>
      </c>
      <c r="EI2" s="48" t="str">
        <f t="shared" si="40"/>
        <v/>
      </c>
      <c r="EJ2" s="48" t="str">
        <f t="shared" si="40"/>
        <v/>
      </c>
      <c r="EK2" s="48" t="str">
        <f t="shared" si="40"/>
        <v>"HasSun",</v>
      </c>
      <c r="EL2" s="48" t="str">
        <f t="shared" si="40"/>
        <v/>
      </c>
      <c r="EM2" s="48" t="str">
        <f t="shared" si="40"/>
        <v/>
      </c>
      <c r="EN2" s="48" t="str">
        <f t="shared" si="40"/>
        <v/>
      </c>
      <c r="EO2" s="48" t="str">
        <f t="shared" si="40"/>
        <v/>
      </c>
      <c r="EP2" s="48" t="str">
        <f t="shared" si="40"/>
        <v/>
      </c>
      <c r="EQ2" s="48" t="str">
        <f t="shared" si="40"/>
        <v/>
      </c>
      <c r="ER2" s="48" t="str">
        <f t="shared" si="40"/>
        <v/>
      </c>
      <c r="ES2" s="48" t="str">
        <f t="shared" si="40"/>
        <v>"Wavess",</v>
      </c>
      <c r="ET2" s="48" t="str">
        <f t="shared" si="40"/>
        <v/>
      </c>
      <c r="EU2" s="48" t="str">
        <f t="shared" si="40"/>
        <v/>
      </c>
      <c r="EV2" s="48" t="str">
        <f t="shared" si="40"/>
        <v/>
      </c>
      <c r="EW2" s="48" t="str">
        <f t="shared" si="40"/>
        <v/>
      </c>
      <c r="EX2" s="48" t="str">
        <f t="shared" si="40"/>
        <v/>
      </c>
      <c r="EY2" s="48" t="str">
        <f t="shared" si="40"/>
        <v/>
      </c>
      <c r="EZ2" s="48" t="str">
        <f t="shared" si="40"/>
        <v>"Waters",</v>
      </c>
      <c r="FA2" s="48" t="str">
        <f t="shared" ref="FA2:FA3" si="41">IF(AT2&gt;0,CHAR(34)&amp;"sta"&amp;AZ2&amp;CHAR(34)&amp;",","")</f>
        <v/>
      </c>
      <c r="FB2" s="48" t="str">
        <f t="shared" ref="FB2:FB3" si="42">IF(AND(AT2&gt;0,BA2&lt;&gt;""),CHAR(34)&amp;"sta"&amp;BA2&amp;CHAR(34)&amp;",","")</f>
        <v/>
      </c>
      <c r="FC2" s="48" t="str">
        <f t="shared" ref="FC2" si="43">IF(AND(AT2&gt;0,BB2&lt;&gt;""),CHAR(34)&amp;"sta"&amp;BB2&amp;CHAR(34)&amp;",","")</f>
        <v/>
      </c>
      <c r="FD2" s="48" t="str">
        <f t="shared" ref="FD2:FD3" si="44">IF(BV2="n",CHAR(34)&amp;"tcWHYE"&amp;CHAR(34)&amp;",",IF(BV2="y",CHAR(34)&amp;FD$1&amp;CHAR(34)&amp;",",""))</f>
        <v/>
      </c>
      <c r="FE2" s="48" t="str">
        <f t="shared" ref="FE2:FE3" si="45">IF(COUNTIF(BL2:BT2,"BLU")=0,CHAR(34)&amp;"NO_BLU"&amp;CHAR(34)&amp;",", "")</f>
        <v/>
      </c>
      <c r="FF2" s="48" t="str">
        <f t="shared" ref="FF2:FF3" si="46">IF(COUNTIF(BL2:BT2,"WHI")=0,CHAR(34)&amp;"NO_WHI"&amp;CHAR(34)&amp;",", "")</f>
        <v/>
      </c>
      <c r="FG2" s="48" t="str">
        <f t="shared" ref="FG2:FG3" si="47">IF(COUNTIF(BL2:BT2,"RED")=0,CHAR(34)&amp;"NO_RED"&amp;CHAR(34)&amp;",", "")</f>
        <v>"NO_RED",</v>
      </c>
      <c r="FH2" s="48" t="str">
        <f t="shared" ref="FH2:FH3" si="48">IF(COUNTIF(BL2:BS2,"GRE")=0,CHAR(34)&amp;"NO_GRE"&amp;CHAR(34)&amp;",", "")</f>
        <v/>
      </c>
      <c r="FI2" s="48" t="str">
        <f t="shared" ref="FI2:FI3" si="49">IF(COUNTIF(BL2:BT2,"YEL")=0,CHAR(34)&amp;"NO_YEL"&amp;CHAR(34)&amp;",", "")</f>
        <v>"NO_YEL",</v>
      </c>
      <c r="FJ2" s="48" t="str">
        <f t="shared" ref="FJ2:FJ3" si="50">IF(COUNTIF(BL2:BT2,"BLA")=0,CHAR(34)&amp;"NO_BLA"&amp;CHAR(34)&amp;",", "")</f>
        <v/>
      </c>
      <c r="FK2" s="48" t="str">
        <f t="shared" ref="FK2:FK3" si="51">IF(AND(FH2&lt;&gt;"",FF2&lt;&gt;""),CHAR(34)&amp;"WHGRNO"&amp;CHAR(34)&amp;",","")</f>
        <v/>
      </c>
      <c r="FL2" s="48" t="str">
        <f t="shared" ref="FL2:FL3" si="52">IF(AND(FI2&lt;&gt;"",FF2&lt;&gt;""),CHAR(34)&amp;"WHYENO"&amp;CHAR(34)&amp;",","")</f>
        <v/>
      </c>
      <c r="FM2" s="48" t="str">
        <f t="shared" ref="FM2:FM3" si="53">IF(AND(FJ2&lt;&gt;"",FF2&lt;&gt;""),CHAR(34)&amp;"BAWHNO"&amp;CHAR(34)&amp;",","")</f>
        <v/>
      </c>
      <c r="FN2" s="48" t="str">
        <f t="shared" ref="FN2:FN3" si="54">IF(AND(FE2&lt;&gt;"",FF2&lt;&gt;""),CHAR(34)&amp;"BLWHNO"&amp;CHAR(34)&amp;",","")</f>
        <v/>
      </c>
      <c r="FO2" s="48" t="str">
        <f t="shared" ref="FO2:FO3" si="55">IF(AND(FE2&lt;&gt;"",FG2&lt;&gt;""),CHAR(34)&amp;"BLRENO"&amp;CHAR(34)&amp;",","")</f>
        <v/>
      </c>
      <c r="FP2" s="48" t="str">
        <f t="shared" ref="FP2:FP3" si="56">IF(AND(FF2&lt;&gt;"",FF2&lt;&gt;""),CHAR(34)&amp;"WHRENO"&amp;CHAR(34)&amp;",","")</f>
        <v/>
      </c>
      <c r="FQ2" s="48" t="str">
        <f t="shared" ref="FQ2:FQ3" si="57">IF(LEN(BF2)=3,CHAR(34)&amp;"001"&amp;BF2&amp;CHAR(34)&amp;",","")</f>
        <v>"001GRE",</v>
      </c>
      <c r="FR2" s="48" t="str">
        <f t="shared" ref="FR2:FR3" si="58">IF(LEN(BG2)=3,CHAR(34)&amp;"002"&amp;BG2&amp;CHAR(34)&amp;",","")</f>
        <v>"002BLU",</v>
      </c>
      <c r="FS2" s="48" t="str">
        <f t="shared" ref="FS2:FS3" si="59">IF(LEN(BH2)=3,CHAR(34)&amp;"003"&amp;BH2&amp;CHAR(34)&amp;",","")</f>
        <v>"003GRE",</v>
      </c>
      <c r="FT2" s="48" t="str">
        <f t="shared" ref="FT2:FT3" si="60">CHAR(34)&amp;"myr"&amp;BD2&amp;CHAR(34)&amp;","</f>
        <v>"myrGRE",</v>
      </c>
      <c r="FU2" s="48" t="str">
        <f t="shared" ref="FU2:FU3" si="61">IF(AY2="y",CHAR(34)&amp;"island"&amp;CHAR(34)&amp;",","")</f>
        <v/>
      </c>
      <c r="FV2" s="48" t="str">
        <f t="shared" ref="FV2:FV3" si="62">IF(BZ2="y",CHAR(34)&amp;"landlo"&amp;CHAR(34)&amp;",","")</f>
        <v/>
      </c>
      <c r="FW2" s="48" t="str">
        <f t="shared" ref="FW2:FW3" si="63">IF(CA2="y",CHAR(34)&amp;"eunion"&amp;CHAR(34)&amp;",","")</f>
        <v/>
      </c>
      <c r="FX2" s="48" t="str">
        <f t="shared" ref="FX2" si="64">SUBSTITUTE(IFERROR(SEARCH("[",A2),IFERROR(IF(AND(CA2&lt;&gt;"y",SEARCH("Europe",R2)&gt;0),CHAR(34)&amp;"noeuni"&amp;CHAR(34)&amp;",",""),"")),"1","")</f>
        <v/>
      </c>
      <c r="FY2" s="48" t="str">
        <f t="shared" ref="FY2:FY3" si="65">IFERROR(IF(SEARCH("Arabic",CB2)&gt;0,CHAR(34)&amp;"arabic"&amp;CHAR(34)&amp;",",""),"")</f>
        <v/>
      </c>
      <c r="FZ2" s="48" t="str">
        <f t="shared" ref="FZ2:FZ3" si="66">IFERROR(IF(SEARCH("English",CB2)&gt;0,CHAR(34)&amp;"englis"&amp;CHAR(34)&amp;",",""),"")</f>
        <v/>
      </c>
      <c r="GA2" s="48" t="str">
        <f t="shared" ref="GA2:GA3" si="67">IFERROR(IF(SEARCH("French",CB2)&gt;0,CHAR(34)&amp;"french"&amp;CHAR(34)&amp;",",""),"")</f>
        <v/>
      </c>
      <c r="GB2" s="48" t="str">
        <f t="shared" ref="GB2:GB3"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3" si="71">IFERROR(IF(SEARCH("Dutch",CB2)&gt;0,CHAR(34)&amp;"dutchs"&amp;CHAR(34)&amp;",",""),"")</f>
        <v/>
      </c>
      <c r="GF2" s="48" t="str">
        <f>IFERROR(IF(SEARCH("Histor",AU2)&gt;0,CHAR(34)&amp;"histor"&amp;CHAR(34)&amp;",",""),"")</f>
        <v/>
      </c>
      <c r="GG2" s="48" t="str">
        <f t="shared" ref="GG2:GG3" si="72">IF(BU2="y",CHAR(34)&amp;"unjack"&amp;CHAR(34)&amp;",","")</f>
        <v/>
      </c>
      <c r="GH2" s="48" t="str">
        <f t="shared" ref="GH2:GH3" si="73">IF(CD2=1,CHAR(34)&amp;"southc"&amp;CHAR(34)&amp;",","")</f>
        <v/>
      </c>
      <c r="GI2" s="48" t="str">
        <f t="shared" ref="GI2:GI3" si="74">IF(CE2=1,CHAR(34)&amp;"hasmap"&amp;CHAR(34)&amp;",","")</f>
        <v/>
      </c>
      <c r="GJ2" s="48" t="str">
        <f t="shared" ref="GJ2:GJ3" si="75">IF(CP2="y",CHAR(34)&amp;CP$1&amp;CHAR(34)&amp;",","")</f>
        <v>"NoStar",</v>
      </c>
      <c r="GK2" s="48" t="str">
        <f t="shared" ref="GK2:GK3" si="76">IF(GJ2="",CHAR(34)&amp;"HasSta"&amp;CHAR(34)&amp;",","")</f>
        <v/>
      </c>
      <c r="GL2" s="48" t="str">
        <f t="shared" ref="GL2:GN3" si="77">IF(CQ2="y",CHAR(34)&amp;CQ$1&amp;CHAR(34)&amp;",","")</f>
        <v/>
      </c>
      <c r="GM2" s="48" t="str">
        <f t="shared" si="77"/>
        <v/>
      </c>
      <c r="GN2" s="48" t="str">
        <f t="shared" si="77"/>
        <v/>
      </c>
      <c r="GP2" s="48" t="str">
        <f t="shared" ref="GP2:GP3" si="78">CHAR(34)&amp;AU2&amp;CHAR(34)</f>
        <v>""</v>
      </c>
      <c r="GS2" s="48" t="str">
        <f t="shared" ref="GS2:GS3" si="79">SUBSTITUTE("["&amp;_xlfn.CONCAT(CW2:GN2)&amp;"]",",]","]")</f>
        <v>["4Color","lets08","startK","year19","allhor","4+Band","Horizo","Animal","Bird","HasSun","Wavess","Waters","NO_RED","NO_YEL","001GRE","002BLU","003GRE","myrGRE","NoStar"]</v>
      </c>
      <c r="GT2" s="48" t="str">
        <f t="shared" ref="GT2:HB3" si="80">IF(BL2&lt;&gt;"",CHAR(34)&amp;"cl_"&amp;BL2&amp;CHAR(34)&amp;",","")</f>
        <v>"cl_GRE",</v>
      </c>
      <c r="GU2" s="48" t="str">
        <f t="shared" si="80"/>
        <v>"cl_BLU",</v>
      </c>
      <c r="GV2" s="48" t="str">
        <f t="shared" si="80"/>
        <v>"cl_BLA",</v>
      </c>
      <c r="GW2" s="48" t="str">
        <f t="shared" si="80"/>
        <v>"cl_WHI",</v>
      </c>
      <c r="GX2" s="48" t="str">
        <f t="shared" si="80"/>
        <v/>
      </c>
      <c r="GY2" s="48" t="str">
        <f t="shared" si="80"/>
        <v/>
      </c>
      <c r="GZ2" s="48" t="str">
        <f t="shared" si="80"/>
        <v/>
      </c>
      <c r="HA2" s="48" t="str">
        <f t="shared" si="80"/>
        <v/>
      </c>
      <c r="HB2" s="48" t="str">
        <f t="shared" si="80"/>
        <v/>
      </c>
      <c r="HC2" s="48" t="str">
        <f t="shared" ref="HC2:HC3" si="81">SUBSTITUTE("["&amp;_xlfn.CONCAT(GT2:HB2)&amp;"]",",]","]")</f>
        <v>["cl_GRE","cl_BLU","cl_BLA","cl_WHI"]</v>
      </c>
      <c r="HE2" s="71"/>
      <c r="HF2" s="72" t="str">
        <f t="shared" ref="HF2:HF3" si="82">"{couname:"&amp;CT2&amp;(IF(HK2&lt;&gt;"",",subtype:"&amp;CHAR(34)&amp;HK2&amp;CHAR(34),""))&amp;",year:"&amp;HJ2&amp;",region:"&amp;CU2&amp;",Colors:"&amp;HC2&amp;",Items:"&amp;GS2&amp;",Flag:"&amp;CV2&amp;",HDFlag:"&amp;CHAR(34)&amp;E2&amp;CHAR(34)&amp;",type:"&amp;GP2&amp;", describe: "&amp;HH2&amp;", isnew:"&amp;CHAR(34)&amp;F2&amp;CHAR(34)&amp;", links: "&amp;HL2&amp;"},"</f>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links: "https://en.wikipedia.org/wiki/Flag_of_Kiribati"},</v>
      </c>
      <c r="HG2" s="73" t="str">
        <f t="shared" ref="HG2:HG3" si="83">"{couname:"&amp;CT2&amp;(IF(HK2&lt;&gt;"",",subtype:"&amp;CHAR(34)&amp;HK2&amp;CHAR(34),""))&amp;",year:"&amp;HJ2&amp;",region:"&amp;CU2&amp;",Colors:"&amp;HC2&amp;",Items:"&amp;GS2&amp;",Flag:"&amp;CV2&amp;",HDFlag:"&amp;CHAR(34)&amp;E2&amp;CHAR(34)&amp;",type:"&amp;GP2&amp;", describe: "&amp;HI2&amp;", links: "&amp;HL2&amp;"},"</f>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links: "https://en.wikipedia.org/wiki/Flag_of_Kiribati"},</v>
      </c>
      <c r="HH2" s="48" t="str">
        <f t="shared" ref="HH2:HH3" si="84">IF(P2&lt;&gt;"",CHAR(34)&amp;"\n"&amp;P2&amp;CHAR(34),CHAR(34)&amp;CHAR(34))</f>
        <v>"\nThe bird is a frigate bird which represents power, freedom and Kiribati cultural dance patterns. The rising sun is the tropical sun as Kiribati lies astride the Equator.The sea is the Pacific Ocean which surrounds Kiribati."</v>
      </c>
      <c r="HI2" s="48" t="str">
        <f t="shared" ref="HI2:HI3" si="85">IF(J2=0,CHAR(34)&amp;CHAR(34),HH2)</f>
        <v>"\nThe bird is a frigate bird which represents power, freedom and Kiribati cultural dance patterns. The rising sun is the tropical sun as Kiribati lies astride the Equator.The sea is the Pacific Ocean which surrounds Kiribati."</v>
      </c>
      <c r="HJ2" s="48" t="str">
        <f t="shared" ref="HJ2:HJ3" si="86">CHAR(34)&amp;O2&amp;CHAR(34)</f>
        <v>"1979 "</v>
      </c>
      <c r="HL2" s="48" t="str">
        <f t="shared" ref="HL2:HL3" si="87">CHAR(34)&amp;I2&amp;CHAR(34)</f>
        <v>"https://en.wikipedia.org/wiki/Flag_of_Kiribati"</v>
      </c>
      <c r="HM2" s="72" t="str">
        <f t="shared" ref="HM2:HM3"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 "links": "https://en.wikipedia.org/wiki/Flag_of_Kiribati"},</v>
      </c>
      <c r="HN2" s="74" t="str">
        <f t="shared" ref="HN2:HN3"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{"couname":"Kiribati","year":"1979 ","region":"rgn_Oceania","Colors":["cl_GRE","cl_BLU","cl_BLA","cl_WHI"],"Items":["4Color","lets08","startK","year19","allhor","4+Band","Horizo","Animal","Bird","HasSun","Wavess","Waters","NO_RED","NO_YEL","001GRE","002BLU","003GRE","myrGRE","NoStar"],"Flag":"https://i.ibb.co/zJCR6VG/Kiribati-Flag.png","HDFlag":"https://upload.wikimedia.org/wikipedia/commons/thumb/d/d3/Flag_of_Kiribati.svg/2560px-Flag_of_Kiribati.svg.png","type":"", "describe": "\nThe bird is a frigate bird which represents power, freedom and Kiribati cultural dance patterns. The rising sun is the tropical sun as Kiribati lies astride the Equator.The sea is the Pacific Ocean which surrounds Kiribati.", "isnew": ".", "links": "https://en.wikipedia.org/wiki/Flag_of_Kiribati"},</v>
      </c>
      <c r="HO2" s="75"/>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 t="shared" ref="IL2" si="90">SUM(IC2:IK2)</f>
        <v>0</v>
      </c>
      <c r="IM2" s="45">
        <f t="shared" ref="IM2:IM3" si="91">COUNTIF(IC2:IK2,"&gt;0")-CG2</f>
        <v>-4</v>
      </c>
      <c r="IN2" s="78" t="str">
        <f t="shared" ref="IN2:IN3" si="92">"http://mkweb.bcgsc.ca/color-summarizer/?url="&amp;D2&amp;"&amp;precision=low&amp;num_clusters="&amp;CG2&amp;"&amp;text=1"</f>
        <v>http://mkweb.bcgsc.ca/color-summarizer/?url=https://i.ibb.co/zJCR6VG/Kiribati-Flag.png&amp;precision=low&amp;num_clusters=4&amp;text=1</v>
      </c>
      <c r="IO2" s="48" t="str">
        <f t="shared" ref="IO2:IO3" si="93">IF(HP2&lt;&gt;"",CHAR(34)&amp;"black"&amp;CHAR(34),"")</f>
        <v>"black"</v>
      </c>
      <c r="IP2" s="48" t="str">
        <f t="shared" ref="IP2:IP3" si="94">IF(HQ2&lt;&gt;"",CHAR(34)&amp;"blue"&amp;CHAR(34),"")</f>
        <v>"blue"</v>
      </c>
      <c r="IQ2" s="48" t="str">
        <f t="shared" ref="IQ2:IQ3" si="95">IF(HR2&lt;&gt;"",CHAR(34)&amp;"green"&amp;CHAR(34),"")</f>
        <v>"green"</v>
      </c>
      <c r="IR2" s="48" t="str">
        <f t="shared" ref="IR2:IR3" si="96">IF(HS2&lt;&gt;"",CHAR(34)&amp;"red"&amp;CHAR(34),"")</f>
        <v/>
      </c>
      <c r="IS2" s="48" t="str">
        <f t="shared" ref="IS2:IS3" si="97">IF(HT2&lt;&gt;"",CHAR(34)&amp;"yellow"&amp;CHAR(34),"")</f>
        <v/>
      </c>
      <c r="IT2" s="48" t="str">
        <f t="shared" ref="IT2:IT3" si="98">IF(HU2&lt;&gt;"",CHAR(34)&amp;"orange"&amp;CHAR(34),"")</f>
        <v/>
      </c>
      <c r="IU2" s="48" t="str">
        <f t="shared" ref="IU2:IU3" si="99">IF(HV2&lt;&gt;"",CHAR(34)&amp;"brown"&amp;CHAR(34),"")</f>
        <v/>
      </c>
      <c r="IV2" s="48" t="str">
        <f t="shared" ref="IV2:IV3" si="100">IF(HW2&lt;&gt;"",CHAR(34)&amp;"purple"&amp;CHAR(34),"")</f>
        <v/>
      </c>
      <c r="IW2" s="48" t="str">
        <f t="shared" ref="IW2:IW3" si="101">IF(HX2&lt;&gt;"",CHAR(34)&amp;"white"&amp;CHAR(34),"")</f>
        <v>"white"</v>
      </c>
      <c r="IX2" s="48" t="str">
        <f t="shared" ref="IX2:IX3" si="102">"{"&amp;CHAR(34)&amp;"url"&amp;CHAR(34)&amp;":"&amp;CHAR(34)&amp;IN2&amp;CHAR(34)&amp;","&amp;CHAR(34)&amp;"name"&amp;CHAR(34)&amp;":"&amp;CHAR(34)&amp;A2&amp;CHAR(34)&amp;"},"</f>
        <v>{"url":"http://mkweb.bcgsc.ca/color-summarizer/?url=https://i.ibb.co/zJCR6VG/Kiribati-Flag.png&amp;precision=low&amp;num_clusters=4&amp;text=1","name":"Kiribati"},</v>
      </c>
      <c r="IY2" s="48">
        <v>952</v>
      </c>
    </row>
    <row r="3" spans="1:259" s="48" customFormat="1" ht="38.4" customHeight="1" thickBot="1" x14ac:dyDescent="0.35">
      <c r="A3" s="81" t="s">
        <v>758</v>
      </c>
      <c r="B3" s="40" t="e" vm="46">
        <v>#VALUE!</v>
      </c>
      <c r="C3" s="41">
        <v>3</v>
      </c>
      <c r="D3" s="42" t="s">
        <v>759</v>
      </c>
      <c r="E3" s="43" t="s">
        <v>760</v>
      </c>
      <c r="F3" s="44" t="s">
        <v>166</v>
      </c>
      <c r="G3" s="45">
        <f>COUNTIF($A$1:$A$8222,A3)</f>
        <v>1</v>
      </c>
      <c r="H3" s="46" t="s">
        <v>761</v>
      </c>
      <c r="I3" s="47" t="s">
        <v>762</v>
      </c>
      <c r="J3" s="48" t="str">
        <f>""</f>
        <v/>
      </c>
      <c r="K3" s="49"/>
      <c r="L3" s="50"/>
      <c r="M3" s="50"/>
      <c r="N3" s="51" t="s">
        <v>169</v>
      </c>
      <c r="O3" s="52">
        <v>1889</v>
      </c>
      <c r="P3" s="53" t="s">
        <v>763</v>
      </c>
      <c r="Q3" s="54">
        <v>3</v>
      </c>
      <c r="R3" s="55" t="s">
        <v>169</v>
      </c>
      <c r="S3" s="56">
        <v>3</v>
      </c>
      <c r="T3" s="57" t="s">
        <v>173</v>
      </c>
      <c r="U3" s="58" t="s">
        <v>173</v>
      </c>
      <c r="V3" s="58" t="s">
        <v>172</v>
      </c>
      <c r="W3" s="58" t="s">
        <v>173</v>
      </c>
      <c r="X3" s="58" t="s">
        <v>172</v>
      </c>
      <c r="Y3" s="58" t="s">
        <v>172</v>
      </c>
      <c r="Z3" s="58" t="s">
        <v>173</v>
      </c>
      <c r="AA3" s="58" t="s">
        <v>173</v>
      </c>
      <c r="AB3" s="58" t="s">
        <v>173</v>
      </c>
      <c r="AC3" s="58" t="s">
        <v>173</v>
      </c>
      <c r="AD3" s="58" t="s">
        <v>173</v>
      </c>
      <c r="AE3" s="58" t="s">
        <v>173</v>
      </c>
      <c r="AF3" s="59" t="s">
        <v>173</v>
      </c>
      <c r="AG3" s="59" t="s">
        <v>172</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0</v>
      </c>
      <c r="AU3" s="59" t="s">
        <v>677</v>
      </c>
      <c r="AV3" s="59" t="str">
        <f>IF(LEFT(A3,1)="[",LEFT(A3,5)&amp;AU3&amp;A3,"")</f>
        <v>[KIR]Historical[KIR] Kingdom of Abemama (1889-1892)</v>
      </c>
      <c r="AW3" s="59" t="str">
        <f>C3&amp;H3&amp;A3</f>
        <v>3[KIR] Other[KIR] Kingdom of Abemama (1889-1892)</v>
      </c>
      <c r="AX3" s="61"/>
      <c r="AY3" s="61"/>
      <c r="AZ3" s="62" t="s">
        <v>159</v>
      </c>
      <c r="BA3" s="62" t="s">
        <v>192</v>
      </c>
      <c r="BB3" s="62"/>
      <c r="BC3" s="63"/>
      <c r="BD3" s="64" t="s">
        <v>154</v>
      </c>
      <c r="BE3" s="47"/>
      <c r="BF3" s="64" t="s">
        <v>154</v>
      </c>
      <c r="BG3" s="64" t="s">
        <v>152</v>
      </c>
      <c r="BH3" s="64" t="s">
        <v>153</v>
      </c>
      <c r="BI3" s="64"/>
      <c r="BJ3" s="64"/>
      <c r="BK3" s="47"/>
      <c r="BL3" s="64" t="s">
        <v>192</v>
      </c>
      <c r="BM3" s="64" t="s">
        <v>152</v>
      </c>
      <c r="BN3" s="64" t="s">
        <v>153</v>
      </c>
      <c r="BO3" s="64" t="s">
        <v>154</v>
      </c>
      <c r="BP3" s="64" t="s">
        <v>192</v>
      </c>
      <c r="BQ3" s="64" t="s">
        <v>192</v>
      </c>
      <c r="BR3" s="64" t="s">
        <v>192</v>
      </c>
      <c r="BS3" s="64" t="s">
        <v>192</v>
      </c>
      <c r="BT3" s="64" t="s">
        <v>159</v>
      </c>
      <c r="BU3" s="65"/>
      <c r="BV3" s="66"/>
      <c r="BW3" s="66">
        <v>0</v>
      </c>
      <c r="BX3" s="47"/>
      <c r="BY3" s="48" t="s">
        <v>173</v>
      </c>
      <c r="CB3" s="6"/>
      <c r="CC3" s="6"/>
      <c r="CD3" s="67">
        <v>0</v>
      </c>
      <c r="CE3" s="67">
        <v>0</v>
      </c>
      <c r="CF3" s="67" t="e">
        <v>#REF!</v>
      </c>
      <c r="CG3" s="68" cm="1">
        <f t="array" ref="CG3">SUMPRODUCT(--(LEN(TRIM(BL3:BT3))&gt;0))</f>
        <v>4</v>
      </c>
      <c r="CH3" s="59" t="str">
        <f t="shared" si="0"/>
        <v>n</v>
      </c>
      <c r="CI3" s="59" t="str">
        <f t="shared" si="1"/>
        <v>n</v>
      </c>
      <c r="CJ3" s="59" t="str">
        <f t="shared" si="2"/>
        <v>y</v>
      </c>
      <c r="CK3" s="59" t="str">
        <f t="shared" si="3"/>
        <v>n</v>
      </c>
      <c r="CL3" s="59" t="str">
        <f t="shared" si="4"/>
        <v>n</v>
      </c>
      <c r="CM3" s="59" t="str">
        <f t="shared" si="5"/>
        <v>n</v>
      </c>
      <c r="CN3" s="59" t="str">
        <f t="shared" si="6"/>
        <v>y</v>
      </c>
      <c r="CO3" s="59" t="str">
        <f t="shared" si="7"/>
        <v>n</v>
      </c>
      <c r="CP3" s="59" t="str">
        <f t="shared" si="8"/>
        <v>y</v>
      </c>
      <c r="CQ3" s="59" t="str">
        <f t="shared" si="9"/>
        <v>n</v>
      </c>
      <c r="CR3" s="59" t="str">
        <f t="shared" si="10"/>
        <v>n</v>
      </c>
      <c r="CS3" s="59" t="str">
        <f t="shared" si="11"/>
        <v>n</v>
      </c>
      <c r="CT3" s="69" t="str">
        <f t="shared" si="12"/>
        <v>"[KIR] Kingdom of Abemama (1889-1892)"</v>
      </c>
      <c r="CU3" s="70" t="str">
        <f t="shared" si="13"/>
        <v>"rgn_Oceania"</v>
      </c>
      <c r="CV3" s="48" t="str">
        <f t="shared" si="14"/>
        <v>"https://upload.wikimedia.org/wikipedia/commons/thumb/a/a4/Kingdom_of_Abemama_Flag.svg/640px-Kingdom_of_Abemama_Flag.svg.png"</v>
      </c>
      <c r="CW3" s="48" t="str">
        <f t="shared" si="15"/>
        <v/>
      </c>
      <c r="CX3" s="48" t="str">
        <f t="shared" si="15"/>
        <v/>
      </c>
      <c r="CY3" s="48" t="str">
        <f t="shared" si="15"/>
        <v>"4Color",</v>
      </c>
      <c r="CZ3" s="48" t="str">
        <f t="shared" si="15"/>
        <v/>
      </c>
      <c r="DA3" s="48" t="str">
        <f t="shared" si="16"/>
        <v>"words2",</v>
      </c>
      <c r="DB3" s="48" t="str">
        <f t="shared" si="17"/>
        <v>"words3",</v>
      </c>
      <c r="DD3" s="48" t="str">
        <f t="shared" ref="DD3" si="103">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8" t="str">
        <f t="shared" ref="DE3" si="104">CHAR(34)&amp;"start"&amp;IFERROR(LEFT(SUBSTITUTE(A3,"["&amp;MID(A3,FIND("[",A3)+1,FIND("]",A3)-FIND("[",A3)-1)&amp;"] ",""),1),LEFT(A3,1))&amp;CHAR(34)&amp;","</f>
        <v>"startK",</v>
      </c>
      <c r="DF3" s="48" t="str">
        <f t="shared" si="21"/>
        <v/>
      </c>
      <c r="DG3" s="48" t="str">
        <f t="shared" si="22"/>
        <v/>
      </c>
      <c r="DH3" s="48" t="str">
        <f t="shared" si="23"/>
        <v/>
      </c>
      <c r="DI3" s="48" t="str">
        <f t="shared" si="24"/>
        <v/>
      </c>
      <c r="DJ3" s="48" t="str">
        <f t="shared" si="25"/>
        <v/>
      </c>
      <c r="DK3" s="48" t="str">
        <f t="shared" si="26"/>
        <v/>
      </c>
      <c r="DL3" s="48" t="str">
        <f t="shared" si="27"/>
        <v/>
      </c>
      <c r="DM3" s="48" t="str" cm="1">
        <f t="array" ref="DM3">IF(CG3=3,CHAR(34) &amp; _xlfn.TEXTJOIN("", TRUE, RIGHT(HP3:HX3, 2)) &amp; CHAR(34) &amp; ",", "")</f>
        <v/>
      </c>
      <c r="DN3" s="48" t="str">
        <f t="shared" si="28"/>
        <v>"year18",</v>
      </c>
      <c r="DO3" s="48" t="str">
        <f t="shared" si="29"/>
        <v/>
      </c>
      <c r="DP3" s="6" t="str">
        <f t="shared" si="30"/>
        <v/>
      </c>
      <c r="DQ3" s="6" t="str">
        <f t="shared" si="31"/>
        <v/>
      </c>
      <c r="DR3" s="6" t="str">
        <f t="shared" si="32"/>
        <v/>
      </c>
      <c r="DS3" s="6" t="str">
        <f t="shared" si="33"/>
        <v/>
      </c>
      <c r="DT3" s="6" t="str">
        <f t="shared" si="34"/>
        <v>"allhor",</v>
      </c>
      <c r="DU3" s="6" t="str">
        <f t="shared" si="35"/>
        <v/>
      </c>
      <c r="DW3" s="48" t="str">
        <f t="shared" si="37"/>
        <v/>
      </c>
      <c r="DX3" s="48" t="str">
        <f t="shared" si="37"/>
        <v/>
      </c>
      <c r="DY3" s="48" t="str">
        <f t="shared" si="37"/>
        <v>"3Bands",</v>
      </c>
      <c r="DZ3" s="48" t="str">
        <f t="shared" si="37"/>
        <v/>
      </c>
      <c r="EA3" s="48" t="str">
        <f t="shared" si="38"/>
        <v/>
      </c>
      <c r="EB3" s="48" t="str">
        <f t="shared" si="38"/>
        <v/>
      </c>
      <c r="EC3" s="48" t="str">
        <f t="shared" si="38"/>
        <v>"Horizo",</v>
      </c>
      <c r="ED3" s="48" t="str">
        <f t="shared" si="38"/>
        <v/>
      </c>
      <c r="EE3" s="48" t="str">
        <f t="shared" si="38"/>
        <v>"Circle",</v>
      </c>
      <c r="EF3" s="48" t="str">
        <f t="shared" si="39"/>
        <v>"Animal",</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"Unequa",</v>
      </c>
      <c r="EO3" s="48" t="str">
        <f t="shared" si="40"/>
        <v>"Center",</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 t="shared" si="41"/>
        <v/>
      </c>
      <c r="FB3" s="48" t="str">
        <f t="shared" si="42"/>
        <v/>
      </c>
      <c r="FD3" s="48" t="str">
        <f t="shared" si="44"/>
        <v/>
      </c>
      <c r="FE3" s="48" t="str">
        <f t="shared" si="45"/>
        <v/>
      </c>
      <c r="FF3" s="48" t="str">
        <f t="shared" si="46"/>
        <v/>
      </c>
      <c r="FG3" s="48" t="str">
        <f t="shared" si="47"/>
        <v/>
      </c>
      <c r="FH3" s="48" t="str">
        <f t="shared" si="48"/>
        <v/>
      </c>
      <c r="FI3" s="48" t="str">
        <f t="shared" si="49"/>
        <v>"NO_YEL",</v>
      </c>
      <c r="FJ3" s="48" t="str">
        <f t="shared" si="50"/>
        <v>"NO_BLA",</v>
      </c>
      <c r="FK3" s="48" t="str">
        <f t="shared" si="51"/>
        <v/>
      </c>
      <c r="FL3" s="48" t="str">
        <f t="shared" si="52"/>
        <v/>
      </c>
      <c r="FM3" s="48" t="str">
        <f t="shared" si="53"/>
        <v/>
      </c>
      <c r="FN3" s="48" t="str">
        <f t="shared" si="54"/>
        <v/>
      </c>
      <c r="FO3" s="48" t="str">
        <f t="shared" si="55"/>
        <v/>
      </c>
      <c r="FP3" s="48" t="str">
        <f t="shared" si="56"/>
        <v/>
      </c>
      <c r="FQ3" s="48" t="str">
        <f t="shared" si="57"/>
        <v>"001RED",</v>
      </c>
      <c r="FR3" s="48" t="str">
        <f t="shared" si="58"/>
        <v>"002BLU",</v>
      </c>
      <c r="FS3" s="48" t="str">
        <f t="shared" si="59"/>
        <v>"003GRE",</v>
      </c>
      <c r="FT3" s="48" t="str">
        <f t="shared" si="60"/>
        <v>"myrRED",</v>
      </c>
      <c r="FU3" s="48" t="str">
        <f t="shared" si="61"/>
        <v/>
      </c>
      <c r="FV3" s="48" t="str">
        <f t="shared" si="62"/>
        <v/>
      </c>
      <c r="FW3" s="48" t="str">
        <f t="shared" si="63"/>
        <v/>
      </c>
      <c r="FY3" s="48" t="str">
        <f t="shared" si="65"/>
        <v/>
      </c>
      <c r="FZ3" s="48" t="str">
        <f t="shared" si="66"/>
        <v/>
      </c>
      <c r="GA3" s="48" t="str">
        <f t="shared" si="67"/>
        <v/>
      </c>
      <c r="GB3" s="48" t="str">
        <f t="shared" si="68"/>
        <v/>
      </c>
      <c r="GE3" s="48" t="str">
        <f t="shared" si="71"/>
        <v/>
      </c>
      <c r="GF3" s="48" t="str">
        <f t="shared" ref="GF3" si="105">IFERROR(IF(SEARCH("Historical",AU3)&gt;0,CHAR(34)&amp;"histor"&amp;CHAR(34)&amp;",",""),"")</f>
        <v>"histor",</v>
      </c>
      <c r="GG3" s="48" t="str">
        <f t="shared" si="72"/>
        <v/>
      </c>
      <c r="GH3" s="48" t="str">
        <f t="shared" si="73"/>
        <v/>
      </c>
      <c r="GI3" s="48" t="str">
        <f t="shared" si="74"/>
        <v/>
      </c>
      <c r="GJ3" s="48" t="str">
        <f t="shared" si="75"/>
        <v>"NoStar",</v>
      </c>
      <c r="GK3" s="48" t="str">
        <f t="shared" si="76"/>
        <v/>
      </c>
      <c r="GL3" s="48" t="str">
        <f t="shared" si="77"/>
        <v/>
      </c>
      <c r="GM3" s="48" t="str">
        <f t="shared" si="77"/>
        <v/>
      </c>
      <c r="GN3" s="48" t="str">
        <f t="shared" si="77"/>
        <v/>
      </c>
      <c r="GP3" s="48" t="str">
        <f t="shared" si="78"/>
        <v>"Historical"</v>
      </c>
      <c r="GS3" s="48" t="str">
        <f t="shared" si="79"/>
        <v>["4Color","words2","words3","lets26","startK","year18","allhor","3Bands","Horizo","Circle","Animal","Unequa","Center","NO_YEL","NO_BLA","001RED","002BLU","003GRE","myrRED","histor","NoStar"]</v>
      </c>
      <c r="GT3" s="48" t="str">
        <f t="shared" si="80"/>
        <v/>
      </c>
      <c r="GU3" s="48" t="str">
        <f t="shared" si="80"/>
        <v>"cl_BLU",</v>
      </c>
      <c r="GV3" s="48" t="str">
        <f t="shared" si="80"/>
        <v>"cl_GRE",</v>
      </c>
      <c r="GW3" s="48" t="str">
        <f t="shared" si="80"/>
        <v>"cl_RED",</v>
      </c>
      <c r="GX3" s="48" t="str">
        <f t="shared" si="80"/>
        <v/>
      </c>
      <c r="GY3" s="48" t="str">
        <f t="shared" si="80"/>
        <v/>
      </c>
      <c r="GZ3" s="48" t="str">
        <f t="shared" si="80"/>
        <v/>
      </c>
      <c r="HA3" s="48" t="str">
        <f t="shared" si="80"/>
        <v/>
      </c>
      <c r="HB3" s="48" t="str">
        <f t="shared" si="80"/>
        <v>"cl_WHI",</v>
      </c>
      <c r="HC3" s="48" t="str">
        <f t="shared" si="81"/>
        <v>["cl_BLU","cl_GRE","cl_RED","cl_WHI"]</v>
      </c>
      <c r="HE3" s="71"/>
      <c r="HF3" s="72" t="str">
        <f t="shared" si="82"/>
        <v>{couname:"[KIR] Kingdom of Abemama (1889-1892)",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links: "https://en.m.wikipedia.org/wiki/Flag_of_Kiribati"},</v>
      </c>
      <c r="HG3" s="73" t="str">
        <f t="shared" si="83"/>
        <v>{couname:"[KIR] Kingdom of Abemama (1889-1892)",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links: "https://en.m.wikipedia.org/wiki/Flag_of_Kiribati"},</v>
      </c>
      <c r="HH3" s="48" t="str">
        <f t="shared" si="84"/>
        <v>"\nA horizontal tricolor of red,yellow, and green with a black silhouette of a shark on the central band."</v>
      </c>
      <c r="HI3" s="48" t="str">
        <f t="shared" si="85"/>
        <v>"\nA horizontal tricolor of red,yellow, and green with a black silhouette of a shark on the central band."</v>
      </c>
      <c r="HJ3" s="48" t="str">
        <f t="shared" si="86"/>
        <v>"1889"</v>
      </c>
      <c r="HL3" s="48" t="str">
        <f t="shared" si="87"/>
        <v>"https://en.m.wikipedia.org/wiki/Flag_of_Kiribati"</v>
      </c>
      <c r="HM3" s="72" t="str">
        <f t="shared" si="88"/>
        <v>{"couname":"[KIR] Kingdom of Abemama (1889-1892)","subtype":"[KIR] Other","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 "links": "https://en.m.wikipedia.org/wiki/Flag_of_Kiribati"},</v>
      </c>
      <c r="HN3" s="74" t="str">
        <f t="shared" si="89"/>
        <v>{"couname":"[KIR] Kingdom of Abemama (1889-1892)","subtype":"[KIR] Other","year":"1889","region":"rgn_Oceania","Colors":["cl_BLU","cl_GRE","cl_RED","cl_WHI"],"Items":["4Color","words2","words3","lets26","startK","year18","allhor","3Bands","Horizo","Circle","Animal","Unequa","Center","NO_YEL","NO_BLA","001RED","002BLU","003GRE","myrRED","histor","NoStar"],"Flag":"https://upload.wikimedia.org/wikipedia/commons/thumb/a/a4/Kingdom_of_Abemama_Flag.svg/640px-Kingdom_of_Abemama_Flag.svg.png","HDFlag":"https://upload.wikimedia.org/wikipedia/commons/thumb/a/a4/Kingdom_of_Abemama_Flag.svg/1280px-Kingdom_of_Abemama_Flag.svg.png","type":"Historical", "describe": "\nA horizontal tricolor of red,yellow, and green with a black silhouette of a shark on the central band.", "isnew": ".", "links": "https://en.m.wikipedia.org/wiki/Flag_of_Kiribati"},</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si="91"/>
        <v>-4</v>
      </c>
      <c r="IN3" s="78" t="str">
        <f t="shared" si="92"/>
        <v>http://mkweb.bcgsc.ca/color-summarizer/?url=https://upload.wikimedia.org/wikipedia/commons/thumb/a/a4/Kingdom_of_Abemama_Flag.svg/640px-Kingdom_of_Abemama_Flag.svg.png&amp;precision=low&amp;num_clusters=4&amp;text=1</v>
      </c>
      <c r="IO3" s="48" t="str">
        <f t="shared" si="93"/>
        <v/>
      </c>
      <c r="IP3" s="48" t="str">
        <f t="shared" si="94"/>
        <v>"blue"</v>
      </c>
      <c r="IQ3" s="48" t="str">
        <f t="shared" si="95"/>
        <v>"green"</v>
      </c>
      <c r="IR3" s="48" t="str">
        <f t="shared" si="96"/>
        <v>"red"</v>
      </c>
      <c r="IS3" s="48" t="str">
        <f t="shared" si="97"/>
        <v/>
      </c>
      <c r="IT3" s="48" t="str">
        <f t="shared" si="98"/>
        <v/>
      </c>
      <c r="IU3" s="48" t="str">
        <f t="shared" si="99"/>
        <v/>
      </c>
      <c r="IV3" s="48" t="str">
        <f t="shared" si="100"/>
        <v/>
      </c>
      <c r="IW3" s="48" t="str">
        <f t="shared" si="101"/>
        <v>"white"</v>
      </c>
      <c r="IX3" s="48" t="str">
        <f t="shared" si="102"/>
        <v>{"url":"http://mkweb.bcgsc.ca/color-summarizer/?url=https://upload.wikimedia.org/wikipedia/commons/thumb/a/a4/Kingdom_of_Abemama_Flag.svg/640px-Kingdom_of_Abemama_Flag.svg.png&amp;precision=low&amp;num_clusters=4&amp;text=1","name":"[KIR] Kingdom of Abemama (1889-1892)"},</v>
      </c>
      <c r="IY3" s="48">
        <v>1473</v>
      </c>
    </row>
  </sheetData>
  <conditionalFormatting sqref="H1 CW1:GS1 IA1:IB1">
    <cfRule type="cellIs" dxfId="4296" priority="107" operator="greaterThan">
      <formula>0</formula>
    </cfRule>
  </conditionalFormatting>
  <conditionalFormatting sqref="H1">
    <cfRule type="cellIs" dxfId="4295" priority="73" stopIfTrue="1" operator="notEqual">
      <formula>""</formula>
    </cfRule>
  </conditionalFormatting>
  <conditionalFormatting sqref="T1:BK1">
    <cfRule type="cellIs" dxfId="4294" priority="110" operator="greaterThan">
      <formula>0</formula>
    </cfRule>
  </conditionalFormatting>
  <conditionalFormatting sqref="BV1:BW1">
    <cfRule type="cellIs" dxfId="4293" priority="109" operator="equal">
      <formula>"nc"</formula>
    </cfRule>
  </conditionalFormatting>
  <conditionalFormatting sqref="HF1:HG1">
    <cfRule type="cellIs" dxfId="4292" priority="111" operator="greaterThan">
      <formula>0</formula>
    </cfRule>
  </conditionalFormatting>
  <conditionalFormatting sqref="HK1">
    <cfRule type="cellIs" dxfId="4291" priority="108" operator="greaterThan">
      <formula>0</formula>
    </cfRule>
  </conditionalFormatting>
  <conditionalFormatting sqref="HP1:HX1">
    <cfRule type="cellIs" dxfId="4290" priority="85" operator="equal">
      <formula>"PIN"</formula>
    </cfRule>
    <cfRule type="cellIs" dxfId="4289" priority="86" operator="equal">
      <formula>"ORA"</formula>
    </cfRule>
    <cfRule type="cellIs" dxfId="4288" priority="87" operator="equal">
      <formula>"GRA"</formula>
    </cfRule>
    <cfRule type="cellIs" dxfId="4287" priority="88" operator="equal">
      <formula>"PUR"</formula>
    </cfRule>
    <cfRule type="cellIs" dxfId="4286" priority="89" operator="equal">
      <formula>"BRO"</formula>
    </cfRule>
    <cfRule type="cellIs" dxfId="4285" priority="90" operator="equal">
      <formula>"YEL"</formula>
    </cfRule>
    <cfRule type="cellIs" dxfId="4284" priority="91" operator="equal">
      <formula>"BLU"</formula>
    </cfRule>
    <cfRule type="cellIs" dxfId="4283" priority="92" operator="equal">
      <formula>"WHI"</formula>
    </cfRule>
    <cfRule type="cellIs" dxfId="4282" priority="93" operator="equal">
      <formula>"GRE"</formula>
    </cfRule>
    <cfRule type="cellIs" dxfId="4281" priority="94" operator="equal">
      <formula>"RED"</formula>
    </cfRule>
    <cfRule type="cellIs" dxfId="4280" priority="95" operator="equal">
      <formula>"BLA"</formula>
    </cfRule>
  </conditionalFormatting>
  <conditionalFormatting sqref="IC1:IK1">
    <cfRule type="cellIs" dxfId="4279" priority="96" operator="equal">
      <formula>"PIN"</formula>
    </cfRule>
    <cfRule type="cellIs" dxfId="4278" priority="97" operator="equal">
      <formula>"ORA"</formula>
    </cfRule>
    <cfRule type="cellIs" dxfId="4277" priority="98" operator="equal">
      <formula>"GRA"</formula>
    </cfRule>
    <cfRule type="cellIs" dxfId="4276" priority="99" operator="equal">
      <formula>"PUR"</formula>
    </cfRule>
    <cfRule type="cellIs" dxfId="4275" priority="100" operator="equal">
      <formula>"BRO"</formula>
    </cfRule>
    <cfRule type="cellIs" dxfId="4274" priority="101" operator="equal">
      <formula>"YEL"</formula>
    </cfRule>
    <cfRule type="cellIs" dxfId="4273" priority="102" operator="equal">
      <formula>"BLU"</formula>
    </cfRule>
    <cfRule type="cellIs" dxfId="4272" priority="103" operator="equal">
      <formula>"WHI"</formula>
    </cfRule>
    <cfRule type="cellIs" dxfId="4271" priority="104" operator="equal">
      <formula>"GRE"</formula>
    </cfRule>
    <cfRule type="cellIs" dxfId="4270" priority="105" operator="equal">
      <formula>"RED"</formula>
    </cfRule>
    <cfRule type="cellIs" dxfId="4269" priority="106" operator="equal">
      <formula>"BLA"</formula>
    </cfRule>
  </conditionalFormatting>
  <conditionalFormatting sqref="IO1:IW1">
    <cfRule type="cellIs" dxfId="4268" priority="74" operator="equal">
      <formula>"PIN"</formula>
    </cfRule>
    <cfRule type="cellIs" dxfId="4267" priority="75" operator="equal">
      <formula>"ORA"</formula>
    </cfRule>
    <cfRule type="cellIs" dxfId="4266" priority="76" operator="equal">
      <formula>"GRA"</formula>
    </cfRule>
    <cfRule type="cellIs" dxfId="4265" priority="77" operator="equal">
      <formula>"PUR"</formula>
    </cfRule>
    <cfRule type="cellIs" dxfId="4264" priority="78" operator="equal">
      <formula>"BRO"</formula>
    </cfRule>
    <cfRule type="cellIs" dxfId="4263" priority="79" operator="equal">
      <formula>"YEL"</formula>
    </cfRule>
    <cfRule type="cellIs" dxfId="4262" priority="80" operator="equal">
      <formula>"BLU"</formula>
    </cfRule>
    <cfRule type="cellIs" dxfId="4261" priority="81" operator="equal">
      <formula>"WHI"</formula>
    </cfRule>
    <cfRule type="cellIs" dxfId="4260" priority="82" operator="equal">
      <formula>"GRE"</formula>
    </cfRule>
    <cfRule type="cellIs" dxfId="4259" priority="83" operator="equal">
      <formula>"RED"</formula>
    </cfRule>
    <cfRule type="cellIs" dxfId="4258" priority="84" operator="equal">
      <formula>"BLA"</formula>
    </cfRule>
  </conditionalFormatting>
  <conditionalFormatting sqref="H2">
    <cfRule type="cellIs" dxfId="4257" priority="42" stopIfTrue="1" operator="notEqual">
      <formula>""</formula>
    </cfRule>
  </conditionalFormatting>
  <conditionalFormatting sqref="R2 CU2">
    <cfRule type="cellIs" dxfId="4256" priority="44" operator="greaterThan">
      <formula>0</formula>
    </cfRule>
  </conditionalFormatting>
  <conditionalFormatting sqref="T2:AS2 CH2:CS2">
    <cfRule type="cellIs" dxfId="4255" priority="39" stopIfTrue="1" operator="equal">
      <formula>"n"</formula>
    </cfRule>
    <cfRule type="cellIs" dxfId="4254" priority="40" stopIfTrue="1" operator="equal">
      <formula>"y"</formula>
    </cfRule>
    <cfRule type="cellIs" dxfId="4253" priority="41" operator="greaterThan">
      <formula>0</formula>
    </cfRule>
  </conditionalFormatting>
  <conditionalFormatting sqref="AZ2:BB2">
    <cfRule type="expression" dxfId="4252" priority="38">
      <formula>$AT2=0</formula>
    </cfRule>
  </conditionalFormatting>
  <conditionalFormatting sqref="AZ2:BU2">
    <cfRule type="cellIs" dxfId="4251" priority="47" operator="equal">
      <formula>"PIN"</formula>
    </cfRule>
    <cfRule type="cellIs" dxfId="4250" priority="48" operator="equal">
      <formula>"ORA"</formula>
    </cfRule>
    <cfRule type="cellIs" dxfId="4249" priority="49" operator="equal">
      <formula>"GRA"</formula>
    </cfRule>
    <cfRule type="cellIs" dxfId="4248" priority="50" operator="equal">
      <formula>"PUR"</formula>
    </cfRule>
    <cfRule type="cellIs" dxfId="4247" priority="51" operator="equal">
      <formula>"BRO"</formula>
    </cfRule>
    <cfRule type="cellIs" dxfId="4246" priority="52" operator="equal">
      <formula>"YEL"</formula>
    </cfRule>
    <cfRule type="cellIs" dxfId="4245" priority="53" operator="equal">
      <formula>"BLU"</formula>
    </cfRule>
    <cfRule type="cellIs" dxfId="4244" priority="54" operator="equal">
      <formula>"WHI"</formula>
    </cfRule>
    <cfRule type="cellIs" dxfId="4243" priority="55" operator="equal">
      <formula>"GRE"</formula>
    </cfRule>
    <cfRule type="cellIs" dxfId="4242" priority="56" operator="equal">
      <formula>"RED"</formula>
    </cfRule>
    <cfRule type="cellIs" dxfId="4241" priority="57" operator="equal">
      <formula>"BLA"</formula>
    </cfRule>
  </conditionalFormatting>
  <conditionalFormatting sqref="BV2:BW2">
    <cfRule type="cellIs" dxfId="4240" priority="69" operator="equal">
      <formula>"nc"</formula>
    </cfRule>
  </conditionalFormatting>
  <conditionalFormatting sqref="BX2:CA2 CD2:CF2">
    <cfRule type="cellIs" dxfId="4239" priority="43" operator="equal">
      <formula>"y"</formula>
    </cfRule>
    <cfRule type="cellIs" dxfId="4238" priority="58" operator="equal">
      <formula>"PIN"</formula>
    </cfRule>
    <cfRule type="cellIs" dxfId="4237" priority="59" operator="equal">
      <formula>"ORA"</formula>
    </cfRule>
    <cfRule type="cellIs" dxfId="4236" priority="60" operator="equal">
      <formula>"GRA"</formula>
    </cfRule>
    <cfRule type="cellIs" dxfId="4235" priority="61" operator="equal">
      <formula>"PUR"</formula>
    </cfRule>
    <cfRule type="cellIs" dxfId="4234" priority="62" operator="equal">
      <formula>"BRO"</formula>
    </cfRule>
    <cfRule type="cellIs" dxfId="4233" priority="63" operator="equal">
      <formula>"YEL"</formula>
    </cfRule>
    <cfRule type="cellIs" dxfId="4232" priority="64" operator="equal">
      <formula>"BLU"</formula>
    </cfRule>
    <cfRule type="cellIs" dxfId="4231" priority="65" operator="equal">
      <formula>"WHI"</formula>
    </cfRule>
    <cfRule type="cellIs" dxfId="4230" priority="66" operator="equal">
      <formula>"GRE"</formula>
    </cfRule>
    <cfRule type="cellIs" dxfId="4229" priority="67" operator="equal">
      <formula>"RED"</formula>
    </cfRule>
    <cfRule type="cellIs" dxfId="4228" priority="68" operator="equal">
      <formula>"BLA"</formula>
    </cfRule>
  </conditionalFormatting>
  <conditionalFormatting sqref="BZ2:CA2 CD2:CF2">
    <cfRule type="cellIs" dxfId="4227" priority="45" operator="greaterThan">
      <formula>0</formula>
    </cfRule>
  </conditionalFormatting>
  <conditionalFormatting sqref="IC2:IK2">
    <cfRule type="expression" dxfId="4226"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511" priority="5" stopIfTrue="1" operator="notEqual">
      <formula>""</formula>
    </cfRule>
  </conditionalFormatting>
  <conditionalFormatting sqref="R3 CU3">
    <cfRule type="cellIs" dxfId="510" priority="7" operator="greaterThan">
      <formula>0</formula>
    </cfRule>
  </conditionalFormatting>
  <conditionalFormatting sqref="T3:AS3 CH3:CS3">
    <cfRule type="cellIs" dxfId="509" priority="2" stopIfTrue="1" operator="equal">
      <formula>"n"</formula>
    </cfRule>
    <cfRule type="cellIs" dxfId="508" priority="3" stopIfTrue="1" operator="equal">
      <formula>"y"</formula>
    </cfRule>
    <cfRule type="cellIs" dxfId="507" priority="4" operator="greaterThan">
      <formula>0</formula>
    </cfRule>
  </conditionalFormatting>
  <conditionalFormatting sqref="AZ3:BB3">
    <cfRule type="expression" dxfId="506" priority="1">
      <formula>$AT3=0</formula>
    </cfRule>
  </conditionalFormatting>
  <conditionalFormatting sqref="AZ3:BU3">
    <cfRule type="cellIs" dxfId="505" priority="10" operator="equal">
      <formula>"PIN"</formula>
    </cfRule>
    <cfRule type="cellIs" dxfId="504" priority="11" operator="equal">
      <formula>"ORA"</formula>
    </cfRule>
    <cfRule type="cellIs" dxfId="503" priority="12" operator="equal">
      <formula>"GRA"</formula>
    </cfRule>
    <cfRule type="cellIs" dxfId="502" priority="13" operator="equal">
      <formula>"PUR"</formula>
    </cfRule>
    <cfRule type="cellIs" dxfId="501" priority="14" operator="equal">
      <formula>"BRO"</formula>
    </cfRule>
    <cfRule type="cellIs" dxfId="500" priority="15" operator="equal">
      <formula>"YEL"</formula>
    </cfRule>
    <cfRule type="cellIs" dxfId="499" priority="16" operator="equal">
      <formula>"BLU"</formula>
    </cfRule>
    <cfRule type="cellIs" dxfId="498" priority="17" operator="equal">
      <formula>"WHI"</formula>
    </cfRule>
    <cfRule type="cellIs" dxfId="497" priority="18" operator="equal">
      <formula>"GRE"</formula>
    </cfRule>
    <cfRule type="cellIs" dxfId="496" priority="19" operator="equal">
      <formula>"RED"</formula>
    </cfRule>
    <cfRule type="cellIs" dxfId="495" priority="20" operator="equal">
      <formula>"BLA"</formula>
    </cfRule>
  </conditionalFormatting>
  <conditionalFormatting sqref="BV3">
    <cfRule type="cellIs" dxfId="494" priority="32" operator="equal">
      <formula>"nc"</formula>
    </cfRule>
  </conditionalFormatting>
  <conditionalFormatting sqref="BX3:CA3 CD3:CF3">
    <cfRule type="cellIs" dxfId="493" priority="6" operator="equal">
      <formula>"y"</formula>
    </cfRule>
    <cfRule type="cellIs" dxfId="492" priority="21" operator="equal">
      <formula>"PIN"</formula>
    </cfRule>
    <cfRule type="cellIs" dxfId="491" priority="22" operator="equal">
      <formula>"ORA"</formula>
    </cfRule>
    <cfRule type="cellIs" dxfId="490" priority="23" operator="equal">
      <formula>"GRA"</formula>
    </cfRule>
    <cfRule type="cellIs" dxfId="489" priority="24" operator="equal">
      <formula>"PUR"</formula>
    </cfRule>
    <cfRule type="cellIs" dxfId="488" priority="25" operator="equal">
      <formula>"BRO"</formula>
    </cfRule>
    <cfRule type="cellIs" dxfId="487" priority="26" operator="equal">
      <formula>"YEL"</formula>
    </cfRule>
    <cfRule type="cellIs" dxfId="486" priority="27" operator="equal">
      <formula>"BLU"</formula>
    </cfRule>
    <cfRule type="cellIs" dxfId="485" priority="28" operator="equal">
      <formula>"WHI"</formula>
    </cfRule>
    <cfRule type="cellIs" dxfId="484" priority="29" operator="equal">
      <formula>"GRE"</formula>
    </cfRule>
    <cfRule type="cellIs" dxfId="483" priority="30" operator="equal">
      <formula>"RED"</formula>
    </cfRule>
    <cfRule type="cellIs" dxfId="482" priority="31" operator="equal">
      <formula>"BLA"</formula>
    </cfRule>
  </conditionalFormatting>
  <conditionalFormatting sqref="BZ3:CA3 CD3:CF3">
    <cfRule type="cellIs" dxfId="481" priority="8" operator="greaterThan">
      <formula>0</formula>
    </cfRule>
  </conditionalFormatting>
  <conditionalFormatting sqref="IC3:IK3">
    <cfRule type="expression" dxfId="480"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6BC1-ED4A-45E4-B14D-1B6E1E9B5DFA}">
  <dimension ref="A1:IY10"/>
  <sheetViews>
    <sheetView zoomScale="70" zoomScaleNormal="70" workbookViewId="0">
      <selection activeCell="A10" sqref="A10:XFD10"/>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234</v>
      </c>
      <c r="B2" s="40" t="e" vm="47">
        <v>#VALUE!</v>
      </c>
      <c r="C2" s="41">
        <v>1</v>
      </c>
      <c r="D2" s="42" t="s">
        <v>235</v>
      </c>
      <c r="E2" s="43" t="s">
        <v>236</v>
      </c>
      <c r="F2" s="44" t="s">
        <v>166</v>
      </c>
      <c r="G2" s="45">
        <f>COUNTIF($A$1:$A$8343,A2)</f>
        <v>1</v>
      </c>
      <c r="H2" s="46"/>
      <c r="I2" s="47" t="s">
        <v>237</v>
      </c>
      <c r="J2" s="48" t="str">
        <f>""</f>
        <v/>
      </c>
      <c r="K2" s="49">
        <v>42000</v>
      </c>
      <c r="L2" s="50">
        <v>6100</v>
      </c>
      <c r="M2" s="50" t="s">
        <v>238</v>
      </c>
      <c r="N2" s="51" t="s">
        <v>169</v>
      </c>
      <c r="O2" s="52" t="s">
        <v>205</v>
      </c>
      <c r="P2" s="53" t="s">
        <v>239</v>
      </c>
      <c r="Q2" s="54">
        <v>2</v>
      </c>
      <c r="R2" s="55" t="s">
        <v>169</v>
      </c>
      <c r="S2" s="56">
        <v>2</v>
      </c>
      <c r="T2" s="57" t="s">
        <v>172</v>
      </c>
      <c r="U2" s="58" t="s">
        <v>173</v>
      </c>
      <c r="V2" s="58" t="s">
        <v>173</v>
      </c>
      <c r="W2" s="58" t="s">
        <v>173</v>
      </c>
      <c r="X2" s="58" t="s">
        <v>173</v>
      </c>
      <c r="Y2" s="58" t="s">
        <v>173</v>
      </c>
      <c r="Z2" s="58" t="s">
        <v>173</v>
      </c>
      <c r="AA2" s="58" t="s">
        <v>173</v>
      </c>
      <c r="AB2" s="58" t="s">
        <v>173</v>
      </c>
      <c r="AC2" s="58" t="s">
        <v>173</v>
      </c>
      <c r="AD2" s="58" t="s">
        <v>172</v>
      </c>
      <c r="AE2" s="58" t="s">
        <v>173</v>
      </c>
      <c r="AF2" s="59" t="s">
        <v>173</v>
      </c>
      <c r="AG2" s="59" t="s">
        <v>172</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1</v>
      </c>
      <c r="AU2" s="59"/>
      <c r="AV2" s="59" t="str">
        <f>IF(LEFT(A2,1)="[",LEFT(A2,5)&amp;AU2&amp;A2,"")</f>
        <v/>
      </c>
      <c r="AW2" s="59" t="str">
        <f>C2&amp;H2&amp;A2</f>
        <v>1Marshall Islands</v>
      </c>
      <c r="AX2" s="61"/>
      <c r="AY2" s="61"/>
      <c r="AZ2" s="62" t="s">
        <v>159</v>
      </c>
      <c r="BA2" s="62"/>
      <c r="BB2" s="62"/>
      <c r="BC2" s="63"/>
      <c r="BD2" s="64" t="s">
        <v>152</v>
      </c>
      <c r="BE2" s="47"/>
      <c r="BF2" s="64" t="s">
        <v>192</v>
      </c>
      <c r="BG2" s="64" t="s">
        <v>192</v>
      </c>
      <c r="BH2" s="64" t="s">
        <v>192</v>
      </c>
      <c r="BI2" s="64"/>
      <c r="BJ2" s="64"/>
      <c r="BK2" s="47"/>
      <c r="BL2" s="64" t="s">
        <v>151</v>
      </c>
      <c r="BM2" s="64" t="s">
        <v>152</v>
      </c>
      <c r="BN2" s="64" t="s">
        <v>192</v>
      </c>
      <c r="BO2" s="64" t="s">
        <v>192</v>
      </c>
      <c r="BP2" s="64" t="s">
        <v>155</v>
      </c>
      <c r="BQ2" s="64" t="s">
        <v>192</v>
      </c>
      <c r="BR2" s="64" t="s">
        <v>192</v>
      </c>
      <c r="BS2" s="64" t="s">
        <v>192</v>
      </c>
      <c r="BT2" s="64" t="s">
        <v>159</v>
      </c>
      <c r="BU2" s="65"/>
      <c r="BV2" s="66"/>
      <c r="BW2" s="66">
        <v>0</v>
      </c>
      <c r="BX2" s="47"/>
      <c r="CB2" s="6"/>
      <c r="CC2" s="6"/>
      <c r="CD2" s="67">
        <v>0</v>
      </c>
      <c r="CE2" s="67">
        <v>0</v>
      </c>
      <c r="CF2" s="67" t="e">
        <v>#REF!</v>
      </c>
      <c r="CG2" s="68" cm="1">
        <f t="array" ref="CG2">SUMPRODUCT(--(LEN(TRIM(BL2:BT2))&gt;0))</f>
        <v>4</v>
      </c>
      <c r="CH2" s="59" t="str">
        <f t="shared" ref="CH2" si="0">IF(CG2=2,"y","n")</f>
        <v>n</v>
      </c>
      <c r="CI2" s="59" t="str">
        <f t="shared" ref="CI2" si="1">IF(CG2=3,"y","n")</f>
        <v>n</v>
      </c>
      <c r="CJ2" s="59" t="str">
        <f t="shared" ref="CJ2" si="2">IF(CG2=4,"y","n")</f>
        <v>y</v>
      </c>
      <c r="CK2" s="59" t="str">
        <f t="shared" ref="CK2" si="3">IF(CG2&gt;4,"y","n")</f>
        <v>n</v>
      </c>
      <c r="CL2" s="59" t="str">
        <f t="shared" ref="CL2" si="4">IF(S2=0,"y","n")</f>
        <v>n</v>
      </c>
      <c r="CM2" s="59" t="str">
        <f t="shared" ref="CM2" si="5">IF(S2=2,"y","n")</f>
        <v>y</v>
      </c>
      <c r="CN2" s="59" t="str">
        <f t="shared" ref="CN2" si="6">IF(S2=3,"y","n")</f>
        <v>n</v>
      </c>
      <c r="CO2" s="59" t="str">
        <f t="shared" ref="CO2" si="7">IF(S2&gt;=4,"y","n")</f>
        <v>n</v>
      </c>
      <c r="CP2" s="59" t="str">
        <f t="shared" ref="CP2" si="8">IF(AT2=0,"y","n")</f>
        <v>n</v>
      </c>
      <c r="CQ2" s="59" t="str">
        <f t="shared" ref="CQ2" si="9">IF(AT2=1,"y","n")</f>
        <v>y</v>
      </c>
      <c r="CR2" s="59" t="str">
        <f t="shared" ref="CR2" si="10">IF(AT2=2,"y","n")</f>
        <v>n</v>
      </c>
      <c r="CS2" s="59" t="str">
        <f t="shared" ref="CS2" si="11">IF(AT2&gt;=3,"y","n")</f>
        <v>n</v>
      </c>
      <c r="CT2" s="69" t="str">
        <f t="shared" ref="CT2" si="12">CHAR(34)&amp;A2&amp;CHAR(34)</f>
        <v>"Marshall Islands"</v>
      </c>
      <c r="CU2" s="70" t="str">
        <f t="shared" ref="CU2" si="13">CHAR(34)&amp;"rgn_"&amp;R2&amp;CHAR(34)</f>
        <v>"rgn_Oceania"</v>
      </c>
      <c r="CV2" s="48" t="str">
        <f t="shared" ref="CV2" si="14">CHAR(34)&amp;D2&amp;CHAR(34)</f>
        <v>"https://i.ibb.co/98FvLgw/Marshall-Islands-Flag.png"</v>
      </c>
      <c r="CW2" s="48" t="str">
        <f t="shared" ref="CW2:CZ10" si="15">IF(CH2="y",CHAR(34)&amp;CH$1&amp;CHAR(34)&amp;",","")</f>
        <v/>
      </c>
      <c r="CX2" s="48" t="str">
        <f t="shared" si="15"/>
        <v/>
      </c>
      <c r="CY2" s="48" t="str">
        <f t="shared" si="15"/>
        <v>"4Color",</v>
      </c>
      <c r="CZ2" s="48" t="str">
        <f t="shared" si="15"/>
        <v/>
      </c>
      <c r="DA2" s="48" t="str">
        <f t="shared" ref="DA2" si="16">IF(Q2&gt;1,CHAR(34)&amp;"words2"&amp;CHAR(34)&amp;",","")</f>
        <v>"words2",</v>
      </c>
      <c r="DB2" s="48" t="str">
        <f t="shared" ref="DB2"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"lets15",</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 t="shared" ref="DF2" si="21">IFERROR(IF(SEARCH("tan",A2)&gt;0,CHAR(34)&amp;"withtn"&amp;CHAR(34)&amp;",",""),"")</f>
        <v/>
      </c>
      <c r="DG2" s="48" t="str">
        <f t="shared" ref="DG2" si="22">IFERROR(IF(SEARCH("q",A2)&gt;0,CHAR(34)&amp;"with_q"&amp;CHAR(34)&amp;",",""),"")</f>
        <v/>
      </c>
      <c r="DH2" s="48" t="str">
        <f t="shared" ref="DH2" si="23">IFERROR(IF(SEARCH("v",A2)&gt;0,CHAR(34)&amp;"with_v"&amp;CHAR(34)&amp;",",""),"")</f>
        <v/>
      </c>
      <c r="DI2" s="48" t="str">
        <f t="shared" ref="DI2" si="24">IFERROR(IF(SEARCH("w",A2)&gt;0,CHAR(34)&amp;"with_w"&amp;CHAR(34)&amp;",",""),"")</f>
        <v/>
      </c>
      <c r="DJ2" s="48" t="str">
        <f t="shared" ref="DJ2" si="25">IFERROR(IF(SEARCH("y",A2)&gt;0,CHAR(34)&amp;"with_y"&amp;CHAR(34)&amp;",",""),"")</f>
        <v/>
      </c>
      <c r="DK2" s="48" t="str">
        <f t="shared" ref="DK2" si="26">IFERROR(IF(SEARCH("z",A2)&gt;0,CHAR(34)&amp;"with_z"&amp;CHAR(34)&amp;",",""),"")</f>
        <v/>
      </c>
      <c r="DL2" s="48" t="str">
        <f t="shared" ref="DL2" si="27">IF(CG2=2, CHAR(34) &amp; _xlfn.TEXTJOIN("", TRUE, _xlfn._xlws.SORT(HP2:HX2)) &amp; CHAR(34) &amp; ",", "")</f>
        <v/>
      </c>
      <c r="DM2" s="48" t="str" cm="1">
        <f t="array" ref="DM2">IF(CG2=3,CHAR(34) &amp; _xlfn.TEXTJOIN("", TRUE, RIGHT(HP2:HX2, 2)) &amp; CHAR(34) &amp; ",", "")</f>
        <v/>
      </c>
      <c r="DN2" s="48" t="str">
        <f t="shared" ref="DN2" si="28">IF(AND(ISNUMBER(SEARCH("18", O2)), ISERROR(SEARCH("1918", O2)), ISERROR(SEARCH("2018", O2))), CHAR(34) &amp; "year18" &amp; CHAR(34) &amp; ",", "")</f>
        <v/>
      </c>
      <c r="DO2" s="48" t="str">
        <f t="shared" ref="DO2" si="29">IF(AND(ISNUMBER(SEARCH("19", O2)), ISERROR(SEARCH("1819", O2)),  ISERROR(SEARCH("1219", O2)),ISERROR(SEARCH("1119", O2)),ISERROR(SEARCH("1190", O2)),ISERROR(SEARCH("2019", O2))), CHAR(34) &amp; "year19" &amp; CHAR(34) &amp; ",", "")</f>
        <v>"year19",</v>
      </c>
      <c r="DP2" s="6" t="str">
        <f t="shared" ref="DP2" si="30">IF(AND(ISNUMBER(SEARCH("20", O2)), ISERROR(SEARCH("1920", O2))), CHAR(34)&amp;"year00"&amp;CHAR(34)&amp;",", "")</f>
        <v/>
      </c>
      <c r="DQ2" s="6" t="str">
        <f t="shared" ref="DQ2" si="31">IF(CC2="y",CHAR(34)&amp;"soviet"&amp;CHAR(34)&amp;",","")</f>
        <v/>
      </c>
      <c r="DR2" s="6" t="str">
        <f t="shared" ref="DR2" si="32">IF(BY2="y",CHAR(34)&amp;"dgband"&amp;CHAR(34)&amp;",","")</f>
        <v/>
      </c>
      <c r="DS2" s="6" t="str">
        <f t="shared" ref="DS2" si="33">IF(W2="y",IF(AND(V2="n",BY2&lt;&gt;"y"),CHAR(34)&amp;"allver"&amp;CHAR(34)&amp;",",""),"")</f>
        <v/>
      </c>
      <c r="DT2" s="6" t="str">
        <f t="shared" ref="DT2" si="34">IF(V2="y",IF(AND(W2="n",BY2&lt;&gt;"y"),CHAR(34)&amp;"allhor"&amp;CHAR(34)&amp;",",""),"")</f>
        <v/>
      </c>
      <c r="DU2" s="6" t="str">
        <f t="shared" ref="DU2" si="35">IF(BY2="y",IF(AND(W2="n",V2="n"),CHAR(34)&amp;"alldia"&amp;CHAR(34)&amp;",",""),"")</f>
        <v/>
      </c>
      <c r="DV2" s="48" t="str">
        <f t="shared" ref="DV2" si="36">IF(IA2&lt;&gt;"",(IF(IA2="y",CHAR(34)&amp;"largec"&amp;CHAR(34)&amp;",",CHAR(34)&amp;"smallc"&amp;CHAR(34)&amp;",")),"")</f>
        <v/>
      </c>
      <c r="DW2" s="48" t="str">
        <f t="shared" ref="DW2:DZ10" si="37">IF(CL2="y",CHAR(34)&amp;CL$1&amp;CHAR(34)&amp;",","")</f>
        <v/>
      </c>
      <c r="DX2" s="48" t="str">
        <f t="shared" si="37"/>
        <v>"2Bands",</v>
      </c>
      <c r="DY2" s="48" t="str">
        <f t="shared" si="37"/>
        <v/>
      </c>
      <c r="DZ2" s="48" t="str">
        <f t="shared" si="37"/>
        <v/>
      </c>
      <c r="EA2" s="48" t="str">
        <f t="shared" ref="EA2:EE10" si="38">IF(T2="y",CHAR(34)&amp;T$1&amp;CHAR(34)&amp;",","")</f>
        <v>"Diagon",</v>
      </c>
      <c r="EB2" s="48" t="str">
        <f t="shared" si="38"/>
        <v/>
      </c>
      <c r="EC2" s="48" t="str">
        <f t="shared" si="38"/>
        <v/>
      </c>
      <c r="ED2" s="48" t="str">
        <f t="shared" si="38"/>
        <v/>
      </c>
      <c r="EE2" s="48" t="str">
        <f t="shared" si="38"/>
        <v/>
      </c>
      <c r="EF2" s="48" t="str">
        <f t="shared" ref="EF2" si="39">IF(AND(Y2&lt;&gt;"n",Y2&lt;&gt;""),CHAR(34)&amp;Y$1&amp;CHAR(34)&amp;",","")</f>
        <v/>
      </c>
      <c r="EG2" s="48" t="str">
        <f t="shared" ref="EG2:EZ10" si="40">IF(Z2="y",CHAR(34)&amp;Z$1&amp;CHAR(34)&amp;",","")</f>
        <v/>
      </c>
      <c r="EH2" s="48" t="str">
        <f t="shared" si="40"/>
        <v/>
      </c>
      <c r="EI2" s="48" t="str">
        <f t="shared" si="40"/>
        <v/>
      </c>
      <c r="EJ2" s="48" t="str">
        <f t="shared" si="40"/>
        <v/>
      </c>
      <c r="EK2" s="48" t="str">
        <f t="shared" si="40"/>
        <v>"HasSun",</v>
      </c>
      <c r="EL2" s="48" t="str">
        <f t="shared" si="40"/>
        <v/>
      </c>
      <c r="EM2" s="48" t="str">
        <f t="shared" si="40"/>
        <v/>
      </c>
      <c r="EN2" s="48" t="str">
        <f t="shared" si="40"/>
        <v>"Unequa",</v>
      </c>
      <c r="EO2" s="48" t="str">
        <f t="shared" si="40"/>
        <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 si="41">IF(AT2&gt;0,CHAR(34)&amp;"sta"&amp;AZ2&amp;CHAR(34)&amp;",","")</f>
        <v>"staWHI",</v>
      </c>
      <c r="FB2" s="48" t="str">
        <f t="shared" ref="FB2" si="42">IF(AND(AT2&gt;0,BA2&lt;&gt;""),CHAR(34)&amp;"sta"&amp;BA2&amp;CHAR(34)&amp;",","")</f>
        <v/>
      </c>
      <c r="FC2" s="48" t="str">
        <f t="shared" ref="FC2" si="43">IF(AND(AT2&gt;0,BB2&lt;&gt;""),CHAR(34)&amp;"sta"&amp;BB2&amp;CHAR(34)&amp;",","")</f>
        <v/>
      </c>
      <c r="FD2" s="48" t="str">
        <f t="shared" ref="FD2" si="44">IF(BV2="n",CHAR(34)&amp;"tcWHYE"&amp;CHAR(34)&amp;",",IF(BV2="y",CHAR(34)&amp;FD$1&amp;CHAR(34)&amp;",",""))</f>
        <v/>
      </c>
      <c r="FE2" s="48" t="str">
        <f t="shared" ref="FE2" si="45">IF(COUNTIF(BL2:BT2,"BLU")=0,CHAR(34)&amp;"NO_BLU"&amp;CHAR(34)&amp;",", "")</f>
        <v/>
      </c>
      <c r="FF2" s="48" t="str">
        <f t="shared" ref="FF2" si="46">IF(COUNTIF(BL2:BT2,"WHI")=0,CHAR(34)&amp;"NO_WHI"&amp;CHAR(34)&amp;",", "")</f>
        <v/>
      </c>
      <c r="FG2" s="48" t="str">
        <f t="shared" ref="FG2" si="47">IF(COUNTIF(BL2:BT2,"RED")=0,CHAR(34)&amp;"NO_RED"&amp;CHAR(34)&amp;",", "")</f>
        <v>"NO_RED",</v>
      </c>
      <c r="FH2" s="48" t="str">
        <f t="shared" ref="FH2" si="48">IF(COUNTIF(BL2:BS2,"GRE")=0,CHAR(34)&amp;"NO_GRE"&amp;CHAR(34)&amp;",", "")</f>
        <v>"NO_GRE",</v>
      </c>
      <c r="FI2" s="48" t="str">
        <f t="shared" ref="FI2" si="49">IF(COUNTIF(BL2:BT2,"YEL")=0,CHAR(34)&amp;"NO_YEL"&amp;CHAR(34)&amp;",", "")</f>
        <v/>
      </c>
      <c r="FJ2" s="48" t="str">
        <f t="shared" ref="FJ2" si="50">IF(COUNTIF(BL2:BT2,"BLA")=0,CHAR(34)&amp;"NO_BLA"&amp;CHAR(34)&amp;",", "")</f>
        <v/>
      </c>
      <c r="FK2" s="48" t="str">
        <f t="shared" ref="FK2" si="51">IF(AND(FH2&lt;&gt;"",FF2&lt;&gt;""),CHAR(34)&amp;"WHGRNO"&amp;CHAR(34)&amp;",","")</f>
        <v/>
      </c>
      <c r="FL2" s="48" t="str">
        <f t="shared" ref="FL2" si="52">IF(AND(FI2&lt;&gt;"",FF2&lt;&gt;""),CHAR(34)&amp;"WHYENO"&amp;CHAR(34)&amp;",","")</f>
        <v/>
      </c>
      <c r="FM2" s="48" t="str">
        <f t="shared" ref="FM2" si="53">IF(AND(FJ2&lt;&gt;"",FF2&lt;&gt;""),CHAR(34)&amp;"BAWHNO"&amp;CHAR(34)&amp;",","")</f>
        <v/>
      </c>
      <c r="FN2" s="48" t="str">
        <f t="shared" ref="FN2" si="54">IF(AND(FE2&lt;&gt;"",FF2&lt;&gt;""),CHAR(34)&amp;"BLWHNO"&amp;CHAR(34)&amp;",","")</f>
        <v/>
      </c>
      <c r="FO2" s="48" t="str">
        <f t="shared" ref="FO2" si="55">IF(AND(FE2&lt;&gt;"",FG2&lt;&gt;""),CHAR(34)&amp;"BLRENO"&amp;CHAR(34)&amp;",","")</f>
        <v/>
      </c>
      <c r="FP2" s="48" t="str">
        <f t="shared" ref="FP2" si="56">IF(AND(FF2&lt;&gt;"",FF2&lt;&gt;""),CHAR(34)&amp;"WHRENO"&amp;CHAR(34)&amp;",","")</f>
        <v/>
      </c>
      <c r="FQ2" s="48" t="str">
        <f t="shared" ref="FQ2" si="57">IF(LEN(BF2)=3,CHAR(34)&amp;"001"&amp;BF2&amp;CHAR(34)&amp;",","")</f>
        <v/>
      </c>
      <c r="FR2" s="48" t="str">
        <f t="shared" ref="FR2" si="58">IF(LEN(BG2)=3,CHAR(34)&amp;"002"&amp;BG2&amp;CHAR(34)&amp;",","")</f>
        <v/>
      </c>
      <c r="FS2" s="48" t="str">
        <f t="shared" ref="FS2" si="59">IF(LEN(BH2)=3,CHAR(34)&amp;"003"&amp;BH2&amp;CHAR(34)&amp;",","")</f>
        <v/>
      </c>
      <c r="FT2" s="48" t="str">
        <f t="shared" ref="FT2" si="60">CHAR(34)&amp;"myr"&amp;BD2&amp;CHAR(34)&amp;","</f>
        <v>"myrBLU",</v>
      </c>
      <c r="FU2" s="48" t="str">
        <f t="shared" ref="FU2" si="61">IF(AY2="y",CHAR(34)&amp;"island"&amp;CHAR(34)&amp;",","")</f>
        <v/>
      </c>
      <c r="FV2" s="48" t="str">
        <f t="shared" ref="FV2" si="62">IF(BZ2="y",CHAR(34)&amp;"landlo"&amp;CHAR(34)&amp;",","")</f>
        <v/>
      </c>
      <c r="FW2" s="48" t="str">
        <f t="shared" ref="FW2" si="63">IF(CA2="y",CHAR(34)&amp;"eunion"&amp;CHAR(34)&amp;",","")</f>
        <v/>
      </c>
      <c r="FX2" s="48" t="str">
        <f t="shared" ref="FX2" si="64">SUBSTITUTE(IFERROR(SEARCH("[",A2),IFERROR(IF(AND(CA2&lt;&gt;"y",SEARCH("Europe",R2)&gt;0),CHAR(34)&amp;"noeuni"&amp;CHAR(34)&amp;",",""),"")),"1","")</f>
        <v/>
      </c>
      <c r="FY2" s="48" t="str">
        <f t="shared" ref="FY2" si="65">IFERROR(IF(SEARCH("Arabic",CB2)&gt;0,CHAR(34)&amp;"arabic"&amp;CHAR(34)&amp;",",""),"")</f>
        <v/>
      </c>
      <c r="FZ2" s="48" t="str">
        <f t="shared" ref="FZ2" si="66">IFERROR(IF(SEARCH("English",CB2)&gt;0,CHAR(34)&amp;"englis"&amp;CHAR(34)&amp;",",""),"")</f>
        <v/>
      </c>
      <c r="GA2" s="48" t="str">
        <f t="shared" ref="GA2" si="67">IFERROR(IF(SEARCH("French",CB2)&gt;0,CHAR(34)&amp;"french"&amp;CHAR(34)&amp;",",""),"")</f>
        <v/>
      </c>
      <c r="GB2" s="48" t="str">
        <f t="shared" ref="GB2"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 si="71">IFERROR(IF(SEARCH("Dutch",CB2)&gt;0,CHAR(34)&amp;"dutchs"&amp;CHAR(34)&amp;",",""),"")</f>
        <v/>
      </c>
      <c r="GF2" s="48" t="str">
        <f>IFERROR(IF(SEARCH("Historical",AU2)&gt;0,CHAR(34)&amp;"histor"&amp;CHAR(34)&amp;",",""),"")</f>
        <v/>
      </c>
      <c r="GG2" s="48" t="str">
        <f t="shared" ref="GG2" si="72">IF(BU2="y",CHAR(34)&amp;"unjack"&amp;CHAR(34)&amp;",","")</f>
        <v/>
      </c>
      <c r="GH2" s="48" t="str">
        <f t="shared" ref="GH2" si="73">IF(CD2=1,CHAR(34)&amp;"southc"&amp;CHAR(34)&amp;",","")</f>
        <v/>
      </c>
      <c r="GI2" s="48" t="str">
        <f t="shared" ref="GI2" si="74">IF(CE2=1,CHAR(34)&amp;"hasmap"&amp;CHAR(34)&amp;",","")</f>
        <v/>
      </c>
      <c r="GJ2" s="48" t="str">
        <f t="shared" ref="GJ2" si="75">IF(CP2="y",CHAR(34)&amp;CP$1&amp;CHAR(34)&amp;",","")</f>
        <v/>
      </c>
      <c r="GK2" s="48" t="str">
        <f t="shared" ref="GK2" si="76">IF(GJ2="",CHAR(34)&amp;"HasSta"&amp;CHAR(34)&amp;",","")</f>
        <v>"HasSta",</v>
      </c>
      <c r="GL2" s="48" t="str">
        <f t="shared" ref="GL2:GN10" si="77">IF(CQ2="y",CHAR(34)&amp;CQ$1&amp;CHAR(34)&amp;",","")</f>
        <v>"1Stars",</v>
      </c>
      <c r="GM2" s="48" t="str">
        <f t="shared" si="77"/>
        <v/>
      </c>
      <c r="GN2" s="48" t="str">
        <f t="shared" si="77"/>
        <v/>
      </c>
      <c r="GP2" s="48" t="str">
        <f t="shared" ref="GP2" si="78">CHAR(34)&amp;AU2&amp;CHAR(34)</f>
        <v>""</v>
      </c>
      <c r="GS2" s="48" t="str">
        <f t="shared" ref="GS2" si="79">SUBSTITUTE("["&amp;_xlfn.CONCAT(CW2:GN2)&amp;"]",",]","]")</f>
        <v>["4Color","words2","exact2","lets15","startM","year19","2Bands","Diagon","HasSun","Unequa","staWHI","NO_RED","NO_GRE","myrBLU","HasSta","1Stars"]</v>
      </c>
      <c r="GT2" s="48" t="str">
        <f t="shared" ref="GT2:HB10" si="80">IF(BL2&lt;&gt;"",CHAR(34)&amp;"cl_"&amp;BL2&amp;CHAR(34)&amp;",","")</f>
        <v>"cl_BLA",</v>
      </c>
      <c r="GU2" s="48" t="str">
        <f t="shared" si="80"/>
        <v>"cl_BLU",</v>
      </c>
      <c r="GV2" s="48" t="str">
        <f t="shared" si="80"/>
        <v/>
      </c>
      <c r="GW2" s="48" t="str">
        <f t="shared" si="80"/>
        <v/>
      </c>
      <c r="GX2" s="48" t="str">
        <f t="shared" si="80"/>
        <v>"cl_YEL",</v>
      </c>
      <c r="GY2" s="48" t="str">
        <f t="shared" si="80"/>
        <v/>
      </c>
      <c r="GZ2" s="48" t="str">
        <f t="shared" si="80"/>
        <v/>
      </c>
      <c r="HA2" s="48" t="str">
        <f t="shared" si="80"/>
        <v/>
      </c>
      <c r="HB2" s="48" t="str">
        <f t="shared" si="80"/>
        <v>"cl_WHI",</v>
      </c>
      <c r="HC2" s="48" t="str">
        <f t="shared" ref="HC2" si="81">SUBSTITUTE("["&amp;_xlfn.CONCAT(GT2:HB2)&amp;"]",",]","]")</f>
        <v>["cl_BLA","cl_BLU","cl_YEL","cl_WHI"]</v>
      </c>
      <c r="HE2" s="71"/>
      <c r="HF2" s="72" t="str">
        <f t="shared" ref="HF2" si="82">"{couname:"&amp;CT2&amp;(IF(HK2&lt;&gt;"",",subtype:"&amp;CHAR(34)&amp;HK2&amp;CHAR(34),""))&amp;",year:"&amp;HJ2&amp;",region:"&amp;CU2&amp;",Colors:"&amp;HC2&amp;",Items:"&amp;GS2&amp;",Flag:"&amp;CV2&amp;",HDFlag:"&amp;CHAR(34)&amp;E2&amp;CHAR(34)&amp;",type:"&amp;GP2&amp;", describe: "&amp;HH2&amp;", isnew:"&amp;CHAR(34)&amp;F2&amp;CHAR(34)&amp;", links: "&amp;HL2&amp;"},"</f>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links: "https://en.wikipedia.org/wiki/Flag_of_the_Marshall_Islands"},</v>
      </c>
      <c r="HG2" s="73" t="str">
        <f t="shared" ref="HG2" si="83">"{couname:"&amp;CT2&amp;(IF(HK2&lt;&gt;"",",subtype:"&amp;CHAR(34)&amp;HK2&amp;CHAR(34),""))&amp;",year:"&amp;HJ2&amp;",region:"&amp;CU2&amp;",Colors:"&amp;HC2&amp;",Items:"&amp;GS2&amp;",Flag:"&amp;CV2&amp;",HDFlag:"&amp;CHAR(34)&amp;E2&amp;CHAR(34)&amp;",type:"&amp;GP2&amp;", describe: "&amp;HI2&amp;", links: "&amp;HL2&amp;"},"</f>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links: "https://en.wikipedia.org/wiki/Flag_of_the_Marshall_Islands"},</v>
      </c>
      <c r="HH2" s="48" t="str">
        <f t="shared" ref="HH2" si="84">IF(P2&lt;&gt;"",CHAR(34)&amp;"\n"&amp;P2&amp;CHAR(34),CHAR(34)&amp;CHAR(34))</f>
        <v>"\nIn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v>
      </c>
      <c r="HI2" s="48" t="str">
        <f t="shared" ref="HI2" si="85">IF(J2=0,CHAR(34)&amp;CHAR(34),HH2)</f>
        <v>"\nIn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v>
      </c>
      <c r="HJ2" s="48" t="str">
        <f t="shared" ref="HJ2" si="86">CHAR(34)&amp;O2&amp;CHAR(34)</f>
        <v>"1979 "</v>
      </c>
      <c r="HL2" s="48" t="str">
        <f t="shared" ref="HL2" si="87">CHAR(34)&amp;I2&amp;CHAR(34)</f>
        <v>"https://en.wikipedia.org/wiki/Flag_of_the_Marshall_Islands"</v>
      </c>
      <c r="HM2" s="72" t="str">
        <f t="shared" ref="HM2"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 "links": "https://en.wikipedia.org/wiki/Flag_of_the_Marshall_Islands"},</v>
      </c>
      <c r="HN2" s="74" t="str">
        <f t="shared" ref="HN2"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{"couname":"Marshall Islands","year":"1979 ","region":"rgn_Oceania","Colors":["cl_BLA","cl_BLU","cl_YEL","cl_WHI"],"Items":["4Color","words2","exact2","lets15","startM","year19","2Bands","Diagon","HasSun","Unequa","staWHI","NO_RED","NO_GRE","myrBLU","HasSta","1Stars"],"Flag":"https://i.ibb.co/98FvLgw/Marshall-Islands-Flag.png","HDFlag":"https://upload.wikimedia.org/wikipedia/commons/thumb/2/2e/Flag_of_the_Marshall_Islands.svg/2560px-Flag_of_the_Marshall_Islands.svg.png","type":"", "describe": "\nIn common with other island nations in the region, this flag features the symbolic representation of the islands' place within the ocean. The rising diagonal band represents the equator, the star above representing this Northern Hemisphere archipelago. The white and orange portions of the band represent, respectively, the Ratak Chain (sunrise) and the Ralik Chain (sunset), as well as symbolizing peace and courage. The star's 24 points represent the number of electoral districts, while the four elongated points represent the principal cultural centers of Majuro, Jaluit, Wotje and Ebeye. The flag is also the national flag with the most points on a star, at 24.", "isnew": ".", "links": "https://en.wikipedia.org/wiki/Flag_of_the_Marshall_Islands"},</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 t="shared" ref="IL2" si="90">SUM(IC2:IK2)</f>
        <v>0</v>
      </c>
      <c r="IM2" s="45">
        <f t="shared" ref="IM2" si="91">COUNTIF(IC2:IK2,"&gt;0")-CG2</f>
        <v>-4</v>
      </c>
      <c r="IN2" s="78" t="str">
        <f t="shared" ref="IN2" si="92">"http://mkweb.bcgsc.ca/color-summarizer/?url="&amp;D2&amp;"&amp;precision=low&amp;num_clusters="&amp;CG2&amp;"&amp;text=1"</f>
        <v>http://mkweb.bcgsc.ca/color-summarizer/?url=https://i.ibb.co/98FvLgw/Marshall-Islands-Flag.png&amp;precision=low&amp;num_clusters=4&amp;text=1</v>
      </c>
      <c r="IO2" s="48" t="str">
        <f t="shared" ref="IO2" si="93">IF(HP2&lt;&gt;"",CHAR(34)&amp;"black"&amp;CHAR(34),"")</f>
        <v>"black"</v>
      </c>
      <c r="IP2" s="48" t="str">
        <f t="shared" ref="IP2" si="94">IF(HQ2&lt;&gt;"",CHAR(34)&amp;"blue"&amp;CHAR(34),"")</f>
        <v>"blue"</v>
      </c>
      <c r="IQ2" s="48" t="str">
        <f t="shared" ref="IQ2" si="95">IF(HR2&lt;&gt;"",CHAR(34)&amp;"green"&amp;CHAR(34),"")</f>
        <v/>
      </c>
      <c r="IR2" s="48" t="str">
        <f t="shared" ref="IR2" si="96">IF(HS2&lt;&gt;"",CHAR(34)&amp;"red"&amp;CHAR(34),"")</f>
        <v/>
      </c>
      <c r="IS2" s="48" t="str">
        <f t="shared" ref="IS2" si="97">IF(HT2&lt;&gt;"",CHAR(34)&amp;"yellow"&amp;CHAR(34),"")</f>
        <v>"yellow"</v>
      </c>
      <c r="IT2" s="48" t="str">
        <f t="shared" ref="IT2" si="98">IF(HU2&lt;&gt;"",CHAR(34)&amp;"orange"&amp;CHAR(34),"")</f>
        <v/>
      </c>
      <c r="IU2" s="48" t="str">
        <f t="shared" ref="IU2" si="99">IF(HV2&lt;&gt;"",CHAR(34)&amp;"brown"&amp;CHAR(34),"")</f>
        <v/>
      </c>
      <c r="IV2" s="48" t="str">
        <f t="shared" ref="IV2" si="100">IF(HW2&lt;&gt;"",CHAR(34)&amp;"purple"&amp;CHAR(34),"")</f>
        <v/>
      </c>
      <c r="IW2" s="48" t="str">
        <f t="shared" ref="IW2" si="101">IF(HX2&lt;&gt;"",CHAR(34)&amp;"white"&amp;CHAR(34),"")</f>
        <v>"white"</v>
      </c>
      <c r="IX2" s="48" t="str">
        <f t="shared" ref="IX2" si="102">"{"&amp;CHAR(34)&amp;"url"&amp;CHAR(34)&amp;":"&amp;CHAR(34)&amp;IN2&amp;CHAR(34)&amp;","&amp;CHAR(34)&amp;"name"&amp;CHAR(34)&amp;":"&amp;CHAR(34)&amp;A2&amp;CHAR(34)&amp;"},"</f>
        <v>{"url":"http://mkweb.bcgsc.ca/color-summarizer/?url=https://i.ibb.co/98FvLgw/Marshall-Islands-Flag.png&amp;precision=low&amp;num_clusters=4&amp;text=1","name":"Marshall Islands"},</v>
      </c>
      <c r="IY2" s="48">
        <v>943</v>
      </c>
    </row>
    <row r="3" spans="1:259" s="48" customFormat="1" ht="38.4" customHeight="1" thickBot="1" x14ac:dyDescent="0.35">
      <c r="A3" s="79" t="s">
        <v>410</v>
      </c>
      <c r="B3" s="40" t="e" vm="48">
        <v>#VALUE!</v>
      </c>
      <c r="C3" s="41">
        <v>2</v>
      </c>
      <c r="D3" s="42" t="s">
        <v>411</v>
      </c>
      <c r="E3" s="43" t="s">
        <v>411</v>
      </c>
      <c r="F3" s="44" t="s">
        <v>166</v>
      </c>
      <c r="G3" s="45">
        <f>COUNTIF($A$1:$A$8343,A3)</f>
        <v>1</v>
      </c>
      <c r="H3" s="46"/>
      <c r="I3" s="47" t="s">
        <v>412</v>
      </c>
      <c r="J3" s="48" t="str">
        <f>""</f>
        <v/>
      </c>
      <c r="K3" s="49"/>
      <c r="L3" s="50"/>
      <c r="M3" s="50"/>
      <c r="N3" s="51" t="s">
        <v>169</v>
      </c>
      <c r="O3" s="52" t="s">
        <v>355</v>
      </c>
      <c r="P3" s="53" t="s">
        <v>413</v>
      </c>
      <c r="Q3" s="54">
        <v>2</v>
      </c>
      <c r="R3" s="55" t="s">
        <v>169</v>
      </c>
      <c r="S3" s="56">
        <v>4</v>
      </c>
      <c r="T3" s="57" t="s">
        <v>173</v>
      </c>
      <c r="U3" s="58" t="s">
        <v>173</v>
      </c>
      <c r="V3" s="58" t="s">
        <v>172</v>
      </c>
      <c r="W3" s="58" t="s">
        <v>173</v>
      </c>
      <c r="X3" s="58" t="s">
        <v>173</v>
      </c>
      <c r="Y3" s="58" t="s">
        <v>173</v>
      </c>
      <c r="Z3" s="58" t="s">
        <v>173</v>
      </c>
      <c r="AA3" s="58" t="s">
        <v>173</v>
      </c>
      <c r="AB3" s="58" t="s">
        <v>173</v>
      </c>
      <c r="AC3" s="58" t="s">
        <v>173</v>
      </c>
      <c r="AD3" s="58" t="s">
        <v>173</v>
      </c>
      <c r="AE3" s="58" t="s">
        <v>173</v>
      </c>
      <c r="AF3" s="59" t="s">
        <v>172</v>
      </c>
      <c r="AG3" s="59" t="s">
        <v>172</v>
      </c>
      <c r="AH3" s="59" t="s">
        <v>173</v>
      </c>
      <c r="AI3" s="59" t="s">
        <v>173</v>
      </c>
      <c r="AJ3" s="59" t="s">
        <v>173</v>
      </c>
      <c r="AK3" s="59" t="s">
        <v>173</v>
      </c>
      <c r="AL3" s="59" t="s">
        <v>173</v>
      </c>
      <c r="AM3" s="59" t="s">
        <v>173</v>
      </c>
      <c r="AN3" s="59" t="s">
        <v>173</v>
      </c>
      <c r="AO3" s="59" t="s">
        <v>173</v>
      </c>
      <c r="AP3" s="59" t="s">
        <v>173</v>
      </c>
      <c r="AQ3" s="59" t="s">
        <v>173</v>
      </c>
      <c r="AR3" s="59" t="s">
        <v>173</v>
      </c>
      <c r="AS3" s="59" t="s">
        <v>173</v>
      </c>
      <c r="AT3" s="60">
        <v>4</v>
      </c>
      <c r="AU3" s="59" t="s">
        <v>414</v>
      </c>
      <c r="AV3" s="59" t="str">
        <f>IF(LEFT(A3,1)="[",LEFT(A3,5)&amp;AU3&amp;A3,"")</f>
        <v>[MHL]Atoll[MHL] Ailuk Atoll</v>
      </c>
      <c r="AW3" s="59" t="str">
        <f>C3&amp;H3&amp;A3</f>
        <v>2[MHL] Ailuk Atoll</v>
      </c>
      <c r="AX3" s="61"/>
      <c r="AY3" s="61" t="s">
        <v>172</v>
      </c>
      <c r="AZ3" s="62"/>
      <c r="BA3" s="62"/>
      <c r="BB3" s="62"/>
      <c r="BC3" s="63"/>
      <c r="BD3" s="64" t="s">
        <v>154</v>
      </c>
      <c r="BE3" s="47"/>
      <c r="BF3" s="64"/>
      <c r="BG3" s="64"/>
      <c r="BH3" s="64"/>
      <c r="BI3" s="64"/>
      <c r="BJ3" s="64"/>
      <c r="BK3" s="47"/>
      <c r="BL3" s="64" t="s">
        <v>154</v>
      </c>
      <c r="BM3" s="64" t="s">
        <v>159</v>
      </c>
      <c r="BN3" s="64" t="s">
        <v>152</v>
      </c>
      <c r="BO3" s="64"/>
      <c r="BP3" s="64"/>
      <c r="BQ3" s="64"/>
      <c r="BR3" s="64"/>
      <c r="BS3" s="64"/>
      <c r="BT3" s="64"/>
      <c r="BU3" s="65" t="s">
        <v>173</v>
      </c>
      <c r="BV3" s="66" t="s">
        <v>183</v>
      </c>
      <c r="BW3" s="66" t="s">
        <v>174</v>
      </c>
      <c r="BX3" s="47"/>
      <c r="BY3" s="48" t="s">
        <v>173</v>
      </c>
      <c r="CB3" s="6" t="s">
        <v>137</v>
      </c>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n</v>
      </c>
      <c r="CO3" s="59" t="str">
        <f>IF(S3&gt;=4,"y","n")</f>
        <v>y</v>
      </c>
      <c r="CP3" s="59" t="str">
        <f>IF(AT3=0,"y","n")</f>
        <v>n</v>
      </c>
      <c r="CQ3" s="59" t="str">
        <f>IF(AT3=1,"y","n")</f>
        <v>n</v>
      </c>
      <c r="CR3" s="59" t="str">
        <f>IF(AT3=2,"y","n")</f>
        <v>n</v>
      </c>
      <c r="CS3" s="59" t="str">
        <f>IF(AT3&gt;=3,"y","n")</f>
        <v>y</v>
      </c>
      <c r="CT3" s="69" t="str">
        <f>CHAR(34)&amp;A3&amp;CHAR(34)</f>
        <v>"[MHL] Ailuk Atoll"</v>
      </c>
      <c r="CU3" s="70" t="str">
        <f>CHAR(34)&amp;"rgn_"&amp;R3&amp;CHAR(34)</f>
        <v>"rgn_Oceania"</v>
      </c>
      <c r="CV3" s="48" t="str">
        <f>CHAR(34)&amp;D3&amp;CHAR(34)</f>
        <v>"https://upload.wikimedia.org/wikipedia/commons/thumb/b/bc/Flag_of_Ailuk_Atoll%2C_Marshall_Islands.svg/1280px-Flag_of_Ailuk_Atoll%2C_Marshall_Islands.svg.png"</v>
      </c>
      <c r="CW3" s="48" t="str">
        <f t="shared" si="15"/>
        <v/>
      </c>
      <c r="CX3" s="48" t="str">
        <f t="shared" si="15"/>
        <v>"3Color",</v>
      </c>
      <c r="CY3" s="48" t="str">
        <f t="shared" si="15"/>
        <v/>
      </c>
      <c r="CZ3" s="48" t="str">
        <f t="shared" si="15"/>
        <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"lets10",</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"LUEDHI",</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"allhor",</v>
      </c>
      <c r="DU3" s="6" t="str">
        <f>IF(BY3="y",IF(AND(W3="n",V3="n"),CHAR(34)&amp;"alldia"&amp;CHAR(34)&amp;",",""),"")</f>
        <v/>
      </c>
      <c r="DV3" s="48" t="str">
        <f>IF(IA3&lt;&gt;"",(IF(IA3="y",CHAR(34)&amp;"largec"&amp;CHAR(34)&amp;",",CHAR(34)&amp;"smallc"&amp;CHAR(34)&amp;",")),"")</f>
        <v>"smallc",</v>
      </c>
      <c r="DW3" s="48" t="str">
        <f t="shared" si="37"/>
        <v/>
      </c>
      <c r="DX3" s="48" t="str">
        <f t="shared" si="37"/>
        <v/>
      </c>
      <c r="DY3" s="48" t="str">
        <f t="shared" si="37"/>
        <v/>
      </c>
      <c r="DZ3" s="48" t="str">
        <f t="shared" si="37"/>
        <v>"4+Band",</v>
      </c>
      <c r="EA3" s="48" t="str">
        <f t="shared" si="38"/>
        <v/>
      </c>
      <c r="EB3" s="48" t="str">
        <f t="shared" si="38"/>
        <v/>
      </c>
      <c r="EC3" s="48" t="str">
        <f t="shared" si="38"/>
        <v>"Horizo",</v>
      </c>
      <c r="ED3" s="48" t="str">
        <f t="shared" si="38"/>
        <v/>
      </c>
      <c r="EE3" s="48" t="str">
        <f t="shared" si="38"/>
        <v/>
      </c>
      <c r="EF3" s="48" t="str">
        <f>IF(AND(Y3&lt;&gt;"n",Y3&lt;&gt;""),CHAR(34)&amp;Y$1&amp;CHAR(34)&amp;",","")</f>
        <v/>
      </c>
      <c r="EG3" s="48" t="str">
        <f t="shared" si="40"/>
        <v/>
      </c>
      <c r="EH3" s="48" t="str">
        <f t="shared" si="40"/>
        <v/>
      </c>
      <c r="EI3" s="48" t="str">
        <f t="shared" si="40"/>
        <v/>
      </c>
      <c r="EJ3" s="48" t="str">
        <f t="shared" si="40"/>
        <v/>
      </c>
      <c r="EK3" s="48" t="str">
        <f t="shared" si="40"/>
        <v/>
      </c>
      <c r="EL3" s="48" t="str">
        <f t="shared" si="40"/>
        <v/>
      </c>
      <c r="EM3" s="48" t="str">
        <f t="shared" si="40"/>
        <v>"Trside",</v>
      </c>
      <c r="EN3" s="48" t="str">
        <f t="shared" si="40"/>
        <v>"Unequa",</v>
      </c>
      <c r="EO3" s="48" t="str">
        <f t="shared" si="40"/>
        <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IF(AT3&gt;0,CHAR(34)&amp;"sta"&amp;AZ3&amp;CHAR(34)&amp;",","")</f>
        <v>"sta",</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
      </c>
      <c r="FG3" s="48" t="str">
        <f>IF(COUNTIF(BL3:BT3,"RED")=0,CHAR(34)&amp;"NO_RED"&amp;CHAR(34)&amp;",", "")</f>
        <v/>
      </c>
      <c r="FH3" s="48" t="str">
        <f>IF(COUNTIF(BL3:BS3,"GRE")=0,CHAR(34)&amp;"NO_GRE"&amp;CHAR(34)&amp;",", "")</f>
        <v>"NO_GRE",</v>
      </c>
      <c r="FI3" s="48" t="str">
        <f>IF(COUNTIF(BL3:BT3,"YEL")=0,CHAR(34)&amp;"NO_YEL"&amp;CHAR(34)&amp;",", "")</f>
        <v>"NO_YEL",</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
      </c>
      <c r="FN3" s="48" t="str">
        <f>IF(AND(FE3&lt;&gt;"",FF3&lt;&gt;""),CHAR(34)&amp;"BLWHNO"&amp;CHAR(34)&amp;",","")</f>
        <v/>
      </c>
      <c r="FO3" s="48" t="str">
        <f>IF(AND(FE3&lt;&gt;"",FG3&lt;&gt;""),CHAR(34)&amp;"BLRENO"&amp;CHAR(34)&amp;",","")</f>
        <v/>
      </c>
      <c r="FP3" s="48" t="str">
        <f>IF(AND(FF3&lt;&gt;"",FF3&lt;&gt;""),CHAR(34)&amp;"WHRENO"&amp;CHAR(34)&amp;",","")</f>
        <v/>
      </c>
      <c r="FQ3" s="48" t="str">
        <f>IF(LEN(BF3)=3,CHAR(34)&amp;"001"&amp;BF3&amp;CHAR(34)&amp;",","")</f>
        <v/>
      </c>
      <c r="FR3" s="48" t="str">
        <f>IF(LEN(BG3)=3,CHAR(34)&amp;"002"&amp;BG3&amp;CHAR(34)&amp;",","")</f>
        <v/>
      </c>
      <c r="FS3" s="48" t="str">
        <f>IF(LEN(BH3)=3,CHAR(34)&amp;"003"&amp;BH3&amp;CHAR(34)&amp;",","")</f>
        <v/>
      </c>
      <c r="FT3" s="48" t="str">
        <f>CHAR(34)&amp;"myr"&amp;BD3&amp;CHAR(34)&amp;","</f>
        <v>"myrRED",</v>
      </c>
      <c r="FU3" s="48" t="str">
        <f>IF(AY3="y",CHAR(34)&amp;"island"&amp;CHAR(34)&amp;",","")</f>
        <v>"island",</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"french",</v>
      </c>
      <c r="GB3" s="48" t="str">
        <f>IFERROR(IF(SEARCH("Spanish",CB3)&gt;0,CHAR(34)&amp;"spanis"&amp;CHAR(34)&amp;",",""),"")</f>
        <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
      </c>
      <c r="GK3" s="48" t="str">
        <f>IF(GJ3="",CHAR(34)&amp;"HasSta"&amp;CHAR(34)&amp;",","")</f>
        <v>"HasSta",</v>
      </c>
      <c r="GL3" s="48" t="str">
        <f t="shared" si="77"/>
        <v/>
      </c>
      <c r="GM3" s="48" t="str">
        <f t="shared" si="77"/>
        <v/>
      </c>
      <c r="GN3" s="48" t="str">
        <f t="shared" si="77"/>
        <v>"3+Star",</v>
      </c>
      <c r="GP3" s="48" t="str">
        <f>CHAR(34)&amp;AU3&amp;CHAR(34)</f>
        <v>"Atoll"</v>
      </c>
      <c r="GS3" s="48" t="str">
        <f>SUBSTITUTE("["&amp;_xlfn.CONCAT(CW3:GN3)&amp;"]",",]","]")</f>
        <v>["3Color","words2","exact2","lets10","startA","LUEDHI","allhor","smallc","4+Band","Horizo","Trside","Unequa","sta","NO_GRE","NO_YEL","NO_BLA","myrRED","island","french","HasSta","3+Star"]</v>
      </c>
      <c r="GT3" s="48" t="str">
        <f t="shared" si="80"/>
        <v>"cl_RED",</v>
      </c>
      <c r="GU3" s="48" t="str">
        <f t="shared" si="80"/>
        <v>"cl_WHI",</v>
      </c>
      <c r="GV3" s="48" t="str">
        <f t="shared" si="80"/>
        <v>"cl_BLU",</v>
      </c>
      <c r="GW3" s="48" t="str">
        <f t="shared" si="80"/>
        <v/>
      </c>
      <c r="GX3" s="48" t="str">
        <f t="shared" si="80"/>
        <v/>
      </c>
      <c r="GY3" s="48" t="str">
        <f t="shared" si="80"/>
        <v/>
      </c>
      <c r="GZ3" s="48" t="str">
        <f t="shared" si="80"/>
        <v/>
      </c>
      <c r="HA3" s="48" t="str">
        <f t="shared" si="80"/>
        <v/>
      </c>
      <c r="HB3" s="48" t="str">
        <f t="shared" si="80"/>
        <v/>
      </c>
      <c r="HC3" s="48" t="str">
        <f>SUBSTITUTE("["&amp;_xlfn.CONCAT(GT3:HB3)&amp;"]",",]","]")</f>
        <v>["cl_RED","cl_WHI","cl_BLU"]</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links: "https://en.m.wikipedia.org/wiki/Ailuk_Atoll"},</v>
      </c>
      <c r="HG3" s="73" t="str">
        <f>"{couname:"&amp;CT3&amp;(IF(HK3&lt;&gt;"",",subtype:"&amp;CHAR(34)&amp;HK3&amp;CHAR(34),""))&amp;",year:"&amp;HJ3&amp;",region:"&amp;CU3&amp;",Colors:"&amp;HC3&amp;",Items:"&amp;GS3&amp;",Flag:"&amp;CV3&amp;",HDFlag:"&amp;CHAR(34)&amp;E3&amp;CHAR(34)&amp;",type:"&amp;GP3&amp;", describe: "&amp;HI3&amp;", links: "&amp;HL3&amp;"},"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links: "https://en.m.wikipedia.org/wiki/Ailuk_Atoll"},</v>
      </c>
      <c r="HH3" s="48" t="str">
        <f>IF(P3&lt;&gt;"",CHAR(34)&amp;"\n"&amp;P3&amp;CHAR(34),CHAR(34)&amp;CHAR(34))</f>
        <v>"\nFour horizontal bands light blue, orange, green, and dark blue each with a white star."</v>
      </c>
      <c r="HI3" s="48" t="str">
        <f>IF(J3=0,CHAR(34)&amp;CHAR(34),HH3)</f>
        <v>"\nFour horizontal bands light blue, orange, green, and dark blue each with a white star."</v>
      </c>
      <c r="HJ3" s="48" t="str">
        <f>CHAR(34)&amp;O3&amp;CHAR(34)</f>
        <v>"???"</v>
      </c>
      <c r="HL3" s="48" t="str">
        <f>CHAR(34)&amp;I3&amp;CHAR(34)</f>
        <v>"https://en.m.wikipedia.org/wiki/Ailuk_Atoll"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 "links": "https://en.m.wikipedia.org/wiki/Ailuk_Atoll"},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{"couname":"[MHL] Ailuk Atoll","year":"???","region":"rgn_Oceania","Colors":["cl_RED","cl_WHI","cl_BLU"],"Items":["3Color","words2","exact2","lets10","startA","LUEDHI","allhor","smallc","4+Band","Horizo","Trside","Unequa","sta","NO_GRE","NO_YEL","NO_BLA","myrRED","island","french","HasSta","3+Star"],"Flag":"https://upload.wikimedia.org/wikipedia/commons/thumb/b/bc/Flag_of_Ailuk_Atoll%2C_Marshall_Islands.svg/1280px-Flag_of_Ailuk_Atoll%2C_Marshall_Islands.svg.png","HDFlag":"https://upload.wikimedia.org/wikipedia/commons/thumb/b/bc/Flag_of_Ailuk_Atoll%2C_Marshall_Islands.svg/1280px-Flag_of_Ailuk_Atoll%2C_Marshall_Islands.svg.png","type":"Atoll", "describe": "\nFour horizontal bands light blue, orange, green, and dark blue each with a white star.", "isnew": ".", "links": "https://en.m.wikipedia.org/wiki/Ailuk_Atoll"},</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t="s">
        <v>173</v>
      </c>
      <c r="IB3" s="6"/>
      <c r="IC3" s="77"/>
      <c r="ID3" s="77"/>
      <c r="IE3" s="77"/>
      <c r="IF3" s="77"/>
      <c r="IG3" s="77"/>
      <c r="IH3" s="77"/>
      <c r="II3" s="77"/>
      <c r="IJ3" s="77"/>
      <c r="IK3" s="77"/>
      <c r="IL3" s="48">
        <f>SUM(IC3:IK3)</f>
        <v>0</v>
      </c>
      <c r="IM3" s="45">
        <f>COUNTIF(IC3:IK3,"&gt;0")-CG3</f>
        <v>-3</v>
      </c>
      <c r="IN3" s="78" t="str">
        <f>"http://mkweb.bcgsc.ca/color-summarizer/?url="&amp;D3&amp;"&amp;precision=low&amp;num_clusters="&amp;CG3&amp;"&amp;text=1"</f>
        <v>http://mkweb.bcgsc.ca/color-summarizer/?url=https://upload.wikimedia.org/wikipedia/commons/thumb/b/bc/Flag_of_Ailuk_Atoll%2C_Marshall_Islands.svg/1280px-Flag_of_Ailuk_Atoll%2C_Marshall_Islands.svg.png&amp;precision=low&amp;num_clusters=3&amp;text=1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
      </c>
      <c r="IT3" s="48" t="str">
        <f>IF(HU3&lt;&gt;"",CHAR(34)&amp;"orange"&amp;CHAR(34),"")</f>
        <v/>
      </c>
      <c r="IU3" s="48" t="str">
        <f>IF(HV3&lt;&gt;"",CHAR(34)&amp;"brown"&amp;CHAR(34),"")</f>
        <v/>
      </c>
      <c r="IV3" s="48" t="str">
        <f>IF(HW3&lt;&gt;"",CHAR(34)&amp;"purple"&amp;CHAR(34),"")</f>
        <v/>
      </c>
      <c r="IW3" s="48" t="str">
        <f>IF(HX3&lt;&gt;"",CHAR(34)&amp;"white"&amp;CHAR(34),"")</f>
        <v>"white"</v>
      </c>
      <c r="IX3" s="48" t="str">
        <f>"{"&amp;CHAR(34)&amp;"url"&amp;CHAR(34)&amp;":"&amp;CHAR(34)&amp;IN3&amp;CHAR(34)&amp;","&amp;CHAR(34)&amp;"name"&amp;CHAR(34)&amp;":"&amp;CHAR(34)&amp;A3&amp;CHAR(34)&amp;"},"</f>
        <v>{"url":"http://mkweb.bcgsc.ca/color-summarizer/?url=https://upload.wikimedia.org/wikipedia/commons/thumb/b/bc/Flag_of_Ailuk_Atoll%2C_Marshall_Islands.svg/1280px-Flag_of_Ailuk_Atoll%2C_Marshall_Islands.svg.png&amp;precision=low&amp;num_clusters=3&amp;text=1","name":"[MHL] Ailuk Atoll"},</v>
      </c>
      <c r="IY3" s="48">
        <v>240</v>
      </c>
    </row>
    <row r="4" spans="1:259" s="48" customFormat="1" ht="38.4" customHeight="1" thickBot="1" x14ac:dyDescent="0.35">
      <c r="A4" s="79" t="s">
        <v>415</v>
      </c>
      <c r="B4" s="40" t="e" vm="49">
        <v>#VALUE!</v>
      </c>
      <c r="C4" s="41">
        <v>2</v>
      </c>
      <c r="D4" s="42" t="s">
        <v>416</v>
      </c>
      <c r="E4" s="43" t="s">
        <v>417</v>
      </c>
      <c r="F4" s="44" t="s">
        <v>166</v>
      </c>
      <c r="G4" s="45">
        <f>COUNTIF($A$1:$A$8343,A4)</f>
        <v>1</v>
      </c>
      <c r="H4" s="46"/>
      <c r="I4" s="47" t="s">
        <v>418</v>
      </c>
      <c r="J4" s="48" t="str">
        <f>""</f>
        <v/>
      </c>
      <c r="K4" s="49"/>
      <c r="L4" s="50"/>
      <c r="M4" s="50"/>
      <c r="N4" s="51" t="s">
        <v>169</v>
      </c>
      <c r="O4" s="52">
        <v>1987</v>
      </c>
      <c r="P4" s="53" t="s">
        <v>419</v>
      </c>
      <c r="Q4" s="54">
        <v>2</v>
      </c>
      <c r="R4" s="55" t="s">
        <v>169</v>
      </c>
      <c r="S4" s="56">
        <v>13</v>
      </c>
      <c r="T4" s="57" t="s">
        <v>173</v>
      </c>
      <c r="U4" s="58" t="s">
        <v>173</v>
      </c>
      <c r="V4" s="58" t="s">
        <v>172</v>
      </c>
      <c r="W4" s="58" t="s">
        <v>173</v>
      </c>
      <c r="X4" s="58" t="s">
        <v>173</v>
      </c>
      <c r="Y4" s="58" t="s">
        <v>173</v>
      </c>
      <c r="Z4" s="58" t="s">
        <v>173</v>
      </c>
      <c r="AA4" s="58" t="s">
        <v>173</v>
      </c>
      <c r="AB4" s="58" t="s">
        <v>172</v>
      </c>
      <c r="AC4" s="58" t="s">
        <v>173</v>
      </c>
      <c r="AD4" s="58" t="s">
        <v>173</v>
      </c>
      <c r="AE4" s="58" t="s">
        <v>173</v>
      </c>
      <c r="AF4" s="59" t="s">
        <v>173</v>
      </c>
      <c r="AG4" s="59" t="s">
        <v>172</v>
      </c>
      <c r="AH4" s="59" t="s">
        <v>173</v>
      </c>
      <c r="AI4" s="59" t="s">
        <v>172</v>
      </c>
      <c r="AJ4" s="59" t="s">
        <v>173</v>
      </c>
      <c r="AK4" s="59" t="s">
        <v>173</v>
      </c>
      <c r="AL4" s="59" t="s">
        <v>173</v>
      </c>
      <c r="AM4" s="59" t="s">
        <v>173</v>
      </c>
      <c r="AN4" s="59" t="s">
        <v>173</v>
      </c>
      <c r="AO4" s="59" t="s">
        <v>173</v>
      </c>
      <c r="AP4" s="59" t="s">
        <v>173</v>
      </c>
      <c r="AQ4" s="59" t="s">
        <v>173</v>
      </c>
      <c r="AR4" s="59" t="s">
        <v>173</v>
      </c>
      <c r="AS4" s="59" t="s">
        <v>173</v>
      </c>
      <c r="AT4" s="60">
        <v>28</v>
      </c>
      <c r="AU4" s="59" t="s">
        <v>414</v>
      </c>
      <c r="AV4" s="59" t="str">
        <f>IF(LEFT(A4,1)="[",LEFT(A4,5)&amp;AU4&amp;A4,"")</f>
        <v>[MHL]Atoll[MHL] Bikini Atoll</v>
      </c>
      <c r="AW4" s="59" t="str">
        <f>C4&amp;H4&amp;A4</f>
        <v>2[MHL] Bikini Atoll</v>
      </c>
      <c r="AX4" s="61"/>
      <c r="AY4" s="61"/>
      <c r="AZ4" s="62"/>
      <c r="BA4" s="62"/>
      <c r="BB4" s="62"/>
      <c r="BC4" s="63"/>
      <c r="BD4" s="64" t="s">
        <v>154</v>
      </c>
      <c r="BE4" s="47"/>
      <c r="BF4" s="64"/>
      <c r="BG4" s="64"/>
      <c r="BH4" s="64"/>
      <c r="BI4" s="64"/>
      <c r="BJ4" s="64"/>
      <c r="BK4" s="47"/>
      <c r="BL4" s="64" t="s">
        <v>154</v>
      </c>
      <c r="BM4" s="64" t="s">
        <v>153</v>
      </c>
      <c r="BN4" s="64" t="s">
        <v>155</v>
      </c>
      <c r="BO4" s="64" t="s">
        <v>152</v>
      </c>
      <c r="BP4" s="64" t="s">
        <v>159</v>
      </c>
      <c r="BQ4" s="64"/>
      <c r="BR4" s="64"/>
      <c r="BS4" s="64"/>
      <c r="BT4" s="64"/>
      <c r="BU4" s="65" t="s">
        <v>173</v>
      </c>
      <c r="BV4" s="66"/>
      <c r="BW4" s="66">
        <v>0</v>
      </c>
      <c r="BX4" s="47"/>
      <c r="BY4" s="48" t="s">
        <v>173</v>
      </c>
      <c r="CB4" s="6"/>
      <c r="CC4" s="6"/>
      <c r="CD4" s="67">
        <v>0</v>
      </c>
      <c r="CE4" s="67">
        <v>0</v>
      </c>
      <c r="CF4" s="67" t="e">
        <v>#REF!</v>
      </c>
      <c r="CG4" s="68" cm="1">
        <f t="array" ref="CG4">SUMPRODUCT(--(LEN(TRIM(BL4:BT4))&gt;0))</f>
        <v>5</v>
      </c>
      <c r="CH4" s="59" t="str">
        <f>IF(CG4=2,"y","n")</f>
        <v>n</v>
      </c>
      <c r="CI4" s="59" t="str">
        <f>IF(CG4=3,"y","n")</f>
        <v>n</v>
      </c>
      <c r="CJ4" s="59" t="str">
        <f>IF(CG4=4,"y","n")</f>
        <v>n</v>
      </c>
      <c r="CK4" s="59" t="str">
        <f>IF(CG4&gt;4,"y","n")</f>
        <v>y</v>
      </c>
      <c r="CL4" s="59" t="str">
        <f>IF(S4=0,"y","n")</f>
        <v>n</v>
      </c>
      <c r="CM4" s="59" t="str">
        <f>IF(S4=2,"y","n")</f>
        <v>n</v>
      </c>
      <c r="CN4" s="59" t="str">
        <f>IF(S4=3,"y","n")</f>
        <v>n</v>
      </c>
      <c r="CO4" s="59" t="str">
        <f>IF(S4&gt;=4,"y","n")</f>
        <v>y</v>
      </c>
      <c r="CP4" s="59" t="str">
        <f>IF(AT4=0,"y","n")</f>
        <v>n</v>
      </c>
      <c r="CQ4" s="59" t="str">
        <f>IF(AT4=1,"y","n")</f>
        <v>n</v>
      </c>
      <c r="CR4" s="59" t="str">
        <f>IF(AT4=2,"y","n")</f>
        <v>n</v>
      </c>
      <c r="CS4" s="59" t="str">
        <f>IF(AT4&gt;=3,"y","n")</f>
        <v>y</v>
      </c>
      <c r="CT4" s="69" t="str">
        <f>CHAR(34)&amp;A4&amp;CHAR(34)</f>
        <v>"[MHL] Bikini Atoll"</v>
      </c>
      <c r="CU4" s="70" t="str">
        <f>CHAR(34)&amp;"rgn_"&amp;R4&amp;CHAR(34)</f>
        <v>"rgn_Oceania"</v>
      </c>
      <c r="CV4" s="48" t="str">
        <f>CHAR(34)&amp;D4&amp;CHAR(34)</f>
        <v>"https://upload.wikimedia.org/wikipedia/commons/thumb/8/89/Flag_of_Bikini_Atoll.svg/640px-Flag_of_Bikini_Atoll.svg.png"</v>
      </c>
      <c r="CW4" s="48" t="str">
        <f t="shared" si="15"/>
        <v/>
      </c>
      <c r="CX4" s="48" t="str">
        <f t="shared" si="15"/>
        <v/>
      </c>
      <c r="CY4" s="48" t="str">
        <f t="shared" si="15"/>
        <v/>
      </c>
      <c r="CZ4" s="48" t="str">
        <f t="shared" si="15"/>
        <v>"5+Colo",</v>
      </c>
      <c r="DA4" s="48" t="str">
        <f>IF(Q4&gt;1,CHAR(34)&amp;"words2"&amp;CHAR(34)&amp;",","")</f>
        <v>"words2",</v>
      </c>
      <c r="DB4" s="48" t="str">
        <f>IF(Q4&gt;2,CHAR(34)&amp;"words3"&amp;CHAR(34)&amp;",","")</f>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"lets11",</v>
      </c>
      <c r="DE4" s="48" t="str">
        <f>CHAR(34)&amp;"start"&amp;IFERROR(LEFT(SUBSTITUTE(A4,"["&amp;MID(A4,FIND("[",A4)+1,FIND("]",A4)-FIND("[",A4)-1)&amp;"] ",""),1),LEFT(A4,1))&amp;CHAR(34)&amp;","</f>
        <v>"startB",</v>
      </c>
      <c r="DF4" s="48" t="str">
        <f>IFERROR(IF(SEARCH("tan",A4)&gt;0,CHAR(34)&amp;"withtn"&amp;CHAR(34)&amp;",",""),"")</f>
        <v/>
      </c>
      <c r="DG4" s="48" t="str">
        <f>IFERROR(IF(SEARCH("q",A4)&gt;0,CHAR(34)&amp;"with_q"&amp;CHAR(34)&amp;",",""),"")</f>
        <v/>
      </c>
      <c r="DH4" s="48" t="str">
        <f>IFERROR(IF(SEARCH("v",A4)&gt;0,CHAR(34)&amp;"with_v"&amp;CHAR(34)&amp;",",""),"")</f>
        <v/>
      </c>
      <c r="DI4" s="48" t="str">
        <f>IFERROR(IF(SEARCH("w",A4)&gt;0,CHAR(34)&amp;"with_w"&amp;CHAR(34)&amp;",",""),"")</f>
        <v/>
      </c>
      <c r="DJ4" s="48" t="str">
        <f>IFERROR(IF(SEARCH("y",A4)&gt;0,CHAR(34)&amp;"with_y"&amp;CHAR(34)&amp;",",""),"")</f>
        <v/>
      </c>
      <c r="DK4" s="48" t="str">
        <f>IFERROR(IF(SEARCH("z",A4)&gt;0,CHAR(34)&amp;"with_z"&amp;CHAR(34)&amp;",",""),"")</f>
        <v/>
      </c>
      <c r="DL4" s="48" t="str">
        <f>IF(CG4=2, CHAR(34) &amp; _xlfn.TEXTJOIN("", TRUE, _xlfn._xlws.SORT(HP4:HX4)) &amp; CHAR(34) &amp; ",", "")</f>
        <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"year19",</v>
      </c>
      <c r="DP4" s="6" t="str">
        <f>IF(AND(ISNUMBER(SEARCH("20", O4)), ISERROR(SEARCH("1920", O4))), CHAR(34)&amp;"year00"&amp;CHAR(34)&amp;",", "")</f>
        <v/>
      </c>
      <c r="DQ4" s="6" t="str">
        <f>IF(CC4="y",CHAR(34)&amp;"soviet"&amp;CHAR(34)&amp;",","")</f>
        <v/>
      </c>
      <c r="DR4" s="6" t="str">
        <f>IF(BY4="y",CHAR(34)&amp;"dgband"&amp;CHAR(34)&amp;",","")</f>
        <v/>
      </c>
      <c r="DS4" s="6" t="str">
        <f>IF(W4="y",IF(AND(V4="n",BY4&lt;&gt;"y"),CHAR(34)&amp;"allver"&amp;CHAR(34)&amp;",",""),"")</f>
        <v/>
      </c>
      <c r="DT4" s="6" t="str">
        <f>IF(V4="y",IF(AND(W4="n",BY4&lt;&gt;"y"),CHAR(34)&amp;"allhor"&amp;CHAR(34)&amp;",",""),"")</f>
        <v>"allhor",</v>
      </c>
      <c r="DU4" s="6" t="str">
        <f>IF(BY4="y",IF(AND(W4="n",V4="n"),CHAR(34)&amp;"alldia"&amp;CHAR(34)&amp;",",""),"")</f>
        <v/>
      </c>
      <c r="DW4" s="48" t="str">
        <f t="shared" si="37"/>
        <v/>
      </c>
      <c r="DX4" s="48" t="str">
        <f t="shared" si="37"/>
        <v/>
      </c>
      <c r="DY4" s="48" t="str">
        <f t="shared" si="37"/>
        <v/>
      </c>
      <c r="DZ4" s="48" t="str">
        <f t="shared" si="37"/>
        <v>"4+Band",</v>
      </c>
      <c r="EA4" s="48" t="str">
        <f t="shared" si="38"/>
        <v/>
      </c>
      <c r="EB4" s="48" t="str">
        <f t="shared" si="38"/>
        <v/>
      </c>
      <c r="EC4" s="48" t="str">
        <f t="shared" si="38"/>
        <v>"Horizo",</v>
      </c>
      <c r="ED4" s="48" t="str">
        <f t="shared" si="38"/>
        <v/>
      </c>
      <c r="EE4" s="48" t="str">
        <f t="shared" si="38"/>
        <v/>
      </c>
      <c r="EF4" s="48" t="str">
        <f>IF(AND(Y4&lt;&gt;"n",Y4&lt;&gt;""),CHAR(34)&amp;Y$1&amp;CHAR(34)&amp;",","")</f>
        <v/>
      </c>
      <c r="EG4" s="48" t="str">
        <f t="shared" si="40"/>
        <v/>
      </c>
      <c r="EH4" s="48" t="str">
        <f t="shared" si="40"/>
        <v/>
      </c>
      <c r="EI4" s="48" t="str">
        <f t="shared" si="40"/>
        <v>"Texted",</v>
      </c>
      <c r="EJ4" s="48" t="str">
        <f t="shared" si="40"/>
        <v/>
      </c>
      <c r="EK4" s="48" t="str">
        <f t="shared" si="40"/>
        <v/>
      </c>
      <c r="EL4" s="48" t="str">
        <f t="shared" si="40"/>
        <v/>
      </c>
      <c r="EM4" s="48" t="str">
        <f t="shared" si="40"/>
        <v/>
      </c>
      <c r="EN4" s="48" t="str">
        <f t="shared" si="40"/>
        <v>"Unequa",</v>
      </c>
      <c r="EO4" s="48" t="str">
        <f t="shared" si="40"/>
        <v/>
      </c>
      <c r="EP4" s="48" t="str">
        <f t="shared" si="40"/>
        <v>"Canton",</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IF(AT4&gt;0,CHAR(34)&amp;"sta"&amp;AZ4&amp;CHAR(34)&amp;",","")</f>
        <v>"sta",</v>
      </c>
      <c r="FB4" s="48" t="str">
        <f>IF(AND(AT4&gt;0,BA4&lt;&gt;""),CHAR(34)&amp;"sta"&amp;BA4&amp;CHAR(34)&amp;",","")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
      </c>
      <c r="FH4" s="48" t="str">
        <f>IF(COUNTIF(BL4:BS4,"GRE")=0,CHAR(34)&amp;"NO_GRE"&amp;CHAR(34)&amp;",", "")</f>
        <v/>
      </c>
      <c r="FI4" s="48" t="str">
        <f>IF(COUNTIF(BL4:BT4,"YEL")=0,CHAR(34)&amp;"NO_YEL"&amp;CHAR(34)&amp;",", "")</f>
        <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"myrRED",</v>
      </c>
      <c r="FU4" s="48" t="str">
        <f>IF(AY4="y",CHAR(34)&amp;"island"&amp;CHAR(34)&amp;",","")</f>
        <v/>
      </c>
      <c r="FV4" s="48" t="str">
        <f>IF(BZ4="y",CHAR(34)&amp;"landlo"&amp;CHAR(34)&amp;",","")</f>
        <v/>
      </c>
      <c r="FW4" s="48" t="str">
        <f>IF(CA4="y",CHAR(34)&amp;"eunion"&amp;CHAR(34)&amp;",","")</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
      </c>
      <c r="GK4" s="48" t="str">
        <f>IF(GJ4="",CHAR(34)&amp;"HasSta"&amp;CHAR(34)&amp;",","")</f>
        <v>"HasSta",</v>
      </c>
      <c r="GL4" s="48" t="str">
        <f t="shared" si="77"/>
        <v/>
      </c>
      <c r="GM4" s="48" t="str">
        <f t="shared" si="77"/>
        <v/>
      </c>
      <c r="GN4" s="48" t="str">
        <f t="shared" si="77"/>
        <v>"3+Star",</v>
      </c>
      <c r="GP4" s="48" t="str">
        <f>CHAR(34)&amp;AU4&amp;CHAR(34)</f>
        <v>"Atoll"</v>
      </c>
      <c r="GS4" s="48" t="str">
        <f>SUBSTITUTE("["&amp;_xlfn.CONCAT(CW4:GN4)&amp;"]",",]","]")</f>
        <v>["5+Colo","words2","lets11","startB","year19","allhor","4+Band","Horizo","Texted","Unequa","Canton","sta","NO_BLA","myrRED","HasSta","3+Star"]</v>
      </c>
      <c r="GT4" s="48" t="str">
        <f t="shared" si="80"/>
        <v>"cl_RED",</v>
      </c>
      <c r="GU4" s="48" t="str">
        <f t="shared" si="80"/>
        <v>"cl_GRE",</v>
      </c>
      <c r="GV4" s="48" t="str">
        <f t="shared" si="80"/>
        <v>"cl_YEL",</v>
      </c>
      <c r="GW4" s="48" t="str">
        <f t="shared" si="80"/>
        <v>"cl_BLU",</v>
      </c>
      <c r="GX4" s="48" t="str">
        <f t="shared" si="80"/>
        <v>"cl_WHI",</v>
      </c>
      <c r="GY4" s="48" t="str">
        <f t="shared" si="80"/>
        <v/>
      </c>
      <c r="GZ4" s="48" t="str">
        <f t="shared" si="80"/>
        <v/>
      </c>
      <c r="HA4" s="48" t="str">
        <f t="shared" si="80"/>
        <v/>
      </c>
      <c r="HB4" s="48" t="str">
        <f t="shared" si="80"/>
        <v/>
      </c>
      <c r="HC4" s="48" t="str">
        <f>SUBSTITUTE("["&amp;_xlfn.CONCAT(GT4:HB4)&amp;"]",",]","]")</f>
        <v>["cl_RED","cl_GRE","cl_YEL","cl_BLU","cl_WHI"]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links: "https://en.wikipedia.org/wiki/Flag_of_Bikini_Atoll"},</v>
      </c>
      <c r="HG4" s="73" t="str">
        <f>"{couname:"&amp;CT4&amp;(IF(HK4&lt;&gt;"",",subtype:"&amp;CHAR(34)&amp;HK4&amp;CHAR(34),""))&amp;",year:"&amp;HJ4&amp;",region:"&amp;CU4&amp;",Colors:"&amp;HC4&amp;",Items:"&amp;GS4&amp;",Flag:"&amp;CV4&amp;",HDFlag:"&amp;CHAR(34)&amp;E4&amp;CHAR(34)&amp;",type:"&amp;GP4&amp;", describe: "&amp;HI4&amp;", links: "&amp;HL4&amp;"},"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links: "https://en.wikipedia.org/wiki/Flag_of_Bikini_Atoll"},</v>
      </c>
      <c r="HH4" s="48" t="str">
        <f>IF(P4&lt;&gt;"",CHAR(34)&amp;"\n"&amp;P4&amp;CHAR(34),CHAR(34)&amp;CHAR(34))</f>
        <v>"\nThe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v>
      </c>
      <c r="HI4" s="48" t="str">
        <f>IF(J4=0,CHAR(34)&amp;CHAR(34),HH4)</f>
        <v>"\nThe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v>
      </c>
      <c r="HJ4" s="48" t="str">
        <f>CHAR(34)&amp;O4&amp;CHAR(34)</f>
        <v>"1987"</v>
      </c>
      <c r="HL4" s="48" t="str">
        <f>CHAR(34)&amp;I4&amp;CHAR(34)</f>
        <v>"https://en.wikipedia.org/wiki/Flag_of_Bikini_Atoll"</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 "links": "https://en.wikipedia.org/wiki/Flag_of_Bikini_Atoll"},</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{"couname":"[MHL] Bikini Atoll","year":"1987","region":"rgn_Oceania","Colors":["cl_RED","cl_GRE","cl_YEL","cl_BLU","cl_WHI"],"Items":["5+Colo","words2","lets11","startB","year19","allhor","4+Band","Horizo","Texted","Unequa","Canton","sta","NO_BLA","myrRED","HasSta","3+Star"],"Flag":"https://upload.wikimedia.org/wikipedia/commons/thumb/8/89/Flag_of_Bikini_Atoll.svg/640px-Flag_of_Bikini_Atoll.svg.png","HDFlag":"https://upload.wikimedia.org/wikipedia/commons/thumb/8/89/Flag_of_Bikini_Atoll.svg/2560px-Flag_of_Bikini_Atoll.svg.png","type":"Atoll", "describe": "\nThe similarity to the American flag design and the striking isolation of the 3-star group and the 2-star group represent the position of the islanders that the Government of the United States still has obligations to their people, including reparations for the nuclear testing and resettlement of the Bikinians who were exiled. The words on the flag say 'Everything is in the hands of God' in English.", "isnew": ".", "links": "https://en.wikipedia.org/wiki/Flag_of_Bikini_Atoll"},</v>
      </c>
      <c r="HO4" s="75">
        <v>45596</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COUNTIF(IC4:IK4,"&gt;0")-CG4</f>
        <v>-5</v>
      </c>
      <c r="IN4" s="78" t="str">
        <f>"http://mkweb.bcgsc.ca/color-summarizer/?url="&amp;D4&amp;"&amp;precision=low&amp;num_clusters="&amp;CG4&amp;"&amp;text=1"</f>
        <v>http://mkweb.bcgsc.ca/color-summarizer/?url=https://upload.wikimedia.org/wikipedia/commons/thumb/8/89/Flag_of_Bikini_Atoll.svg/640px-Flag_of_Bikini_Atoll.svg.png&amp;precision=low&amp;num_clusters=5&amp;text=1</v>
      </c>
      <c r="IO4" s="48" t="str">
        <f>IF(HP4&lt;&gt;"",CHAR(34)&amp;"black"&amp;CHAR(34),"")</f>
        <v/>
      </c>
      <c r="IP4" s="48" t="str">
        <f>IF(HQ4&lt;&gt;"",CHAR(34)&amp;"blue"&amp;CHAR(34),"")</f>
        <v>"blue"</v>
      </c>
      <c r="IQ4" s="48" t="str">
        <f>IF(HR4&lt;&gt;"",CHAR(34)&amp;"green"&amp;CHAR(34),"")</f>
        <v>"green"</v>
      </c>
      <c r="IR4" s="48" t="str">
        <f>IF(HS4&lt;&gt;"",CHAR(34)&amp;"red"&amp;CHAR(34),"")</f>
        <v>"red"</v>
      </c>
      <c r="IS4" s="48" t="str">
        <f>IF(HT4&lt;&gt;"",CHAR(34)&amp;"yellow"&amp;CHAR(34),"")</f>
        <v>"yellow"</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{"url":"http://mkweb.bcgsc.ca/color-summarizer/?url=https://upload.wikimedia.org/wikipedia/commons/thumb/8/89/Flag_of_Bikini_Atoll.svg/640px-Flag_of_Bikini_Atoll.svg.png&amp;precision=low&amp;num_clusters=5&amp;text=1","name":"[MHL] Bikini Atoll"},</v>
      </c>
      <c r="IY4" s="48">
        <v>1493</v>
      </c>
    </row>
    <row r="5" spans="1:259" s="48" customFormat="1" ht="38.4" customHeight="1" thickBot="1" x14ac:dyDescent="0.35">
      <c r="A5" s="79" t="s">
        <v>420</v>
      </c>
      <c r="B5" s="40" t="e" vm="50">
        <v>#VALUE!</v>
      </c>
      <c r="C5" s="41">
        <v>2</v>
      </c>
      <c r="D5" s="42" t="s">
        <v>421</v>
      </c>
      <c r="E5" s="43" t="s">
        <v>422</v>
      </c>
      <c r="F5" s="44" t="s">
        <v>166</v>
      </c>
      <c r="G5" s="45">
        <f>COUNTIF($A$1:$A$8343,A5)</f>
        <v>1</v>
      </c>
      <c r="H5" s="46"/>
      <c r="I5" s="47" t="s">
        <v>423</v>
      </c>
      <c r="J5" s="48" t="str">
        <f>""</f>
        <v/>
      </c>
      <c r="K5" s="49"/>
      <c r="L5" s="50"/>
      <c r="M5" s="50"/>
      <c r="N5" s="51" t="s">
        <v>169</v>
      </c>
      <c r="O5" s="52" t="s">
        <v>355</v>
      </c>
      <c r="P5" s="53" t="s">
        <v>424</v>
      </c>
      <c r="Q5" s="54">
        <v>2</v>
      </c>
      <c r="R5" s="55" t="s">
        <v>169</v>
      </c>
      <c r="S5" s="56">
        <v>5</v>
      </c>
      <c r="T5" s="57" t="s">
        <v>173</v>
      </c>
      <c r="U5" s="58" t="s">
        <v>173</v>
      </c>
      <c r="V5" s="58" t="s">
        <v>172</v>
      </c>
      <c r="W5" s="58" t="s">
        <v>173</v>
      </c>
      <c r="X5" s="58" t="s">
        <v>173</v>
      </c>
      <c r="Y5" s="58" t="s">
        <v>173</v>
      </c>
      <c r="Z5" s="58" t="s">
        <v>173</v>
      </c>
      <c r="AA5" s="58" t="s">
        <v>173</v>
      </c>
      <c r="AB5" s="58" t="s">
        <v>173</v>
      </c>
      <c r="AC5" s="58" t="s">
        <v>173</v>
      </c>
      <c r="AD5" s="58" t="s">
        <v>173</v>
      </c>
      <c r="AE5" s="58" t="s">
        <v>173</v>
      </c>
      <c r="AF5" s="59" t="s">
        <v>173</v>
      </c>
      <c r="AG5" s="59" t="s">
        <v>173</v>
      </c>
      <c r="AH5" s="59" t="s">
        <v>173</v>
      </c>
      <c r="AI5" s="59" t="s">
        <v>173</v>
      </c>
      <c r="AJ5" s="59" t="s">
        <v>173</v>
      </c>
      <c r="AK5" s="59" t="s">
        <v>173</v>
      </c>
      <c r="AL5" s="59" t="s">
        <v>173</v>
      </c>
      <c r="AM5" s="59" t="s">
        <v>173</v>
      </c>
      <c r="AN5" s="59" t="s">
        <v>173</v>
      </c>
      <c r="AO5" s="59" t="s">
        <v>173</v>
      </c>
      <c r="AP5" s="59" t="s">
        <v>173</v>
      </c>
      <c r="AQ5" s="59" t="s">
        <v>173</v>
      </c>
      <c r="AR5" s="59" t="s">
        <v>173</v>
      </c>
      <c r="AS5" s="59" t="s">
        <v>173</v>
      </c>
      <c r="AT5" s="60">
        <v>7</v>
      </c>
      <c r="AU5" s="59" t="s">
        <v>414</v>
      </c>
      <c r="AV5" s="59" t="str">
        <f>IF(LEFT(A5,1)="[",LEFT(A5,5)&amp;AU5&amp;A5,"")</f>
        <v>[MHL]Atoll[MHL] Ebon Atoll</v>
      </c>
      <c r="AW5" s="59" t="str">
        <f>C5&amp;H5&amp;A5</f>
        <v>2[MHL] Ebon Atoll</v>
      </c>
      <c r="AX5" s="61"/>
      <c r="AY5" s="61"/>
      <c r="AZ5" s="62"/>
      <c r="BA5" s="62"/>
      <c r="BB5" s="62"/>
      <c r="BC5" s="63"/>
      <c r="BD5" s="64" t="s">
        <v>154</v>
      </c>
      <c r="BE5" s="47"/>
      <c r="BF5" s="64" t="s">
        <v>154</v>
      </c>
      <c r="BG5" s="64"/>
      <c r="BH5" s="64" t="s">
        <v>151</v>
      </c>
      <c r="BI5" s="64"/>
      <c r="BJ5" s="64"/>
      <c r="BK5" s="47"/>
      <c r="BL5" s="64" t="s">
        <v>154</v>
      </c>
      <c r="BM5" s="64" t="s">
        <v>155</v>
      </c>
      <c r="BN5" s="64" t="s">
        <v>152</v>
      </c>
      <c r="BO5" s="64" t="s">
        <v>159</v>
      </c>
      <c r="BP5" s="64" t="s">
        <v>151</v>
      </c>
      <c r="BQ5" s="64" t="s">
        <v>153</v>
      </c>
      <c r="BR5" s="64"/>
      <c r="BS5" s="64"/>
      <c r="BT5" s="64"/>
      <c r="BU5" s="65" t="s">
        <v>173</v>
      </c>
      <c r="BV5" s="66"/>
      <c r="BW5" s="66">
        <v>0</v>
      </c>
      <c r="BX5" s="47"/>
      <c r="BY5" s="48" t="s">
        <v>172</v>
      </c>
      <c r="CB5" s="6"/>
      <c r="CC5" s="6"/>
      <c r="CD5" s="67">
        <v>0</v>
      </c>
      <c r="CE5" s="67">
        <v>0</v>
      </c>
      <c r="CF5" s="67" t="e">
        <v>#REF!</v>
      </c>
      <c r="CG5" s="68" cm="1">
        <f t="array" ref="CG5">SUMPRODUCT(--(LEN(TRIM(BL5:BT5))&gt;0))</f>
        <v>6</v>
      </c>
      <c r="CH5" s="59" t="str">
        <f>IF(CG5=2,"y","n")</f>
        <v>n</v>
      </c>
      <c r="CI5" s="59" t="str">
        <f>IF(CG5=3,"y","n")</f>
        <v>n</v>
      </c>
      <c r="CJ5" s="59" t="str">
        <f>IF(CG5=4,"y","n")</f>
        <v>n</v>
      </c>
      <c r="CK5" s="59" t="str">
        <f>IF(CG5&gt;4,"y","n")</f>
        <v>y</v>
      </c>
      <c r="CL5" s="59" t="str">
        <f>IF(S5=0,"y","n")</f>
        <v>n</v>
      </c>
      <c r="CM5" s="59" t="str">
        <f>IF(S5=2,"y","n")</f>
        <v>n</v>
      </c>
      <c r="CN5" s="59" t="str">
        <f>IF(S5=3,"y","n")</f>
        <v>n</v>
      </c>
      <c r="CO5" s="59" t="str">
        <f>IF(S5&gt;=4,"y","n")</f>
        <v>y</v>
      </c>
      <c r="CP5" s="59" t="str">
        <f>IF(AT5=0,"y","n")</f>
        <v>n</v>
      </c>
      <c r="CQ5" s="59" t="str">
        <f>IF(AT5=1,"y","n")</f>
        <v>n</v>
      </c>
      <c r="CR5" s="59" t="str">
        <f>IF(AT5=2,"y","n")</f>
        <v>n</v>
      </c>
      <c r="CS5" s="59" t="str">
        <f>IF(AT5&gt;=3,"y","n")</f>
        <v>y</v>
      </c>
      <c r="CT5" s="69" t="str">
        <f>CHAR(34)&amp;A5&amp;CHAR(34)</f>
        <v>"[MHL] Ebon Atoll"</v>
      </c>
      <c r="CU5" s="70" t="str">
        <f>CHAR(34)&amp;"rgn_"&amp;R5&amp;CHAR(34)</f>
        <v>"rgn_Oceania"</v>
      </c>
      <c r="CV5" s="48" t="str">
        <f>CHAR(34)&amp;D5&amp;CHAR(34)</f>
        <v>"https://upload.wikimedia.org/wikipedia/commons/thumb/f/f0/Flag_of_the_Ebon_Atoll_%28Unofficial%29.svg/640px-Flag_of_the_Ebon_Atoll_%28Unofficial%29.svg.png"</v>
      </c>
      <c r="CW5" s="48" t="str">
        <f t="shared" si="15"/>
        <v/>
      </c>
      <c r="CX5" s="48" t="str">
        <f t="shared" si="15"/>
        <v/>
      </c>
      <c r="CY5" s="48" t="str">
        <f t="shared" si="15"/>
        <v/>
      </c>
      <c r="CZ5" s="48" t="str">
        <f t="shared" si="15"/>
        <v>"5+Colo",</v>
      </c>
      <c r="DA5" s="48" t="str">
        <f>IF(Q5&gt;1,CHAR(34)&amp;"words2"&amp;CHAR(34)&amp;",","")</f>
        <v>"words2",</v>
      </c>
      <c r="DB5" s="48" t="str">
        <f>IF(Q5&gt;2,CHAR(34)&amp;"words3"&amp;CHAR(34)&amp;",","")</f>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"lets09",</v>
      </c>
      <c r="DE5" s="48" t="str">
        <f>CHAR(34)&amp;"start"&amp;IFERROR(LEFT(SUBSTITUTE(A5,"["&amp;MID(A5,FIND("[",A5)+1,FIND("]",A5)-FIND("[",A5)-1)&amp;"] ",""),1),LEFT(A5,1))&amp;CHAR(34)&amp;","</f>
        <v>"startE",</v>
      </c>
      <c r="DF5" s="48" t="str">
        <f>IFERROR(IF(SEARCH("tan",A5)&gt;0,CHAR(34)&amp;"withtn"&amp;CHAR(34)&amp;",",""),"")</f>
        <v/>
      </c>
      <c r="DG5" s="48" t="str">
        <f>IFERROR(IF(SEARCH("q",A5)&gt;0,CHAR(34)&amp;"with_q"&amp;CHAR(34)&amp;",",""),"")</f>
        <v/>
      </c>
      <c r="DH5" s="48" t="str">
        <f>IFERROR(IF(SEARCH("v",A5)&gt;0,CHAR(34)&amp;"with_v"&amp;CHAR(34)&amp;",",""),"")</f>
        <v/>
      </c>
      <c r="DI5" s="48" t="str">
        <f>IFERROR(IF(SEARCH("w",A5)&gt;0,CHAR(34)&amp;"with_w"&amp;CHAR(34)&amp;",",""),"")</f>
        <v/>
      </c>
      <c r="DJ5" s="48" t="str">
        <f>IFERROR(IF(SEARCH("y",A5)&gt;0,CHAR(34)&amp;"with_y"&amp;CHAR(34)&amp;",",""),"")</f>
        <v/>
      </c>
      <c r="DK5" s="48" t="str">
        <f>IFERROR(IF(SEARCH("z",A5)&gt;0,CHAR(34)&amp;"with_z"&amp;CHAR(34)&amp;",",""),"")</f>
        <v/>
      </c>
      <c r="DL5" s="48" t="str">
        <f>IF(CG5=2, CHAR(34) &amp; _xlfn.TEXTJOIN("", TRUE, _xlfn._xlws.SORT(HP5:HX5)) &amp; CHAR(34) &amp; ",", "")</f>
        <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"dgband",</v>
      </c>
      <c r="DS5" s="6" t="str">
        <f>IF(W5="y",IF(AND(V5="n",BY5&lt;&gt;"y"),CHAR(34)&amp;"allver"&amp;CHAR(34)&amp;",",""),"")</f>
        <v/>
      </c>
      <c r="DT5" s="6" t="str">
        <f>IF(V5="y",IF(AND(W5="n",BY5&lt;&gt;"y"),CHAR(34)&amp;"allhor"&amp;CHAR(34)&amp;",",""),"")</f>
        <v/>
      </c>
      <c r="DU5" s="6" t="str">
        <f>IF(BY5="y",IF(AND(W5="n",V5="n"),CHAR(34)&amp;"alldia"&amp;CHAR(34)&amp;",",""),"")</f>
        <v/>
      </c>
      <c r="DW5" s="48" t="str">
        <f t="shared" si="37"/>
        <v/>
      </c>
      <c r="DX5" s="48" t="str">
        <f t="shared" si="37"/>
        <v/>
      </c>
      <c r="DY5" s="48" t="str">
        <f t="shared" si="37"/>
        <v/>
      </c>
      <c r="DZ5" s="48" t="str">
        <f t="shared" si="37"/>
        <v>"4+Band",</v>
      </c>
      <c r="EA5" s="48" t="str">
        <f t="shared" si="38"/>
        <v/>
      </c>
      <c r="EB5" s="48" t="str">
        <f t="shared" si="38"/>
        <v/>
      </c>
      <c r="EC5" s="48" t="str">
        <f t="shared" si="38"/>
        <v>"Horizo",</v>
      </c>
      <c r="ED5" s="48" t="str">
        <f t="shared" si="38"/>
        <v/>
      </c>
      <c r="EE5" s="48" t="str">
        <f t="shared" si="38"/>
        <v/>
      </c>
      <c r="EF5" s="48" t="str">
        <f>IF(AND(Y5&lt;&gt;"n",Y5&lt;&gt;""),CHAR(34)&amp;Y$1&amp;CHAR(34)&amp;",","")</f>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
      </c>
      <c r="EO5" s="48" t="str">
        <f t="shared" si="40"/>
        <v/>
      </c>
      <c r="EP5" s="48" t="str">
        <f t="shared" si="40"/>
        <v/>
      </c>
      <c r="EQ5" s="48" t="str">
        <f t="shared" si="40"/>
        <v/>
      </c>
      <c r="ER5" s="48" t="str">
        <f t="shared" si="40"/>
        <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IF(AT5&gt;0,CHAR(34)&amp;"sta"&amp;AZ5&amp;CHAR(34)&amp;",","")</f>
        <v>"sta",</v>
      </c>
      <c r="FB5" s="48" t="str">
        <f>IF(AND(AT5&gt;0,BA5&lt;&gt;""),CHAR(34)&amp;"sta"&amp;BA5&amp;CHAR(34)&amp;",","")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
      </c>
      <c r="FH5" s="48" t="str">
        <f>IF(COUNTIF(BL5:BS5,"GRE")=0,CHAR(34)&amp;"NO_GRE"&amp;CHAR(34)&amp;",", "")</f>
        <v/>
      </c>
      <c r="FI5" s="48" t="str">
        <f>IF(COUNTIF(BL5:BT5,"YEL")=0,CHAR(34)&amp;"NO_YEL"&amp;CHAR(34)&amp;",", "")</f>
        <v/>
      </c>
      <c r="FJ5" s="48" t="str">
        <f>IF(COUNTIF(BL5:BT5,"BLA")=0,CHAR(34)&amp;"NO_BLA"&amp;CHAR(34)&amp;",", "")</f>
        <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"001RED",</v>
      </c>
      <c r="FR5" s="48" t="str">
        <f>IF(LEN(BG5)=3,CHAR(34)&amp;"002"&amp;BG5&amp;CHAR(34)&amp;",","")</f>
        <v/>
      </c>
      <c r="FS5" s="48" t="str">
        <f>IF(LEN(BH5)=3,CHAR(34)&amp;"003"&amp;BH5&amp;CHAR(34)&amp;",","")</f>
        <v>"003BLA",</v>
      </c>
      <c r="FT5" s="48" t="str">
        <f>CHAR(34)&amp;"myr"&amp;BD5&amp;CHAR(34)&amp;","</f>
        <v>"myrRED",</v>
      </c>
      <c r="FU5" s="48" t="str">
        <f>IF(AY5="y",CHAR(34)&amp;"island"&amp;CHAR(34)&amp;",","")</f>
        <v/>
      </c>
      <c r="FV5" s="48" t="str">
        <f>IF(BZ5="y",CHAR(34)&amp;"landlo"&amp;CHAR(34)&amp;",","")</f>
        <v/>
      </c>
      <c r="FW5" s="48" t="str">
        <f>IF(CA5="y",CHAR(34)&amp;"eunion"&amp;CHAR(34)&amp;",","")</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
      </c>
      <c r="GK5" s="48" t="str">
        <f>IF(GJ5="",CHAR(34)&amp;"HasSta"&amp;CHAR(34)&amp;",","")</f>
        <v>"HasSta",</v>
      </c>
      <c r="GL5" s="48" t="str">
        <f t="shared" si="77"/>
        <v/>
      </c>
      <c r="GM5" s="48" t="str">
        <f t="shared" si="77"/>
        <v/>
      </c>
      <c r="GN5" s="48" t="str">
        <f t="shared" si="77"/>
        <v>"3+Star",</v>
      </c>
      <c r="GP5" s="48" t="str">
        <f>CHAR(34)&amp;AU5&amp;CHAR(34)</f>
        <v>"Atoll"</v>
      </c>
      <c r="GS5" s="48" t="str">
        <f>SUBSTITUTE("["&amp;_xlfn.CONCAT(CW5:GN5)&amp;"]",",]","]")</f>
        <v>["5+Colo","words2","lets09","startE","dgband","4+Band","Horizo","sta","001RED","003BLA","myrRED","HasSta","3+Star"]</v>
      </c>
      <c r="GT5" s="48" t="str">
        <f t="shared" si="80"/>
        <v>"cl_RED",</v>
      </c>
      <c r="GU5" s="48" t="str">
        <f t="shared" si="80"/>
        <v>"cl_YEL",</v>
      </c>
      <c r="GV5" s="48" t="str">
        <f t="shared" si="80"/>
        <v>"cl_BLU",</v>
      </c>
      <c r="GW5" s="48" t="str">
        <f t="shared" si="80"/>
        <v>"cl_WHI",</v>
      </c>
      <c r="GX5" s="48" t="str">
        <f t="shared" si="80"/>
        <v>"cl_BLA",</v>
      </c>
      <c r="GY5" s="48" t="str">
        <f t="shared" si="80"/>
        <v>"cl_GRE",</v>
      </c>
      <c r="GZ5" s="48" t="str">
        <f t="shared" si="80"/>
        <v/>
      </c>
      <c r="HA5" s="48" t="str">
        <f t="shared" si="80"/>
        <v/>
      </c>
      <c r="HB5" s="48" t="str">
        <f t="shared" si="80"/>
        <v/>
      </c>
      <c r="HC5" s="48" t="str">
        <f>SUBSTITUTE("["&amp;_xlfn.CONCAT(GT5:HB5)&amp;"]",",]","]")</f>
        <v>["cl_RED","cl_YEL","cl_BLU","cl_WHI","cl_BLA","cl_GRE"]</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links: "https://en.m.wikipedia.org/wiki/Flag_of_the_Marshall_Islands"},</v>
      </c>
      <c r="HG5" s="73" t="str">
        <f>"{couname:"&amp;CT5&amp;(IF(HK5&lt;&gt;"",",subtype:"&amp;CHAR(34)&amp;HK5&amp;CHAR(34),""))&amp;",year:"&amp;HJ5&amp;",region:"&amp;CU5&amp;",Colors:"&amp;HC5&amp;",Items:"&amp;GS5&amp;",Flag:"&amp;CV5&amp;",HDFlag:"&amp;CHAR(34)&amp;E5&amp;CHAR(34)&amp;",type:"&amp;GP5&amp;", describe: "&amp;HI5&amp;", links: "&amp;HL5&amp;"},"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links: "https://en.m.wikipedia.org/wiki/Flag_of_the_Marshall_Islands"},</v>
      </c>
      <c r="HH5" s="48" t="str">
        <f>IF(P5&lt;&gt;"",CHAR(34)&amp;"\n"&amp;P5&amp;CHAR(34),CHAR(34)&amp;CHAR(34))</f>
        <v>"\nA red field with two horizontal white bands under seven white stars."</v>
      </c>
      <c r="HI5" s="48" t="str">
        <f>IF(J5=0,CHAR(34)&amp;CHAR(34),HH5)</f>
        <v>"\nA red field with two horizontal white bands under seven white stars."</v>
      </c>
      <c r="HJ5" s="48" t="str">
        <f>CHAR(34)&amp;O5&amp;CHAR(34)</f>
        <v>"???"</v>
      </c>
      <c r="HL5" s="48" t="str">
        <f>CHAR(34)&amp;I5&amp;CHAR(34)</f>
        <v>"https://en.m.wikipedia.org/wiki/Flag_of_the_Marshall_Islands"</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 "links": "https://en.m.wikipedia.org/wiki/Flag_of_the_Marshall_Islands"},</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{"couname":"[MHL] Ebon Atoll","year":"???","region":"rgn_Oceania","Colors":["cl_RED","cl_YEL","cl_BLU","cl_WHI","cl_BLA","cl_GRE"],"Items":["5+Colo","words2","lets09","startE","dgband","4+Band","Horizo","sta","001RED","003BLA","myrRED","HasSta","3+Star"],"Flag":"https://upload.wikimedia.org/wikipedia/commons/thumb/f/f0/Flag_of_the_Ebon_Atoll_%28Unofficial%29.svg/640px-Flag_of_the_Ebon_Atoll_%28Unofficial%29.svg.png","HDFlag":"https://upload.wikimedia.org/wikipedia/commons/thumb/f/f0/Flag_of_the_Ebon_Atoll_%28Unofficial%29.svg/1280px-Flag_of_the_Ebon_Atoll_%28Unofficial%29.svg.png","type":"Atoll", "describe": "\nA red field with two horizontal white bands under seven white stars.", "isnew": ".", "links": "https://en.m.wikipedia.org/wiki/Flag_of_the_Marshall_Islands"},</v>
      </c>
      <c r="HO5" s="75">
        <v>45596</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COUNTIF(IC5:IK5,"&gt;0")-CG5</f>
        <v>-6</v>
      </c>
      <c r="IN5" s="78" t="str">
        <f>"http://mkweb.bcgsc.ca/color-summarizer/?url="&amp;D5&amp;"&amp;precision=low&amp;num_clusters="&amp;CG5&amp;"&amp;text=1"</f>
        <v>http://mkweb.bcgsc.ca/color-summarizer/?url=https://upload.wikimedia.org/wikipedia/commons/thumb/f/f0/Flag_of_the_Ebon_Atoll_%28Unofficial%29.svg/640px-Flag_of_the_Ebon_Atoll_%28Unofficial%29.svg.png&amp;precision=low&amp;num_clusters=6&amp;text=1</v>
      </c>
      <c r="IO5" s="48" t="str">
        <f>IF(HP5&lt;&gt;"",CHAR(34)&amp;"black"&amp;CHAR(34),"")</f>
        <v>"black"</v>
      </c>
      <c r="IP5" s="48" t="str">
        <f>IF(HQ5&lt;&gt;"",CHAR(34)&amp;"blue"&amp;CHAR(34),"")</f>
        <v>"blue"</v>
      </c>
      <c r="IQ5" s="48" t="str">
        <f>IF(HR5&lt;&gt;"",CHAR(34)&amp;"green"&amp;CHAR(34),"")</f>
        <v>"green"</v>
      </c>
      <c r="IR5" s="48" t="str">
        <f>IF(HS5&lt;&gt;"",CHAR(34)&amp;"red"&amp;CHAR(34),"")</f>
        <v>"red"</v>
      </c>
      <c r="IS5" s="48" t="str">
        <f>IF(HT5&lt;&gt;"",CHAR(34)&amp;"yellow"&amp;CHAR(34),"")</f>
        <v>"yellow"</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{"url":"http://mkweb.bcgsc.ca/color-summarizer/?url=https://upload.wikimedia.org/wikipedia/commons/thumb/f/f0/Flag_of_the_Ebon_Atoll_%28Unofficial%29.svg/640px-Flag_of_the_Ebon_Atoll_%28Unofficial%29.svg.png&amp;precision=low&amp;num_clusters=6&amp;text=1","name":"[MHL] Ebon Atoll"},</v>
      </c>
      <c r="IY5" s="48">
        <v>1494</v>
      </c>
    </row>
    <row r="6" spans="1:259" s="48" customFormat="1" ht="38.4" customHeight="1" thickBot="1" x14ac:dyDescent="0.35">
      <c r="A6" s="79" t="s">
        <v>425</v>
      </c>
      <c r="B6" s="40" t="e" vm="51">
        <v>#VALUE!</v>
      </c>
      <c r="C6" s="41">
        <v>2</v>
      </c>
      <c r="D6" s="42" t="s">
        <v>426</v>
      </c>
      <c r="E6" s="43" t="s">
        <v>427</v>
      </c>
      <c r="F6" s="44" t="s">
        <v>166</v>
      </c>
      <c r="G6" s="45">
        <f>COUNTIF($A$1:$A$8343,A6)</f>
        <v>1</v>
      </c>
      <c r="H6" s="46"/>
      <c r="I6" s="47" t="s">
        <v>428</v>
      </c>
      <c r="J6" s="48" t="str">
        <f>""</f>
        <v/>
      </c>
      <c r="K6" s="49"/>
      <c r="L6" s="50"/>
      <c r="M6" s="50"/>
      <c r="N6" s="51" t="s">
        <v>169</v>
      </c>
      <c r="O6" s="52" t="s">
        <v>355</v>
      </c>
      <c r="P6" s="53" t="s">
        <v>429</v>
      </c>
      <c r="Q6" s="54">
        <v>1</v>
      </c>
      <c r="R6" s="55" t="s">
        <v>169</v>
      </c>
      <c r="S6" s="56">
        <v>4</v>
      </c>
      <c r="T6" s="57" t="s">
        <v>172</v>
      </c>
      <c r="U6" s="58" t="s">
        <v>173</v>
      </c>
      <c r="V6" s="58" t="s">
        <v>172</v>
      </c>
      <c r="W6" s="58" t="s">
        <v>173</v>
      </c>
      <c r="X6" s="58" t="s">
        <v>172</v>
      </c>
      <c r="Y6" s="58" t="s">
        <v>172</v>
      </c>
      <c r="Z6" s="58" t="s">
        <v>173</v>
      </c>
      <c r="AA6" s="58" t="s">
        <v>173</v>
      </c>
      <c r="AB6" s="58" t="s">
        <v>173</v>
      </c>
      <c r="AC6" s="58" t="s">
        <v>173</v>
      </c>
      <c r="AD6" s="58" t="s">
        <v>173</v>
      </c>
      <c r="AE6" s="58" t="s">
        <v>173</v>
      </c>
      <c r="AF6" s="59" t="s">
        <v>172</v>
      </c>
      <c r="AG6" s="59" t="s">
        <v>173</v>
      </c>
      <c r="AH6" s="59" t="s">
        <v>173</v>
      </c>
      <c r="AI6" s="59" t="s">
        <v>173</v>
      </c>
      <c r="AJ6" s="59" t="s">
        <v>173</v>
      </c>
      <c r="AK6" s="59" t="s">
        <v>173</v>
      </c>
      <c r="AL6" s="59" t="s">
        <v>173</v>
      </c>
      <c r="AM6" s="59" t="s">
        <v>173</v>
      </c>
      <c r="AN6" s="59" t="s">
        <v>173</v>
      </c>
      <c r="AO6" s="59" t="s">
        <v>173</v>
      </c>
      <c r="AP6" s="59" t="s">
        <v>173</v>
      </c>
      <c r="AQ6" s="59" t="s">
        <v>173</v>
      </c>
      <c r="AR6" s="59" t="s">
        <v>173</v>
      </c>
      <c r="AS6" s="59" t="s">
        <v>173</v>
      </c>
      <c r="AT6" s="60">
        <v>11</v>
      </c>
      <c r="AU6" s="59" t="s">
        <v>430</v>
      </c>
      <c r="AV6" s="59" t="str">
        <f>IF(LEFT(A6,1)="[",LEFT(A6,5)&amp;AU6&amp;A6,"")</f>
        <v>[MHL]Atoll, Capital[MHL] Majuro</v>
      </c>
      <c r="AW6" s="59" t="str">
        <f>C6&amp;H6&amp;A6</f>
        <v>2[MHL] Majuro</v>
      </c>
      <c r="AX6" s="61"/>
      <c r="AY6" s="61"/>
      <c r="AZ6" s="62"/>
      <c r="BA6" s="62"/>
      <c r="BB6" s="62"/>
      <c r="BC6" s="63"/>
      <c r="BD6" s="64" t="s">
        <v>154</v>
      </c>
      <c r="BE6" s="47"/>
      <c r="BF6" s="64"/>
      <c r="BG6" s="64"/>
      <c r="BH6" s="64"/>
      <c r="BI6" s="64"/>
      <c r="BJ6" s="64"/>
      <c r="BK6" s="47"/>
      <c r="BL6" s="64" t="s">
        <v>154</v>
      </c>
      <c r="BM6" s="64" t="s">
        <v>159</v>
      </c>
      <c r="BN6" s="64" t="s">
        <v>152</v>
      </c>
      <c r="BO6" s="64"/>
      <c r="BP6" s="64"/>
      <c r="BQ6" s="64"/>
      <c r="BR6" s="64"/>
      <c r="BS6" s="64"/>
      <c r="BT6" s="64"/>
      <c r="BU6" s="65" t="s">
        <v>173</v>
      </c>
      <c r="BV6" s="66"/>
      <c r="BW6" s="66">
        <v>0</v>
      </c>
      <c r="BX6" s="47"/>
      <c r="BY6" s="48" t="s">
        <v>173</v>
      </c>
      <c r="CB6" s="6"/>
      <c r="CC6" s="6"/>
      <c r="CD6" s="67">
        <v>0</v>
      </c>
      <c r="CE6" s="67">
        <v>0</v>
      </c>
      <c r="CF6" s="67" t="e">
        <v>#REF!</v>
      </c>
      <c r="CG6" s="68" cm="1">
        <f t="array" ref="CG6">SUMPRODUCT(--(LEN(TRIM(BL6:BT6))&gt;0))</f>
        <v>3</v>
      </c>
      <c r="CH6" s="59" t="str">
        <f>IF(CG6=2,"y","n")</f>
        <v>n</v>
      </c>
      <c r="CI6" s="59" t="str">
        <f>IF(CG6=3,"y","n")</f>
        <v>y</v>
      </c>
      <c r="CJ6" s="59" t="str">
        <f>IF(CG6=4,"y","n")</f>
        <v>n</v>
      </c>
      <c r="CK6" s="59" t="str">
        <f>IF(CG6&gt;4,"y","n")</f>
        <v>n</v>
      </c>
      <c r="CL6" s="59" t="str">
        <f>IF(S6=0,"y","n")</f>
        <v>n</v>
      </c>
      <c r="CM6" s="59" t="str">
        <f>IF(S6=2,"y","n")</f>
        <v>n</v>
      </c>
      <c r="CN6" s="59" t="str">
        <f>IF(S6=3,"y","n")</f>
        <v>n</v>
      </c>
      <c r="CO6" s="59" t="str">
        <f>IF(S6&gt;=4,"y","n")</f>
        <v>y</v>
      </c>
      <c r="CP6" s="59" t="str">
        <f>IF(AT6=0,"y","n")</f>
        <v>n</v>
      </c>
      <c r="CQ6" s="59" t="str">
        <f>IF(AT6=1,"y","n")</f>
        <v>n</v>
      </c>
      <c r="CR6" s="59" t="str">
        <f>IF(AT6=2,"y","n")</f>
        <v>n</v>
      </c>
      <c r="CS6" s="59" t="str">
        <f>IF(AT6&gt;=3,"y","n")</f>
        <v>y</v>
      </c>
      <c r="CT6" s="69" t="str">
        <f>CHAR(34)&amp;A6&amp;CHAR(34)</f>
        <v>"[MHL] Majuro"</v>
      </c>
      <c r="CU6" s="70" t="str">
        <f>CHAR(34)&amp;"rgn_"&amp;R6&amp;CHAR(34)</f>
        <v>"rgn_Oceania"</v>
      </c>
      <c r="CV6" s="48" t="str">
        <f>CHAR(34)&amp;D6&amp;CHAR(34)</f>
        <v>"https://upload.wikimedia.org/wikipedia/commons/thumb/0/07/Majuro_Atoll_Flag.svg/640px-Majuro_Atoll_Flag.svg.png"</v>
      </c>
      <c r="CW6" s="48" t="str">
        <f t="shared" si="15"/>
        <v/>
      </c>
      <c r="CX6" s="48" t="str">
        <f t="shared" si="15"/>
        <v>"3Color",</v>
      </c>
      <c r="CY6" s="48" t="str">
        <f t="shared" si="15"/>
        <v/>
      </c>
      <c r="CZ6" s="48" t="str">
        <f t="shared" si="15"/>
        <v/>
      </c>
      <c r="DA6" s="48" t="str">
        <f>IF(Q6&gt;1,CHAR(34)&amp;"words2"&amp;CHAR(34)&amp;",","")</f>
        <v/>
      </c>
      <c r="DB6" s="48" t="str">
        <f>IF(Q6&gt;2,CHAR(34)&amp;"words3"&amp;CHAR(34)&amp;",","")</f>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"lets06",</v>
      </c>
      <c r="DE6" s="48" t="str">
        <f>CHAR(34)&amp;"start"&amp;IFERROR(LEFT(SUBSTITUTE(A6,"["&amp;MID(A6,FIND("[",A6)+1,FIND("]",A6)-FIND("[",A6)-1)&amp;"] ",""),1),LEFT(A6,1))&amp;CHAR(34)&amp;","</f>
        <v>"startM",</v>
      </c>
      <c r="DF6" s="48" t="str">
        <f>IFERROR(IF(SEARCH("tan",A6)&gt;0,CHAR(34)&amp;"withtn"&amp;CHAR(34)&amp;",",""),"")</f>
        <v/>
      </c>
      <c r="DG6" s="48" t="str">
        <f>IFERROR(IF(SEARCH("q",A6)&gt;0,CHAR(34)&amp;"with_q"&amp;CHAR(34)&amp;",",""),"")</f>
        <v/>
      </c>
      <c r="DH6" s="48" t="str">
        <f>IFERROR(IF(SEARCH("v",A6)&gt;0,CHAR(34)&amp;"with_v"&amp;CHAR(34)&amp;",",""),"")</f>
        <v/>
      </c>
      <c r="DI6" s="48" t="str">
        <f>IFERROR(IF(SEARCH("w",A6)&gt;0,CHAR(34)&amp;"with_w"&amp;CHAR(34)&amp;",",""),"")</f>
        <v/>
      </c>
      <c r="DJ6" s="48" t="str">
        <f>IFERROR(IF(SEARCH("y",A6)&gt;0,CHAR(34)&amp;"with_y"&amp;CHAR(34)&amp;",",""),"")</f>
        <v/>
      </c>
      <c r="DK6" s="48" t="str">
        <f>IFERROR(IF(SEARCH("z",A6)&gt;0,CHAR(34)&amp;"with_z"&amp;CHAR(34)&amp;",",""),"")</f>
        <v/>
      </c>
      <c r="DL6" s="48" t="str">
        <f>IF(CG6=2, CHAR(34) &amp; _xlfn.TEXTJOIN("", TRUE, _xlfn._xlws.SORT(HP6:HX6)) &amp; CHAR(34) &amp; ",", "")</f>
        <v/>
      </c>
      <c r="DM6" s="48" t="str" cm="1">
        <f t="array" ref="DM6">IF(CG6=3,CHAR(34) &amp; _xlfn.TEXTJOIN("", TRUE, RIGHT(HP6:HX6, 2)) &amp; CHAR(34) &amp; ",", "")</f>
        <v>"LUEDHI",</v>
      </c>
      <c r="DN6" s="48" t="str">
        <f>IF(AND(ISNUMBER(SEARCH("18", O6)), ISERROR(SEARCH("1918", O6)), ISERROR(SEARCH("2018", O6))), CHAR(34) &amp; "year18" &amp; CHAR(34) &amp; ",", "")</f>
        <v/>
      </c>
      <c r="DO6" s="48" t="str">
        <f>IF(AND(ISNUMBER(SEARCH("19", O6)), ISERROR(SEARCH("1819", O6)),  ISERROR(SEARCH("1219", O6)),ISERROR(SEARCH("1119", O6)),ISERROR(SEARCH("1190", O6)),ISERROR(SEARCH("2019", O6))), CHAR(34) &amp; "year19" &amp; CHAR(34) &amp; ",", "")</f>
        <v/>
      </c>
      <c r="DP6" s="6" t="str">
        <f>IF(AND(ISNUMBER(SEARCH("20", O6)), ISERROR(SEARCH("1920", O6))), CHAR(34)&amp;"year00"&amp;CHAR(34)&amp;",", "")</f>
        <v/>
      </c>
      <c r="DQ6" s="6" t="str">
        <f>IF(CC6="y",CHAR(34)&amp;"soviet"&amp;CHAR(34)&amp;",","")</f>
        <v/>
      </c>
      <c r="DR6" s="6" t="str">
        <f>IF(BY6="y",CHAR(34)&amp;"dgband"&amp;CHAR(34)&amp;",","")</f>
        <v/>
      </c>
      <c r="DS6" s="6" t="str">
        <f>IF(W6="y",IF(AND(V6="n",BY6&lt;&gt;"y"),CHAR(34)&amp;"allver"&amp;CHAR(34)&amp;",",""),"")</f>
        <v/>
      </c>
      <c r="DT6" s="6" t="str">
        <f>IF(V6="y",IF(AND(W6="n",BY6&lt;&gt;"y"),CHAR(34)&amp;"allhor"&amp;CHAR(34)&amp;",",""),"")</f>
        <v>"allhor",</v>
      </c>
      <c r="DU6" s="6" t="str">
        <f>IF(BY6="y",IF(AND(W6="n",V6="n"),CHAR(34)&amp;"alldia"&amp;CHAR(34)&amp;",",""),"")</f>
        <v/>
      </c>
      <c r="DW6" s="48" t="str">
        <f t="shared" si="37"/>
        <v/>
      </c>
      <c r="DX6" s="48" t="str">
        <f t="shared" si="37"/>
        <v/>
      </c>
      <c r="DY6" s="48" t="str">
        <f t="shared" si="37"/>
        <v/>
      </c>
      <c r="DZ6" s="48" t="str">
        <f t="shared" si="37"/>
        <v>"4+Band",</v>
      </c>
      <c r="EA6" s="48" t="str">
        <f t="shared" si="38"/>
        <v>"Diagon",</v>
      </c>
      <c r="EB6" s="48" t="str">
        <f t="shared" si="38"/>
        <v/>
      </c>
      <c r="EC6" s="48" t="str">
        <f t="shared" si="38"/>
        <v>"Horizo",</v>
      </c>
      <c r="ED6" s="48" t="str">
        <f t="shared" si="38"/>
        <v/>
      </c>
      <c r="EE6" s="48" t="str">
        <f t="shared" si="38"/>
        <v>"Circle",</v>
      </c>
      <c r="EF6" s="48" t="str">
        <f>IF(AND(Y6&lt;&gt;"n",Y6&lt;&gt;""),CHAR(34)&amp;Y$1&amp;CHAR(34)&amp;",","")</f>
        <v>"Animal",</v>
      </c>
      <c r="EG6" s="48" t="str">
        <f t="shared" si="40"/>
        <v/>
      </c>
      <c r="EH6" s="48" t="str">
        <f t="shared" si="40"/>
        <v/>
      </c>
      <c r="EI6" s="48" t="str">
        <f t="shared" si="40"/>
        <v/>
      </c>
      <c r="EJ6" s="48" t="str">
        <f t="shared" si="40"/>
        <v/>
      </c>
      <c r="EK6" s="48" t="str">
        <f t="shared" si="40"/>
        <v/>
      </c>
      <c r="EL6" s="48" t="str">
        <f t="shared" si="40"/>
        <v/>
      </c>
      <c r="EM6" s="48" t="str">
        <f t="shared" si="40"/>
        <v>"Trside",</v>
      </c>
      <c r="EN6" s="48" t="str">
        <f t="shared" si="40"/>
        <v/>
      </c>
      <c r="EO6" s="48" t="str">
        <f t="shared" si="40"/>
        <v/>
      </c>
      <c r="EP6" s="48" t="str">
        <f t="shared" si="40"/>
        <v/>
      </c>
      <c r="EQ6" s="48" t="str">
        <f t="shared" si="40"/>
        <v/>
      </c>
      <c r="ER6" s="48" t="str">
        <f t="shared" si="40"/>
        <v/>
      </c>
      <c r="ES6" s="48" t="str">
        <f t="shared" si="40"/>
        <v/>
      </c>
      <c r="ET6" s="48" t="str">
        <f t="shared" si="40"/>
        <v/>
      </c>
      <c r="EU6" s="48" t="str">
        <f t="shared" si="40"/>
        <v/>
      </c>
      <c r="EV6" s="48" t="str">
        <f t="shared" si="40"/>
        <v/>
      </c>
      <c r="EW6" s="48" t="str">
        <f t="shared" si="40"/>
        <v/>
      </c>
      <c r="EX6" s="48" t="str">
        <f t="shared" si="40"/>
        <v/>
      </c>
      <c r="EY6" s="48" t="str">
        <f t="shared" si="40"/>
        <v/>
      </c>
      <c r="EZ6" s="48" t="str">
        <f t="shared" si="40"/>
        <v/>
      </c>
      <c r="FA6" s="48" t="str">
        <f>IF(AT6&gt;0,CHAR(34)&amp;"sta"&amp;AZ6&amp;CHAR(34)&amp;",","")</f>
        <v>"sta",</v>
      </c>
      <c r="FB6" s="48" t="str">
        <f>IF(AND(AT6&gt;0,BA6&lt;&gt;""),CHAR(34)&amp;"sta"&amp;BA6&amp;CHAR(34)&amp;",","")</f>
        <v/>
      </c>
      <c r="FD6" s="48" t="str">
        <f>IF(BV6="n",CHAR(34)&amp;"tcWHYE"&amp;CHAR(34)&amp;",",IF(BV6="y",CHAR(34)&amp;FD$1&amp;CHAR(34)&amp;",",""))</f>
        <v/>
      </c>
      <c r="FE6" s="48" t="str">
        <f>IF(COUNTIF(BL6:BT6,"BLU")=0,CHAR(34)&amp;"NO_BLU"&amp;CHAR(34)&amp;",", "")</f>
        <v/>
      </c>
      <c r="FF6" s="48" t="str">
        <f>IF(COUNTIF(BL6:BT6,"WHI")=0,CHAR(34)&amp;"NO_WHI"&amp;CHAR(34)&amp;",", "")</f>
        <v/>
      </c>
      <c r="FG6" s="48" t="str">
        <f>IF(COUNTIF(BL6:BT6,"RED")=0,CHAR(34)&amp;"NO_RED"&amp;CHAR(34)&amp;",", "")</f>
        <v/>
      </c>
      <c r="FH6" s="48" t="str">
        <f>IF(COUNTIF(BL6:BS6,"GRE")=0,CHAR(34)&amp;"NO_GRE"&amp;CHAR(34)&amp;",", "")</f>
        <v>"NO_GRE",</v>
      </c>
      <c r="FI6" s="48" t="str">
        <f>IF(COUNTIF(BL6:BT6,"YEL")=0,CHAR(34)&amp;"NO_YEL"&amp;CHAR(34)&amp;",", "")</f>
        <v>"NO_YEL",</v>
      </c>
      <c r="FJ6" s="48" t="str">
        <f>IF(COUNTIF(BL6:BT6,"BLA")=0,CHAR(34)&amp;"NO_BLA"&amp;CHAR(34)&amp;",", "")</f>
        <v>"NO_BLA",</v>
      </c>
      <c r="FK6" s="48" t="str">
        <f>IF(AND(FH6&lt;&gt;"",FF6&lt;&gt;""),CHAR(34)&amp;"WHGRNO"&amp;CHAR(34)&amp;",","")</f>
        <v/>
      </c>
      <c r="FL6" s="48" t="str">
        <f>IF(AND(FI6&lt;&gt;"",FF6&lt;&gt;""),CHAR(34)&amp;"WHYENO"&amp;CHAR(34)&amp;",","")</f>
        <v/>
      </c>
      <c r="FM6" s="48" t="str">
        <f>IF(AND(FJ6&lt;&gt;"",FF6&lt;&gt;""),CHAR(34)&amp;"BAWHNO"&amp;CHAR(34)&amp;",","")</f>
        <v/>
      </c>
      <c r="FN6" s="48" t="str">
        <f>IF(AND(FE6&lt;&gt;"",FF6&lt;&gt;""),CHAR(34)&amp;"BLWHNO"&amp;CHAR(34)&amp;",","")</f>
        <v/>
      </c>
      <c r="FO6" s="48" t="str">
        <f>IF(AND(FE6&lt;&gt;"",FG6&lt;&gt;""),CHAR(34)&amp;"BLRENO"&amp;CHAR(34)&amp;",","")</f>
        <v/>
      </c>
      <c r="FP6" s="48" t="str">
        <f>IF(AND(FF6&lt;&gt;"",FF6&lt;&gt;""),CHAR(34)&amp;"WHRENO"&amp;CHAR(34)&amp;",","")</f>
        <v/>
      </c>
      <c r="FQ6" s="48" t="str">
        <f>IF(LEN(BF6)=3,CHAR(34)&amp;"001"&amp;BF6&amp;CHAR(34)&amp;",","")</f>
        <v/>
      </c>
      <c r="FR6" s="48" t="str">
        <f>IF(LEN(BG6)=3,CHAR(34)&amp;"002"&amp;BG6&amp;CHAR(34)&amp;",","")</f>
        <v/>
      </c>
      <c r="FS6" s="48" t="str">
        <f>IF(LEN(BH6)=3,CHAR(34)&amp;"003"&amp;BH6&amp;CHAR(34)&amp;",","")</f>
        <v/>
      </c>
      <c r="FT6" s="48" t="str">
        <f>CHAR(34)&amp;"myr"&amp;BD6&amp;CHAR(34)&amp;","</f>
        <v>"myrRED",</v>
      </c>
      <c r="FU6" s="48" t="str">
        <f>IF(AY6="y",CHAR(34)&amp;"island"&amp;CHAR(34)&amp;",","")</f>
        <v/>
      </c>
      <c r="FV6" s="48" t="str">
        <f>IF(BZ6="y",CHAR(34)&amp;"landlo"&amp;CHAR(34)&amp;",","")</f>
        <v/>
      </c>
      <c r="FW6" s="48" t="str">
        <f>IF(CA6="y",CHAR(34)&amp;"eunion"&amp;CHAR(34)&amp;",","")</f>
        <v/>
      </c>
      <c r="FY6" s="48" t="str">
        <f>IFERROR(IF(SEARCH("Arabic",CB6)&gt;0,CHAR(34)&amp;"arabic"&amp;CHAR(34)&amp;",",""),"")</f>
        <v/>
      </c>
      <c r="FZ6" s="48" t="str">
        <f>IFERROR(IF(SEARCH("English",CB6)&gt;0,CHAR(34)&amp;"englis"&amp;CHAR(34)&amp;",",""),"")</f>
        <v/>
      </c>
      <c r="GA6" s="48" t="str">
        <f>IFERROR(IF(SEARCH("French",CB6)&gt;0,CHAR(34)&amp;"french"&amp;CHAR(34)&amp;",",""),"")</f>
        <v/>
      </c>
      <c r="GB6" s="48" t="str">
        <f>IFERROR(IF(SEARCH("Spanish",CB6)&gt;0,CHAR(34)&amp;"spanis"&amp;CHAR(34)&amp;",",""),"")</f>
        <v/>
      </c>
      <c r="GE6" s="48" t="str">
        <f>IFERROR(IF(SEARCH("Dutch",CB6)&gt;0,CHAR(34)&amp;"dutchs"&amp;CHAR(34)&amp;",",""),"")</f>
        <v/>
      </c>
      <c r="GF6" s="48" t="str">
        <f>IFERROR(IF(SEARCH("Historical",AU6)&gt;0,CHAR(34)&amp;"histor"&amp;CHAR(34)&amp;",",""),"")</f>
        <v/>
      </c>
      <c r="GG6" s="48" t="str">
        <f>IF(BU6="y",CHAR(34)&amp;"unjack"&amp;CHAR(34)&amp;",","")</f>
        <v/>
      </c>
      <c r="GH6" s="48" t="str">
        <f>IF(CD6=1,CHAR(34)&amp;"southc"&amp;CHAR(34)&amp;",","")</f>
        <v/>
      </c>
      <c r="GI6" s="48" t="str">
        <f>IF(CE6=1,CHAR(34)&amp;"hasmap"&amp;CHAR(34)&amp;",","")</f>
        <v/>
      </c>
      <c r="GJ6" s="48" t="str">
        <f>IF(CP6="y",CHAR(34)&amp;CP$1&amp;CHAR(34)&amp;",","")</f>
        <v/>
      </c>
      <c r="GK6" s="48" t="str">
        <f>IF(GJ6="",CHAR(34)&amp;"HasSta"&amp;CHAR(34)&amp;",","")</f>
        <v>"HasSta",</v>
      </c>
      <c r="GL6" s="48" t="str">
        <f t="shared" si="77"/>
        <v/>
      </c>
      <c r="GM6" s="48" t="str">
        <f t="shared" si="77"/>
        <v/>
      </c>
      <c r="GN6" s="48" t="str">
        <f t="shared" si="77"/>
        <v>"3+Star",</v>
      </c>
      <c r="GP6" s="48" t="str">
        <f>CHAR(34)&amp;AU6&amp;CHAR(34)</f>
        <v>"Atoll, Capital"</v>
      </c>
      <c r="GS6" s="48" t="str">
        <f>SUBSTITUTE("["&amp;_xlfn.CONCAT(CW6:GN6)&amp;"]",",]","]")</f>
        <v>["3Color","lets06","startM","LUEDHI","allhor","4+Band","Diagon","Horizo","Circle","Animal","Trside","sta","NO_GRE","NO_YEL","NO_BLA","myrRED","HasSta","3+Star"]</v>
      </c>
      <c r="GT6" s="48" t="str">
        <f t="shared" si="80"/>
        <v>"cl_RED",</v>
      </c>
      <c r="GU6" s="48" t="str">
        <f t="shared" si="80"/>
        <v>"cl_WHI",</v>
      </c>
      <c r="GV6" s="48" t="str">
        <f t="shared" si="80"/>
        <v>"cl_BLU",</v>
      </c>
      <c r="GW6" s="48" t="str">
        <f t="shared" si="80"/>
        <v/>
      </c>
      <c r="GX6" s="48" t="str">
        <f t="shared" si="80"/>
        <v/>
      </c>
      <c r="GY6" s="48" t="str">
        <f t="shared" si="80"/>
        <v/>
      </c>
      <c r="GZ6" s="48" t="str">
        <f t="shared" si="80"/>
        <v/>
      </c>
      <c r="HA6" s="48" t="str">
        <f t="shared" si="80"/>
        <v/>
      </c>
      <c r="HB6" s="48" t="str">
        <f t="shared" si="80"/>
        <v/>
      </c>
      <c r="HC6" s="48" t="str">
        <f>SUBSTITUTE("["&amp;_xlfn.CONCAT(GT6:HB6)&amp;"]",",]","]")</f>
        <v>["cl_RED","cl_WHI","cl_BLU"]</v>
      </c>
      <c r="HE6" s="71"/>
      <c r="HF6" s="72" t="str">
        <f>"{couname:"&amp;CT6&amp;(IF(HK6&lt;&gt;"",",subtype:"&amp;CHAR(34)&amp;HK6&amp;CHAR(34),""))&amp;",year:"&amp;HJ6&amp;",region:"&amp;CU6&amp;",Colors:"&amp;HC6&amp;",Items:"&amp;GS6&amp;",Flag:"&amp;CV6&amp;",HDFlag:"&amp;CHAR(34)&amp;E6&amp;CHAR(34)&amp;",type:"&amp;GP6&amp;", describe: "&amp;HH6&amp;", isnew:"&amp;CHAR(34)&amp;F6&amp;CHAR(34)&amp;", links: "&amp;HL6&amp;"},"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links: "https://en.m.wikipedia.org/wiki/Majuro"},</v>
      </c>
      <c r="HG6" s="73" t="str">
        <f>"{couname:"&amp;CT6&amp;(IF(HK6&lt;&gt;"",",subtype:"&amp;CHAR(34)&amp;HK6&amp;CHAR(34),""))&amp;",year:"&amp;HJ6&amp;",region:"&amp;CU6&amp;",Colors:"&amp;HC6&amp;",Items:"&amp;GS6&amp;",Flag:"&amp;CV6&amp;",HDFlag:"&amp;CHAR(34)&amp;E6&amp;CHAR(34)&amp;",type:"&amp;GP6&amp;", describe: "&amp;HI6&amp;", links: "&amp;HL6&amp;"},"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links: "https://en.m.wikipedia.org/wiki/Majuro"},</v>
      </c>
      <c r="HH6" s="48" t="str">
        <f>IF(P6&lt;&gt;"",CHAR(34)&amp;"\n"&amp;P6&amp;CHAR(34),CHAR(34)&amp;CHAR(34))</f>
        <v>"\nA yellow triangle on the left side containing a white bird surrounded by eleven white stars. The right side of the flag is made of four horizontal bands of blue, orange, white, and blue."</v>
      </c>
      <c r="HI6" s="48" t="str">
        <f>IF(J6=0,CHAR(34)&amp;CHAR(34),HH6)</f>
        <v>"\nA yellow triangle on the left side containing a white bird surrounded by eleven white stars. The right side of the flag is made of four horizontal bands of blue, orange, white, and blue."</v>
      </c>
      <c r="HJ6" s="48" t="str">
        <f>CHAR(34)&amp;O6&amp;CHAR(34)</f>
        <v>"???"</v>
      </c>
      <c r="HL6" s="48" t="str">
        <f>CHAR(34)&amp;I6&amp;CHAR(34)</f>
        <v>"https://en.m.wikipedia.org/wiki/Majuro"</v>
      </c>
      <c r="HM6" s="72"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"&amp;HH6&amp;", "&amp;CHAR(34)&amp;"isnew"&amp;CHAR(34)&amp;": "&amp;CHAR(34)&amp;F6&amp;CHAR(34)&amp;", "&amp;CHAR(34)&amp;"links"&amp;CHAR(34)&amp;": "&amp;HL6&amp;"},"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 "links": "https://en.m.wikipedia.org/wiki/Majuro"},</v>
      </c>
      <c r="HN6" s="74" t="str">
        <f>"{"&amp;CHAR(34)&amp;"couname"&amp;CHAR(34)&amp;":"&amp;CT6&amp;(IF(H6&lt;&gt;"",","&amp;CHAR(34)&amp;"subtype"&amp;CHAR(34)&amp;":"&amp;CHAR(34)&amp;H6&amp;CHAR(34),""))&amp;","&amp;CHAR(34)&amp;"year"&amp;CHAR(34)&amp;":"&amp;HJ6&amp;","&amp;CHAR(34)&amp;"region"&amp;CHAR(34)&amp;":"&amp;CU6&amp;","&amp;CHAR(34)&amp;"Colors"&amp;CHAR(34)&amp;":"&amp;HC6&amp;","&amp;CHAR(34)&amp;"Items"&amp;CHAR(34)&amp;":"&amp;GS6&amp;","&amp;CHAR(34)&amp;"Flag"&amp;CHAR(34)&amp;":"&amp;CV6&amp;","&amp;CHAR(34)&amp;"HDFlag"&amp;CHAR(34)&amp;":"&amp;CHAR(34)&amp;E6&amp;CHAR(34)&amp;","&amp;CHAR(34)&amp;"type"&amp;CHAR(34)&amp;":"&amp;GP6&amp;", "&amp;CHAR(34)&amp;"describe"&amp;CHAR(34)&amp;": "&amp;HI6&amp;", "&amp;CHAR(34)&amp;"isnew"&amp;CHAR(34)&amp;": "&amp;CHAR(34)&amp;F6&amp;CHAR(34)&amp;", "&amp;CHAR(34)&amp;"links"&amp;CHAR(34)&amp;": "&amp;HL6&amp;"},"</f>
        <v>{"couname":"[MHL] Majuro","year":"???","region":"rgn_Oceania","Colors":["cl_RED","cl_WHI","cl_BLU"],"Items":["3Color","lets06","startM","LUEDHI","allhor","4+Band","Diagon","Horizo","Circle","Animal","Trside","sta","NO_GRE","NO_YEL","NO_BLA","myrRED","HasSta","3+Star"],"Flag":"https://upload.wikimedia.org/wikipedia/commons/thumb/0/07/Majuro_Atoll_Flag.svg/640px-Majuro_Atoll_Flag.svg.png","HDFlag":"https://upload.wikimedia.org/wikipedia/commons/thumb/0/07/Majuro_Atoll_Flag.svg/1280px-Majuro_Atoll_Flag.svg.png","type":"Atoll, Capital", "describe": "\nA yellow triangle on the left side containing a white bird surrounded by eleven white stars. The right side of the flag is made of four horizontal bands of blue, orange, white, and blue.", "isnew": ".", "links": "https://en.m.wikipedia.org/wiki/Majuro"},</v>
      </c>
      <c r="HO6" s="75">
        <v>45596</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RED</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COUNTIF(IC6:IK6,"&gt;0")-CG6</f>
        <v>-3</v>
      </c>
      <c r="IN6" s="78" t="str">
        <f>"http://mkweb.bcgsc.ca/color-summarizer/?url="&amp;D6&amp;"&amp;precision=low&amp;num_clusters="&amp;CG6&amp;"&amp;text=1"</f>
        <v>http://mkweb.bcgsc.ca/color-summarizer/?url=https://upload.wikimedia.org/wikipedia/commons/thumb/0/07/Majuro_Atoll_Flag.svg/640px-Majuro_Atoll_Flag.svg.png&amp;precision=low&amp;num_clusters=3&amp;text=1</v>
      </c>
      <c r="IO6" s="48" t="str">
        <f>IF(HP6&lt;&gt;"",CHAR(34)&amp;"black"&amp;CHAR(34),"")</f>
        <v/>
      </c>
      <c r="IP6" s="48" t="str">
        <f>IF(HQ6&lt;&gt;"",CHAR(34)&amp;"blue"&amp;CHAR(34),"")</f>
        <v>"blue"</v>
      </c>
      <c r="IQ6" s="48" t="str">
        <f>IF(HR6&lt;&gt;"",CHAR(34)&amp;"green"&amp;CHAR(34),"")</f>
        <v/>
      </c>
      <c r="IR6" s="48" t="str">
        <f>IF(HS6&lt;&gt;"",CHAR(34)&amp;"red"&amp;CHAR(34),"")</f>
        <v>"red"</v>
      </c>
      <c r="IS6" s="48" t="str">
        <f>IF(HT6&lt;&gt;"",CHAR(34)&amp;"yellow"&amp;CHAR(34),"")</f>
        <v/>
      </c>
      <c r="IT6" s="48" t="str">
        <f>IF(HU6&lt;&gt;"",CHAR(34)&amp;"orange"&amp;CHAR(34),"")</f>
        <v/>
      </c>
      <c r="IU6" s="48" t="str">
        <f>IF(HV6&lt;&gt;"",CHAR(34)&amp;"brown"&amp;CHAR(34),"")</f>
        <v/>
      </c>
      <c r="IV6" s="48" t="str">
        <f>IF(HW6&lt;&gt;"",CHAR(34)&amp;"purple"&amp;CHAR(34),"")</f>
        <v/>
      </c>
      <c r="IW6" s="48" t="str">
        <f>IF(HX6&lt;&gt;"",CHAR(34)&amp;"white"&amp;CHAR(34),"")</f>
        <v>"white"</v>
      </c>
      <c r="IX6" s="48" t="str">
        <f>"{"&amp;CHAR(34)&amp;"url"&amp;CHAR(34)&amp;":"&amp;CHAR(34)&amp;IN6&amp;CHAR(34)&amp;","&amp;CHAR(34)&amp;"name"&amp;CHAR(34)&amp;":"&amp;CHAR(34)&amp;A6&amp;CHAR(34)&amp;"},"</f>
        <v>{"url":"http://mkweb.bcgsc.ca/color-summarizer/?url=https://upload.wikimedia.org/wikipedia/commons/thumb/0/07/Majuro_Atoll_Flag.svg/640px-Majuro_Atoll_Flag.svg.png&amp;precision=low&amp;num_clusters=3&amp;text=1","name":"[MHL] Majuro"},</v>
      </c>
      <c r="IY6" s="48">
        <v>1495</v>
      </c>
    </row>
    <row r="7" spans="1:259" s="48" customFormat="1" ht="38.4" customHeight="1" thickBot="1" x14ac:dyDescent="0.35">
      <c r="A7" s="79" t="s">
        <v>431</v>
      </c>
      <c r="B7" s="40" t="e" vm="52">
        <v>#VALUE!</v>
      </c>
      <c r="C7" s="41">
        <v>2</v>
      </c>
      <c r="D7" s="42" t="s">
        <v>432</v>
      </c>
      <c r="E7" s="43" t="s">
        <v>433</v>
      </c>
      <c r="F7" s="44" t="s">
        <v>166</v>
      </c>
      <c r="G7" s="45">
        <f>COUNTIF($A$1:$A$8343,A7)</f>
        <v>1</v>
      </c>
      <c r="H7" s="46"/>
      <c r="I7" s="47" t="s">
        <v>434</v>
      </c>
      <c r="J7" s="48" t="str">
        <f>""</f>
        <v/>
      </c>
      <c r="K7" s="49"/>
      <c r="L7" s="50"/>
      <c r="M7" s="50"/>
      <c r="N7" s="51" t="s">
        <v>169</v>
      </c>
      <c r="O7" s="52" t="s">
        <v>355</v>
      </c>
      <c r="P7" s="53" t="s">
        <v>435</v>
      </c>
      <c r="Q7" s="54">
        <v>2</v>
      </c>
      <c r="R7" s="55" t="s">
        <v>169</v>
      </c>
      <c r="S7" s="56">
        <v>3</v>
      </c>
      <c r="T7" s="57" t="s">
        <v>173</v>
      </c>
      <c r="U7" s="58" t="s">
        <v>173</v>
      </c>
      <c r="V7" s="58" t="s">
        <v>173</v>
      </c>
      <c r="W7" s="58" t="s">
        <v>172</v>
      </c>
      <c r="X7" s="58" t="s">
        <v>173</v>
      </c>
      <c r="Y7" s="58" t="s">
        <v>173</v>
      </c>
      <c r="Z7" s="58" t="s">
        <v>173</v>
      </c>
      <c r="AA7" s="58" t="s">
        <v>173</v>
      </c>
      <c r="AB7" s="58" t="s">
        <v>173</v>
      </c>
      <c r="AC7" s="58" t="s">
        <v>173</v>
      </c>
      <c r="AD7" s="58" t="s">
        <v>173</v>
      </c>
      <c r="AE7" s="58" t="s">
        <v>173</v>
      </c>
      <c r="AF7" s="59" t="s">
        <v>173</v>
      </c>
      <c r="AG7" s="59" t="s">
        <v>172</v>
      </c>
      <c r="AH7" s="59" t="s">
        <v>172</v>
      </c>
      <c r="AI7" s="59" t="s">
        <v>173</v>
      </c>
      <c r="AJ7" s="59" t="s">
        <v>173</v>
      </c>
      <c r="AK7" s="59" t="s">
        <v>173</v>
      </c>
      <c r="AL7" s="59" t="s">
        <v>173</v>
      </c>
      <c r="AM7" s="59" t="s">
        <v>173</v>
      </c>
      <c r="AN7" s="59" t="s">
        <v>173</v>
      </c>
      <c r="AO7" s="59" t="s">
        <v>173</v>
      </c>
      <c r="AP7" s="59" t="s">
        <v>173</v>
      </c>
      <c r="AQ7" s="59" t="s">
        <v>173</v>
      </c>
      <c r="AR7" s="59" t="s">
        <v>173</v>
      </c>
      <c r="AS7" s="59" t="s">
        <v>173</v>
      </c>
      <c r="AT7" s="60">
        <v>0</v>
      </c>
      <c r="AU7" s="59" t="s">
        <v>414</v>
      </c>
      <c r="AV7" s="59" t="str">
        <f>IF(LEFT(A7,1)="[",LEFT(A7,5)&amp;AU7&amp;A7,"")</f>
        <v>[MHL]Atoll[MHL] Namdrik Atoll</v>
      </c>
      <c r="AW7" s="59" t="str">
        <f>C7&amp;H7&amp;A7</f>
        <v>2[MHL] Namdrik Atoll</v>
      </c>
      <c r="AX7" s="61"/>
      <c r="AY7" s="61"/>
      <c r="AZ7" s="62"/>
      <c r="BA7" s="62"/>
      <c r="BB7" s="62"/>
      <c r="BC7" s="63"/>
      <c r="BD7" s="64" t="s">
        <v>152</v>
      </c>
      <c r="BE7" s="47"/>
      <c r="BF7" s="64" t="s">
        <v>152</v>
      </c>
      <c r="BG7" s="64" t="s">
        <v>159</v>
      </c>
      <c r="BH7" s="64" t="s">
        <v>152</v>
      </c>
      <c r="BI7" s="64"/>
      <c r="BJ7" s="64"/>
      <c r="BK7" s="47"/>
      <c r="BL7" s="64" t="s">
        <v>152</v>
      </c>
      <c r="BM7" s="64" t="s">
        <v>159</v>
      </c>
      <c r="BN7" s="64" t="s">
        <v>155</v>
      </c>
      <c r="BO7" s="64"/>
      <c r="BP7" s="64"/>
      <c r="BQ7" s="64"/>
      <c r="BR7" s="64"/>
      <c r="BS7" s="64"/>
      <c r="BT7" s="64"/>
      <c r="BU7" s="65"/>
      <c r="BV7" s="66" t="s">
        <v>173</v>
      </c>
      <c r="BW7" s="66">
        <v>0</v>
      </c>
      <c r="BX7" s="47"/>
      <c r="CB7" s="6" t="s">
        <v>138</v>
      </c>
      <c r="CC7" s="6"/>
      <c r="CD7" s="67">
        <v>0</v>
      </c>
      <c r="CE7" s="67">
        <v>0</v>
      </c>
      <c r="CF7" s="67" t="e">
        <v>#REF!</v>
      </c>
      <c r="CG7" s="68" cm="1">
        <f t="array" ref="CG7">SUMPRODUCT(--(LEN(TRIM(BL7:BT7))&gt;0))</f>
        <v>3</v>
      </c>
      <c r="CH7" s="59" t="str">
        <f t="shared" ref="CH7:CH10" si="103">IF(CG7=2,"y","n")</f>
        <v>n</v>
      </c>
      <c r="CI7" s="59" t="str">
        <f t="shared" ref="CI7:CI10" si="104">IF(CG7=3,"y","n")</f>
        <v>y</v>
      </c>
      <c r="CJ7" s="59" t="str">
        <f t="shared" ref="CJ7:CJ10" si="105">IF(CG7=4,"y","n")</f>
        <v>n</v>
      </c>
      <c r="CK7" s="59" t="str">
        <f t="shared" ref="CK7:CK10" si="106">IF(CG7&gt;4,"y","n")</f>
        <v>n</v>
      </c>
      <c r="CL7" s="59" t="str">
        <f t="shared" ref="CL7:CL10" si="107">IF(S7=0,"y","n")</f>
        <v>n</v>
      </c>
      <c r="CM7" s="59" t="str">
        <f t="shared" ref="CM7:CM10" si="108">IF(S7=2,"y","n")</f>
        <v>n</v>
      </c>
      <c r="CN7" s="59" t="str">
        <f t="shared" ref="CN7:CN10" si="109">IF(S7=3,"y","n")</f>
        <v>y</v>
      </c>
      <c r="CO7" s="59" t="str">
        <f t="shared" ref="CO7:CO10" si="110">IF(S7&gt;=4,"y","n")</f>
        <v>n</v>
      </c>
      <c r="CP7" s="59" t="str">
        <f t="shared" ref="CP7:CP10" si="111">IF(AT7=0,"y","n")</f>
        <v>y</v>
      </c>
      <c r="CQ7" s="59" t="str">
        <f t="shared" ref="CQ7:CQ10" si="112">IF(AT7=1,"y","n")</f>
        <v>n</v>
      </c>
      <c r="CR7" s="59" t="str">
        <f t="shared" ref="CR7:CR10" si="113">IF(AT7=2,"y","n")</f>
        <v>n</v>
      </c>
      <c r="CS7" s="59" t="str">
        <f t="shared" ref="CS7:CS10" si="114">IF(AT7&gt;=3,"y","n")</f>
        <v>n</v>
      </c>
      <c r="CT7" s="69" t="str">
        <f t="shared" ref="CT7:CT10" si="115">CHAR(34)&amp;A7&amp;CHAR(34)</f>
        <v>"[MHL] Namdrik Atoll"</v>
      </c>
      <c r="CU7" s="70" t="str">
        <f t="shared" ref="CU7:CU10" si="116">CHAR(34)&amp;"rgn_"&amp;R7&amp;CHAR(34)</f>
        <v>"rgn_Oceania"</v>
      </c>
      <c r="CV7" s="48" t="str">
        <f t="shared" ref="CV7:CV10" si="117">CHAR(34)&amp;D7&amp;CHAR(34)</f>
        <v>"https://upload.wikimedia.org/wikipedia/commons/thumb/0/03/Flag_of_Namdrik_Atoll.svg/640px-Flag_of_Namdrik_Atoll.svg.png"</v>
      </c>
      <c r="CW7" s="48" t="str">
        <f t="shared" si="15"/>
        <v/>
      </c>
      <c r="CX7" s="48" t="str">
        <f t="shared" si="15"/>
        <v>"3Color",</v>
      </c>
      <c r="CY7" s="48" t="str">
        <f t="shared" si="15"/>
        <v/>
      </c>
      <c r="CZ7" s="48" t="str">
        <f t="shared" si="15"/>
        <v/>
      </c>
      <c r="DA7" s="48" t="str">
        <f t="shared" ref="DA7:DA10" si="118">IF(Q7&gt;1,CHAR(34)&amp;"words2"&amp;CHAR(34)&amp;",","")</f>
        <v>"words2",</v>
      </c>
      <c r="DB7" s="48" t="str">
        <f t="shared" ref="DB7:DB10" si="119">IF(Q7&gt;2,CHAR(34)&amp;"words3"&amp;CHAR(34)&amp;",","")</f>
        <v/>
      </c>
      <c r="DC7" s="48" t="str">
        <f>IF(Q7=2,CHAR(34)&amp;"exact2"&amp;CHAR(34)&amp;",","")</f>
        <v>"exact2",</v>
      </c>
      <c r="DD7" s="48"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"lets12",</v>
      </c>
      <c r="DE7" s="48"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"startN",</v>
      </c>
      <c r="DF7" s="48" t="str">
        <f t="shared" ref="DF7:DF10" si="120">IFERROR(IF(SEARCH("tan",A7)&gt;0,CHAR(34)&amp;"withtn"&amp;CHAR(34)&amp;",",""),"")</f>
        <v/>
      </c>
      <c r="DG7" s="48" t="str">
        <f t="shared" ref="DG7:DG10" si="121">IFERROR(IF(SEARCH("q",A7)&gt;0,CHAR(34)&amp;"with_q"&amp;CHAR(34)&amp;",",""),"")</f>
        <v/>
      </c>
      <c r="DH7" s="48" t="str">
        <f t="shared" ref="DH7:DH10" si="122">IFERROR(IF(SEARCH("v",A7)&gt;0,CHAR(34)&amp;"with_v"&amp;CHAR(34)&amp;",",""),"")</f>
        <v/>
      </c>
      <c r="DI7" s="48" t="str">
        <f t="shared" ref="DI7:DI10" si="123">IFERROR(IF(SEARCH("w",A7)&gt;0,CHAR(34)&amp;"with_w"&amp;CHAR(34)&amp;",",""),"")</f>
        <v/>
      </c>
      <c r="DJ7" s="48" t="str">
        <f t="shared" ref="DJ7:DJ10" si="124">IFERROR(IF(SEARCH("y",A7)&gt;0,CHAR(34)&amp;"with_y"&amp;CHAR(34)&amp;",",""),"")</f>
        <v/>
      </c>
      <c r="DK7" s="48" t="str">
        <f t="shared" ref="DK7:DK10" si="125">IFERROR(IF(SEARCH("z",A7)&gt;0,CHAR(34)&amp;"with_z"&amp;CHAR(34)&amp;",",""),"")</f>
        <v/>
      </c>
      <c r="DL7" s="48" t="str">
        <f t="shared" ref="DL7:DL10" si="126">IF(CG7=2, CHAR(34) &amp; _xlfn.TEXTJOIN("", TRUE, _xlfn._xlws.SORT(HP7:HX7)) &amp; CHAR(34) &amp; ",", "")</f>
        <v/>
      </c>
      <c r="DM7" s="48" t="str" cm="1">
        <f t="array" ref="DM7">IF(CG7=3,CHAR(34) &amp; _xlfn.TEXTJOIN("", TRUE, RIGHT(HP7:HX7, 2)) &amp; CHAR(34) &amp; ",", "")</f>
        <v>"LUELHI",</v>
      </c>
      <c r="DN7" s="48" t="str">
        <f t="shared" ref="DN7:DN10" si="127">IF(AND(ISNUMBER(SEARCH("18", O7)), ISERROR(SEARCH("1918", O7)), ISERROR(SEARCH("2018", O7))), CHAR(34) &amp; "year18" &amp; CHAR(34) &amp; ",", "")</f>
        <v/>
      </c>
      <c r="DO7" s="48" t="str">
        <f t="shared" ref="DO7:DO10" si="128">IF(AND(ISNUMBER(SEARCH("19", O7)), ISERROR(SEARCH("1819", O7)),  ISERROR(SEARCH("1219", O7)),ISERROR(SEARCH("1119", O7)),ISERROR(SEARCH("1190", O7)),ISERROR(SEARCH("2019", O7))), CHAR(34) &amp; "year19" &amp; CHAR(34) &amp; ",", "")</f>
        <v/>
      </c>
      <c r="DP7" s="6" t="str">
        <f t="shared" ref="DP7:DP10" si="129">IF(AND(ISNUMBER(SEARCH("20", O7)), ISERROR(SEARCH("1920", O7))), CHAR(34)&amp;"year00"&amp;CHAR(34)&amp;",", "")</f>
        <v/>
      </c>
      <c r="DQ7" s="6" t="str">
        <f t="shared" ref="DQ7:DQ10" si="130">IF(CC7="y",CHAR(34)&amp;"soviet"&amp;CHAR(34)&amp;",","")</f>
        <v/>
      </c>
      <c r="DR7" s="6" t="str">
        <f t="shared" ref="DR7:DR10" si="131">IF(BY7="y",CHAR(34)&amp;"dgband"&amp;CHAR(34)&amp;",","")</f>
        <v/>
      </c>
      <c r="DS7" s="6" t="str">
        <f t="shared" ref="DS7:DS10" si="132">IF(W7="y",IF(AND(V7="n",BY7&lt;&gt;"y"),CHAR(34)&amp;"allver"&amp;CHAR(34)&amp;",",""),"")</f>
        <v>"allver",</v>
      </c>
      <c r="DT7" s="6" t="str">
        <f t="shared" ref="DT7:DT10" si="133">IF(V7="y",IF(AND(W7="n",BY7&lt;&gt;"y"),CHAR(34)&amp;"allhor"&amp;CHAR(34)&amp;",",""),"")</f>
        <v/>
      </c>
      <c r="DU7" s="6" t="str">
        <f t="shared" ref="DU7:DU10" si="134">IF(BY7="y",IF(AND(W7="n",V7="n"),CHAR(34)&amp;"alldia"&amp;CHAR(34)&amp;",",""),"")</f>
        <v/>
      </c>
      <c r="DV7" s="48" t="str">
        <f>IF(IA7&lt;&gt;"",(IF(IA7="y",CHAR(34)&amp;"largec"&amp;CHAR(34)&amp;",",CHAR(34)&amp;"smallc"&amp;CHAR(34)&amp;",")),"")</f>
        <v/>
      </c>
      <c r="DW7" s="48" t="str">
        <f t="shared" si="37"/>
        <v/>
      </c>
      <c r="DX7" s="48" t="str">
        <f t="shared" si="37"/>
        <v/>
      </c>
      <c r="DY7" s="48" t="str">
        <f t="shared" si="37"/>
        <v>"3Bands",</v>
      </c>
      <c r="DZ7" s="48" t="str">
        <f t="shared" si="37"/>
        <v/>
      </c>
      <c r="EA7" s="48" t="str">
        <f t="shared" si="38"/>
        <v/>
      </c>
      <c r="EB7" s="48" t="str">
        <f t="shared" si="38"/>
        <v/>
      </c>
      <c r="EC7" s="48" t="str">
        <f t="shared" si="38"/>
        <v/>
      </c>
      <c r="ED7" s="48" t="str">
        <f t="shared" si="38"/>
        <v>"Vertic",</v>
      </c>
      <c r="EE7" s="48" t="str">
        <f t="shared" si="38"/>
        <v/>
      </c>
      <c r="EF7" s="48" t="str">
        <f t="shared" ref="EF7:EF10" si="135">IF(AND(Y7&lt;&gt;"n",Y7&lt;&gt;""),CHAR(34)&amp;Y$1&amp;CHAR(34)&amp;",","")</f>
        <v/>
      </c>
      <c r="EG7" s="48" t="str">
        <f t="shared" si="40"/>
        <v/>
      </c>
      <c r="EH7" s="48" t="str">
        <f t="shared" si="40"/>
        <v/>
      </c>
      <c r="EI7" s="48" t="str">
        <f t="shared" si="40"/>
        <v/>
      </c>
      <c r="EJ7" s="48" t="str">
        <f t="shared" si="40"/>
        <v/>
      </c>
      <c r="EK7" s="48" t="str">
        <f t="shared" si="40"/>
        <v/>
      </c>
      <c r="EL7" s="48" t="str">
        <f t="shared" si="40"/>
        <v/>
      </c>
      <c r="EM7" s="48" t="str">
        <f t="shared" si="40"/>
        <v/>
      </c>
      <c r="EN7" s="48" t="str">
        <f t="shared" si="40"/>
        <v>"Unequa",</v>
      </c>
      <c r="EO7" s="48" t="str">
        <f t="shared" si="40"/>
        <v>"Center",</v>
      </c>
      <c r="EP7" s="48" t="str">
        <f t="shared" si="40"/>
        <v/>
      </c>
      <c r="EQ7" s="48" t="str">
        <f t="shared" si="40"/>
        <v/>
      </c>
      <c r="ER7" s="48" t="str">
        <f t="shared" si="40"/>
        <v/>
      </c>
      <c r="ES7" s="48" t="str">
        <f t="shared" si="40"/>
        <v/>
      </c>
      <c r="ET7" s="48" t="str">
        <f t="shared" si="40"/>
        <v/>
      </c>
      <c r="EU7" s="48" t="str">
        <f t="shared" si="40"/>
        <v/>
      </c>
      <c r="EV7" s="48" t="str">
        <f t="shared" si="40"/>
        <v/>
      </c>
      <c r="EW7" s="48" t="str">
        <f t="shared" si="40"/>
        <v/>
      </c>
      <c r="EX7" s="48" t="str">
        <f t="shared" si="40"/>
        <v/>
      </c>
      <c r="EY7" s="48" t="str">
        <f t="shared" si="40"/>
        <v/>
      </c>
      <c r="EZ7" s="48" t="str">
        <f t="shared" si="40"/>
        <v/>
      </c>
      <c r="FA7" s="48" t="str">
        <f t="shared" ref="FA7:FA10" si="136">IF(AT7&gt;0,CHAR(34)&amp;"sta"&amp;AZ7&amp;CHAR(34)&amp;",","")</f>
        <v/>
      </c>
      <c r="FB7" s="48" t="str">
        <f t="shared" ref="FB7:FB10" si="137">IF(AND(AT7&gt;0,BA7&lt;&gt;""),CHAR(34)&amp;"sta"&amp;BA7&amp;CHAR(34)&amp;",","")</f>
        <v/>
      </c>
      <c r="FC7" s="48" t="str">
        <f>IF(AND(AT7&gt;0,BB7&lt;&gt;""),CHAR(34)&amp;"sta"&amp;BB7&amp;CHAR(34)&amp;",","")</f>
        <v/>
      </c>
      <c r="FD7" s="48" t="str">
        <f t="shared" ref="FD7:FD10" si="138">IF(BV7="n",CHAR(34)&amp;"tcWHYE"&amp;CHAR(34)&amp;",",IF(BV7="y",CHAR(34)&amp;FD$1&amp;CHAR(34)&amp;",",""))</f>
        <v>"tcWHYE",</v>
      </c>
      <c r="FE7" s="48" t="str">
        <f t="shared" ref="FE7:FE10" si="139">IF(COUNTIF(BL7:BT7,"BLU")=0,CHAR(34)&amp;"NO_BLU"&amp;CHAR(34)&amp;",", "")</f>
        <v/>
      </c>
      <c r="FF7" s="48" t="str">
        <f t="shared" ref="FF7:FF10" si="140">IF(COUNTIF(BL7:BT7,"WHI")=0,CHAR(34)&amp;"NO_WHI"&amp;CHAR(34)&amp;",", "")</f>
        <v/>
      </c>
      <c r="FG7" s="48" t="str">
        <f t="shared" ref="FG7:FG10" si="141">IF(COUNTIF(BL7:BT7,"RED")=0,CHAR(34)&amp;"NO_RED"&amp;CHAR(34)&amp;",", "")</f>
        <v>"NO_RED",</v>
      </c>
      <c r="FH7" s="48" t="str">
        <f t="shared" ref="FH7:FH10" si="142">IF(COUNTIF(BL7:BS7,"GRE")=0,CHAR(34)&amp;"NO_GRE"&amp;CHAR(34)&amp;",", "")</f>
        <v>"NO_GRE",</v>
      </c>
      <c r="FI7" s="48" t="str">
        <f t="shared" ref="FI7:FI10" si="143">IF(COUNTIF(BL7:BT7,"YEL")=0,CHAR(34)&amp;"NO_YEL"&amp;CHAR(34)&amp;",", "")</f>
        <v/>
      </c>
      <c r="FJ7" s="48" t="str">
        <f t="shared" ref="FJ7:FJ10" si="144">IF(COUNTIF(BL7:BT7,"BLA")=0,CHAR(34)&amp;"NO_BLA"&amp;CHAR(34)&amp;",", "")</f>
        <v>"NO_BLA",</v>
      </c>
      <c r="FK7" s="48" t="str">
        <f t="shared" ref="FK7:FK10" si="145">IF(AND(FH7&lt;&gt;"",FF7&lt;&gt;""),CHAR(34)&amp;"WHGRNO"&amp;CHAR(34)&amp;",","")</f>
        <v/>
      </c>
      <c r="FL7" s="48" t="str">
        <f t="shared" ref="FL7:FL10" si="146">IF(AND(FI7&lt;&gt;"",FF7&lt;&gt;""),CHAR(34)&amp;"WHYENO"&amp;CHAR(34)&amp;",","")</f>
        <v/>
      </c>
      <c r="FM7" s="48" t="str">
        <f t="shared" ref="FM7:FM10" si="147">IF(AND(FJ7&lt;&gt;"",FF7&lt;&gt;""),CHAR(34)&amp;"BAWHNO"&amp;CHAR(34)&amp;",","")</f>
        <v/>
      </c>
      <c r="FN7" s="48" t="str">
        <f t="shared" ref="FN7:FN10" si="148">IF(AND(FE7&lt;&gt;"",FF7&lt;&gt;""),CHAR(34)&amp;"BLWHNO"&amp;CHAR(34)&amp;",","")</f>
        <v/>
      </c>
      <c r="FO7" s="48" t="str">
        <f t="shared" ref="FO7:FO10" si="149">IF(AND(FE7&lt;&gt;"",FG7&lt;&gt;""),CHAR(34)&amp;"BLRENO"&amp;CHAR(34)&amp;",","")</f>
        <v/>
      </c>
      <c r="FP7" s="48" t="str">
        <f t="shared" ref="FP7:FP10" si="150">IF(AND(FF7&lt;&gt;"",FF7&lt;&gt;""),CHAR(34)&amp;"WHRENO"&amp;CHAR(34)&amp;",","")</f>
        <v/>
      </c>
      <c r="FQ7" s="48" t="str">
        <f t="shared" ref="FQ7:FQ10" si="151">IF(LEN(BF7)=3,CHAR(34)&amp;"001"&amp;BF7&amp;CHAR(34)&amp;",","")</f>
        <v>"001BLU",</v>
      </c>
      <c r="FR7" s="48" t="str">
        <f t="shared" ref="FR7:FR10" si="152">IF(LEN(BG7)=3,CHAR(34)&amp;"002"&amp;BG7&amp;CHAR(34)&amp;",","")</f>
        <v>"002WHI",</v>
      </c>
      <c r="FS7" s="48" t="str">
        <f t="shared" ref="FS7:FS10" si="153">IF(LEN(BH7)=3,CHAR(34)&amp;"003"&amp;BH7&amp;CHAR(34)&amp;",","")</f>
        <v>"003BLU",</v>
      </c>
      <c r="FT7" s="48" t="str">
        <f t="shared" ref="FT7:FT10" si="154">CHAR(34)&amp;"myr"&amp;BD7&amp;CHAR(34)&amp;","</f>
        <v>"myrBLU",</v>
      </c>
      <c r="FU7" s="48" t="str">
        <f t="shared" ref="FU7:FU10" si="155">IF(AY7="y",CHAR(34)&amp;"island"&amp;CHAR(34)&amp;",","")</f>
        <v/>
      </c>
      <c r="FV7" s="48" t="str">
        <f t="shared" ref="FV7:FV10" si="156">IF(BZ7="y",CHAR(34)&amp;"landlo"&amp;CHAR(34)&amp;",","")</f>
        <v/>
      </c>
      <c r="FW7" s="48" t="str">
        <f t="shared" ref="FW7:FW10" si="157">IF(CA7="y",CHAR(34)&amp;"eunion"&amp;CHAR(34)&amp;",","")</f>
        <v/>
      </c>
      <c r="FX7" s="48" t="str">
        <f>SUBSTITUTE(IFERROR(SEARCH("[",A7),IFERROR(IF(AND(CA7&lt;&gt;"y",SEARCH("Europe",R7)&gt;0),CHAR(34)&amp;"noeuni"&amp;CHAR(34)&amp;",",""),"")),"1","")</f>
        <v/>
      </c>
      <c r="FY7" s="48" t="str">
        <f t="shared" ref="FY7:FY10" si="158">IFERROR(IF(SEARCH("Arabic",CB7)&gt;0,CHAR(34)&amp;"arabic"&amp;CHAR(34)&amp;",",""),"")</f>
        <v/>
      </c>
      <c r="FZ7" s="48" t="str">
        <f t="shared" ref="FZ7:FZ10" si="159">IFERROR(IF(SEARCH("English",CB7)&gt;0,CHAR(34)&amp;"englis"&amp;CHAR(34)&amp;",",""),"")</f>
        <v/>
      </c>
      <c r="GA7" s="48" t="str">
        <f t="shared" ref="GA7:GA10" si="160">IFERROR(IF(SEARCH("French",CB7)&gt;0,CHAR(34)&amp;"french"&amp;CHAR(34)&amp;",",""),"")</f>
        <v/>
      </c>
      <c r="GB7" s="48" t="str">
        <f t="shared" ref="GB7:GB10" si="161">IFERROR(IF(SEARCH("Spanish",CB7)&gt;0,CHAR(34)&amp;"spanis"&amp;CHAR(34)&amp;",",""),"")</f>
        <v>"spanis",</v>
      </c>
      <c r="GC7" s="48" t="str">
        <f>IFERROR(IF(SEARCH("Portuguese",CB7)&gt;0,CHAR(34)&amp;"portug"&amp;CHAR(34)&amp;",",""),"")</f>
        <v/>
      </c>
      <c r="GD7" s="48" t="str">
        <f>IFERROR(IF(SEARCH("German",CB7)&gt;0,CHAR(34)&amp;"german"&amp;CHAR(34)&amp;",",""),"")</f>
        <v/>
      </c>
      <c r="GE7" s="48" t="str">
        <f t="shared" ref="GE7:GE10" si="162">IFERROR(IF(SEARCH("Dutch",CB7)&gt;0,CHAR(34)&amp;"dutchs"&amp;CHAR(34)&amp;",",""),"")</f>
        <v/>
      </c>
      <c r="GF7" s="48" t="str">
        <f>IFERROR(IF(SEARCH("Histor",AU7)&gt;0,CHAR(34)&amp;"histor"&amp;CHAR(34)&amp;",",""),"")</f>
        <v/>
      </c>
      <c r="GG7" s="48" t="str">
        <f t="shared" ref="GG7:GG10" si="163">IF(BU7="y",CHAR(34)&amp;"unjack"&amp;CHAR(34)&amp;",","")</f>
        <v/>
      </c>
      <c r="GH7" s="48" t="str">
        <f t="shared" ref="GH7:GH10" si="164">IF(CD7=1,CHAR(34)&amp;"southc"&amp;CHAR(34)&amp;",","")</f>
        <v/>
      </c>
      <c r="GI7" s="48" t="str">
        <f t="shared" ref="GI7:GI10" si="165">IF(CE7=1,CHAR(34)&amp;"hasmap"&amp;CHAR(34)&amp;",","")</f>
        <v/>
      </c>
      <c r="GJ7" s="48" t="str">
        <f t="shared" ref="GJ7:GJ10" si="166">IF(CP7="y",CHAR(34)&amp;CP$1&amp;CHAR(34)&amp;",","")</f>
        <v>"NoStar",</v>
      </c>
      <c r="GK7" s="48" t="str">
        <f t="shared" ref="GK7:GK10" si="167">IF(GJ7="",CHAR(34)&amp;"HasSta"&amp;CHAR(34)&amp;",","")</f>
        <v/>
      </c>
      <c r="GL7" s="48" t="str">
        <f t="shared" si="77"/>
        <v/>
      </c>
      <c r="GM7" s="48" t="str">
        <f t="shared" si="77"/>
        <v/>
      </c>
      <c r="GN7" s="48" t="str">
        <f t="shared" si="77"/>
        <v/>
      </c>
      <c r="GP7" s="48" t="str">
        <f t="shared" ref="GP7:GP10" si="168">CHAR(34)&amp;AU7&amp;CHAR(34)</f>
        <v>"Atoll"</v>
      </c>
      <c r="GS7" s="48" t="str">
        <f t="shared" ref="GS7:GS10" si="169">SUBSTITUTE("["&amp;_xlfn.CONCAT(CW7:GN7)&amp;"]",",]","]")</f>
        <v>["3Color","words2","exact2","lets12","startN","LUELHI","allver","3Bands","Vertic","Unequa","Center","tcWHYE","NO_RED","NO_GRE","NO_BLA","001BLU","002WHI","003BLU","myrBLU","spanis","NoStar"]</v>
      </c>
      <c r="GT7" s="48" t="str">
        <f t="shared" si="80"/>
        <v>"cl_BLU",</v>
      </c>
      <c r="GU7" s="48" t="str">
        <f t="shared" si="80"/>
        <v>"cl_WHI",</v>
      </c>
      <c r="GV7" s="48" t="str">
        <f t="shared" si="80"/>
        <v>"cl_YEL",</v>
      </c>
      <c r="GW7" s="48" t="str">
        <f t="shared" si="80"/>
        <v/>
      </c>
      <c r="GX7" s="48" t="str">
        <f t="shared" si="80"/>
        <v/>
      </c>
      <c r="GY7" s="48" t="str">
        <f t="shared" si="80"/>
        <v/>
      </c>
      <c r="GZ7" s="48" t="str">
        <f t="shared" si="80"/>
        <v/>
      </c>
      <c r="HA7" s="48" t="str">
        <f t="shared" si="80"/>
        <v/>
      </c>
      <c r="HB7" s="48" t="str">
        <f t="shared" si="80"/>
        <v/>
      </c>
      <c r="HC7" s="48" t="str">
        <f t="shared" ref="HC7:HC10" si="170">SUBSTITUTE("["&amp;_xlfn.CONCAT(GT7:HB7)&amp;"]",",]","]")</f>
        <v>["cl_BLU","cl_WHI","cl_YEL"]</v>
      </c>
      <c r="HE7" s="71"/>
      <c r="HF7" s="72" t="str">
        <f t="shared" ref="HF7:HF10" si="171">"{couname:"&amp;CT7&amp;(IF(HK7&lt;&gt;"",",subtype:"&amp;CHAR(34)&amp;HK7&amp;CHAR(34),""))&amp;",year:"&amp;HJ7&amp;",region:"&amp;CU7&amp;",Colors:"&amp;HC7&amp;",Items:"&amp;GS7&amp;",Flag:"&amp;CV7&amp;",HDFlag:"&amp;CHAR(34)&amp;E7&amp;CHAR(34)&amp;",type:"&amp;GP7&amp;", describe: "&amp;HH7&amp;", isnew:"&amp;CHAR(34)&amp;F7&amp;CHAR(34)&amp;", links: "&amp;HL7&amp;"},"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links: "https://en.m.wikipedia.org/wiki/Namdrik_Atoll"},</v>
      </c>
      <c r="HG7" s="73" t="str">
        <f t="shared" ref="HG7:HG10" si="172">"{couname:"&amp;CT7&amp;(IF(HK7&lt;&gt;"",",subtype:"&amp;CHAR(34)&amp;HK7&amp;CHAR(34),""))&amp;",year:"&amp;HJ7&amp;",region:"&amp;CU7&amp;",Colors:"&amp;HC7&amp;",Items:"&amp;GS7&amp;",Flag:"&amp;CV7&amp;",HDFlag:"&amp;CHAR(34)&amp;E7&amp;CHAR(34)&amp;",type:"&amp;GP7&amp;", describe: "&amp;HI7&amp;", links: "&amp;HL7&amp;"},"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links: "https://en.m.wikipedia.org/wiki/Namdrik_Atoll"},</v>
      </c>
      <c r="HH7" s="48" t="str">
        <f t="shared" ref="HH7:HH10" si="173">IF(P7&lt;&gt;"",CHAR(34)&amp;"\n"&amp;P7&amp;CHAR(34),CHAR(34)&amp;CHAR(34))</f>
        <v>"\nThe vertical three stripes of orange , white and orange and charged with green and red emblem in the center."</v>
      </c>
      <c r="HI7" s="48" t="str">
        <f t="shared" ref="HI7:HI10" si="174">IF(J7=0,CHAR(34)&amp;CHAR(34),HH7)</f>
        <v>"\nThe vertical three stripes of orange , white and orange and charged with green and red emblem in the center."</v>
      </c>
      <c r="HJ7" s="48" t="str">
        <f t="shared" ref="HJ7:HJ10" si="175">CHAR(34)&amp;O7&amp;CHAR(34)</f>
        <v>"???"</v>
      </c>
      <c r="HL7" s="48" t="str">
        <f t="shared" ref="HL7:HL10" si="176">CHAR(34)&amp;I7&amp;CHAR(34)</f>
        <v>"https://en.m.wikipedia.org/wiki/Namdrik_Atoll"</v>
      </c>
      <c r="HM7" s="72" t="str">
        <f t="shared" ref="HM7:HM10" si="177">"{"&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 "links": "https://en.m.wikipedia.org/wiki/Namdrik_Atoll"},</v>
      </c>
      <c r="HN7" s="74" t="str">
        <f t="shared" ref="HN7:HN10" si="178">"{"&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{"couname":"[MHL] Namdrik Atoll","year":"???","region":"rgn_Oceania","Colors":["cl_BLU","cl_WHI","cl_YEL"],"Items":["3Color","words2","exact2","lets12","startN","LUELHI","allver","3Bands","Vertic","Unequa","Center","tcWHYE","NO_RED","NO_GRE","NO_BLA","001BLU","002WHI","003BLU","myrBLU","spanis","NoStar"],"Flag":"https://upload.wikimedia.org/wikipedia/commons/thumb/0/03/Flag_of_Namdrik_Atoll.svg/640px-Flag_of_Namdrik_Atoll.svg.png","HDFlag":"https://upload.wikimedia.org/wikipedia/commons/thumb/0/03/Flag_of_Namdrik_Atoll.svg/1280px-Flag_of_Namdrik_Atoll.svg.png","type":"Atoll", "describe": "\nThe vertical three stripes of orange , white and orange and charged with green and red emblem in the center.", "isnew": ".", "links": "https://en.m.wikipedia.org/wiki/Namdrik_Atoll"},</v>
      </c>
      <c r="HO7" s="75"/>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v>0</v>
      </c>
      <c r="ID7" s="77">
        <v>0</v>
      </c>
      <c r="IE7" s="77">
        <v>0</v>
      </c>
      <c r="IF7" s="77">
        <v>0.98</v>
      </c>
      <c r="IG7" s="77">
        <v>0.02</v>
      </c>
      <c r="IH7" s="77">
        <v>0</v>
      </c>
      <c r="II7" s="77">
        <v>0</v>
      </c>
      <c r="IJ7" s="77">
        <v>0</v>
      </c>
      <c r="IK7" s="77">
        <v>0</v>
      </c>
      <c r="IL7" s="48">
        <f>SUM(IC7:IK7)</f>
        <v>1</v>
      </c>
      <c r="IM7" s="45">
        <f t="shared" ref="IM7:IM10" si="179">COUNTIF(IC7:IK7,"&gt;0")-CG7</f>
        <v>-1</v>
      </c>
      <c r="IN7" s="78" t="str">
        <f t="shared" ref="IN7:IN10" si="180">"http://mkweb.bcgsc.ca/color-summarizer/?url="&amp;D7&amp;"&amp;precision=low&amp;num_clusters="&amp;CG7&amp;"&amp;text=1"</f>
        <v>http://mkweb.bcgsc.ca/color-summarizer/?url=https://upload.wikimedia.org/wikipedia/commons/thumb/0/03/Flag_of_Namdrik_Atoll.svg/640px-Flag_of_Namdrik_Atoll.svg.png&amp;precision=low&amp;num_clusters=3&amp;text=1</v>
      </c>
      <c r="IO7" s="48" t="str">
        <f t="shared" ref="IO7:IO10" si="181">IF(HP7&lt;&gt;"",CHAR(34)&amp;"black"&amp;CHAR(34),"")</f>
        <v/>
      </c>
      <c r="IP7" s="48" t="str">
        <f t="shared" ref="IP7:IP10" si="182">IF(HQ7&lt;&gt;"",CHAR(34)&amp;"blue"&amp;CHAR(34),"")</f>
        <v>"blue"</v>
      </c>
      <c r="IQ7" s="48" t="str">
        <f t="shared" ref="IQ7:IQ10" si="183">IF(HR7&lt;&gt;"",CHAR(34)&amp;"green"&amp;CHAR(34),"")</f>
        <v/>
      </c>
      <c r="IR7" s="48" t="str">
        <f t="shared" ref="IR7:IR10" si="184">IF(HS7&lt;&gt;"",CHAR(34)&amp;"red"&amp;CHAR(34),"")</f>
        <v/>
      </c>
      <c r="IS7" s="48" t="str">
        <f t="shared" ref="IS7:IS10" si="185">IF(HT7&lt;&gt;"",CHAR(34)&amp;"yellow"&amp;CHAR(34),"")</f>
        <v>"yellow"</v>
      </c>
      <c r="IT7" s="48" t="str">
        <f t="shared" ref="IT7:IT10" si="186">IF(HU7&lt;&gt;"",CHAR(34)&amp;"orange"&amp;CHAR(34),"")</f>
        <v/>
      </c>
      <c r="IU7" s="48" t="str">
        <f t="shared" ref="IU7:IU10" si="187">IF(HV7&lt;&gt;"",CHAR(34)&amp;"brown"&amp;CHAR(34),"")</f>
        <v/>
      </c>
      <c r="IV7" s="48" t="str">
        <f t="shared" ref="IV7:IV10" si="188">IF(HW7&lt;&gt;"",CHAR(34)&amp;"purple"&amp;CHAR(34),"")</f>
        <v/>
      </c>
      <c r="IW7" s="48" t="str">
        <f t="shared" ref="IW7:IW10" si="189">IF(HX7&lt;&gt;"",CHAR(34)&amp;"white"&amp;CHAR(34),"")</f>
        <v>"white"</v>
      </c>
      <c r="IX7" s="48" t="str">
        <f t="shared" ref="IX7:IX10" si="190">"{"&amp;CHAR(34)&amp;"url"&amp;CHAR(34)&amp;":"&amp;CHAR(34)&amp;IN7&amp;CHAR(34)&amp;","&amp;CHAR(34)&amp;"name"&amp;CHAR(34)&amp;":"&amp;CHAR(34)&amp;A7&amp;CHAR(34)&amp;"},"</f>
        <v>{"url":"http://mkweb.bcgsc.ca/color-summarizer/?url=https://upload.wikimedia.org/wikipedia/commons/thumb/0/03/Flag_of_Namdrik_Atoll.svg/640px-Flag_of_Namdrik_Atoll.svg.png&amp;precision=low&amp;num_clusters=3&amp;text=1","name":"[MHL] Namdrik Atoll"},</v>
      </c>
      <c r="IY7" s="48">
        <v>11</v>
      </c>
    </row>
    <row r="8" spans="1:259" s="48" customFormat="1" ht="38.4" customHeight="1" thickBot="1" x14ac:dyDescent="0.35">
      <c r="A8" s="79" t="s">
        <v>436</v>
      </c>
      <c r="B8" s="40" t="e" vm="53">
        <v>#VALUE!</v>
      </c>
      <c r="C8" s="41">
        <v>2</v>
      </c>
      <c r="D8" s="42" t="s">
        <v>437</v>
      </c>
      <c r="E8" s="43" t="s">
        <v>438</v>
      </c>
      <c r="F8" s="44" t="s">
        <v>166</v>
      </c>
      <c r="G8" s="45">
        <f>COUNTIF($A$1:$A$8343,A8)</f>
        <v>1</v>
      </c>
      <c r="H8" s="46"/>
      <c r="I8" s="47" t="s">
        <v>439</v>
      </c>
      <c r="J8" s="48" t="str">
        <f>""</f>
        <v/>
      </c>
      <c r="K8" s="49"/>
      <c r="L8" s="50"/>
      <c r="M8" s="50"/>
      <c r="N8" s="51" t="s">
        <v>169</v>
      </c>
      <c r="O8" s="52" t="s">
        <v>355</v>
      </c>
      <c r="P8" s="53" t="s">
        <v>440</v>
      </c>
      <c r="Q8" s="54">
        <v>2</v>
      </c>
      <c r="R8" s="55" t="s">
        <v>169</v>
      </c>
      <c r="S8" s="56">
        <v>3</v>
      </c>
      <c r="T8" s="57" t="s">
        <v>172</v>
      </c>
      <c r="U8" s="58" t="s">
        <v>173</v>
      </c>
      <c r="V8" s="58" t="s">
        <v>172</v>
      </c>
      <c r="W8" s="58" t="s">
        <v>173</v>
      </c>
      <c r="X8" s="58" t="s">
        <v>173</v>
      </c>
      <c r="Y8" s="58" t="s">
        <v>172</v>
      </c>
      <c r="Z8" s="58" t="s">
        <v>173</v>
      </c>
      <c r="AA8" s="58" t="s">
        <v>173</v>
      </c>
      <c r="AB8" s="58" t="s">
        <v>173</v>
      </c>
      <c r="AC8" s="58" t="s">
        <v>173</v>
      </c>
      <c r="AD8" s="58" t="s">
        <v>173</v>
      </c>
      <c r="AE8" s="58" t="s">
        <v>173</v>
      </c>
      <c r="AF8" s="59" t="s">
        <v>172</v>
      </c>
      <c r="AG8" s="59" t="s">
        <v>173</v>
      </c>
      <c r="AH8" s="59" t="s">
        <v>173</v>
      </c>
      <c r="AI8" s="59" t="s">
        <v>173</v>
      </c>
      <c r="AJ8" s="59" t="s">
        <v>173</v>
      </c>
      <c r="AK8" s="59" t="s">
        <v>173</v>
      </c>
      <c r="AL8" s="59" t="s">
        <v>173</v>
      </c>
      <c r="AM8" s="59" t="s">
        <v>173</v>
      </c>
      <c r="AN8" s="59" t="s">
        <v>173</v>
      </c>
      <c r="AO8" s="59" t="s">
        <v>173</v>
      </c>
      <c r="AP8" s="59" t="s">
        <v>173</v>
      </c>
      <c r="AQ8" s="59" t="s">
        <v>173</v>
      </c>
      <c r="AR8" s="59" t="s">
        <v>173</v>
      </c>
      <c r="AS8" s="59" t="s">
        <v>173</v>
      </c>
      <c r="AT8" s="60">
        <v>0</v>
      </c>
      <c r="AU8" s="59" t="s">
        <v>414</v>
      </c>
      <c r="AV8" s="59" t="str">
        <f>IF(LEFT(A8,1)="[",LEFT(A8,5)&amp;AU8&amp;A8,"")</f>
        <v>[MHL]Atoll[MHL] Ujae Atoll</v>
      </c>
      <c r="AW8" s="59" t="str">
        <f>C8&amp;H8&amp;A8</f>
        <v>2[MHL] Ujae Atoll</v>
      </c>
      <c r="AX8" s="61"/>
      <c r="AY8" s="61"/>
      <c r="AZ8" s="62" t="s">
        <v>192</v>
      </c>
      <c r="BA8" s="62" t="s">
        <v>192</v>
      </c>
      <c r="BB8" s="62"/>
      <c r="BC8" s="63"/>
      <c r="BD8" s="64" t="s">
        <v>152</v>
      </c>
      <c r="BE8" s="47"/>
      <c r="BF8" s="64" t="s">
        <v>152</v>
      </c>
      <c r="BG8" s="64" t="s">
        <v>154</v>
      </c>
      <c r="BH8" s="64" t="s">
        <v>153</v>
      </c>
      <c r="BI8" s="64"/>
      <c r="BJ8" s="64"/>
      <c r="BK8" s="47"/>
      <c r="BL8" s="64" t="s">
        <v>192</v>
      </c>
      <c r="BM8" s="64" t="s">
        <v>152</v>
      </c>
      <c r="BN8" s="64" t="s">
        <v>153</v>
      </c>
      <c r="BO8" s="64" t="s">
        <v>154</v>
      </c>
      <c r="BP8" s="64" t="s">
        <v>155</v>
      </c>
      <c r="BQ8" s="64" t="s">
        <v>192</v>
      </c>
      <c r="BR8" s="64" t="s">
        <v>192</v>
      </c>
      <c r="BS8" s="64" t="s">
        <v>192</v>
      </c>
      <c r="BT8" s="64" t="s">
        <v>192</v>
      </c>
      <c r="BU8" s="65"/>
      <c r="BV8" s="66"/>
      <c r="BW8" s="66">
        <v>0</v>
      </c>
      <c r="BX8" s="47"/>
      <c r="CB8" s="6"/>
      <c r="CC8" s="6"/>
      <c r="CD8" s="67">
        <v>0</v>
      </c>
      <c r="CE8" s="67">
        <v>0</v>
      </c>
      <c r="CF8" s="67" t="e">
        <v>#REF!</v>
      </c>
      <c r="CG8" s="68" cm="1">
        <f t="array" ref="CG8">SUMPRODUCT(--(LEN(TRIM(BL8:BT8))&gt;0))</f>
        <v>4</v>
      </c>
      <c r="CH8" s="59" t="str">
        <f t="shared" si="103"/>
        <v>n</v>
      </c>
      <c r="CI8" s="59" t="str">
        <f t="shared" si="104"/>
        <v>n</v>
      </c>
      <c r="CJ8" s="59" t="str">
        <f t="shared" si="105"/>
        <v>y</v>
      </c>
      <c r="CK8" s="59" t="str">
        <f t="shared" si="106"/>
        <v>n</v>
      </c>
      <c r="CL8" s="59" t="str">
        <f t="shared" si="107"/>
        <v>n</v>
      </c>
      <c r="CM8" s="59" t="str">
        <f t="shared" si="108"/>
        <v>n</v>
      </c>
      <c r="CN8" s="59" t="str">
        <f t="shared" si="109"/>
        <v>y</v>
      </c>
      <c r="CO8" s="59" t="str">
        <f t="shared" si="110"/>
        <v>n</v>
      </c>
      <c r="CP8" s="59" t="str">
        <f t="shared" si="111"/>
        <v>y</v>
      </c>
      <c r="CQ8" s="59" t="str">
        <f t="shared" si="112"/>
        <v>n</v>
      </c>
      <c r="CR8" s="59" t="str">
        <f t="shared" si="113"/>
        <v>n</v>
      </c>
      <c r="CS8" s="59" t="str">
        <f t="shared" si="114"/>
        <v>n</v>
      </c>
      <c r="CT8" s="69" t="str">
        <f t="shared" si="115"/>
        <v>"[MHL] Ujae Atoll"</v>
      </c>
      <c r="CU8" s="70" t="str">
        <f t="shared" si="116"/>
        <v>"rgn_Oceania"</v>
      </c>
      <c r="CV8" s="48" t="str">
        <f t="shared" si="117"/>
        <v>"https://upload.wikimedia.org/wikipedia/commons/thumb/8/83/Ujae_Atoll_Flag.svg/640px-Ujae_Atoll_Flag.svg.png"</v>
      </c>
      <c r="CW8" s="48" t="str">
        <f t="shared" si="15"/>
        <v/>
      </c>
      <c r="CX8" s="48" t="str">
        <f t="shared" si="15"/>
        <v/>
      </c>
      <c r="CY8" s="48" t="str">
        <f t="shared" si="15"/>
        <v>"4Color",</v>
      </c>
      <c r="CZ8" s="48" t="str">
        <f t="shared" si="15"/>
        <v/>
      </c>
      <c r="DA8" s="48" t="str">
        <f t="shared" si="118"/>
        <v>"words2",</v>
      </c>
      <c r="DB8" s="48" t="str">
        <f t="shared" si="119"/>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"lets09",</v>
      </c>
      <c r="DE8" s="48" t="str">
        <f>CHAR(34)&amp;"start"&amp;IFERROR(LEFT(SUBSTITUTE(A8,"["&amp;MID(A8,FIND("[",A8)+1,FIND("]",A8)-FIND("[",A8)-1)&amp;"] ",""),1),LEFT(A8,1))&amp;CHAR(34)&amp;","</f>
        <v>"startU",</v>
      </c>
      <c r="DF8" s="48" t="str">
        <f t="shared" si="120"/>
        <v/>
      </c>
      <c r="DG8" s="48" t="str">
        <f t="shared" si="121"/>
        <v/>
      </c>
      <c r="DH8" s="48" t="str">
        <f t="shared" si="122"/>
        <v/>
      </c>
      <c r="DI8" s="48" t="str">
        <f t="shared" si="123"/>
        <v/>
      </c>
      <c r="DJ8" s="48" t="str">
        <f t="shared" si="124"/>
        <v/>
      </c>
      <c r="DK8" s="48" t="str">
        <f t="shared" si="125"/>
        <v/>
      </c>
      <c r="DL8" s="48" t="str">
        <f t="shared" si="126"/>
        <v/>
      </c>
      <c r="DM8" s="48" t="str" cm="1">
        <f t="array" ref="DM8">IF(CG8=3,CHAR(34) &amp; _xlfn.TEXTJOIN("", TRUE, RIGHT(HP8:HX8, 2)) &amp; CHAR(34) &amp; ",", "")</f>
        <v/>
      </c>
      <c r="DN8" s="48" t="str">
        <f t="shared" si="127"/>
        <v/>
      </c>
      <c r="DO8" s="48" t="str">
        <f t="shared" si="128"/>
        <v/>
      </c>
      <c r="DP8" s="6" t="str">
        <f t="shared" si="129"/>
        <v/>
      </c>
      <c r="DQ8" s="6" t="str">
        <f t="shared" si="130"/>
        <v/>
      </c>
      <c r="DR8" s="6" t="str">
        <f t="shared" si="131"/>
        <v/>
      </c>
      <c r="DS8" s="6" t="str">
        <f t="shared" si="132"/>
        <v/>
      </c>
      <c r="DT8" s="6" t="str">
        <f t="shared" si="133"/>
        <v>"allhor",</v>
      </c>
      <c r="DU8" s="6" t="str">
        <f t="shared" si="134"/>
        <v/>
      </c>
      <c r="DW8" s="48" t="str">
        <f t="shared" si="37"/>
        <v/>
      </c>
      <c r="DX8" s="48" t="str">
        <f t="shared" si="37"/>
        <v/>
      </c>
      <c r="DY8" s="48" t="str">
        <f t="shared" si="37"/>
        <v>"3Bands",</v>
      </c>
      <c r="DZ8" s="48" t="str">
        <f t="shared" si="37"/>
        <v/>
      </c>
      <c r="EA8" s="48" t="str">
        <f t="shared" si="38"/>
        <v>"Diagon",</v>
      </c>
      <c r="EB8" s="48" t="str">
        <f t="shared" si="38"/>
        <v/>
      </c>
      <c r="EC8" s="48" t="str">
        <f t="shared" si="38"/>
        <v>"Horizo",</v>
      </c>
      <c r="ED8" s="48" t="str">
        <f t="shared" si="38"/>
        <v/>
      </c>
      <c r="EE8" s="48" t="str">
        <f t="shared" si="38"/>
        <v/>
      </c>
      <c r="EF8" s="48" t="str">
        <f t="shared" si="135"/>
        <v>"Animal",</v>
      </c>
      <c r="EG8" s="48" t="str">
        <f t="shared" si="40"/>
        <v/>
      </c>
      <c r="EH8" s="48" t="str">
        <f t="shared" si="40"/>
        <v/>
      </c>
      <c r="EI8" s="48" t="str">
        <f t="shared" si="40"/>
        <v/>
      </c>
      <c r="EJ8" s="48" t="str">
        <f t="shared" si="40"/>
        <v/>
      </c>
      <c r="EK8" s="48" t="str">
        <f t="shared" si="40"/>
        <v/>
      </c>
      <c r="EL8" s="48" t="str">
        <f t="shared" si="40"/>
        <v/>
      </c>
      <c r="EM8" s="48" t="str">
        <f t="shared" si="40"/>
        <v>"Trside",</v>
      </c>
      <c r="EN8" s="48" t="str">
        <f t="shared" si="40"/>
        <v/>
      </c>
      <c r="EO8" s="48" t="str">
        <f t="shared" si="40"/>
        <v/>
      </c>
      <c r="EP8" s="48" t="str">
        <f t="shared" si="40"/>
        <v/>
      </c>
      <c r="EQ8" s="48" t="str">
        <f t="shared" si="40"/>
        <v/>
      </c>
      <c r="ER8" s="48" t="str">
        <f t="shared" si="40"/>
        <v/>
      </c>
      <c r="ES8" s="48" t="str">
        <f t="shared" si="40"/>
        <v/>
      </c>
      <c r="ET8" s="48" t="str">
        <f t="shared" si="40"/>
        <v/>
      </c>
      <c r="EU8" s="48" t="str">
        <f t="shared" si="40"/>
        <v/>
      </c>
      <c r="EV8" s="48" t="str">
        <f t="shared" si="40"/>
        <v/>
      </c>
      <c r="EW8" s="48" t="str">
        <f t="shared" si="40"/>
        <v/>
      </c>
      <c r="EX8" s="48" t="str">
        <f t="shared" si="40"/>
        <v/>
      </c>
      <c r="EY8" s="48" t="str">
        <f t="shared" si="40"/>
        <v/>
      </c>
      <c r="EZ8" s="48" t="str">
        <f t="shared" si="40"/>
        <v/>
      </c>
      <c r="FA8" s="48" t="str">
        <f t="shared" si="136"/>
        <v/>
      </c>
      <c r="FB8" s="48" t="str">
        <f t="shared" si="137"/>
        <v/>
      </c>
      <c r="FD8" s="48" t="str">
        <f t="shared" si="138"/>
        <v/>
      </c>
      <c r="FE8" s="48" t="str">
        <f t="shared" si="139"/>
        <v/>
      </c>
      <c r="FF8" s="48" t="str">
        <f t="shared" si="140"/>
        <v>"NO_WHI",</v>
      </c>
      <c r="FG8" s="48" t="str">
        <f t="shared" si="141"/>
        <v/>
      </c>
      <c r="FH8" s="48" t="str">
        <f t="shared" si="142"/>
        <v/>
      </c>
      <c r="FI8" s="48" t="str">
        <f t="shared" si="143"/>
        <v/>
      </c>
      <c r="FJ8" s="48" t="str">
        <f t="shared" si="144"/>
        <v>"NO_BLA",</v>
      </c>
      <c r="FK8" s="48" t="str">
        <f t="shared" si="145"/>
        <v/>
      </c>
      <c r="FL8" s="48" t="str">
        <f t="shared" si="146"/>
        <v/>
      </c>
      <c r="FM8" s="48" t="str">
        <f t="shared" si="147"/>
        <v>"BAWHNO",</v>
      </c>
      <c r="FN8" s="48" t="str">
        <f t="shared" si="148"/>
        <v/>
      </c>
      <c r="FO8" s="48" t="str">
        <f t="shared" si="149"/>
        <v/>
      </c>
      <c r="FP8" s="48" t="str">
        <f t="shared" si="150"/>
        <v>"WHRENO",</v>
      </c>
      <c r="FQ8" s="48" t="str">
        <f t="shared" si="151"/>
        <v>"001BLU",</v>
      </c>
      <c r="FR8" s="48" t="str">
        <f t="shared" si="152"/>
        <v>"002RED",</v>
      </c>
      <c r="FS8" s="48" t="str">
        <f t="shared" si="153"/>
        <v>"003GRE",</v>
      </c>
      <c r="FT8" s="48" t="str">
        <f t="shared" si="154"/>
        <v>"myrBLU",</v>
      </c>
      <c r="FU8" s="48" t="str">
        <f t="shared" si="155"/>
        <v/>
      </c>
      <c r="FV8" s="48" t="str">
        <f t="shared" si="156"/>
        <v/>
      </c>
      <c r="FW8" s="48" t="str">
        <f t="shared" si="157"/>
        <v/>
      </c>
      <c r="FY8" s="48" t="str">
        <f t="shared" si="158"/>
        <v/>
      </c>
      <c r="FZ8" s="48" t="str">
        <f t="shared" si="159"/>
        <v/>
      </c>
      <c r="GA8" s="48" t="str">
        <f t="shared" si="160"/>
        <v/>
      </c>
      <c r="GB8" s="48" t="str">
        <f t="shared" si="161"/>
        <v/>
      </c>
      <c r="GE8" s="48" t="str">
        <f t="shared" si="162"/>
        <v/>
      </c>
      <c r="GF8" s="48" t="str">
        <f>IFERROR(IF(SEARCH("Historical",AU8)&gt;0,CHAR(34)&amp;"histor"&amp;CHAR(34)&amp;",",""),"")</f>
        <v/>
      </c>
      <c r="GG8" s="48" t="str">
        <f t="shared" si="163"/>
        <v/>
      </c>
      <c r="GH8" s="48" t="str">
        <f t="shared" si="164"/>
        <v/>
      </c>
      <c r="GI8" s="48" t="str">
        <f t="shared" si="165"/>
        <v/>
      </c>
      <c r="GJ8" s="48" t="str">
        <f t="shared" si="166"/>
        <v>"NoStar",</v>
      </c>
      <c r="GK8" s="48" t="str">
        <f t="shared" si="167"/>
        <v/>
      </c>
      <c r="GL8" s="48" t="str">
        <f t="shared" si="77"/>
        <v/>
      </c>
      <c r="GM8" s="48" t="str">
        <f t="shared" si="77"/>
        <v/>
      </c>
      <c r="GN8" s="48" t="str">
        <f t="shared" si="77"/>
        <v/>
      </c>
      <c r="GP8" s="48" t="str">
        <f t="shared" si="168"/>
        <v>"Atoll"</v>
      </c>
      <c r="GS8" s="48" t="str">
        <f t="shared" si="169"/>
        <v>["4Color","words2","lets09","startU","allhor","3Bands","Diagon","Horizo","Animal","Trside","NO_WHI","NO_BLA","BAWHNO","WHRENO","001BLU","002RED","003GRE","myrBLU","NoStar"]</v>
      </c>
      <c r="GT8" s="48" t="str">
        <f t="shared" si="80"/>
        <v/>
      </c>
      <c r="GU8" s="48" t="str">
        <f t="shared" si="80"/>
        <v>"cl_BLU",</v>
      </c>
      <c r="GV8" s="48" t="str">
        <f t="shared" si="80"/>
        <v>"cl_GRE",</v>
      </c>
      <c r="GW8" s="48" t="str">
        <f t="shared" si="80"/>
        <v>"cl_RED",</v>
      </c>
      <c r="GX8" s="48" t="str">
        <f t="shared" si="80"/>
        <v>"cl_YEL",</v>
      </c>
      <c r="GY8" s="48" t="str">
        <f t="shared" si="80"/>
        <v/>
      </c>
      <c r="GZ8" s="48" t="str">
        <f t="shared" si="80"/>
        <v/>
      </c>
      <c r="HA8" s="48" t="str">
        <f t="shared" si="80"/>
        <v/>
      </c>
      <c r="HB8" s="48" t="str">
        <f t="shared" si="80"/>
        <v/>
      </c>
      <c r="HC8" s="48" t="str">
        <f t="shared" si="170"/>
        <v>["cl_BLU","cl_GRE","cl_RED","cl_YEL"]</v>
      </c>
      <c r="HE8" s="71"/>
      <c r="HF8" s="72" t="str">
        <f t="shared" si="171"/>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links: "https://en.m.wikipedia.org/wiki/Ujae_Atoll"},</v>
      </c>
      <c r="HG8" s="73" t="str">
        <f t="shared" si="172"/>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links: "https://en.m.wikipedia.org/wiki/Ujae_Atoll"},</v>
      </c>
      <c r="HH8" s="48" t="str">
        <f t="shared" si="173"/>
        <v>"\nThe dark red flag with white two birds hoist and black war dance stick with white feather.\n\nThe red stands for Ujae sunset , white for peace, customs and culture, black for sorry past time, war dance stick for fight for peace and two birds for old states."</v>
      </c>
      <c r="HI8" s="48" t="str">
        <f t="shared" si="174"/>
        <v>"\nThe dark red flag with white two birds hoist and black war dance stick with white feather.\n\nThe red stands for Ujae sunset , white for peace, customs and culture, black for sorry past time, war dance stick for fight for peace and two birds for old states."</v>
      </c>
      <c r="HJ8" s="48" t="str">
        <f t="shared" si="175"/>
        <v>"???"</v>
      </c>
      <c r="HL8" s="48" t="str">
        <f t="shared" si="176"/>
        <v>"https://en.m.wikipedia.org/wiki/Ujae_Atoll"</v>
      </c>
      <c r="HM8" s="72" t="str">
        <f t="shared" si="177"/>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 "links": "https://en.m.wikipedia.org/wiki/Ujae_Atoll"},</v>
      </c>
      <c r="HN8" s="74" t="str">
        <f t="shared" si="178"/>
        <v>{"couname":"[MHL] Ujae Atoll","year":"???","region":"rgn_Oceania","Colors":["cl_BLU","cl_GRE","cl_RED","cl_YEL"],"Items":["4Color","words2","lets09","startU","allhor","3Bands","Diagon","Horizo","Animal","Trside","NO_WHI","NO_BLA","BAWHNO","WHRENO","001BLU","002RED","003GRE","myrBLU","NoStar"],"Flag":"https://upload.wikimedia.org/wikipedia/commons/thumb/8/83/Ujae_Atoll_Flag.svg/640px-Ujae_Atoll_Flag.svg.png","HDFlag":"https://upload.wikimedia.org/wikipedia/commons/thumb/8/83/Ujae_Atoll_Flag.svg/1280px-Ujae_Atoll_Flag.svg.png","type":"Atoll", "describe": "\nThe dark red flag with white two birds hoist and black war dance stick with white feather.\n\nThe red stands for Ujae sunset , white for peace, customs and culture, black for sorry past time, war dance stick for fight for peace and two birds for old states.", "isnew": ".", "links": "https://en.m.wikipedia.org/wiki/Ujae_Atoll"},</v>
      </c>
      <c r="HO8" s="75">
        <v>45610</v>
      </c>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GRE</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
      </c>
      <c r="HY8" s="76"/>
      <c r="HZ8" s="76"/>
      <c r="IA8" s="6"/>
      <c r="IB8" s="6"/>
      <c r="IC8" s="77"/>
      <c r="ID8" s="77"/>
      <c r="IE8" s="77"/>
      <c r="IF8" s="77"/>
      <c r="IG8" s="77"/>
      <c r="IH8" s="77"/>
      <c r="II8" s="77"/>
      <c r="IJ8" s="77"/>
      <c r="IK8" s="77"/>
      <c r="IM8" s="45">
        <f t="shared" si="179"/>
        <v>-4</v>
      </c>
      <c r="IN8" s="78" t="str">
        <f t="shared" si="180"/>
        <v>http://mkweb.bcgsc.ca/color-summarizer/?url=https://upload.wikimedia.org/wikipedia/commons/thumb/8/83/Ujae_Atoll_Flag.svg/640px-Ujae_Atoll_Flag.svg.png&amp;precision=low&amp;num_clusters=4&amp;text=1</v>
      </c>
      <c r="IO8" s="48" t="str">
        <f t="shared" si="181"/>
        <v/>
      </c>
      <c r="IP8" s="48" t="str">
        <f t="shared" si="182"/>
        <v>"blue"</v>
      </c>
      <c r="IQ8" s="48" t="str">
        <f t="shared" si="183"/>
        <v>"green"</v>
      </c>
      <c r="IR8" s="48" t="str">
        <f t="shared" si="184"/>
        <v>"red"</v>
      </c>
      <c r="IS8" s="48" t="str">
        <f t="shared" si="185"/>
        <v>"yellow"</v>
      </c>
      <c r="IT8" s="48" t="str">
        <f t="shared" si="186"/>
        <v/>
      </c>
      <c r="IU8" s="48" t="str">
        <f t="shared" si="187"/>
        <v/>
      </c>
      <c r="IV8" s="48" t="str">
        <f t="shared" si="188"/>
        <v/>
      </c>
      <c r="IW8" s="48" t="str">
        <f t="shared" si="189"/>
        <v/>
      </c>
      <c r="IX8" s="48" t="str">
        <f t="shared" si="190"/>
        <v>{"url":"http://mkweb.bcgsc.ca/color-summarizer/?url=https://upload.wikimedia.org/wikipedia/commons/thumb/8/83/Ujae_Atoll_Flag.svg/640px-Ujae_Atoll_Flag.svg.png&amp;precision=low&amp;num_clusters=4&amp;text=1","name":"[MHL] Ujae Atoll"},</v>
      </c>
      <c r="IY8" s="48">
        <v>1233</v>
      </c>
    </row>
    <row r="9" spans="1:259" s="48" customFormat="1" ht="38.4" customHeight="1" thickBot="1" x14ac:dyDescent="0.35">
      <c r="A9" s="79" t="s">
        <v>441</v>
      </c>
      <c r="B9" s="40" t="e" vm="54">
        <v>#VALUE!</v>
      </c>
      <c r="C9" s="41">
        <v>2</v>
      </c>
      <c r="D9" s="42" t="s">
        <v>442</v>
      </c>
      <c r="E9" s="43" t="s">
        <v>443</v>
      </c>
      <c r="F9" s="44" t="s">
        <v>166</v>
      </c>
      <c r="G9" s="45">
        <f>COUNTIF($A$1:$A$8343,A9)</f>
        <v>1</v>
      </c>
      <c r="H9" s="46"/>
      <c r="I9" s="47" t="s">
        <v>423</v>
      </c>
      <c r="J9" s="48" t="str">
        <f>""</f>
        <v/>
      </c>
      <c r="K9" s="49"/>
      <c r="L9" s="50"/>
      <c r="M9" s="50"/>
      <c r="N9" s="51" t="s">
        <v>169</v>
      </c>
      <c r="O9" s="52" t="s">
        <v>355</v>
      </c>
      <c r="P9" s="53" t="s">
        <v>444</v>
      </c>
      <c r="Q9" s="54">
        <v>2</v>
      </c>
      <c r="R9" s="55" t="s">
        <v>169</v>
      </c>
      <c r="S9" s="56">
        <v>0</v>
      </c>
      <c r="T9" s="57" t="s">
        <v>173</v>
      </c>
      <c r="U9" s="58" t="s">
        <v>173</v>
      </c>
      <c r="V9" s="58" t="s">
        <v>172</v>
      </c>
      <c r="W9" s="58" t="s">
        <v>172</v>
      </c>
      <c r="X9" s="58" t="s">
        <v>173</v>
      </c>
      <c r="Y9" s="58" t="s">
        <v>173</v>
      </c>
      <c r="Z9" s="58" t="s">
        <v>173</v>
      </c>
      <c r="AA9" s="58" t="s">
        <v>173</v>
      </c>
      <c r="AB9" s="58" t="s">
        <v>173</v>
      </c>
      <c r="AC9" s="58" t="s">
        <v>173</v>
      </c>
      <c r="AD9" s="58" t="s">
        <v>173</v>
      </c>
      <c r="AE9" s="58" t="s">
        <v>172</v>
      </c>
      <c r="AF9" s="59" t="s">
        <v>173</v>
      </c>
      <c r="AG9" s="59" t="s">
        <v>172</v>
      </c>
      <c r="AH9" s="59" t="s">
        <v>173</v>
      </c>
      <c r="AI9" s="59" t="s">
        <v>172</v>
      </c>
      <c r="AJ9" s="59" t="s">
        <v>173</v>
      </c>
      <c r="AK9" s="59" t="s">
        <v>173</v>
      </c>
      <c r="AL9" s="59" t="s">
        <v>173</v>
      </c>
      <c r="AM9" s="59" t="s">
        <v>173</v>
      </c>
      <c r="AN9" s="59" t="s">
        <v>173</v>
      </c>
      <c r="AO9" s="59" t="s">
        <v>173</v>
      </c>
      <c r="AP9" s="59" t="s">
        <v>173</v>
      </c>
      <c r="AQ9" s="59" t="s">
        <v>173</v>
      </c>
      <c r="AR9" s="59" t="s">
        <v>173</v>
      </c>
      <c r="AS9" s="59" t="s">
        <v>173</v>
      </c>
      <c r="AT9" s="60">
        <v>1</v>
      </c>
      <c r="AU9" s="59" t="s">
        <v>414</v>
      </c>
      <c r="AV9" s="59" t="str">
        <f>IF(LEFT(A9,1)="[",LEFT(A9,5)&amp;AU9&amp;A9,"")</f>
        <v>[MHL]Atoll[MHL] Wotho Atoll</v>
      </c>
      <c r="AW9" s="59" t="str">
        <f>C9&amp;H9&amp;A9</f>
        <v>2[MHL] Wotho Atoll</v>
      </c>
      <c r="AX9" s="61"/>
      <c r="AY9" s="61"/>
      <c r="AZ9" s="62" t="s">
        <v>192</v>
      </c>
      <c r="BA9" s="62" t="s">
        <v>192</v>
      </c>
      <c r="BB9" s="62"/>
      <c r="BC9" s="63"/>
      <c r="BD9" s="64" t="s">
        <v>154</v>
      </c>
      <c r="BE9" s="47"/>
      <c r="BF9" s="64" t="s">
        <v>152</v>
      </c>
      <c r="BG9" s="64" t="s">
        <v>192</v>
      </c>
      <c r="BH9" s="64" t="s">
        <v>154</v>
      </c>
      <c r="BI9" s="64"/>
      <c r="BJ9" s="64"/>
      <c r="BK9" s="47"/>
      <c r="BL9" s="64" t="s">
        <v>192</v>
      </c>
      <c r="BM9" s="64" t="s">
        <v>152</v>
      </c>
      <c r="BN9" s="64" t="s">
        <v>153</v>
      </c>
      <c r="BO9" s="64" t="s">
        <v>154</v>
      </c>
      <c r="BP9" s="64" t="s">
        <v>155</v>
      </c>
      <c r="BQ9" s="64" t="s">
        <v>192</v>
      </c>
      <c r="BR9" s="64" t="s">
        <v>192</v>
      </c>
      <c r="BS9" s="64" t="s">
        <v>192</v>
      </c>
      <c r="BT9" s="64" t="s">
        <v>159</v>
      </c>
      <c r="BU9" s="65"/>
      <c r="BV9" s="66"/>
      <c r="BW9" s="66">
        <v>0</v>
      </c>
      <c r="BX9" s="47"/>
      <c r="CB9" s="6"/>
      <c r="CC9" s="6"/>
      <c r="CD9" s="67">
        <v>0</v>
      </c>
      <c r="CE9" s="67">
        <v>0</v>
      </c>
      <c r="CF9" s="67" t="e">
        <v>#REF!</v>
      </c>
      <c r="CG9" s="68" cm="1">
        <f t="array" ref="CG9">SUMPRODUCT(--(LEN(TRIM(BL9:BT9))&gt;0))</f>
        <v>5</v>
      </c>
      <c r="CH9" s="59" t="str">
        <f t="shared" si="103"/>
        <v>n</v>
      </c>
      <c r="CI9" s="59" t="str">
        <f t="shared" si="104"/>
        <v>n</v>
      </c>
      <c r="CJ9" s="59" t="str">
        <f t="shared" si="105"/>
        <v>n</v>
      </c>
      <c r="CK9" s="59" t="str">
        <f t="shared" si="106"/>
        <v>y</v>
      </c>
      <c r="CL9" s="59" t="str">
        <f t="shared" si="107"/>
        <v>y</v>
      </c>
      <c r="CM9" s="59" t="str">
        <f t="shared" si="108"/>
        <v>n</v>
      </c>
      <c r="CN9" s="59" t="str">
        <f t="shared" si="109"/>
        <v>n</v>
      </c>
      <c r="CO9" s="59" t="str">
        <f t="shared" si="110"/>
        <v>n</v>
      </c>
      <c r="CP9" s="59" t="str">
        <f t="shared" si="111"/>
        <v>n</v>
      </c>
      <c r="CQ9" s="59" t="str">
        <f t="shared" si="112"/>
        <v>y</v>
      </c>
      <c r="CR9" s="59" t="str">
        <f t="shared" si="113"/>
        <v>n</v>
      </c>
      <c r="CS9" s="59" t="str">
        <f t="shared" si="114"/>
        <v>n</v>
      </c>
      <c r="CT9" s="69" t="str">
        <f t="shared" si="115"/>
        <v>"[MHL] Wotho Atoll"</v>
      </c>
      <c r="CU9" s="70" t="str">
        <f t="shared" si="116"/>
        <v>"rgn_Oceania"</v>
      </c>
      <c r="CV9" s="48" t="str">
        <f t="shared" si="117"/>
        <v>"https://upload.wikimedia.org/wikipedia/commons/thumb/9/91/Flag_of_Wotho_Atoll%2C_Marshall_Islands.svg/640px-Flag_of_Wotho_Atoll%2C_Marshall_Islands.svg.png"</v>
      </c>
      <c r="CW9" s="48" t="str">
        <f t="shared" si="15"/>
        <v/>
      </c>
      <c r="CX9" s="48" t="str">
        <f t="shared" si="15"/>
        <v/>
      </c>
      <c r="CY9" s="48" t="str">
        <f t="shared" si="15"/>
        <v/>
      </c>
      <c r="CZ9" s="48" t="str">
        <f t="shared" si="15"/>
        <v>"5+Colo",</v>
      </c>
      <c r="DA9" s="48" t="str">
        <f t="shared" si="118"/>
        <v>"words2",</v>
      </c>
      <c r="DB9" s="48" t="str">
        <f t="shared" si="119"/>
        <v/>
      </c>
      <c r="DD9" s="48"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"lets10",</v>
      </c>
      <c r="DE9" s="48" t="str">
        <f>CHAR(34)&amp;"start"&amp;IFERROR(LEFT(SUBSTITUTE(A9,"["&amp;MID(A9,FIND("[",A9)+1,FIND("]",A9)-FIND("[",A9)-1)&amp;"] ",""),1),LEFT(A9,1))&amp;CHAR(34)&amp;","</f>
        <v>"startW",</v>
      </c>
      <c r="DF9" s="48" t="str">
        <f t="shared" si="120"/>
        <v/>
      </c>
      <c r="DG9" s="48" t="str">
        <f t="shared" si="121"/>
        <v/>
      </c>
      <c r="DH9" s="48" t="str">
        <f t="shared" si="122"/>
        <v/>
      </c>
      <c r="DI9" s="48" t="str">
        <f t="shared" si="123"/>
        <v>"with_w",</v>
      </c>
      <c r="DJ9" s="48" t="str">
        <f t="shared" si="124"/>
        <v/>
      </c>
      <c r="DK9" s="48" t="str">
        <f t="shared" si="125"/>
        <v/>
      </c>
      <c r="DL9" s="48" t="str">
        <f t="shared" si="126"/>
        <v/>
      </c>
      <c r="DM9" s="48" t="str" cm="1">
        <f t="array" ref="DM9">IF(CG9=3,CHAR(34) &amp; _xlfn.TEXTJOIN("", TRUE, RIGHT(HP9:HX9, 2)) &amp; CHAR(34) &amp; ",", "")</f>
        <v/>
      </c>
      <c r="DN9" s="48" t="str">
        <f t="shared" si="127"/>
        <v/>
      </c>
      <c r="DO9" s="48" t="str">
        <f t="shared" si="128"/>
        <v/>
      </c>
      <c r="DP9" s="6" t="str">
        <f t="shared" si="129"/>
        <v/>
      </c>
      <c r="DQ9" s="6" t="str">
        <f t="shared" si="130"/>
        <v/>
      </c>
      <c r="DR9" s="6" t="str">
        <f t="shared" si="131"/>
        <v/>
      </c>
      <c r="DS9" s="6" t="str">
        <f t="shared" si="132"/>
        <v/>
      </c>
      <c r="DT9" s="6" t="str">
        <f t="shared" si="133"/>
        <v/>
      </c>
      <c r="DU9" s="6" t="str">
        <f t="shared" si="134"/>
        <v/>
      </c>
      <c r="DW9" s="48" t="str">
        <f t="shared" si="37"/>
        <v>"NoBand",</v>
      </c>
      <c r="DX9" s="48" t="str">
        <f t="shared" si="37"/>
        <v/>
      </c>
      <c r="DY9" s="48" t="str">
        <f t="shared" si="37"/>
        <v/>
      </c>
      <c r="DZ9" s="48" t="str">
        <f t="shared" si="37"/>
        <v/>
      </c>
      <c r="EA9" s="48" t="str">
        <f t="shared" si="38"/>
        <v/>
      </c>
      <c r="EB9" s="48" t="str">
        <f t="shared" si="38"/>
        <v/>
      </c>
      <c r="EC9" s="48" t="str">
        <f t="shared" si="38"/>
        <v>"Horizo",</v>
      </c>
      <c r="ED9" s="48" t="str">
        <f t="shared" si="38"/>
        <v>"Vertic",</v>
      </c>
      <c r="EE9" s="48" t="str">
        <f t="shared" si="38"/>
        <v/>
      </c>
      <c r="EF9" s="48" t="str">
        <f t="shared" si="135"/>
        <v/>
      </c>
      <c r="EG9" s="48" t="str">
        <f t="shared" si="40"/>
        <v/>
      </c>
      <c r="EH9" s="48" t="str">
        <f t="shared" si="40"/>
        <v/>
      </c>
      <c r="EI9" s="48" t="str">
        <f t="shared" si="40"/>
        <v/>
      </c>
      <c r="EJ9" s="48" t="str">
        <f t="shared" si="40"/>
        <v/>
      </c>
      <c r="EK9" s="48" t="str">
        <f t="shared" si="40"/>
        <v/>
      </c>
      <c r="EL9" s="48" t="str">
        <f t="shared" si="40"/>
        <v>"IsMoon",</v>
      </c>
      <c r="EM9" s="48" t="str">
        <f t="shared" si="40"/>
        <v/>
      </c>
      <c r="EN9" s="48" t="str">
        <f t="shared" si="40"/>
        <v>"Unequa",</v>
      </c>
      <c r="EO9" s="48" t="str">
        <f t="shared" si="40"/>
        <v/>
      </c>
      <c r="EP9" s="48" t="str">
        <f t="shared" si="40"/>
        <v>"Canton",</v>
      </c>
      <c r="EQ9" s="48" t="str">
        <f t="shared" si="40"/>
        <v/>
      </c>
      <c r="ER9" s="48" t="str">
        <f t="shared" si="40"/>
        <v/>
      </c>
      <c r="ES9" s="48" t="str">
        <f t="shared" si="40"/>
        <v/>
      </c>
      <c r="ET9" s="48" t="str">
        <f t="shared" si="40"/>
        <v/>
      </c>
      <c r="EU9" s="48" t="str">
        <f t="shared" si="40"/>
        <v/>
      </c>
      <c r="EV9" s="48" t="str">
        <f t="shared" si="40"/>
        <v/>
      </c>
      <c r="EW9" s="48" t="str">
        <f t="shared" si="40"/>
        <v/>
      </c>
      <c r="EX9" s="48" t="str">
        <f t="shared" si="40"/>
        <v/>
      </c>
      <c r="EY9" s="48" t="str">
        <f t="shared" si="40"/>
        <v/>
      </c>
      <c r="EZ9" s="48" t="str">
        <f t="shared" si="40"/>
        <v/>
      </c>
      <c r="FA9" s="48" t="str">
        <f t="shared" si="136"/>
        <v>"sta",</v>
      </c>
      <c r="FB9" s="48" t="str">
        <f t="shared" si="137"/>
        <v/>
      </c>
      <c r="FD9" s="48" t="str">
        <f t="shared" si="138"/>
        <v/>
      </c>
      <c r="FE9" s="48" t="str">
        <f t="shared" si="139"/>
        <v/>
      </c>
      <c r="FF9" s="48" t="str">
        <f t="shared" si="140"/>
        <v/>
      </c>
      <c r="FG9" s="48" t="str">
        <f t="shared" si="141"/>
        <v/>
      </c>
      <c r="FH9" s="48" t="str">
        <f t="shared" si="142"/>
        <v/>
      </c>
      <c r="FI9" s="48" t="str">
        <f t="shared" si="143"/>
        <v/>
      </c>
      <c r="FJ9" s="48" t="str">
        <f t="shared" si="144"/>
        <v>"NO_BLA",</v>
      </c>
      <c r="FK9" s="48" t="str">
        <f t="shared" si="145"/>
        <v/>
      </c>
      <c r="FL9" s="48" t="str">
        <f t="shared" si="146"/>
        <v/>
      </c>
      <c r="FM9" s="48" t="str">
        <f t="shared" si="147"/>
        <v/>
      </c>
      <c r="FN9" s="48" t="str">
        <f t="shared" si="148"/>
        <v/>
      </c>
      <c r="FO9" s="48" t="str">
        <f t="shared" si="149"/>
        <v/>
      </c>
      <c r="FP9" s="48" t="str">
        <f t="shared" si="150"/>
        <v/>
      </c>
      <c r="FQ9" s="48" t="str">
        <f t="shared" si="151"/>
        <v>"001BLU",</v>
      </c>
      <c r="FR9" s="48" t="str">
        <f t="shared" si="152"/>
        <v/>
      </c>
      <c r="FS9" s="48" t="str">
        <f t="shared" si="153"/>
        <v>"003RED",</v>
      </c>
      <c r="FT9" s="48" t="str">
        <f t="shared" si="154"/>
        <v>"myrRED",</v>
      </c>
      <c r="FU9" s="48" t="str">
        <f t="shared" si="155"/>
        <v/>
      </c>
      <c r="FV9" s="48" t="str">
        <f t="shared" si="156"/>
        <v/>
      </c>
      <c r="FW9" s="48" t="str">
        <f t="shared" si="157"/>
        <v/>
      </c>
      <c r="FY9" s="48" t="str">
        <f t="shared" si="158"/>
        <v/>
      </c>
      <c r="FZ9" s="48" t="str">
        <f t="shared" si="159"/>
        <v/>
      </c>
      <c r="GA9" s="48" t="str">
        <f t="shared" si="160"/>
        <v/>
      </c>
      <c r="GB9" s="48" t="str">
        <f t="shared" si="161"/>
        <v/>
      </c>
      <c r="GE9" s="48" t="str">
        <f t="shared" si="162"/>
        <v/>
      </c>
      <c r="GF9" s="48" t="str">
        <f>IFERROR(IF(SEARCH("Historical",AU9)&gt;0,CHAR(34)&amp;"histor"&amp;CHAR(34)&amp;",",""),"")</f>
        <v/>
      </c>
      <c r="GG9" s="48" t="str">
        <f t="shared" si="163"/>
        <v/>
      </c>
      <c r="GH9" s="48" t="str">
        <f t="shared" si="164"/>
        <v/>
      </c>
      <c r="GI9" s="48" t="str">
        <f t="shared" si="165"/>
        <v/>
      </c>
      <c r="GJ9" s="48" t="str">
        <f t="shared" si="166"/>
        <v/>
      </c>
      <c r="GK9" s="48" t="str">
        <f t="shared" si="167"/>
        <v>"HasSta",</v>
      </c>
      <c r="GL9" s="48" t="str">
        <f t="shared" si="77"/>
        <v>"1Stars",</v>
      </c>
      <c r="GM9" s="48" t="str">
        <f t="shared" si="77"/>
        <v/>
      </c>
      <c r="GN9" s="48" t="str">
        <f t="shared" si="77"/>
        <v/>
      </c>
      <c r="GP9" s="48" t="str">
        <f t="shared" si="168"/>
        <v>"Atoll"</v>
      </c>
      <c r="GS9" s="48" t="str">
        <f t="shared" si="169"/>
        <v>["5+Colo","words2","lets10","startW","with_w","NoBand","Horizo","Vertic","IsMoon","Unequa","Canton","sta","NO_BLA","001BLU","003RED","myrRED","HasSta","1Stars"]</v>
      </c>
      <c r="GT9" s="48" t="str">
        <f t="shared" si="80"/>
        <v/>
      </c>
      <c r="GU9" s="48" t="str">
        <f t="shared" si="80"/>
        <v>"cl_BLU",</v>
      </c>
      <c r="GV9" s="48" t="str">
        <f t="shared" si="80"/>
        <v>"cl_GRE",</v>
      </c>
      <c r="GW9" s="48" t="str">
        <f t="shared" si="80"/>
        <v>"cl_RED",</v>
      </c>
      <c r="GX9" s="48" t="str">
        <f t="shared" si="80"/>
        <v>"cl_YEL",</v>
      </c>
      <c r="GY9" s="48" t="str">
        <f t="shared" si="80"/>
        <v/>
      </c>
      <c r="GZ9" s="48" t="str">
        <f t="shared" si="80"/>
        <v/>
      </c>
      <c r="HA9" s="48" t="str">
        <f t="shared" si="80"/>
        <v/>
      </c>
      <c r="HB9" s="48" t="str">
        <f t="shared" si="80"/>
        <v>"cl_WHI",</v>
      </c>
      <c r="HC9" s="48" t="str">
        <f t="shared" si="170"/>
        <v>["cl_BLU","cl_GRE","cl_RED","cl_YEL","cl_WHI"]</v>
      </c>
      <c r="HE9" s="71"/>
      <c r="HF9" s="72" t="str">
        <f t="shared" si="171"/>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links: "https://en.m.wikipedia.org/wiki/Flag_of_the_Marshall_Islands"},</v>
      </c>
      <c r="HG9" s="73" t="str">
        <f t="shared" si="172"/>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links: "https://en.m.wikipedia.org/wiki/Flag_of_the_Marshall_Islands"},</v>
      </c>
      <c r="HH9" s="48" t="str">
        <f t="shared" si="173"/>
        <v>"\nA yellow field with a black canton containing a yellow crescent moon and a yellow star."</v>
      </c>
      <c r="HI9" s="48" t="str">
        <f t="shared" si="174"/>
        <v>"\nA yellow field with a black canton containing a yellow crescent moon and a yellow star."</v>
      </c>
      <c r="HJ9" s="48" t="str">
        <f t="shared" si="175"/>
        <v>"???"</v>
      </c>
      <c r="HL9" s="48" t="str">
        <f t="shared" si="176"/>
        <v>"https://en.m.wikipedia.org/wiki/Flag_of_the_Marshall_Islands"</v>
      </c>
      <c r="HM9" s="72" t="str">
        <f t="shared" si="177"/>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 "links": "https://en.m.wikipedia.org/wiki/Flag_of_the_Marshall_Islands"},</v>
      </c>
      <c r="HN9" s="74" t="str">
        <f t="shared" si="178"/>
        <v>{"couname":"[MHL] Wotho Atoll","year":"???","region":"rgn_Oceania","Colors":["cl_BLU","cl_GRE","cl_RED","cl_YEL","cl_WHI"],"Items":["5+Colo","words2","lets10","startW","with_w","NoBand","Horizo","Vertic","IsMoon","Unequa","Canton","sta","NO_BLA","001BLU","003RED","myrRED","HasSta","1Stars"],"Flag":"https://upload.wikimedia.org/wikipedia/commons/thumb/9/91/Flag_of_Wotho_Atoll%2C_Marshall_Islands.svg/640px-Flag_of_Wotho_Atoll%2C_Marshall_Islands.svg.png","HDFlag":"https://upload.wikimedia.org/wikipedia/commons/thumb/9/91/Flag_of_Wotho_Atoll%2C_Marshall_Islands.svg/1280px-Flag_of_Wotho_Atoll%2C_Marshall_Islands.svg.png","type":"Atoll", "describe": "\nA yellow field with a black canton containing a yellow crescent moon and a yellow star.", "isnew": ".", "links": "https://en.m.wikipedia.org/wiki/Flag_of_the_Marshall_Islands"},</v>
      </c>
      <c r="HO9" s="75">
        <v>45610</v>
      </c>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M9" s="45">
        <f t="shared" si="179"/>
        <v>-5</v>
      </c>
      <c r="IN9" s="78" t="str">
        <f t="shared" si="180"/>
        <v>http://mkweb.bcgsc.ca/color-summarizer/?url=https://upload.wikimedia.org/wikipedia/commons/thumb/9/91/Flag_of_Wotho_Atoll%2C_Marshall_Islands.svg/640px-Flag_of_Wotho_Atoll%2C_Marshall_Islands.svg.png&amp;precision=low&amp;num_clusters=5&amp;text=1</v>
      </c>
      <c r="IO9" s="48" t="str">
        <f t="shared" si="181"/>
        <v/>
      </c>
      <c r="IP9" s="48" t="str">
        <f t="shared" si="182"/>
        <v>"blue"</v>
      </c>
      <c r="IQ9" s="48" t="str">
        <f t="shared" si="183"/>
        <v>"green"</v>
      </c>
      <c r="IR9" s="48" t="str">
        <f t="shared" si="184"/>
        <v>"red"</v>
      </c>
      <c r="IS9" s="48" t="str">
        <f t="shared" si="185"/>
        <v>"yellow"</v>
      </c>
      <c r="IT9" s="48" t="str">
        <f t="shared" si="186"/>
        <v/>
      </c>
      <c r="IU9" s="48" t="str">
        <f t="shared" si="187"/>
        <v/>
      </c>
      <c r="IV9" s="48" t="str">
        <f t="shared" si="188"/>
        <v/>
      </c>
      <c r="IW9" s="48" t="str">
        <f t="shared" si="189"/>
        <v>"white"</v>
      </c>
      <c r="IX9" s="48" t="str">
        <f t="shared" si="190"/>
        <v>{"url":"http://mkweb.bcgsc.ca/color-summarizer/?url=https://upload.wikimedia.org/wikipedia/commons/thumb/9/91/Flag_of_Wotho_Atoll%2C_Marshall_Islands.svg/640px-Flag_of_Wotho_Atoll%2C_Marshall_Islands.svg.png&amp;precision=low&amp;num_clusters=5&amp;text=1","name":"[MHL] Wotho Atoll"},</v>
      </c>
      <c r="IY9" s="48">
        <v>1234</v>
      </c>
    </row>
    <row r="10" spans="1:259" s="48" customFormat="1" ht="38.4" customHeight="1" thickBot="1" x14ac:dyDescent="0.35">
      <c r="A10" s="81" t="s">
        <v>764</v>
      </c>
      <c r="B10" s="40" t="e" vm="55">
        <v>#VALUE!</v>
      </c>
      <c r="C10" s="41">
        <v>3</v>
      </c>
      <c r="D10" s="42" t="s">
        <v>765</v>
      </c>
      <c r="E10" s="43" t="s">
        <v>766</v>
      </c>
      <c r="F10" s="44" t="s">
        <v>166</v>
      </c>
      <c r="G10" s="45">
        <f>COUNTIF($A$1:$A$8343,A10)</f>
        <v>1</v>
      </c>
      <c r="H10" s="46" t="s">
        <v>767</v>
      </c>
      <c r="I10" s="47" t="s">
        <v>768</v>
      </c>
      <c r="J10" s="48" t="str">
        <f>""</f>
        <v/>
      </c>
      <c r="K10" s="49"/>
      <c r="L10" s="50"/>
      <c r="M10" s="50"/>
      <c r="N10" s="51" t="s">
        <v>169</v>
      </c>
      <c r="O10" s="52" t="s">
        <v>355</v>
      </c>
      <c r="P10" s="53" t="s">
        <v>769</v>
      </c>
      <c r="Q10" s="54">
        <v>4</v>
      </c>
      <c r="R10" s="55" t="s">
        <v>169</v>
      </c>
      <c r="S10" s="56">
        <v>3</v>
      </c>
      <c r="T10" s="57" t="s">
        <v>172</v>
      </c>
      <c r="U10" s="58" t="s">
        <v>173</v>
      </c>
      <c r="V10" s="58" t="s">
        <v>173</v>
      </c>
      <c r="W10" s="58" t="s">
        <v>173</v>
      </c>
      <c r="X10" s="58" t="s">
        <v>173</v>
      </c>
      <c r="Y10" s="58" t="s">
        <v>173</v>
      </c>
      <c r="Z10" s="58" t="s">
        <v>173</v>
      </c>
      <c r="AA10" s="58" t="s">
        <v>172</v>
      </c>
      <c r="AB10" s="58" t="s">
        <v>173</v>
      </c>
      <c r="AC10" s="58" t="s">
        <v>173</v>
      </c>
      <c r="AD10" s="58" t="s">
        <v>173</v>
      </c>
      <c r="AE10" s="58" t="s">
        <v>173</v>
      </c>
      <c r="AF10" s="59" t="s">
        <v>173</v>
      </c>
      <c r="AG10" s="59" t="s">
        <v>173</v>
      </c>
      <c r="AH10" s="59" t="s">
        <v>173</v>
      </c>
      <c r="AI10" s="59" t="s">
        <v>173</v>
      </c>
      <c r="AJ10" s="59" t="s">
        <v>173</v>
      </c>
      <c r="AK10" s="59" t="s">
        <v>173</v>
      </c>
      <c r="AL10" s="59" t="s">
        <v>173</v>
      </c>
      <c r="AM10" s="59" t="s">
        <v>173</v>
      </c>
      <c r="AN10" s="59" t="s">
        <v>173</v>
      </c>
      <c r="AO10" s="59" t="s">
        <v>173</v>
      </c>
      <c r="AP10" s="59" t="s">
        <v>173</v>
      </c>
      <c r="AQ10" s="59" t="s">
        <v>173</v>
      </c>
      <c r="AR10" s="59" t="s">
        <v>173</v>
      </c>
      <c r="AS10" s="59" t="s">
        <v>173</v>
      </c>
      <c r="AT10" s="60">
        <v>0</v>
      </c>
      <c r="AU10" s="59" t="s">
        <v>770</v>
      </c>
      <c r="AV10" s="59" t="str">
        <f>IF(LEFT(A10,1)="[",LEFT(A10,5)&amp;AU10&amp;A10,"")</f>
        <v>[MHL]Atoll, Historical[MHL] Kwajalein Atoll (Pre 2022)</v>
      </c>
      <c r="AW10" s="59" t="str">
        <f>C10&amp;H10&amp;A10</f>
        <v>3[MHL] Kwajalein Atoll[MHL] Kwajalein Atoll (Pre 2022)</v>
      </c>
      <c r="AX10" s="61"/>
      <c r="AY10" s="61"/>
      <c r="AZ10" s="62" t="s">
        <v>192</v>
      </c>
      <c r="BA10" s="62" t="s">
        <v>192</v>
      </c>
      <c r="BB10" s="62"/>
      <c r="BC10" s="63"/>
      <c r="BD10" s="64" t="s">
        <v>154</v>
      </c>
      <c r="BE10" s="47"/>
      <c r="BF10" s="64" t="s">
        <v>154</v>
      </c>
      <c r="BG10" s="64" t="s">
        <v>192</v>
      </c>
      <c r="BH10" s="64" t="s">
        <v>154</v>
      </c>
      <c r="BI10" s="64"/>
      <c r="BJ10" s="64"/>
      <c r="BK10" s="47"/>
      <c r="BL10" s="64" t="s">
        <v>192</v>
      </c>
      <c r="BM10" s="64" t="s">
        <v>152</v>
      </c>
      <c r="BN10" s="64" t="s">
        <v>153</v>
      </c>
      <c r="BO10" s="64" t="s">
        <v>154</v>
      </c>
      <c r="BP10" s="64" t="s">
        <v>155</v>
      </c>
      <c r="BQ10" s="64" t="s">
        <v>192</v>
      </c>
      <c r="BR10" s="64" t="s">
        <v>192</v>
      </c>
      <c r="BS10" s="64" t="s">
        <v>192</v>
      </c>
      <c r="BT10" s="64" t="s">
        <v>192</v>
      </c>
      <c r="BU10" s="65"/>
      <c r="BV10" s="66"/>
      <c r="BW10" s="66">
        <v>0</v>
      </c>
      <c r="BX10" s="47"/>
      <c r="BY10" s="48" t="s">
        <v>173</v>
      </c>
      <c r="CB10" s="6"/>
      <c r="CC10" s="6"/>
      <c r="CD10" s="67">
        <v>0</v>
      </c>
      <c r="CE10" s="67">
        <v>0</v>
      </c>
      <c r="CF10" s="67" t="e">
        <v>#REF!</v>
      </c>
      <c r="CG10" s="68" cm="1">
        <f t="array" ref="CG10">SUMPRODUCT(--(LEN(TRIM(BL10:BT10))&gt;0))</f>
        <v>4</v>
      </c>
      <c r="CH10" s="59" t="str">
        <f t="shared" si="103"/>
        <v>n</v>
      </c>
      <c r="CI10" s="59" t="str">
        <f t="shared" si="104"/>
        <v>n</v>
      </c>
      <c r="CJ10" s="59" t="str">
        <f t="shared" si="105"/>
        <v>y</v>
      </c>
      <c r="CK10" s="59" t="str">
        <f t="shared" si="106"/>
        <v>n</v>
      </c>
      <c r="CL10" s="59" t="str">
        <f t="shared" si="107"/>
        <v>n</v>
      </c>
      <c r="CM10" s="59" t="str">
        <f t="shared" si="108"/>
        <v>n</v>
      </c>
      <c r="CN10" s="59" t="str">
        <f t="shared" si="109"/>
        <v>y</v>
      </c>
      <c r="CO10" s="59" t="str">
        <f t="shared" si="110"/>
        <v>n</v>
      </c>
      <c r="CP10" s="59" t="str">
        <f t="shared" si="111"/>
        <v>y</v>
      </c>
      <c r="CQ10" s="59" t="str">
        <f t="shared" si="112"/>
        <v>n</v>
      </c>
      <c r="CR10" s="59" t="str">
        <f t="shared" si="113"/>
        <v>n</v>
      </c>
      <c r="CS10" s="59" t="str">
        <f t="shared" si="114"/>
        <v>n</v>
      </c>
      <c r="CT10" s="69" t="str">
        <f t="shared" si="115"/>
        <v>"[MHL] Kwajalein Atoll (Pre 2022)"</v>
      </c>
      <c r="CU10" s="70" t="str">
        <f t="shared" si="116"/>
        <v>"rgn_Oceania"</v>
      </c>
      <c r="CV10" s="48" t="str">
        <f t="shared" si="117"/>
        <v>"https://upload.wikimedia.org/wikipedia/commons/thumb/a/a4/Kwajalein_Atoll_Flag.svg/640px-Kwajalein_Atoll_Flag.svg.png"</v>
      </c>
      <c r="CW10" s="48" t="str">
        <f t="shared" si="15"/>
        <v/>
      </c>
      <c r="CX10" s="48" t="str">
        <f t="shared" si="15"/>
        <v/>
      </c>
      <c r="CY10" s="48" t="str">
        <f t="shared" si="15"/>
        <v>"4Color",</v>
      </c>
      <c r="CZ10" s="48" t="str">
        <f t="shared" si="15"/>
        <v/>
      </c>
      <c r="DA10" s="48" t="str">
        <f t="shared" si="118"/>
        <v>"words2",</v>
      </c>
      <c r="DB10" s="48" t="str">
        <f t="shared" si="119"/>
        <v>"words3",</v>
      </c>
      <c r="DD10" s="48" t="str">
        <f t="shared" ref="DD10" si="191">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"lets23",</v>
      </c>
      <c r="DE10" s="48" t="str">
        <f t="shared" ref="DE10" si="192">CHAR(34)&amp;"start"&amp;IFERROR(LEFT(SUBSTITUTE(A10,"["&amp;MID(A10,FIND("[",A10)+1,FIND("]",A10)-FIND("[",A10)-1)&amp;"] ",""),1),LEFT(A10,1))&amp;CHAR(34)&amp;","</f>
        <v>"startK",</v>
      </c>
      <c r="DF10" s="48" t="str">
        <f t="shared" si="120"/>
        <v/>
      </c>
      <c r="DG10" s="48" t="str">
        <f t="shared" si="121"/>
        <v/>
      </c>
      <c r="DH10" s="48" t="str">
        <f t="shared" si="122"/>
        <v/>
      </c>
      <c r="DI10" s="48" t="str">
        <f t="shared" si="123"/>
        <v>"with_w",</v>
      </c>
      <c r="DJ10" s="48" t="str">
        <f t="shared" si="124"/>
        <v/>
      </c>
      <c r="DK10" s="48" t="str">
        <f t="shared" si="125"/>
        <v/>
      </c>
      <c r="DL10" s="48" t="str">
        <f t="shared" si="126"/>
        <v/>
      </c>
      <c r="DM10" s="48" t="str" cm="1">
        <f t="array" ref="DM10">IF(CG10=3,CHAR(34) &amp; _xlfn.TEXTJOIN("", TRUE, RIGHT(HP10:HX10, 2)) &amp; CHAR(34) &amp; ",", "")</f>
        <v/>
      </c>
      <c r="DN10" s="48" t="str">
        <f t="shared" si="127"/>
        <v/>
      </c>
      <c r="DO10" s="48" t="str">
        <f t="shared" si="128"/>
        <v/>
      </c>
      <c r="DP10" s="6" t="str">
        <f t="shared" si="129"/>
        <v/>
      </c>
      <c r="DQ10" s="6" t="str">
        <f t="shared" si="130"/>
        <v/>
      </c>
      <c r="DR10" s="6" t="str">
        <f t="shared" si="131"/>
        <v/>
      </c>
      <c r="DS10" s="6" t="str">
        <f t="shared" si="132"/>
        <v/>
      </c>
      <c r="DT10" s="6" t="str">
        <f t="shared" si="133"/>
        <v/>
      </c>
      <c r="DU10" s="6" t="str">
        <f t="shared" si="134"/>
        <v/>
      </c>
      <c r="DW10" s="48" t="str">
        <f t="shared" si="37"/>
        <v/>
      </c>
      <c r="DX10" s="48" t="str">
        <f t="shared" si="37"/>
        <v/>
      </c>
      <c r="DY10" s="48" t="str">
        <f t="shared" si="37"/>
        <v>"3Bands",</v>
      </c>
      <c r="DZ10" s="48" t="str">
        <f t="shared" si="37"/>
        <v/>
      </c>
      <c r="EA10" s="48" t="str">
        <f t="shared" si="38"/>
        <v>"Diagon",</v>
      </c>
      <c r="EB10" s="48" t="str">
        <f t="shared" si="38"/>
        <v/>
      </c>
      <c r="EC10" s="48" t="str">
        <f t="shared" si="38"/>
        <v/>
      </c>
      <c r="ED10" s="48" t="str">
        <f t="shared" si="38"/>
        <v/>
      </c>
      <c r="EE10" s="48" t="str">
        <f t="shared" si="38"/>
        <v/>
      </c>
      <c r="EF10" s="48" t="str">
        <f t="shared" si="135"/>
        <v/>
      </c>
      <c r="EG10" s="48" t="str">
        <f t="shared" si="40"/>
        <v/>
      </c>
      <c r="EH10" s="48" t="str">
        <f t="shared" si="40"/>
        <v>"Plants",</v>
      </c>
      <c r="EI10" s="48" t="str">
        <f t="shared" si="40"/>
        <v/>
      </c>
      <c r="EJ10" s="48" t="str">
        <f t="shared" si="40"/>
        <v/>
      </c>
      <c r="EK10" s="48" t="str">
        <f t="shared" si="40"/>
        <v/>
      </c>
      <c r="EL10" s="48" t="str">
        <f t="shared" si="40"/>
        <v/>
      </c>
      <c r="EM10" s="48" t="str">
        <f t="shared" si="40"/>
        <v/>
      </c>
      <c r="EN10" s="48" t="str">
        <f t="shared" si="40"/>
        <v/>
      </c>
      <c r="EO10" s="48" t="str">
        <f t="shared" si="40"/>
        <v/>
      </c>
      <c r="EP10" s="48" t="str">
        <f t="shared" si="40"/>
        <v/>
      </c>
      <c r="EQ10" s="48" t="str">
        <f t="shared" si="40"/>
        <v/>
      </c>
      <c r="ER10" s="48" t="str">
        <f t="shared" si="40"/>
        <v/>
      </c>
      <c r="ES10" s="48" t="str">
        <f t="shared" si="40"/>
        <v/>
      </c>
      <c r="ET10" s="48" t="str">
        <f t="shared" si="40"/>
        <v/>
      </c>
      <c r="EU10" s="48" t="str">
        <f t="shared" si="40"/>
        <v/>
      </c>
      <c r="EV10" s="48" t="str">
        <f t="shared" si="40"/>
        <v/>
      </c>
      <c r="EW10" s="48" t="str">
        <f t="shared" si="40"/>
        <v/>
      </c>
      <c r="EX10" s="48" t="str">
        <f t="shared" si="40"/>
        <v/>
      </c>
      <c r="EY10" s="48" t="str">
        <f t="shared" si="40"/>
        <v/>
      </c>
      <c r="EZ10" s="48" t="str">
        <f t="shared" si="40"/>
        <v/>
      </c>
      <c r="FA10" s="48" t="str">
        <f t="shared" si="136"/>
        <v/>
      </c>
      <c r="FB10" s="48" t="str">
        <f t="shared" si="137"/>
        <v/>
      </c>
      <c r="FD10" s="48" t="str">
        <f t="shared" si="138"/>
        <v/>
      </c>
      <c r="FE10" s="48" t="str">
        <f t="shared" si="139"/>
        <v/>
      </c>
      <c r="FF10" s="48" t="str">
        <f t="shared" si="140"/>
        <v>"NO_WHI",</v>
      </c>
      <c r="FG10" s="48" t="str">
        <f t="shared" si="141"/>
        <v/>
      </c>
      <c r="FH10" s="48" t="str">
        <f t="shared" si="142"/>
        <v/>
      </c>
      <c r="FI10" s="48" t="str">
        <f t="shared" si="143"/>
        <v/>
      </c>
      <c r="FJ10" s="48" t="str">
        <f t="shared" si="144"/>
        <v>"NO_BLA",</v>
      </c>
      <c r="FK10" s="48" t="str">
        <f t="shared" si="145"/>
        <v/>
      </c>
      <c r="FL10" s="48" t="str">
        <f t="shared" si="146"/>
        <v/>
      </c>
      <c r="FM10" s="48" t="str">
        <f t="shared" si="147"/>
        <v>"BAWHNO",</v>
      </c>
      <c r="FN10" s="48" t="str">
        <f t="shared" si="148"/>
        <v/>
      </c>
      <c r="FO10" s="48" t="str">
        <f t="shared" si="149"/>
        <v/>
      </c>
      <c r="FP10" s="48" t="str">
        <f t="shared" si="150"/>
        <v>"WHRENO",</v>
      </c>
      <c r="FQ10" s="48" t="str">
        <f t="shared" si="151"/>
        <v>"001RED",</v>
      </c>
      <c r="FR10" s="48" t="str">
        <f t="shared" si="152"/>
        <v/>
      </c>
      <c r="FS10" s="48" t="str">
        <f t="shared" si="153"/>
        <v>"003RED",</v>
      </c>
      <c r="FT10" s="48" t="str">
        <f t="shared" si="154"/>
        <v>"myrRED",</v>
      </c>
      <c r="FU10" s="48" t="str">
        <f t="shared" si="155"/>
        <v/>
      </c>
      <c r="FV10" s="48" t="str">
        <f t="shared" si="156"/>
        <v/>
      </c>
      <c r="FW10" s="48" t="str">
        <f t="shared" si="157"/>
        <v/>
      </c>
      <c r="FY10" s="48" t="str">
        <f t="shared" si="158"/>
        <v/>
      </c>
      <c r="FZ10" s="48" t="str">
        <f t="shared" si="159"/>
        <v/>
      </c>
      <c r="GA10" s="48" t="str">
        <f t="shared" si="160"/>
        <v/>
      </c>
      <c r="GB10" s="48" t="str">
        <f t="shared" si="161"/>
        <v/>
      </c>
      <c r="GE10" s="48" t="str">
        <f t="shared" si="162"/>
        <v/>
      </c>
      <c r="GF10" s="48" t="str">
        <f t="shared" ref="GF10" si="193">IFERROR(IF(SEARCH("Historical",AU10)&gt;0,CHAR(34)&amp;"histor"&amp;CHAR(34)&amp;",",""),"")</f>
        <v>"histor",</v>
      </c>
      <c r="GG10" s="48" t="str">
        <f t="shared" si="163"/>
        <v/>
      </c>
      <c r="GH10" s="48" t="str">
        <f t="shared" si="164"/>
        <v/>
      </c>
      <c r="GI10" s="48" t="str">
        <f t="shared" si="165"/>
        <v/>
      </c>
      <c r="GJ10" s="48" t="str">
        <f t="shared" si="166"/>
        <v>"NoStar",</v>
      </c>
      <c r="GK10" s="48" t="str">
        <f t="shared" si="167"/>
        <v/>
      </c>
      <c r="GL10" s="48" t="str">
        <f t="shared" si="77"/>
        <v/>
      </c>
      <c r="GM10" s="48" t="str">
        <f t="shared" si="77"/>
        <v/>
      </c>
      <c r="GN10" s="48" t="str">
        <f t="shared" si="77"/>
        <v/>
      </c>
      <c r="GP10" s="48" t="str">
        <f t="shared" si="168"/>
        <v>"Atoll, Historical"</v>
      </c>
      <c r="GS10" s="48" t="str">
        <f t="shared" si="169"/>
        <v>["4Color","words2","words3","lets23","startK","with_w","3Bands","Diagon","Plants","NO_WHI","NO_BLA","BAWHNO","WHRENO","001RED","003RED","myrRED","histor","NoStar"]</v>
      </c>
      <c r="GT10" s="48" t="str">
        <f t="shared" si="80"/>
        <v/>
      </c>
      <c r="GU10" s="48" t="str">
        <f t="shared" si="80"/>
        <v>"cl_BLU",</v>
      </c>
      <c r="GV10" s="48" t="str">
        <f t="shared" si="80"/>
        <v>"cl_GRE",</v>
      </c>
      <c r="GW10" s="48" t="str">
        <f t="shared" si="80"/>
        <v>"cl_RED",</v>
      </c>
      <c r="GX10" s="48" t="str">
        <f t="shared" si="80"/>
        <v>"cl_YEL",</v>
      </c>
      <c r="GY10" s="48" t="str">
        <f t="shared" si="80"/>
        <v/>
      </c>
      <c r="GZ10" s="48" t="str">
        <f t="shared" si="80"/>
        <v/>
      </c>
      <c r="HA10" s="48" t="str">
        <f t="shared" si="80"/>
        <v/>
      </c>
      <c r="HB10" s="48" t="str">
        <f t="shared" si="80"/>
        <v/>
      </c>
      <c r="HC10" s="48" t="str">
        <f t="shared" si="170"/>
        <v>["cl_BLU","cl_GRE","cl_RED","cl_YEL"]</v>
      </c>
      <c r="HE10" s="71"/>
      <c r="HF10" s="72" t="str">
        <f t="shared" si="171"/>
        <v>{couname:"[MHL] Kwajalein Atoll (Pre 2022)",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links: "https://en.m.wikipedia.org/wiki/Kwajalein_Atoll"},</v>
      </c>
      <c r="HG10" s="73" t="str">
        <f t="shared" si="172"/>
        <v>{couname:"[MHL] Kwajalein Atoll (Pre 2022)",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links: "https://en.m.wikipedia.org/wiki/Kwajalein_Atoll"},</v>
      </c>
      <c r="HH10" s="48" t="str">
        <f t="shared" si="173"/>
        <v>"\nA green field with a white flower in the top left corner. Three diagonal bands of blue, white, and orange cross the flag."</v>
      </c>
      <c r="HI10" s="48" t="str">
        <f t="shared" si="174"/>
        <v>"\nA green field with a white flower in the top left corner. Three diagonal bands of blue, white, and orange cross the flag."</v>
      </c>
      <c r="HJ10" s="48" t="str">
        <f t="shared" si="175"/>
        <v>"???"</v>
      </c>
      <c r="HL10" s="48" t="str">
        <f t="shared" si="176"/>
        <v>"https://en.m.wikipedia.org/wiki/Kwajalein_Atoll"</v>
      </c>
      <c r="HM10" s="72" t="str">
        <f t="shared" si="177"/>
        <v>{"couname":"[MHL] Kwajalein Atoll (Pre 2022)","subtype":"[MHL] Kwajalein Atoll","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 "links": "https://en.m.wikipedia.org/wiki/Kwajalein_Atoll"},</v>
      </c>
      <c r="HN10" s="74" t="str">
        <f t="shared" si="178"/>
        <v>{"couname":"[MHL] Kwajalein Atoll (Pre 2022)","subtype":"[MHL] Kwajalein Atoll","year":"???","region":"rgn_Oceania","Colors":["cl_BLU","cl_GRE","cl_RED","cl_YEL"],"Items":["4Color","words2","words3","lets23","startK","with_w","3Bands","Diagon","Plants","NO_WHI","NO_BLA","BAWHNO","WHRENO","001RED","003RED","myrRED","histor","NoStar"],"Flag":"https://upload.wikimedia.org/wikipedia/commons/thumb/a/a4/Kwajalein_Atoll_Flag.svg/640px-Kwajalein_Atoll_Flag.svg.png","HDFlag":"https://upload.wikimedia.org/wikipedia/commons/thumb/a/a4/Kwajalein_Atoll_Flag.svg/1280px-Kwajalein_Atoll_Flag.svg.png","type":"Atoll, Historical", "describe": "\nA green field with a white flower in the top left corner. Three diagonal bands of blue, white, and orange cross the flag.", "isnew": ".", "links": "https://en.m.wikipedia.org/wiki/Kwajalein_Atoll"},</v>
      </c>
      <c r="HO10" s="75">
        <v>45610</v>
      </c>
      <c r="HP10" s="48" t="str" cm="1">
        <f t="array" ref="HP10">IF(_xlfn.TEXTJOIN(", ", TRUE, IF(ISNUMBER(SEARCH("BLA", BL10:BT10)), COLUMN(BL10:BT10) - COLUMN(BL10) + 1, ""))&lt;&gt;"","BLA","")</f>
        <v/>
      </c>
      <c r="HQ10" s="48" t="str" cm="1">
        <f t="array" ref="HQ10">IF(_xlfn.TEXTJOIN(", ", TRUE, IF(ISNUMBER(SEARCH("BLU", BL10:BT10)), COLUMN(BL10:BT10) - COLUMN(BL10) + 1, ""))&lt;&gt;"","BLU","")</f>
        <v>BLU</v>
      </c>
      <c r="HR10" s="48" t="str" cm="1">
        <f t="array" ref="HR10">IF(_xlfn.TEXTJOIN(", ", TRUE, IF(ISNUMBER(SEARCH("GRE", BL10:BT10)), COLUMN(BL10:BT10) - COLUMN(BL10) + 1, ""))&lt;&gt;"","GRE","")</f>
        <v>GRE</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
      </c>
      <c r="HY10" s="76"/>
      <c r="HZ10" s="76"/>
      <c r="IA10" s="6"/>
      <c r="IB10" s="6"/>
      <c r="IC10" s="77"/>
      <c r="ID10" s="77"/>
      <c r="IE10" s="77"/>
      <c r="IF10" s="77"/>
      <c r="IG10" s="77"/>
      <c r="IH10" s="77"/>
      <c r="II10" s="77"/>
      <c r="IJ10" s="77"/>
      <c r="IK10" s="77"/>
      <c r="IM10" s="45">
        <f t="shared" si="179"/>
        <v>-4</v>
      </c>
      <c r="IN10" s="78" t="str">
        <f t="shared" si="180"/>
        <v>http://mkweb.bcgsc.ca/color-summarizer/?url=https://upload.wikimedia.org/wikipedia/commons/thumb/a/a4/Kwajalein_Atoll_Flag.svg/640px-Kwajalein_Atoll_Flag.svg.png&amp;precision=low&amp;num_clusters=4&amp;text=1</v>
      </c>
      <c r="IO10" s="48" t="str">
        <f t="shared" si="181"/>
        <v/>
      </c>
      <c r="IP10" s="48" t="str">
        <f t="shared" si="182"/>
        <v>"blue"</v>
      </c>
      <c r="IQ10" s="48" t="str">
        <f t="shared" si="183"/>
        <v>"green"</v>
      </c>
      <c r="IR10" s="48" t="str">
        <f t="shared" si="184"/>
        <v>"red"</v>
      </c>
      <c r="IS10" s="48" t="str">
        <f t="shared" si="185"/>
        <v>"yellow"</v>
      </c>
      <c r="IT10" s="48" t="str">
        <f t="shared" si="186"/>
        <v/>
      </c>
      <c r="IU10" s="48" t="str">
        <f t="shared" si="187"/>
        <v/>
      </c>
      <c r="IV10" s="48" t="str">
        <f t="shared" si="188"/>
        <v/>
      </c>
      <c r="IW10" s="48" t="str">
        <f t="shared" si="189"/>
        <v/>
      </c>
      <c r="IX10" s="48" t="str">
        <f t="shared" si="190"/>
        <v>{"url":"http://mkweb.bcgsc.ca/color-summarizer/?url=https://upload.wikimedia.org/wikipedia/commons/thumb/a/a4/Kwajalein_Atoll_Flag.svg/640px-Kwajalein_Atoll_Flag.svg.png&amp;precision=low&amp;num_clusters=4&amp;text=1","name":"[MHL] Kwajalein Atoll (Pre 2022)"},</v>
      </c>
      <c r="IY10" s="48">
        <v>1474</v>
      </c>
    </row>
  </sheetData>
  <conditionalFormatting sqref="H1 CW1:GS1 IA1:IB1">
    <cfRule type="cellIs" dxfId="4225" priority="359" operator="greaterThan">
      <formula>0</formula>
    </cfRule>
  </conditionalFormatting>
  <conditionalFormatting sqref="H1">
    <cfRule type="cellIs" dxfId="4224" priority="325" stopIfTrue="1" operator="notEqual">
      <formula>""</formula>
    </cfRule>
  </conditionalFormatting>
  <conditionalFormatting sqref="T1:BK1">
    <cfRule type="cellIs" dxfId="4223" priority="362" operator="greaterThan">
      <formula>0</formula>
    </cfRule>
  </conditionalFormatting>
  <conditionalFormatting sqref="BV1:BW1">
    <cfRule type="cellIs" dxfId="4222" priority="361" operator="equal">
      <formula>"nc"</formula>
    </cfRule>
  </conditionalFormatting>
  <conditionalFormatting sqref="HF1:HG1">
    <cfRule type="cellIs" dxfId="4221" priority="363" operator="greaterThan">
      <formula>0</formula>
    </cfRule>
  </conditionalFormatting>
  <conditionalFormatting sqref="HK1">
    <cfRule type="cellIs" dxfId="4220" priority="360" operator="greaterThan">
      <formula>0</formula>
    </cfRule>
  </conditionalFormatting>
  <conditionalFormatting sqref="HP1:HX1">
    <cfRule type="cellIs" dxfId="4219" priority="337" operator="equal">
      <formula>"PIN"</formula>
    </cfRule>
    <cfRule type="cellIs" dxfId="4218" priority="338" operator="equal">
      <formula>"ORA"</formula>
    </cfRule>
    <cfRule type="cellIs" dxfId="4217" priority="339" operator="equal">
      <formula>"GRA"</formula>
    </cfRule>
    <cfRule type="cellIs" dxfId="4216" priority="340" operator="equal">
      <formula>"PUR"</formula>
    </cfRule>
    <cfRule type="cellIs" dxfId="4215" priority="341" operator="equal">
      <formula>"BRO"</formula>
    </cfRule>
    <cfRule type="cellIs" dxfId="4214" priority="342" operator="equal">
      <formula>"YEL"</formula>
    </cfRule>
    <cfRule type="cellIs" dxfId="4213" priority="343" operator="equal">
      <formula>"BLU"</formula>
    </cfRule>
    <cfRule type="cellIs" dxfId="4212" priority="344" operator="equal">
      <formula>"WHI"</formula>
    </cfRule>
    <cfRule type="cellIs" dxfId="4211" priority="345" operator="equal">
      <formula>"GRE"</formula>
    </cfRule>
    <cfRule type="cellIs" dxfId="4210" priority="346" operator="equal">
      <formula>"RED"</formula>
    </cfRule>
    <cfRule type="cellIs" dxfId="4209" priority="347" operator="equal">
      <formula>"BLA"</formula>
    </cfRule>
  </conditionalFormatting>
  <conditionalFormatting sqref="IC1:IK1">
    <cfRule type="cellIs" dxfId="4208" priority="348" operator="equal">
      <formula>"PIN"</formula>
    </cfRule>
    <cfRule type="cellIs" dxfId="4207" priority="349" operator="equal">
      <formula>"ORA"</formula>
    </cfRule>
    <cfRule type="cellIs" dxfId="4206" priority="350" operator="equal">
      <formula>"GRA"</formula>
    </cfRule>
    <cfRule type="cellIs" dxfId="4205" priority="351" operator="equal">
      <formula>"PUR"</formula>
    </cfRule>
    <cfRule type="cellIs" dxfId="4204" priority="352" operator="equal">
      <formula>"BRO"</formula>
    </cfRule>
    <cfRule type="cellIs" dxfId="4203" priority="353" operator="equal">
      <formula>"YEL"</formula>
    </cfRule>
    <cfRule type="cellIs" dxfId="4202" priority="354" operator="equal">
      <formula>"BLU"</formula>
    </cfRule>
    <cfRule type="cellIs" dxfId="4201" priority="355" operator="equal">
      <formula>"WHI"</formula>
    </cfRule>
    <cfRule type="cellIs" dxfId="4200" priority="356" operator="equal">
      <formula>"GRE"</formula>
    </cfRule>
    <cfRule type="cellIs" dxfId="4199" priority="357" operator="equal">
      <formula>"RED"</formula>
    </cfRule>
    <cfRule type="cellIs" dxfId="4198" priority="358" operator="equal">
      <formula>"BLA"</formula>
    </cfRule>
  </conditionalFormatting>
  <conditionalFormatting sqref="IO1:IW1">
    <cfRule type="cellIs" dxfId="4197" priority="326" operator="equal">
      <formula>"PIN"</formula>
    </cfRule>
    <cfRule type="cellIs" dxfId="4196" priority="327" operator="equal">
      <formula>"ORA"</formula>
    </cfRule>
    <cfRule type="cellIs" dxfId="4195" priority="328" operator="equal">
      <formula>"GRA"</formula>
    </cfRule>
    <cfRule type="cellIs" dxfId="4194" priority="329" operator="equal">
      <formula>"PUR"</formula>
    </cfRule>
    <cfRule type="cellIs" dxfId="4193" priority="330" operator="equal">
      <formula>"BRO"</formula>
    </cfRule>
    <cfRule type="cellIs" dxfId="4192" priority="331" operator="equal">
      <formula>"YEL"</formula>
    </cfRule>
    <cfRule type="cellIs" dxfId="4191" priority="332" operator="equal">
      <formula>"BLU"</formula>
    </cfRule>
    <cfRule type="cellIs" dxfId="4190" priority="333" operator="equal">
      <formula>"WHI"</formula>
    </cfRule>
    <cfRule type="cellIs" dxfId="4189" priority="334" operator="equal">
      <formula>"GRE"</formula>
    </cfRule>
    <cfRule type="cellIs" dxfId="4188" priority="335" operator="equal">
      <formula>"RED"</formula>
    </cfRule>
    <cfRule type="cellIs" dxfId="4187" priority="336" operator="equal">
      <formula>"BLA"</formula>
    </cfRule>
  </conditionalFormatting>
  <conditionalFormatting sqref="H2">
    <cfRule type="cellIs" dxfId="4186" priority="294" stopIfTrue="1" operator="notEqual">
      <formula>""</formula>
    </cfRule>
  </conditionalFormatting>
  <conditionalFormatting sqref="R2 CU2">
    <cfRule type="cellIs" dxfId="4185" priority="296" operator="greaterThan">
      <formula>0</formula>
    </cfRule>
  </conditionalFormatting>
  <conditionalFormatting sqref="T2:AS2 CH2:CS2">
    <cfRule type="cellIs" dxfId="4184" priority="291" stopIfTrue="1" operator="equal">
      <formula>"n"</formula>
    </cfRule>
    <cfRule type="cellIs" dxfId="4183" priority="292" stopIfTrue="1" operator="equal">
      <formula>"y"</formula>
    </cfRule>
    <cfRule type="cellIs" dxfId="4182" priority="293" operator="greaterThan">
      <formula>0</formula>
    </cfRule>
  </conditionalFormatting>
  <conditionalFormatting sqref="AZ2:BB2">
    <cfRule type="expression" dxfId="4181" priority="290">
      <formula>$AT2=0</formula>
    </cfRule>
  </conditionalFormatting>
  <conditionalFormatting sqref="AZ2:BU2">
    <cfRule type="cellIs" dxfId="4180" priority="299" operator="equal">
      <formula>"PIN"</formula>
    </cfRule>
    <cfRule type="cellIs" dxfId="4179" priority="300" operator="equal">
      <formula>"ORA"</formula>
    </cfRule>
    <cfRule type="cellIs" dxfId="4178" priority="301" operator="equal">
      <formula>"GRA"</formula>
    </cfRule>
    <cfRule type="cellIs" dxfId="4177" priority="302" operator="equal">
      <formula>"PUR"</formula>
    </cfRule>
    <cfRule type="cellIs" dxfId="4176" priority="303" operator="equal">
      <formula>"BRO"</formula>
    </cfRule>
    <cfRule type="cellIs" dxfId="4175" priority="304" operator="equal">
      <formula>"YEL"</formula>
    </cfRule>
    <cfRule type="cellIs" dxfId="4174" priority="305" operator="equal">
      <formula>"BLU"</formula>
    </cfRule>
    <cfRule type="cellIs" dxfId="4173" priority="306" operator="equal">
      <formula>"WHI"</formula>
    </cfRule>
    <cfRule type="cellIs" dxfId="4172" priority="307" operator="equal">
      <formula>"GRE"</formula>
    </cfRule>
    <cfRule type="cellIs" dxfId="4171" priority="308" operator="equal">
      <formula>"RED"</formula>
    </cfRule>
    <cfRule type="cellIs" dxfId="4170" priority="309" operator="equal">
      <formula>"BLA"</formula>
    </cfRule>
  </conditionalFormatting>
  <conditionalFormatting sqref="BV2:BW2">
    <cfRule type="cellIs" dxfId="4169" priority="321" operator="equal">
      <formula>"nc"</formula>
    </cfRule>
  </conditionalFormatting>
  <conditionalFormatting sqref="BX2:CA2 CD2:CF2">
    <cfRule type="cellIs" dxfId="4168" priority="295" operator="equal">
      <formula>"y"</formula>
    </cfRule>
    <cfRule type="cellIs" dxfId="4167" priority="310" operator="equal">
      <formula>"PIN"</formula>
    </cfRule>
    <cfRule type="cellIs" dxfId="4166" priority="311" operator="equal">
      <formula>"ORA"</formula>
    </cfRule>
    <cfRule type="cellIs" dxfId="4165" priority="312" operator="equal">
      <formula>"GRA"</formula>
    </cfRule>
    <cfRule type="cellIs" dxfId="4164" priority="313" operator="equal">
      <formula>"PUR"</formula>
    </cfRule>
    <cfRule type="cellIs" dxfId="4163" priority="314" operator="equal">
      <formula>"BRO"</formula>
    </cfRule>
    <cfRule type="cellIs" dxfId="4162" priority="315" operator="equal">
      <formula>"YEL"</formula>
    </cfRule>
    <cfRule type="cellIs" dxfId="4161" priority="316" operator="equal">
      <formula>"BLU"</formula>
    </cfRule>
    <cfRule type="cellIs" dxfId="4160" priority="317" operator="equal">
      <formula>"WHI"</formula>
    </cfRule>
    <cfRule type="cellIs" dxfId="4159" priority="318" operator="equal">
      <formula>"GRE"</formula>
    </cfRule>
    <cfRule type="cellIs" dxfId="4158" priority="319" operator="equal">
      <formula>"RED"</formula>
    </cfRule>
    <cfRule type="cellIs" dxfId="4157" priority="320" operator="equal">
      <formula>"BLA"</formula>
    </cfRule>
  </conditionalFormatting>
  <conditionalFormatting sqref="BZ2:CA2 CD2:CF2">
    <cfRule type="cellIs" dxfId="4156" priority="297" operator="greaterThan">
      <formula>0</formula>
    </cfRule>
  </conditionalFormatting>
  <conditionalFormatting sqref="IC2:IK2">
    <cfRule type="expression" dxfId="4155" priority="298">
      <formula>$IL2&gt;0</formula>
    </cfRule>
  </conditionalFormatting>
  <conditionalFormatting sqref="S2">
    <cfRule type="colorScale" priority="322">
      <colorScale>
        <cfvo type="min"/>
        <cfvo type="max"/>
        <color rgb="FFFCFCFF"/>
        <color rgb="FF754BFB"/>
      </colorScale>
    </cfRule>
  </conditionalFormatting>
  <conditionalFormatting sqref="AT2">
    <cfRule type="colorScale" priority="323">
      <colorScale>
        <cfvo type="min"/>
        <cfvo type="max"/>
        <color rgb="FFFCFCFF"/>
        <color theme="8" tint="0.39997558519241921"/>
      </colorScale>
    </cfRule>
  </conditionalFormatting>
  <conditionalFormatting sqref="CG2">
    <cfRule type="colorScale" priority="324">
      <colorScale>
        <cfvo type="min"/>
        <cfvo type="max"/>
        <color rgb="FFFCFCFF"/>
        <color rgb="FF63BE7B"/>
      </colorScale>
    </cfRule>
  </conditionalFormatting>
  <conditionalFormatting sqref="J2">
    <cfRule type="colorScale" priority="289">
      <colorScale>
        <cfvo type="min"/>
        <cfvo type="percentile" val="50"/>
        <cfvo type="max"/>
        <color rgb="FFF8696B"/>
        <color rgb="FFFFEB84"/>
        <color rgb="FF63BE7B"/>
      </colorScale>
    </cfRule>
  </conditionalFormatting>
  <conditionalFormatting sqref="H3">
    <cfRule type="cellIs" dxfId="2698" priority="257" stopIfTrue="1" operator="notEqual">
      <formula>""</formula>
    </cfRule>
  </conditionalFormatting>
  <conditionalFormatting sqref="R3 CU3">
    <cfRule type="cellIs" dxfId="2697" priority="259" operator="greaterThan">
      <formula>0</formula>
    </cfRule>
  </conditionalFormatting>
  <conditionalFormatting sqref="T3:AS3 CH3:CS3">
    <cfRule type="cellIs" dxfId="2696" priority="254" stopIfTrue="1" operator="equal">
      <formula>"n"</formula>
    </cfRule>
    <cfRule type="cellIs" dxfId="2695" priority="255" stopIfTrue="1" operator="equal">
      <formula>"y"</formula>
    </cfRule>
    <cfRule type="cellIs" dxfId="2694" priority="256" operator="greaterThan">
      <formula>0</formula>
    </cfRule>
  </conditionalFormatting>
  <conditionalFormatting sqref="AZ3:BB3">
    <cfRule type="expression" dxfId="2693" priority="253">
      <formula>$AT3=0</formula>
    </cfRule>
  </conditionalFormatting>
  <conditionalFormatting sqref="AZ3:BU3">
    <cfRule type="cellIs" dxfId="2692" priority="262" operator="equal">
      <formula>"PIN"</formula>
    </cfRule>
    <cfRule type="cellIs" dxfId="2691" priority="263" operator="equal">
      <formula>"ORA"</formula>
    </cfRule>
    <cfRule type="cellIs" dxfId="2690" priority="264" operator="equal">
      <formula>"GRA"</formula>
    </cfRule>
    <cfRule type="cellIs" dxfId="2689" priority="265" operator="equal">
      <formula>"PUR"</formula>
    </cfRule>
    <cfRule type="cellIs" dxfId="2688" priority="266" operator="equal">
      <formula>"BRO"</formula>
    </cfRule>
    <cfRule type="cellIs" dxfId="2687" priority="267" operator="equal">
      <formula>"YEL"</formula>
    </cfRule>
    <cfRule type="cellIs" dxfId="2686" priority="268" operator="equal">
      <formula>"BLU"</formula>
    </cfRule>
    <cfRule type="cellIs" dxfId="2685" priority="269" operator="equal">
      <formula>"WHI"</formula>
    </cfRule>
    <cfRule type="cellIs" dxfId="2684" priority="270" operator="equal">
      <formula>"GRE"</formula>
    </cfRule>
    <cfRule type="cellIs" dxfId="2683" priority="271" operator="equal">
      <formula>"RED"</formula>
    </cfRule>
    <cfRule type="cellIs" dxfId="2682" priority="272" operator="equal">
      <formula>"BLA"</formula>
    </cfRule>
  </conditionalFormatting>
  <conditionalFormatting sqref="BV3:BW3">
    <cfRule type="cellIs" dxfId="2681" priority="284" operator="equal">
      <formula>"nc"</formula>
    </cfRule>
  </conditionalFormatting>
  <conditionalFormatting sqref="BX3:CA3 CD3:CF3">
    <cfRule type="cellIs" dxfId="2680" priority="258" operator="equal">
      <formula>"y"</formula>
    </cfRule>
    <cfRule type="cellIs" dxfId="2679" priority="273" operator="equal">
      <formula>"PIN"</formula>
    </cfRule>
    <cfRule type="cellIs" dxfId="2678" priority="274" operator="equal">
      <formula>"ORA"</formula>
    </cfRule>
    <cfRule type="cellIs" dxfId="2677" priority="275" operator="equal">
      <formula>"GRA"</formula>
    </cfRule>
    <cfRule type="cellIs" dxfId="2676" priority="276" operator="equal">
      <formula>"PUR"</formula>
    </cfRule>
    <cfRule type="cellIs" dxfId="2675" priority="277" operator="equal">
      <formula>"BRO"</formula>
    </cfRule>
    <cfRule type="cellIs" dxfId="2674" priority="278" operator="equal">
      <formula>"YEL"</formula>
    </cfRule>
    <cfRule type="cellIs" dxfId="2673" priority="279" operator="equal">
      <formula>"BLU"</formula>
    </cfRule>
    <cfRule type="cellIs" dxfId="2672" priority="280" operator="equal">
      <formula>"WHI"</formula>
    </cfRule>
    <cfRule type="cellIs" dxfId="2671" priority="281" operator="equal">
      <formula>"GRE"</formula>
    </cfRule>
    <cfRule type="cellIs" dxfId="2670" priority="282" operator="equal">
      <formula>"RED"</formula>
    </cfRule>
    <cfRule type="cellIs" dxfId="2669" priority="283" operator="equal">
      <formula>"BLA"</formula>
    </cfRule>
  </conditionalFormatting>
  <conditionalFormatting sqref="BZ3:CA3 CD3:CF3">
    <cfRule type="cellIs" dxfId="2668" priority="260" operator="greaterThan">
      <formula>0</formula>
    </cfRule>
  </conditionalFormatting>
  <conditionalFormatting sqref="IC3:IK3">
    <cfRule type="expression" dxfId="2667" priority="261">
      <formula>$IL3&gt;0</formula>
    </cfRule>
  </conditionalFormatting>
  <conditionalFormatting sqref="J3">
    <cfRule type="colorScale" priority="285">
      <colorScale>
        <cfvo type="min"/>
        <cfvo type="percentile" val="50"/>
        <cfvo type="max"/>
        <color rgb="FFF8696B"/>
        <color rgb="FFFFEB84"/>
        <color rgb="FF63BE7B"/>
      </colorScale>
    </cfRule>
  </conditionalFormatting>
  <conditionalFormatting sqref="S3">
    <cfRule type="colorScale" priority="286">
      <colorScale>
        <cfvo type="min"/>
        <cfvo type="max"/>
        <color rgb="FFFCFCFF"/>
        <color rgb="FF754BFB"/>
      </colorScale>
    </cfRule>
  </conditionalFormatting>
  <conditionalFormatting sqref="AT3">
    <cfRule type="colorScale" priority="287">
      <colorScale>
        <cfvo type="min"/>
        <cfvo type="max"/>
        <color rgb="FFFCFCFF"/>
        <color theme="8" tint="0.39997558519241921"/>
      </colorScale>
    </cfRule>
  </conditionalFormatting>
  <conditionalFormatting sqref="CG3">
    <cfRule type="colorScale" priority="288">
      <colorScale>
        <cfvo type="min"/>
        <cfvo type="max"/>
        <color rgb="FFFCFCFF"/>
        <color rgb="FF63BE7B"/>
      </colorScale>
    </cfRule>
  </conditionalFormatting>
  <conditionalFormatting sqref="H4">
    <cfRule type="cellIs" dxfId="2666" priority="221" stopIfTrue="1" operator="notEqual">
      <formula>""</formula>
    </cfRule>
  </conditionalFormatting>
  <conditionalFormatting sqref="R4 CU4">
    <cfRule type="cellIs" dxfId="2665" priority="223" operator="greaterThan">
      <formula>0</formula>
    </cfRule>
  </conditionalFormatting>
  <conditionalFormatting sqref="T4:AS4 CH4:CS4">
    <cfRule type="cellIs" dxfId="2664" priority="218" stopIfTrue="1" operator="equal">
      <formula>"n"</formula>
    </cfRule>
    <cfRule type="cellIs" dxfId="2663" priority="219" stopIfTrue="1" operator="equal">
      <formula>"y"</formula>
    </cfRule>
    <cfRule type="cellIs" dxfId="2662" priority="220" operator="greaterThan">
      <formula>0</formula>
    </cfRule>
  </conditionalFormatting>
  <conditionalFormatting sqref="AZ4:BB4">
    <cfRule type="expression" dxfId="2661" priority="217">
      <formula>$AT4=0</formula>
    </cfRule>
  </conditionalFormatting>
  <conditionalFormatting sqref="AZ4:BU4">
    <cfRule type="cellIs" dxfId="2660" priority="226" operator="equal">
      <formula>"PIN"</formula>
    </cfRule>
    <cfRule type="cellIs" dxfId="2659" priority="227" operator="equal">
      <formula>"ORA"</formula>
    </cfRule>
    <cfRule type="cellIs" dxfId="2658" priority="228" operator="equal">
      <formula>"GRA"</formula>
    </cfRule>
    <cfRule type="cellIs" dxfId="2657" priority="229" operator="equal">
      <formula>"PUR"</formula>
    </cfRule>
    <cfRule type="cellIs" dxfId="2656" priority="230" operator="equal">
      <formula>"BRO"</formula>
    </cfRule>
    <cfRule type="cellIs" dxfId="2655" priority="231" operator="equal">
      <formula>"YEL"</formula>
    </cfRule>
    <cfRule type="cellIs" dxfId="2654" priority="232" operator="equal">
      <formula>"BLU"</formula>
    </cfRule>
    <cfRule type="cellIs" dxfId="2653" priority="233" operator="equal">
      <formula>"WHI"</formula>
    </cfRule>
    <cfRule type="cellIs" dxfId="2652" priority="234" operator="equal">
      <formula>"GRE"</formula>
    </cfRule>
    <cfRule type="cellIs" dxfId="2651" priority="235" operator="equal">
      <formula>"RED"</formula>
    </cfRule>
    <cfRule type="cellIs" dxfId="2650" priority="236" operator="equal">
      <formula>"BLA"</formula>
    </cfRule>
  </conditionalFormatting>
  <conditionalFormatting sqref="BV4:BW4">
    <cfRule type="cellIs" dxfId="2649" priority="248" operator="equal">
      <formula>"nc"</formula>
    </cfRule>
  </conditionalFormatting>
  <conditionalFormatting sqref="BX4:CA4 CD4:CF4">
    <cfRule type="cellIs" dxfId="2648" priority="222" operator="equal">
      <formula>"y"</formula>
    </cfRule>
    <cfRule type="cellIs" dxfId="2647" priority="237" operator="equal">
      <formula>"PIN"</formula>
    </cfRule>
    <cfRule type="cellIs" dxfId="2646" priority="238" operator="equal">
      <formula>"ORA"</formula>
    </cfRule>
    <cfRule type="cellIs" dxfId="2645" priority="239" operator="equal">
      <formula>"GRA"</formula>
    </cfRule>
    <cfRule type="cellIs" dxfId="2644" priority="240" operator="equal">
      <formula>"PUR"</formula>
    </cfRule>
    <cfRule type="cellIs" dxfId="2643" priority="241" operator="equal">
      <formula>"BRO"</formula>
    </cfRule>
    <cfRule type="cellIs" dxfId="2642" priority="242" operator="equal">
      <formula>"YEL"</formula>
    </cfRule>
    <cfRule type="cellIs" dxfId="2641" priority="243" operator="equal">
      <formula>"BLU"</formula>
    </cfRule>
    <cfRule type="cellIs" dxfId="2640" priority="244" operator="equal">
      <formula>"WHI"</formula>
    </cfRule>
    <cfRule type="cellIs" dxfId="2639" priority="245" operator="equal">
      <formula>"GRE"</formula>
    </cfRule>
    <cfRule type="cellIs" dxfId="2638" priority="246" operator="equal">
      <formula>"RED"</formula>
    </cfRule>
    <cfRule type="cellIs" dxfId="2637" priority="247" operator="equal">
      <formula>"BLA"</formula>
    </cfRule>
  </conditionalFormatting>
  <conditionalFormatting sqref="BZ4:CA4 CD4:CF4">
    <cfRule type="cellIs" dxfId="2636" priority="224" operator="greaterThan">
      <formula>0</formula>
    </cfRule>
  </conditionalFormatting>
  <conditionalFormatting sqref="IC4:IK4">
    <cfRule type="expression" dxfId="2635" priority="225">
      <formula>$IL4&gt;0</formula>
    </cfRule>
  </conditionalFormatting>
  <conditionalFormatting sqref="J4">
    <cfRule type="colorScale" priority="249">
      <colorScale>
        <cfvo type="min"/>
        <cfvo type="percentile" val="50"/>
        <cfvo type="max"/>
        <color rgb="FFF8696B"/>
        <color rgb="FFFFEB84"/>
        <color rgb="FF63BE7B"/>
      </colorScale>
    </cfRule>
  </conditionalFormatting>
  <conditionalFormatting sqref="S4">
    <cfRule type="colorScale" priority="250">
      <colorScale>
        <cfvo type="min"/>
        <cfvo type="max"/>
        <color rgb="FFFCFCFF"/>
        <color rgb="FF754BFB"/>
      </colorScale>
    </cfRule>
  </conditionalFormatting>
  <conditionalFormatting sqref="AT4">
    <cfRule type="colorScale" priority="251">
      <colorScale>
        <cfvo type="min"/>
        <cfvo type="max"/>
        <color rgb="FFFCFCFF"/>
        <color theme="8" tint="0.39997558519241921"/>
      </colorScale>
    </cfRule>
  </conditionalFormatting>
  <conditionalFormatting sqref="CG4">
    <cfRule type="colorScale" priority="252">
      <colorScale>
        <cfvo type="min"/>
        <cfvo type="max"/>
        <color rgb="FFFCFCFF"/>
        <color rgb="FF63BE7B"/>
      </colorScale>
    </cfRule>
  </conditionalFormatting>
  <conditionalFormatting sqref="H5">
    <cfRule type="cellIs" dxfId="2634" priority="185" stopIfTrue="1" operator="notEqual">
      <formula>""</formula>
    </cfRule>
  </conditionalFormatting>
  <conditionalFormatting sqref="R5 CU5">
    <cfRule type="cellIs" dxfId="2633" priority="187" operator="greaterThan">
      <formula>0</formula>
    </cfRule>
  </conditionalFormatting>
  <conditionalFormatting sqref="T5:AS5 CH5:CS5">
    <cfRule type="cellIs" dxfId="2632" priority="182" stopIfTrue="1" operator="equal">
      <formula>"n"</formula>
    </cfRule>
    <cfRule type="cellIs" dxfId="2631" priority="183" stopIfTrue="1" operator="equal">
      <formula>"y"</formula>
    </cfRule>
    <cfRule type="cellIs" dxfId="2630" priority="184" operator="greaterThan">
      <formula>0</formula>
    </cfRule>
  </conditionalFormatting>
  <conditionalFormatting sqref="AZ5:BB5">
    <cfRule type="expression" dxfId="2629" priority="181">
      <formula>$AT5=0</formula>
    </cfRule>
  </conditionalFormatting>
  <conditionalFormatting sqref="AZ5:BU5">
    <cfRule type="cellIs" dxfId="2628" priority="190" operator="equal">
      <formula>"PIN"</formula>
    </cfRule>
    <cfRule type="cellIs" dxfId="2627" priority="191" operator="equal">
      <formula>"ORA"</formula>
    </cfRule>
    <cfRule type="cellIs" dxfId="2626" priority="192" operator="equal">
      <formula>"GRA"</formula>
    </cfRule>
    <cfRule type="cellIs" dxfId="2625" priority="193" operator="equal">
      <formula>"PUR"</formula>
    </cfRule>
    <cfRule type="cellIs" dxfId="2624" priority="194" operator="equal">
      <formula>"BRO"</formula>
    </cfRule>
    <cfRule type="cellIs" dxfId="2623" priority="195" operator="equal">
      <formula>"YEL"</formula>
    </cfRule>
    <cfRule type="cellIs" dxfId="2622" priority="196" operator="equal">
      <formula>"BLU"</formula>
    </cfRule>
    <cfRule type="cellIs" dxfId="2621" priority="197" operator="equal">
      <formula>"WHI"</formula>
    </cfRule>
    <cfRule type="cellIs" dxfId="2620" priority="198" operator="equal">
      <formula>"GRE"</formula>
    </cfRule>
    <cfRule type="cellIs" dxfId="2619" priority="199" operator="equal">
      <formula>"RED"</formula>
    </cfRule>
    <cfRule type="cellIs" dxfId="2618" priority="200" operator="equal">
      <formula>"BLA"</formula>
    </cfRule>
  </conditionalFormatting>
  <conditionalFormatting sqref="BV5:BW5">
    <cfRule type="cellIs" dxfId="2617" priority="212" operator="equal">
      <formula>"nc"</formula>
    </cfRule>
  </conditionalFormatting>
  <conditionalFormatting sqref="BX5:CA5 CD5:CF5">
    <cfRule type="cellIs" dxfId="2616" priority="186" operator="equal">
      <formula>"y"</formula>
    </cfRule>
    <cfRule type="cellIs" dxfId="2615" priority="201" operator="equal">
      <formula>"PIN"</formula>
    </cfRule>
    <cfRule type="cellIs" dxfId="2614" priority="202" operator="equal">
      <formula>"ORA"</formula>
    </cfRule>
    <cfRule type="cellIs" dxfId="2613" priority="203" operator="equal">
      <formula>"GRA"</formula>
    </cfRule>
    <cfRule type="cellIs" dxfId="2612" priority="204" operator="equal">
      <formula>"PUR"</formula>
    </cfRule>
    <cfRule type="cellIs" dxfId="2611" priority="205" operator="equal">
      <formula>"BRO"</formula>
    </cfRule>
    <cfRule type="cellIs" dxfId="2610" priority="206" operator="equal">
      <formula>"YEL"</formula>
    </cfRule>
    <cfRule type="cellIs" dxfId="2609" priority="207" operator="equal">
      <formula>"BLU"</formula>
    </cfRule>
    <cfRule type="cellIs" dxfId="2608" priority="208" operator="equal">
      <formula>"WHI"</formula>
    </cfRule>
    <cfRule type="cellIs" dxfId="2607" priority="209" operator="equal">
      <formula>"GRE"</formula>
    </cfRule>
    <cfRule type="cellIs" dxfId="2606" priority="210" operator="equal">
      <formula>"RED"</formula>
    </cfRule>
    <cfRule type="cellIs" dxfId="2605" priority="211" operator="equal">
      <formula>"BLA"</formula>
    </cfRule>
  </conditionalFormatting>
  <conditionalFormatting sqref="BZ5:CA5 CD5:CF5">
    <cfRule type="cellIs" dxfId="2604" priority="188" operator="greaterThan">
      <formula>0</formula>
    </cfRule>
  </conditionalFormatting>
  <conditionalFormatting sqref="IC5:IK5">
    <cfRule type="expression" dxfId="2603" priority="189">
      <formula>$IL5&gt;0</formula>
    </cfRule>
  </conditionalFormatting>
  <conditionalFormatting sqref="J5">
    <cfRule type="colorScale" priority="213">
      <colorScale>
        <cfvo type="min"/>
        <cfvo type="percentile" val="50"/>
        <cfvo type="max"/>
        <color rgb="FFF8696B"/>
        <color rgb="FFFFEB84"/>
        <color rgb="FF63BE7B"/>
      </colorScale>
    </cfRule>
  </conditionalFormatting>
  <conditionalFormatting sqref="S5">
    <cfRule type="colorScale" priority="214">
      <colorScale>
        <cfvo type="min"/>
        <cfvo type="max"/>
        <color rgb="FFFCFCFF"/>
        <color rgb="FF754BFB"/>
      </colorScale>
    </cfRule>
  </conditionalFormatting>
  <conditionalFormatting sqref="AT5">
    <cfRule type="colorScale" priority="215">
      <colorScale>
        <cfvo type="min"/>
        <cfvo type="max"/>
        <color rgb="FFFCFCFF"/>
        <color theme="8" tint="0.39997558519241921"/>
      </colorScale>
    </cfRule>
  </conditionalFormatting>
  <conditionalFormatting sqref="CG5">
    <cfRule type="colorScale" priority="216">
      <colorScale>
        <cfvo type="min"/>
        <cfvo type="max"/>
        <color rgb="FFFCFCFF"/>
        <color rgb="FF63BE7B"/>
      </colorScale>
    </cfRule>
  </conditionalFormatting>
  <conditionalFormatting sqref="H6">
    <cfRule type="cellIs" dxfId="2602" priority="149" stopIfTrue="1" operator="notEqual">
      <formula>""</formula>
    </cfRule>
  </conditionalFormatting>
  <conditionalFormatting sqref="R6 CU6">
    <cfRule type="cellIs" dxfId="2601" priority="151" operator="greaterThan">
      <formula>0</formula>
    </cfRule>
  </conditionalFormatting>
  <conditionalFormatting sqref="T6:AS6 CH6:CS6">
    <cfRule type="cellIs" dxfId="2600" priority="146" stopIfTrue="1" operator="equal">
      <formula>"n"</formula>
    </cfRule>
    <cfRule type="cellIs" dxfId="2599" priority="147" stopIfTrue="1" operator="equal">
      <formula>"y"</formula>
    </cfRule>
    <cfRule type="cellIs" dxfId="2598" priority="148" operator="greaterThan">
      <formula>0</formula>
    </cfRule>
  </conditionalFormatting>
  <conditionalFormatting sqref="AZ6:BB6">
    <cfRule type="expression" dxfId="2597" priority="145">
      <formula>$AT6=0</formula>
    </cfRule>
  </conditionalFormatting>
  <conditionalFormatting sqref="AZ6:BU6">
    <cfRule type="cellIs" dxfId="2596" priority="154" operator="equal">
      <formula>"PIN"</formula>
    </cfRule>
    <cfRule type="cellIs" dxfId="2595" priority="155" operator="equal">
      <formula>"ORA"</formula>
    </cfRule>
    <cfRule type="cellIs" dxfId="2594" priority="156" operator="equal">
      <formula>"GRA"</formula>
    </cfRule>
    <cfRule type="cellIs" dxfId="2593" priority="157" operator="equal">
      <formula>"PUR"</formula>
    </cfRule>
    <cfRule type="cellIs" dxfId="2592" priority="158" operator="equal">
      <formula>"BRO"</formula>
    </cfRule>
    <cfRule type="cellIs" dxfId="2591" priority="159" operator="equal">
      <formula>"YEL"</formula>
    </cfRule>
    <cfRule type="cellIs" dxfId="2590" priority="160" operator="equal">
      <formula>"BLU"</formula>
    </cfRule>
    <cfRule type="cellIs" dxfId="2589" priority="161" operator="equal">
      <formula>"WHI"</formula>
    </cfRule>
    <cfRule type="cellIs" dxfId="2588" priority="162" operator="equal">
      <formula>"GRE"</formula>
    </cfRule>
    <cfRule type="cellIs" dxfId="2587" priority="163" operator="equal">
      <formula>"RED"</formula>
    </cfRule>
    <cfRule type="cellIs" dxfId="2586" priority="164" operator="equal">
      <formula>"BLA"</formula>
    </cfRule>
  </conditionalFormatting>
  <conditionalFormatting sqref="BV6:BW6">
    <cfRule type="cellIs" dxfId="2585" priority="176" operator="equal">
      <formula>"nc"</formula>
    </cfRule>
  </conditionalFormatting>
  <conditionalFormatting sqref="BX6:CA6 CD6:CF6">
    <cfRule type="cellIs" dxfId="2584" priority="150" operator="equal">
      <formula>"y"</formula>
    </cfRule>
    <cfRule type="cellIs" dxfId="2583" priority="165" operator="equal">
      <formula>"PIN"</formula>
    </cfRule>
    <cfRule type="cellIs" dxfId="2582" priority="166" operator="equal">
      <formula>"ORA"</formula>
    </cfRule>
    <cfRule type="cellIs" dxfId="2581" priority="167" operator="equal">
      <formula>"GRA"</formula>
    </cfRule>
    <cfRule type="cellIs" dxfId="2580" priority="168" operator="equal">
      <formula>"PUR"</formula>
    </cfRule>
    <cfRule type="cellIs" dxfId="2579" priority="169" operator="equal">
      <formula>"BRO"</formula>
    </cfRule>
    <cfRule type="cellIs" dxfId="2578" priority="170" operator="equal">
      <formula>"YEL"</formula>
    </cfRule>
    <cfRule type="cellIs" dxfId="2577" priority="171" operator="equal">
      <formula>"BLU"</formula>
    </cfRule>
    <cfRule type="cellIs" dxfId="2576" priority="172" operator="equal">
      <formula>"WHI"</formula>
    </cfRule>
    <cfRule type="cellIs" dxfId="2575" priority="173" operator="equal">
      <formula>"GRE"</formula>
    </cfRule>
    <cfRule type="cellIs" dxfId="2574" priority="174" operator="equal">
      <formula>"RED"</formula>
    </cfRule>
    <cfRule type="cellIs" dxfId="2573" priority="175" operator="equal">
      <formula>"BLA"</formula>
    </cfRule>
  </conditionalFormatting>
  <conditionalFormatting sqref="BZ6:CA6 CD6:CF6">
    <cfRule type="cellIs" dxfId="2572" priority="152" operator="greaterThan">
      <formula>0</formula>
    </cfRule>
  </conditionalFormatting>
  <conditionalFormatting sqref="IC6:IK6">
    <cfRule type="expression" dxfId="2571" priority="153">
      <formula>$IL6&gt;0</formula>
    </cfRule>
  </conditionalFormatting>
  <conditionalFormatting sqref="J6">
    <cfRule type="colorScale" priority="177">
      <colorScale>
        <cfvo type="min"/>
        <cfvo type="percentile" val="50"/>
        <cfvo type="max"/>
        <color rgb="FFF8696B"/>
        <color rgb="FFFFEB84"/>
        <color rgb="FF63BE7B"/>
      </colorScale>
    </cfRule>
  </conditionalFormatting>
  <conditionalFormatting sqref="S6">
    <cfRule type="colorScale" priority="178">
      <colorScale>
        <cfvo type="min"/>
        <cfvo type="max"/>
        <color rgb="FFFCFCFF"/>
        <color rgb="FF754BFB"/>
      </colorScale>
    </cfRule>
  </conditionalFormatting>
  <conditionalFormatting sqref="AT6">
    <cfRule type="colorScale" priority="179">
      <colorScale>
        <cfvo type="min"/>
        <cfvo type="max"/>
        <color rgb="FFFCFCFF"/>
        <color theme="8" tint="0.39997558519241921"/>
      </colorScale>
    </cfRule>
  </conditionalFormatting>
  <conditionalFormatting sqref="CG6">
    <cfRule type="colorScale" priority="180">
      <colorScale>
        <cfvo type="min"/>
        <cfvo type="max"/>
        <color rgb="FFFCFCFF"/>
        <color rgb="FF63BE7B"/>
      </colorScale>
    </cfRule>
  </conditionalFormatting>
  <conditionalFormatting sqref="H7">
    <cfRule type="cellIs" dxfId="2570" priority="113" stopIfTrue="1" operator="notEqual">
      <formula>""</formula>
    </cfRule>
  </conditionalFormatting>
  <conditionalFormatting sqref="R7 CU7">
    <cfRule type="cellIs" dxfId="2569" priority="115" operator="greaterThan">
      <formula>0</formula>
    </cfRule>
  </conditionalFormatting>
  <conditionalFormatting sqref="T7:AS7 CH7:CS7">
    <cfRule type="cellIs" dxfId="2568" priority="110" stopIfTrue="1" operator="equal">
      <formula>"n"</formula>
    </cfRule>
    <cfRule type="cellIs" dxfId="2567" priority="111" stopIfTrue="1" operator="equal">
      <formula>"y"</formula>
    </cfRule>
    <cfRule type="cellIs" dxfId="2566" priority="112" operator="greaterThan">
      <formula>0</formula>
    </cfRule>
  </conditionalFormatting>
  <conditionalFormatting sqref="AZ7:BB7">
    <cfRule type="expression" dxfId="2565" priority="109">
      <formula>$AT7=0</formula>
    </cfRule>
  </conditionalFormatting>
  <conditionalFormatting sqref="AZ7:BU7">
    <cfRule type="cellIs" dxfId="2564" priority="118" operator="equal">
      <formula>"PIN"</formula>
    </cfRule>
    <cfRule type="cellIs" dxfId="2563" priority="119" operator="equal">
      <formula>"ORA"</formula>
    </cfRule>
    <cfRule type="cellIs" dxfId="2562" priority="120" operator="equal">
      <formula>"GRA"</formula>
    </cfRule>
    <cfRule type="cellIs" dxfId="2561" priority="121" operator="equal">
      <formula>"PUR"</formula>
    </cfRule>
    <cfRule type="cellIs" dxfId="2560" priority="122" operator="equal">
      <formula>"BRO"</formula>
    </cfRule>
    <cfRule type="cellIs" dxfId="2559" priority="123" operator="equal">
      <formula>"YEL"</formula>
    </cfRule>
    <cfRule type="cellIs" dxfId="2558" priority="124" operator="equal">
      <formula>"BLU"</formula>
    </cfRule>
    <cfRule type="cellIs" dxfId="2557" priority="125" operator="equal">
      <formula>"WHI"</formula>
    </cfRule>
    <cfRule type="cellIs" dxfId="2556" priority="126" operator="equal">
      <formula>"GRE"</formula>
    </cfRule>
    <cfRule type="cellIs" dxfId="2555" priority="127" operator="equal">
      <formula>"RED"</formula>
    </cfRule>
    <cfRule type="cellIs" dxfId="2554" priority="128" operator="equal">
      <formula>"BLA"</formula>
    </cfRule>
  </conditionalFormatting>
  <conditionalFormatting sqref="BV7">
    <cfRule type="cellIs" dxfId="2553" priority="140" operator="equal">
      <formula>"nc"</formula>
    </cfRule>
  </conditionalFormatting>
  <conditionalFormatting sqref="BX7:CA7 CD7:CF7">
    <cfRule type="cellIs" dxfId="2552" priority="114" operator="equal">
      <formula>"y"</formula>
    </cfRule>
    <cfRule type="cellIs" dxfId="2551" priority="129" operator="equal">
      <formula>"PIN"</formula>
    </cfRule>
    <cfRule type="cellIs" dxfId="2550" priority="130" operator="equal">
      <formula>"ORA"</formula>
    </cfRule>
    <cfRule type="cellIs" dxfId="2549" priority="131" operator="equal">
      <formula>"GRA"</formula>
    </cfRule>
    <cfRule type="cellIs" dxfId="2548" priority="132" operator="equal">
      <formula>"PUR"</formula>
    </cfRule>
    <cfRule type="cellIs" dxfId="2547" priority="133" operator="equal">
      <formula>"BRO"</formula>
    </cfRule>
    <cfRule type="cellIs" dxfId="2546" priority="134" operator="equal">
      <formula>"YEL"</formula>
    </cfRule>
    <cfRule type="cellIs" dxfId="2545" priority="135" operator="equal">
      <formula>"BLU"</formula>
    </cfRule>
    <cfRule type="cellIs" dxfId="2544" priority="136" operator="equal">
      <formula>"WHI"</formula>
    </cfRule>
    <cfRule type="cellIs" dxfId="2543" priority="137" operator="equal">
      <formula>"GRE"</formula>
    </cfRule>
    <cfRule type="cellIs" dxfId="2542" priority="138" operator="equal">
      <formula>"RED"</formula>
    </cfRule>
    <cfRule type="cellIs" dxfId="2541" priority="139" operator="equal">
      <formula>"BLA"</formula>
    </cfRule>
  </conditionalFormatting>
  <conditionalFormatting sqref="BZ7:CA7 CD7:CF7">
    <cfRule type="cellIs" dxfId="2540" priority="116" operator="greaterThan">
      <formula>0</formula>
    </cfRule>
  </conditionalFormatting>
  <conditionalFormatting sqref="IC7:IK7">
    <cfRule type="expression" dxfId="2539" priority="117">
      <formula>$IL7&gt;0</formula>
    </cfRule>
  </conditionalFormatting>
  <conditionalFormatting sqref="J7">
    <cfRule type="colorScale" priority="141">
      <colorScale>
        <cfvo type="min"/>
        <cfvo type="percentile" val="50"/>
        <cfvo type="max"/>
        <color rgb="FFF8696B"/>
        <color rgb="FFFFEB84"/>
        <color rgb="FF63BE7B"/>
      </colorScale>
    </cfRule>
  </conditionalFormatting>
  <conditionalFormatting sqref="S7">
    <cfRule type="colorScale" priority="142">
      <colorScale>
        <cfvo type="min"/>
        <cfvo type="max"/>
        <color rgb="FFFCFCFF"/>
        <color rgb="FF754BFB"/>
      </colorScale>
    </cfRule>
  </conditionalFormatting>
  <conditionalFormatting sqref="AT7">
    <cfRule type="colorScale" priority="143">
      <colorScale>
        <cfvo type="min"/>
        <cfvo type="max"/>
        <color rgb="FFFCFCFF"/>
        <color theme="8" tint="0.39997558519241921"/>
      </colorScale>
    </cfRule>
  </conditionalFormatting>
  <conditionalFormatting sqref="CG7">
    <cfRule type="colorScale" priority="144">
      <colorScale>
        <cfvo type="min"/>
        <cfvo type="max"/>
        <color rgb="FFFCFCFF"/>
        <color rgb="FF63BE7B"/>
      </colorScale>
    </cfRule>
  </conditionalFormatting>
  <conditionalFormatting sqref="H8">
    <cfRule type="cellIs" dxfId="2538" priority="77" stopIfTrue="1" operator="notEqual">
      <formula>""</formula>
    </cfRule>
  </conditionalFormatting>
  <conditionalFormatting sqref="R8 CU8">
    <cfRule type="cellIs" dxfId="2537" priority="79" operator="greaterThan">
      <formula>0</formula>
    </cfRule>
  </conditionalFormatting>
  <conditionalFormatting sqref="T8:AS8 CH8:CS8">
    <cfRule type="cellIs" dxfId="2536" priority="74" stopIfTrue="1" operator="equal">
      <formula>"n"</formula>
    </cfRule>
    <cfRule type="cellIs" dxfId="2535" priority="75" stopIfTrue="1" operator="equal">
      <formula>"y"</formula>
    </cfRule>
    <cfRule type="cellIs" dxfId="2534" priority="76" operator="greaterThan">
      <formula>0</formula>
    </cfRule>
  </conditionalFormatting>
  <conditionalFormatting sqref="AZ8:BB8">
    <cfRule type="expression" dxfId="2533" priority="73">
      <formula>$AT8=0</formula>
    </cfRule>
  </conditionalFormatting>
  <conditionalFormatting sqref="AZ8:BU8">
    <cfRule type="cellIs" dxfId="2532" priority="82" operator="equal">
      <formula>"PIN"</formula>
    </cfRule>
    <cfRule type="cellIs" dxfId="2531" priority="83" operator="equal">
      <formula>"ORA"</formula>
    </cfRule>
    <cfRule type="cellIs" dxfId="2530" priority="84" operator="equal">
      <formula>"GRA"</formula>
    </cfRule>
    <cfRule type="cellIs" dxfId="2529" priority="85" operator="equal">
      <formula>"PUR"</formula>
    </cfRule>
    <cfRule type="cellIs" dxfId="2528" priority="86" operator="equal">
      <formula>"BRO"</formula>
    </cfRule>
    <cfRule type="cellIs" dxfId="2527" priority="87" operator="equal">
      <formula>"YEL"</formula>
    </cfRule>
    <cfRule type="cellIs" dxfId="2526" priority="88" operator="equal">
      <formula>"BLU"</formula>
    </cfRule>
    <cfRule type="cellIs" dxfId="2525" priority="89" operator="equal">
      <formula>"WHI"</formula>
    </cfRule>
    <cfRule type="cellIs" dxfId="2524" priority="90" operator="equal">
      <formula>"GRE"</formula>
    </cfRule>
    <cfRule type="cellIs" dxfId="2523" priority="91" operator="equal">
      <formula>"RED"</formula>
    </cfRule>
    <cfRule type="cellIs" dxfId="2522" priority="92" operator="equal">
      <formula>"BLA"</formula>
    </cfRule>
  </conditionalFormatting>
  <conditionalFormatting sqref="BV8">
    <cfRule type="cellIs" dxfId="2521" priority="104" operator="equal">
      <formula>"nc"</formula>
    </cfRule>
  </conditionalFormatting>
  <conditionalFormatting sqref="BX8:CA8 CD8:CF8">
    <cfRule type="cellIs" dxfId="2520" priority="78" operator="equal">
      <formula>"y"</formula>
    </cfRule>
    <cfRule type="cellIs" dxfId="2519" priority="93" operator="equal">
      <formula>"PIN"</formula>
    </cfRule>
    <cfRule type="cellIs" dxfId="2518" priority="94" operator="equal">
      <formula>"ORA"</formula>
    </cfRule>
    <cfRule type="cellIs" dxfId="2517" priority="95" operator="equal">
      <formula>"GRA"</formula>
    </cfRule>
    <cfRule type="cellIs" dxfId="2516" priority="96" operator="equal">
      <formula>"PUR"</formula>
    </cfRule>
    <cfRule type="cellIs" dxfId="2515" priority="97" operator="equal">
      <formula>"BRO"</formula>
    </cfRule>
    <cfRule type="cellIs" dxfId="2514" priority="98" operator="equal">
      <formula>"YEL"</formula>
    </cfRule>
    <cfRule type="cellIs" dxfId="2513" priority="99" operator="equal">
      <formula>"BLU"</formula>
    </cfRule>
    <cfRule type="cellIs" dxfId="2512" priority="100" operator="equal">
      <formula>"WHI"</formula>
    </cfRule>
    <cfRule type="cellIs" dxfId="2511" priority="101" operator="equal">
      <formula>"GRE"</formula>
    </cfRule>
    <cfRule type="cellIs" dxfId="2510" priority="102" operator="equal">
      <formula>"RED"</formula>
    </cfRule>
    <cfRule type="cellIs" dxfId="2509" priority="103" operator="equal">
      <formula>"BLA"</formula>
    </cfRule>
  </conditionalFormatting>
  <conditionalFormatting sqref="BZ8:CA8 CD8:CF8">
    <cfRule type="cellIs" dxfId="2508" priority="80" operator="greaterThan">
      <formula>0</formula>
    </cfRule>
  </conditionalFormatting>
  <conditionalFormatting sqref="IC8:IK8">
    <cfRule type="expression" dxfId="2507" priority="81">
      <formula>$IL8&gt;0</formula>
    </cfRule>
  </conditionalFormatting>
  <conditionalFormatting sqref="J8">
    <cfRule type="colorScale" priority="105">
      <colorScale>
        <cfvo type="min"/>
        <cfvo type="percentile" val="50"/>
        <cfvo type="max"/>
        <color rgb="FFF8696B"/>
        <color rgb="FFFFEB84"/>
        <color rgb="FF63BE7B"/>
      </colorScale>
    </cfRule>
  </conditionalFormatting>
  <conditionalFormatting sqref="S8">
    <cfRule type="colorScale" priority="106">
      <colorScale>
        <cfvo type="min"/>
        <cfvo type="max"/>
        <color rgb="FFFCFCFF"/>
        <color rgb="FF754BFB"/>
      </colorScale>
    </cfRule>
  </conditionalFormatting>
  <conditionalFormatting sqref="AT8">
    <cfRule type="colorScale" priority="107">
      <colorScale>
        <cfvo type="min"/>
        <cfvo type="max"/>
        <color rgb="FFFCFCFF"/>
        <color theme="8" tint="0.39997558519241921"/>
      </colorScale>
    </cfRule>
  </conditionalFormatting>
  <conditionalFormatting sqref="CG8">
    <cfRule type="colorScale" priority="108">
      <colorScale>
        <cfvo type="min"/>
        <cfvo type="max"/>
        <color rgb="FFFCFCFF"/>
        <color rgb="FF63BE7B"/>
      </colorScale>
    </cfRule>
  </conditionalFormatting>
  <conditionalFormatting sqref="H9">
    <cfRule type="cellIs" dxfId="2506" priority="41" stopIfTrue="1" operator="notEqual">
      <formula>""</formula>
    </cfRule>
  </conditionalFormatting>
  <conditionalFormatting sqref="R9 CU9">
    <cfRule type="cellIs" dxfId="2505" priority="43" operator="greaterThan">
      <formula>0</formula>
    </cfRule>
  </conditionalFormatting>
  <conditionalFormatting sqref="T9:AS9 CH9:CS9">
    <cfRule type="cellIs" dxfId="2504" priority="38" stopIfTrue="1" operator="equal">
      <formula>"n"</formula>
    </cfRule>
    <cfRule type="cellIs" dxfId="2503" priority="39" stopIfTrue="1" operator="equal">
      <formula>"y"</formula>
    </cfRule>
    <cfRule type="cellIs" dxfId="2502" priority="40" operator="greaterThan">
      <formula>0</formula>
    </cfRule>
  </conditionalFormatting>
  <conditionalFormatting sqref="AZ9:BB9">
    <cfRule type="expression" dxfId="2501" priority="37">
      <formula>$AT9=0</formula>
    </cfRule>
  </conditionalFormatting>
  <conditionalFormatting sqref="AZ9:BU9">
    <cfRule type="cellIs" dxfId="2500" priority="46" operator="equal">
      <formula>"PIN"</formula>
    </cfRule>
    <cfRule type="cellIs" dxfId="2499" priority="47" operator="equal">
      <formula>"ORA"</formula>
    </cfRule>
    <cfRule type="cellIs" dxfId="2498" priority="48" operator="equal">
      <formula>"GRA"</formula>
    </cfRule>
    <cfRule type="cellIs" dxfId="2497" priority="49" operator="equal">
      <formula>"PUR"</formula>
    </cfRule>
    <cfRule type="cellIs" dxfId="2496" priority="50" operator="equal">
      <formula>"BRO"</formula>
    </cfRule>
    <cfRule type="cellIs" dxfId="2495" priority="51" operator="equal">
      <formula>"YEL"</formula>
    </cfRule>
    <cfRule type="cellIs" dxfId="2494" priority="52" operator="equal">
      <formula>"BLU"</formula>
    </cfRule>
    <cfRule type="cellIs" dxfId="2493" priority="53" operator="equal">
      <formula>"WHI"</formula>
    </cfRule>
    <cfRule type="cellIs" dxfId="2492" priority="54" operator="equal">
      <formula>"GRE"</formula>
    </cfRule>
    <cfRule type="cellIs" dxfId="2491" priority="55" operator="equal">
      <formula>"RED"</formula>
    </cfRule>
    <cfRule type="cellIs" dxfId="2490" priority="56" operator="equal">
      <formula>"BLA"</formula>
    </cfRule>
  </conditionalFormatting>
  <conditionalFormatting sqref="BV9">
    <cfRule type="cellIs" dxfId="2489" priority="68" operator="equal">
      <formula>"nc"</formula>
    </cfRule>
  </conditionalFormatting>
  <conditionalFormatting sqref="BX9:CA9 CD9:CF9">
    <cfRule type="cellIs" dxfId="2488" priority="42" operator="equal">
      <formula>"y"</formula>
    </cfRule>
    <cfRule type="cellIs" dxfId="2487" priority="57" operator="equal">
      <formula>"PIN"</formula>
    </cfRule>
    <cfRule type="cellIs" dxfId="2486" priority="58" operator="equal">
      <formula>"ORA"</formula>
    </cfRule>
    <cfRule type="cellIs" dxfId="2485" priority="59" operator="equal">
      <formula>"GRA"</formula>
    </cfRule>
    <cfRule type="cellIs" dxfId="2484" priority="60" operator="equal">
      <formula>"PUR"</formula>
    </cfRule>
    <cfRule type="cellIs" dxfId="2483" priority="61" operator="equal">
      <formula>"BRO"</formula>
    </cfRule>
    <cfRule type="cellIs" dxfId="2482" priority="62" operator="equal">
      <formula>"YEL"</formula>
    </cfRule>
    <cfRule type="cellIs" dxfId="2481" priority="63" operator="equal">
      <formula>"BLU"</formula>
    </cfRule>
    <cfRule type="cellIs" dxfId="2480" priority="64" operator="equal">
      <formula>"WHI"</formula>
    </cfRule>
    <cfRule type="cellIs" dxfId="2479" priority="65" operator="equal">
      <formula>"GRE"</formula>
    </cfRule>
    <cfRule type="cellIs" dxfId="2478" priority="66" operator="equal">
      <formula>"RED"</formula>
    </cfRule>
    <cfRule type="cellIs" dxfId="2477" priority="67" operator="equal">
      <formula>"BLA"</formula>
    </cfRule>
  </conditionalFormatting>
  <conditionalFormatting sqref="BZ9:CA9 CD9:CF9">
    <cfRule type="cellIs" dxfId="2476" priority="44" operator="greaterThan">
      <formula>0</formula>
    </cfRule>
  </conditionalFormatting>
  <conditionalFormatting sqref="IC9:IK9">
    <cfRule type="expression" dxfId="2475" priority="45">
      <formula>$IL9&gt;0</formula>
    </cfRule>
  </conditionalFormatting>
  <conditionalFormatting sqref="J9">
    <cfRule type="colorScale" priority="69">
      <colorScale>
        <cfvo type="min"/>
        <cfvo type="percentile" val="50"/>
        <cfvo type="max"/>
        <color rgb="FFF8696B"/>
        <color rgb="FFFFEB84"/>
        <color rgb="FF63BE7B"/>
      </colorScale>
    </cfRule>
  </conditionalFormatting>
  <conditionalFormatting sqref="S9">
    <cfRule type="colorScale" priority="70">
      <colorScale>
        <cfvo type="min"/>
        <cfvo type="max"/>
        <color rgb="FFFCFCFF"/>
        <color rgb="FF754BFB"/>
      </colorScale>
    </cfRule>
  </conditionalFormatting>
  <conditionalFormatting sqref="AT9">
    <cfRule type="colorScale" priority="71">
      <colorScale>
        <cfvo type="min"/>
        <cfvo type="max"/>
        <color rgb="FFFCFCFF"/>
        <color theme="8" tint="0.39997558519241921"/>
      </colorScale>
    </cfRule>
  </conditionalFormatting>
  <conditionalFormatting sqref="CG9">
    <cfRule type="colorScale" priority="72">
      <colorScale>
        <cfvo type="min"/>
        <cfvo type="max"/>
        <color rgb="FFFCFCFF"/>
        <color rgb="FF63BE7B"/>
      </colorScale>
    </cfRule>
  </conditionalFormatting>
  <conditionalFormatting sqref="H10">
    <cfRule type="cellIs" dxfId="479" priority="5" stopIfTrue="1" operator="notEqual">
      <formula>""</formula>
    </cfRule>
  </conditionalFormatting>
  <conditionalFormatting sqref="R10 CU10">
    <cfRule type="cellIs" dxfId="478" priority="7" operator="greaterThan">
      <formula>0</formula>
    </cfRule>
  </conditionalFormatting>
  <conditionalFormatting sqref="T10:AS10 CH10:CS10">
    <cfRule type="cellIs" dxfId="477" priority="2" stopIfTrue="1" operator="equal">
      <formula>"n"</formula>
    </cfRule>
    <cfRule type="cellIs" dxfId="476" priority="3" stopIfTrue="1" operator="equal">
      <formula>"y"</formula>
    </cfRule>
    <cfRule type="cellIs" dxfId="475" priority="4" operator="greaterThan">
      <formula>0</formula>
    </cfRule>
  </conditionalFormatting>
  <conditionalFormatting sqref="AZ10:BB10">
    <cfRule type="expression" dxfId="474" priority="1">
      <formula>$AT10=0</formula>
    </cfRule>
  </conditionalFormatting>
  <conditionalFormatting sqref="AZ10:BU10">
    <cfRule type="cellIs" dxfId="473" priority="10" operator="equal">
      <formula>"PIN"</formula>
    </cfRule>
    <cfRule type="cellIs" dxfId="472" priority="11" operator="equal">
      <formula>"ORA"</formula>
    </cfRule>
    <cfRule type="cellIs" dxfId="471" priority="12" operator="equal">
      <formula>"GRA"</formula>
    </cfRule>
    <cfRule type="cellIs" dxfId="470" priority="13" operator="equal">
      <formula>"PUR"</formula>
    </cfRule>
    <cfRule type="cellIs" dxfId="469" priority="14" operator="equal">
      <formula>"BRO"</formula>
    </cfRule>
    <cfRule type="cellIs" dxfId="468" priority="15" operator="equal">
      <formula>"YEL"</formula>
    </cfRule>
    <cfRule type="cellIs" dxfId="467" priority="16" operator="equal">
      <formula>"BLU"</formula>
    </cfRule>
    <cfRule type="cellIs" dxfId="466" priority="17" operator="equal">
      <formula>"WHI"</formula>
    </cfRule>
    <cfRule type="cellIs" dxfId="465" priority="18" operator="equal">
      <formula>"GRE"</formula>
    </cfRule>
    <cfRule type="cellIs" dxfId="464" priority="19" operator="equal">
      <formula>"RED"</formula>
    </cfRule>
    <cfRule type="cellIs" dxfId="463" priority="20" operator="equal">
      <formula>"BLA"</formula>
    </cfRule>
  </conditionalFormatting>
  <conditionalFormatting sqref="BV10">
    <cfRule type="cellIs" dxfId="462" priority="32" operator="equal">
      <formula>"nc"</formula>
    </cfRule>
  </conditionalFormatting>
  <conditionalFormatting sqref="BX10:CA10 CD10:CF10">
    <cfRule type="cellIs" dxfId="461" priority="6" operator="equal">
      <formula>"y"</formula>
    </cfRule>
    <cfRule type="cellIs" dxfId="460" priority="21" operator="equal">
      <formula>"PIN"</formula>
    </cfRule>
    <cfRule type="cellIs" dxfId="459" priority="22" operator="equal">
      <formula>"ORA"</formula>
    </cfRule>
    <cfRule type="cellIs" dxfId="458" priority="23" operator="equal">
      <formula>"GRA"</formula>
    </cfRule>
    <cfRule type="cellIs" dxfId="457" priority="24" operator="equal">
      <formula>"PUR"</formula>
    </cfRule>
    <cfRule type="cellIs" dxfId="456" priority="25" operator="equal">
      <formula>"BRO"</formula>
    </cfRule>
    <cfRule type="cellIs" dxfId="455" priority="26" operator="equal">
      <formula>"YEL"</formula>
    </cfRule>
    <cfRule type="cellIs" dxfId="454" priority="27" operator="equal">
      <formula>"BLU"</formula>
    </cfRule>
    <cfRule type="cellIs" dxfId="453" priority="28" operator="equal">
      <formula>"WHI"</formula>
    </cfRule>
    <cfRule type="cellIs" dxfId="452" priority="29" operator="equal">
      <formula>"GRE"</formula>
    </cfRule>
    <cfRule type="cellIs" dxfId="451" priority="30" operator="equal">
      <formula>"RED"</formula>
    </cfRule>
    <cfRule type="cellIs" dxfId="450" priority="31" operator="equal">
      <formula>"BLA"</formula>
    </cfRule>
  </conditionalFormatting>
  <conditionalFormatting sqref="BZ10:CA10 CD10:CF10">
    <cfRule type="cellIs" dxfId="449" priority="8" operator="greaterThan">
      <formula>0</formula>
    </cfRule>
  </conditionalFormatting>
  <conditionalFormatting sqref="IC10:IK10">
    <cfRule type="expression" dxfId="448" priority="9">
      <formula>$IL10&gt;0</formula>
    </cfRule>
  </conditionalFormatting>
  <conditionalFormatting sqref="J10">
    <cfRule type="colorScale" priority="33">
      <colorScale>
        <cfvo type="min"/>
        <cfvo type="percentile" val="50"/>
        <cfvo type="max"/>
        <color rgb="FFF8696B"/>
        <color rgb="FFFFEB84"/>
        <color rgb="FF63BE7B"/>
      </colorScale>
    </cfRule>
  </conditionalFormatting>
  <conditionalFormatting sqref="S10">
    <cfRule type="colorScale" priority="34">
      <colorScale>
        <cfvo type="min"/>
        <cfvo type="max"/>
        <color rgb="FFFCFCFF"/>
        <color rgb="FF754BFB"/>
      </colorScale>
    </cfRule>
  </conditionalFormatting>
  <conditionalFormatting sqref="AT10">
    <cfRule type="colorScale" priority="35">
      <colorScale>
        <cfvo type="min"/>
        <cfvo type="max"/>
        <color rgb="FFFCFCFF"/>
        <color theme="8" tint="0.39997558519241921"/>
      </colorScale>
    </cfRule>
  </conditionalFormatting>
  <conditionalFormatting sqref="CG10">
    <cfRule type="colorScale" priority="36">
      <colorScale>
        <cfvo type="min"/>
        <cfvo type="max"/>
        <color rgb="FFFCFCFF"/>
        <color rgb="FF63BE7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2B830-364D-401F-93AE-594A528E68D2}">
  <dimension ref="A1:IY7"/>
  <sheetViews>
    <sheetView zoomScale="70" zoomScaleNormal="70" workbookViewId="0">
      <selection activeCell="A7" sqref="A7:XFD7"/>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240</v>
      </c>
      <c r="B2" s="40" t="e" vm="56">
        <v>#VALUE!</v>
      </c>
      <c r="C2" s="41">
        <v>1</v>
      </c>
      <c r="D2" s="42" t="s">
        <v>241</v>
      </c>
      <c r="E2" s="43" t="s">
        <v>242</v>
      </c>
      <c r="F2" s="44" t="s">
        <v>166</v>
      </c>
      <c r="G2" s="45">
        <f>COUNTIF($A$1:$A$8341,A2)</f>
        <v>1</v>
      </c>
      <c r="H2" s="46"/>
      <c r="I2" s="47" t="s">
        <v>243</v>
      </c>
      <c r="J2" s="48" t="str">
        <f>""</f>
        <v/>
      </c>
      <c r="K2" s="49">
        <v>114700</v>
      </c>
      <c r="L2" s="50">
        <v>18000</v>
      </c>
      <c r="M2" s="50" t="s">
        <v>244</v>
      </c>
      <c r="N2" s="51" t="s">
        <v>169</v>
      </c>
      <c r="O2" s="52" t="s">
        <v>245</v>
      </c>
      <c r="P2" s="53" t="s">
        <v>246</v>
      </c>
      <c r="Q2" s="54">
        <v>1</v>
      </c>
      <c r="R2" s="55" t="s">
        <v>169</v>
      </c>
      <c r="S2" s="56">
        <v>0</v>
      </c>
      <c r="T2" s="57" t="s">
        <v>173</v>
      </c>
      <c r="U2" s="58" t="s">
        <v>173</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172</v>
      </c>
      <c r="AI2" s="59" t="s">
        <v>173</v>
      </c>
      <c r="AJ2" s="59" t="s">
        <v>173</v>
      </c>
      <c r="AK2" s="59" t="s">
        <v>173</v>
      </c>
      <c r="AL2" s="59" t="s">
        <v>173</v>
      </c>
      <c r="AM2" s="59" t="s">
        <v>173</v>
      </c>
      <c r="AN2" s="59" t="s">
        <v>173</v>
      </c>
      <c r="AO2" s="59" t="s">
        <v>173</v>
      </c>
      <c r="AP2" s="59" t="s">
        <v>173</v>
      </c>
      <c r="AQ2" s="59" t="s">
        <v>173</v>
      </c>
      <c r="AR2" s="59" t="s">
        <v>172</v>
      </c>
      <c r="AS2" s="59" t="s">
        <v>173</v>
      </c>
      <c r="AT2" s="60">
        <v>4</v>
      </c>
      <c r="AU2" s="59"/>
      <c r="AV2" s="59" t="str">
        <f>IF(LEFT(A2,1)="[",LEFT(A2,5)&amp;AU2&amp;A2,"")</f>
        <v/>
      </c>
      <c r="AW2" s="59" t="str">
        <f>C2&amp;H2&amp;A2</f>
        <v>1Micronesia</v>
      </c>
      <c r="AX2" s="61"/>
      <c r="AY2" s="61"/>
      <c r="AZ2" s="62" t="s">
        <v>192</v>
      </c>
      <c r="BA2" s="62"/>
      <c r="BB2" s="62"/>
      <c r="BC2" s="63"/>
      <c r="BD2" s="64" t="s">
        <v>152</v>
      </c>
      <c r="BE2" s="47"/>
      <c r="BF2" s="64" t="s">
        <v>192</v>
      </c>
      <c r="BG2" s="64" t="s">
        <v>192</v>
      </c>
      <c r="BH2" s="64" t="s">
        <v>192</v>
      </c>
      <c r="BI2" s="64"/>
      <c r="BJ2" s="64"/>
      <c r="BK2" s="47"/>
      <c r="BL2" s="64" t="s">
        <v>151</v>
      </c>
      <c r="BM2" s="64" t="s">
        <v>152</v>
      </c>
      <c r="BN2" s="64" t="s">
        <v>192</v>
      </c>
      <c r="BO2" s="64" t="s">
        <v>154</v>
      </c>
      <c r="BP2" s="64" t="s">
        <v>155</v>
      </c>
      <c r="BQ2" s="64" t="s">
        <v>192</v>
      </c>
      <c r="BR2" s="64" t="s">
        <v>157</v>
      </c>
      <c r="BS2" s="64" t="s">
        <v>192</v>
      </c>
      <c r="BT2" s="64" t="s">
        <v>159</v>
      </c>
      <c r="BU2" s="65"/>
      <c r="BV2" s="66"/>
      <c r="BW2" s="66">
        <v>0</v>
      </c>
      <c r="BX2" s="47"/>
      <c r="CB2" s="6"/>
      <c r="CC2" s="6"/>
      <c r="CD2" s="67">
        <v>0</v>
      </c>
      <c r="CE2" s="67">
        <v>0</v>
      </c>
      <c r="CF2" s="67" t="e">
        <v>#REF!</v>
      </c>
      <c r="CG2" s="68" cm="1">
        <f t="array" ref="CG2">SUMPRODUCT(--(LEN(TRIM(BL2:BT2))&gt;0))</f>
        <v>6</v>
      </c>
      <c r="CH2" s="59" t="str">
        <f t="shared" ref="CH2:CH7" si="0">IF(CG2=2,"y","n")</f>
        <v>n</v>
      </c>
      <c r="CI2" s="59" t="str">
        <f t="shared" ref="CI2:CI7" si="1">IF(CG2=3,"y","n")</f>
        <v>n</v>
      </c>
      <c r="CJ2" s="59" t="str">
        <f t="shared" ref="CJ2:CJ7" si="2">IF(CG2=4,"y","n")</f>
        <v>n</v>
      </c>
      <c r="CK2" s="59" t="str">
        <f t="shared" ref="CK2:CK7" si="3">IF(CG2&gt;4,"y","n")</f>
        <v>y</v>
      </c>
      <c r="CL2" s="59" t="str">
        <f t="shared" ref="CL2:CL7" si="4">IF(S2=0,"y","n")</f>
        <v>y</v>
      </c>
      <c r="CM2" s="59" t="str">
        <f t="shared" ref="CM2:CM7" si="5">IF(S2=2,"y","n")</f>
        <v>n</v>
      </c>
      <c r="CN2" s="59" t="str">
        <f t="shared" ref="CN2:CN7" si="6">IF(S2=3,"y","n")</f>
        <v>n</v>
      </c>
      <c r="CO2" s="59" t="str">
        <f t="shared" ref="CO2:CO7" si="7">IF(S2&gt;=4,"y","n")</f>
        <v>n</v>
      </c>
      <c r="CP2" s="59" t="str">
        <f t="shared" ref="CP2:CP7" si="8">IF(AT2=0,"y","n")</f>
        <v>n</v>
      </c>
      <c r="CQ2" s="59" t="str">
        <f t="shared" ref="CQ2:CQ7" si="9">IF(AT2=1,"y","n")</f>
        <v>n</v>
      </c>
      <c r="CR2" s="59" t="str">
        <f t="shared" ref="CR2:CR7" si="10">IF(AT2=2,"y","n")</f>
        <v>n</v>
      </c>
      <c r="CS2" s="59" t="str">
        <f t="shared" ref="CS2:CS7" si="11">IF(AT2&gt;=3,"y","n")</f>
        <v>y</v>
      </c>
      <c r="CT2" s="69" t="str">
        <f t="shared" ref="CT2:CT7" si="12">CHAR(34)&amp;A2&amp;CHAR(34)</f>
        <v>"Micronesia"</v>
      </c>
      <c r="CU2" s="70" t="str">
        <f t="shared" ref="CU2:CU7" si="13">CHAR(34)&amp;"rgn_"&amp;R2&amp;CHAR(34)</f>
        <v>"rgn_Oceania"</v>
      </c>
      <c r="CV2" s="48" t="str">
        <f t="shared" ref="CV2:CV7" si="14">CHAR(34)&amp;D2&amp;CHAR(34)</f>
        <v>"https://i.ibb.co/j4nBMmd/Micronesia-Flag.png"</v>
      </c>
      <c r="CW2" s="48" t="str">
        <f t="shared" ref="CW2:CZ7" si="15">IF(CH2="y",CHAR(34)&amp;CH$1&amp;CHAR(34)&amp;",","")</f>
        <v/>
      </c>
      <c r="CX2" s="48" t="str">
        <f t="shared" si="15"/>
        <v/>
      </c>
      <c r="CY2" s="48" t="str">
        <f t="shared" si="15"/>
        <v/>
      </c>
      <c r="CZ2" s="48" t="str">
        <f t="shared" si="15"/>
        <v>"5+Colo",</v>
      </c>
      <c r="DA2" s="48" t="str">
        <f t="shared" ref="DA2:DA7" si="16">IF(Q2&gt;1,CHAR(34)&amp;"words2"&amp;CHAR(34)&amp;",","")</f>
        <v/>
      </c>
      <c r="DB2" s="48" t="str">
        <f t="shared" ref="DB2:DB7"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"startM",</v>
      </c>
      <c r="DF2" s="48" t="str">
        <f t="shared" ref="DF2:DF7" si="21">IFERROR(IF(SEARCH("tan",A2)&gt;0,CHAR(34)&amp;"withtn"&amp;CHAR(34)&amp;",",""),"")</f>
        <v/>
      </c>
      <c r="DG2" s="48" t="str">
        <f t="shared" ref="DG2:DG7" si="22">IFERROR(IF(SEARCH("q",A2)&gt;0,CHAR(34)&amp;"with_q"&amp;CHAR(34)&amp;",",""),"")</f>
        <v/>
      </c>
      <c r="DH2" s="48" t="str">
        <f t="shared" ref="DH2:DH7" si="23">IFERROR(IF(SEARCH("v",A2)&gt;0,CHAR(34)&amp;"with_v"&amp;CHAR(34)&amp;",",""),"")</f>
        <v/>
      </c>
      <c r="DI2" s="48" t="str">
        <f t="shared" ref="DI2:DI7" si="24">IFERROR(IF(SEARCH("w",A2)&gt;0,CHAR(34)&amp;"with_w"&amp;CHAR(34)&amp;",",""),"")</f>
        <v/>
      </c>
      <c r="DJ2" s="48" t="str">
        <f t="shared" ref="DJ2:DJ7" si="25">IFERROR(IF(SEARCH("y",A2)&gt;0,CHAR(34)&amp;"with_y"&amp;CHAR(34)&amp;",",""),"")</f>
        <v/>
      </c>
      <c r="DK2" s="48" t="str">
        <f t="shared" ref="DK2:DK7" si="26">IFERROR(IF(SEARCH("z",A2)&gt;0,CHAR(34)&amp;"with_z"&amp;CHAR(34)&amp;",",""),"")</f>
        <v/>
      </c>
      <c r="DL2" s="48" t="str">
        <f t="shared" ref="DL2:DL7" si="27">IF(CG2=2, CHAR(34) &amp; _xlfn.TEXTJOIN("", TRUE, _xlfn._xlws.SORT(HP2:HX2)) &amp; CHAR(34) &amp; ",", "")</f>
        <v/>
      </c>
      <c r="DM2" s="48" t="str" cm="1">
        <f t="array" ref="DM2">IF(CG2=3,CHAR(34) &amp; _xlfn.TEXTJOIN("", TRUE, RIGHT(HP2:HX2, 2)) &amp; CHAR(34) &amp; ",", "")</f>
        <v/>
      </c>
      <c r="DN2" s="48" t="str">
        <f t="shared" ref="DN2:DN7" si="28">IF(AND(ISNUMBER(SEARCH("18", O2)), ISERROR(SEARCH("1918", O2)), ISERROR(SEARCH("2018", O2))), CHAR(34) &amp; "year18" &amp; CHAR(34) &amp; ",", "")</f>
        <v/>
      </c>
      <c r="DO2" s="48" t="str">
        <f t="shared" ref="DO2:DO7" si="29">IF(AND(ISNUMBER(SEARCH("19", O2)), ISERROR(SEARCH("1819", O2)),  ISERROR(SEARCH("1219", O2)),ISERROR(SEARCH("1119", O2)),ISERROR(SEARCH("1190", O2)),ISERROR(SEARCH("2019", O2))), CHAR(34) &amp; "year19" &amp; CHAR(34) &amp; ",", "")</f>
        <v>"year19",</v>
      </c>
      <c r="DP2" s="6" t="str">
        <f t="shared" ref="DP2:DP7" si="30">IF(AND(ISNUMBER(SEARCH("20", O2)), ISERROR(SEARCH("1920", O2))), CHAR(34)&amp;"year00"&amp;CHAR(34)&amp;",", "")</f>
        <v/>
      </c>
      <c r="DQ2" s="6" t="str">
        <f t="shared" ref="DQ2:DQ7" si="31">IF(CC2="y",CHAR(34)&amp;"soviet"&amp;CHAR(34)&amp;",","")</f>
        <v/>
      </c>
      <c r="DR2" s="6" t="str">
        <f t="shared" ref="DR2:DR7" si="32">IF(BY2="y",CHAR(34)&amp;"dgband"&amp;CHAR(34)&amp;",","")</f>
        <v/>
      </c>
      <c r="DS2" s="6" t="str">
        <f t="shared" ref="DS2:DS7" si="33">IF(W2="y",IF(AND(V2="n",BY2&lt;&gt;"y"),CHAR(34)&amp;"allver"&amp;CHAR(34)&amp;",",""),"")</f>
        <v/>
      </c>
      <c r="DT2" s="6" t="str">
        <f t="shared" ref="DT2:DT7" si="34">IF(V2="y",IF(AND(W2="n",BY2&lt;&gt;"y"),CHAR(34)&amp;"allhor"&amp;CHAR(34)&amp;",",""),"")</f>
        <v/>
      </c>
      <c r="DU2" s="6" t="str">
        <f t="shared" ref="DU2:DU7" si="35">IF(BY2="y",IF(AND(W2="n",V2="n"),CHAR(34)&amp;"alldia"&amp;CHAR(34)&amp;",",""),"")</f>
        <v/>
      </c>
      <c r="DV2" s="48" t="str">
        <f t="shared" ref="DV2" si="36">IF(IA2&lt;&gt;"",(IF(IA2="y",CHAR(34)&amp;"largec"&amp;CHAR(34)&amp;",",CHAR(34)&amp;"smallc"&amp;CHAR(34)&amp;",")),"")</f>
        <v>"largec",</v>
      </c>
      <c r="DW2" s="48" t="str">
        <f t="shared" ref="DW2:DZ7" si="37">IF(CL2="y",CHAR(34)&amp;CL$1&amp;CHAR(34)&amp;",","")</f>
        <v>"NoBand",</v>
      </c>
      <c r="DX2" s="48" t="str">
        <f t="shared" si="37"/>
        <v/>
      </c>
      <c r="DY2" s="48" t="str">
        <f t="shared" si="37"/>
        <v/>
      </c>
      <c r="DZ2" s="48" t="str">
        <f t="shared" si="37"/>
        <v/>
      </c>
      <c r="EA2" s="48" t="str">
        <f t="shared" ref="EA2:EE7" si="38">IF(T2="y",CHAR(34)&amp;T$1&amp;CHAR(34)&amp;",","")</f>
        <v/>
      </c>
      <c r="EB2" s="48" t="str">
        <f t="shared" si="38"/>
        <v/>
      </c>
      <c r="EC2" s="48" t="str">
        <f t="shared" si="38"/>
        <v/>
      </c>
      <c r="ED2" s="48" t="str">
        <f t="shared" si="38"/>
        <v/>
      </c>
      <c r="EE2" s="48" t="str">
        <f t="shared" si="38"/>
        <v/>
      </c>
      <c r="EF2" s="48" t="str">
        <f t="shared" ref="EF2:EF7" si="39">IF(AND(Y2&lt;&gt;"n",Y2&lt;&gt;""),CHAR(34)&amp;Y$1&amp;CHAR(34)&amp;",","")</f>
        <v/>
      </c>
      <c r="EG2" s="48" t="str">
        <f t="shared" ref="EG2:EZ7"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"Center",</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"Rotate",</v>
      </c>
      <c r="EZ2" s="48" t="str">
        <f t="shared" si="40"/>
        <v/>
      </c>
      <c r="FA2" s="48" t="str">
        <f t="shared" ref="FA2:FA7" si="41">IF(AT2&gt;0,CHAR(34)&amp;"sta"&amp;AZ2&amp;CHAR(34)&amp;",","")</f>
        <v>"sta",</v>
      </c>
      <c r="FB2" s="48" t="str">
        <f t="shared" ref="FB2:FB7" si="42">IF(AND(AT2&gt;0,BA2&lt;&gt;""),CHAR(34)&amp;"sta"&amp;BA2&amp;CHAR(34)&amp;",","")</f>
        <v/>
      </c>
      <c r="FC2" s="48" t="str">
        <f t="shared" ref="FC2" si="43">IF(AND(AT2&gt;0,BB2&lt;&gt;""),CHAR(34)&amp;"sta"&amp;BB2&amp;CHAR(34)&amp;",","")</f>
        <v/>
      </c>
      <c r="FD2" s="48" t="str">
        <f t="shared" ref="FD2:FD7" si="44">IF(BV2="n",CHAR(34)&amp;"tcWHYE"&amp;CHAR(34)&amp;",",IF(BV2="y",CHAR(34)&amp;FD$1&amp;CHAR(34)&amp;",",""))</f>
        <v/>
      </c>
      <c r="FE2" s="48" t="str">
        <f t="shared" ref="FE2:FE7" si="45">IF(COUNTIF(BL2:BT2,"BLU")=0,CHAR(34)&amp;"NO_BLU"&amp;CHAR(34)&amp;",", "")</f>
        <v/>
      </c>
      <c r="FF2" s="48" t="str">
        <f t="shared" ref="FF2:FF7" si="46">IF(COUNTIF(BL2:BT2,"WHI")=0,CHAR(34)&amp;"NO_WHI"&amp;CHAR(34)&amp;",", "")</f>
        <v/>
      </c>
      <c r="FG2" s="48" t="str">
        <f t="shared" ref="FG2:FG7" si="47">IF(COUNTIF(BL2:BT2,"RED")=0,CHAR(34)&amp;"NO_RED"&amp;CHAR(34)&amp;",", "")</f>
        <v/>
      </c>
      <c r="FH2" s="48" t="str">
        <f t="shared" ref="FH2:FH7" si="48">IF(COUNTIF(BL2:BS2,"GRE")=0,CHAR(34)&amp;"NO_GRE"&amp;CHAR(34)&amp;",", "")</f>
        <v>"NO_GRE",</v>
      </c>
      <c r="FI2" s="48" t="str">
        <f t="shared" ref="FI2:FI7" si="49">IF(COUNTIF(BL2:BT2,"YEL")=0,CHAR(34)&amp;"NO_YEL"&amp;CHAR(34)&amp;",", "")</f>
        <v/>
      </c>
      <c r="FJ2" s="48" t="str">
        <f t="shared" ref="FJ2:FJ7" si="50">IF(COUNTIF(BL2:BT2,"BLA")=0,CHAR(34)&amp;"NO_BLA"&amp;CHAR(34)&amp;",", "")</f>
        <v/>
      </c>
      <c r="FK2" s="48" t="str">
        <f t="shared" ref="FK2:FK7" si="51">IF(AND(FH2&lt;&gt;"",FF2&lt;&gt;""),CHAR(34)&amp;"WHGRNO"&amp;CHAR(34)&amp;",","")</f>
        <v/>
      </c>
      <c r="FL2" s="48" t="str">
        <f t="shared" ref="FL2:FL7" si="52">IF(AND(FI2&lt;&gt;"",FF2&lt;&gt;""),CHAR(34)&amp;"WHYENO"&amp;CHAR(34)&amp;",","")</f>
        <v/>
      </c>
      <c r="FM2" s="48" t="str">
        <f t="shared" ref="FM2:FM7" si="53">IF(AND(FJ2&lt;&gt;"",FF2&lt;&gt;""),CHAR(34)&amp;"BAWHNO"&amp;CHAR(34)&amp;",","")</f>
        <v/>
      </c>
      <c r="FN2" s="48" t="str">
        <f t="shared" ref="FN2:FN7" si="54">IF(AND(FE2&lt;&gt;"",FF2&lt;&gt;""),CHAR(34)&amp;"BLWHNO"&amp;CHAR(34)&amp;",","")</f>
        <v/>
      </c>
      <c r="FO2" s="48" t="str">
        <f t="shared" ref="FO2:FO7" si="55">IF(AND(FE2&lt;&gt;"",FG2&lt;&gt;""),CHAR(34)&amp;"BLRENO"&amp;CHAR(34)&amp;",","")</f>
        <v/>
      </c>
      <c r="FP2" s="48" t="str">
        <f t="shared" ref="FP2:FP7" si="56">IF(AND(FF2&lt;&gt;"",FF2&lt;&gt;""),CHAR(34)&amp;"WHRENO"&amp;CHAR(34)&amp;",","")</f>
        <v/>
      </c>
      <c r="FQ2" s="48" t="str">
        <f t="shared" ref="FQ2:FQ7" si="57">IF(LEN(BF2)=3,CHAR(34)&amp;"001"&amp;BF2&amp;CHAR(34)&amp;",","")</f>
        <v/>
      </c>
      <c r="FR2" s="48" t="str">
        <f t="shared" ref="FR2:FR7" si="58">IF(LEN(BG2)=3,CHAR(34)&amp;"002"&amp;BG2&amp;CHAR(34)&amp;",","")</f>
        <v/>
      </c>
      <c r="FS2" s="48" t="str">
        <f t="shared" ref="FS2:FS7" si="59">IF(LEN(BH2)=3,CHAR(34)&amp;"003"&amp;BH2&amp;CHAR(34)&amp;",","")</f>
        <v/>
      </c>
      <c r="FT2" s="48" t="str">
        <f t="shared" ref="FT2:FT7" si="60">CHAR(34)&amp;"myr"&amp;BD2&amp;CHAR(34)&amp;","</f>
        <v>"myrBLU",</v>
      </c>
      <c r="FU2" s="48" t="str">
        <f t="shared" ref="FU2:FU7" si="61">IF(AY2="y",CHAR(34)&amp;"island"&amp;CHAR(34)&amp;",","")</f>
        <v/>
      </c>
      <c r="FV2" s="48" t="str">
        <f t="shared" ref="FV2:FV7" si="62">IF(BZ2="y",CHAR(34)&amp;"landlo"&amp;CHAR(34)&amp;",","")</f>
        <v/>
      </c>
      <c r="FW2" s="48" t="str">
        <f t="shared" ref="FW2:FW7" si="63">IF(CA2="y",CHAR(34)&amp;"eunion"&amp;CHAR(34)&amp;",","")</f>
        <v/>
      </c>
      <c r="FX2" s="48" t="str">
        <f t="shared" ref="FX2" si="64">SUBSTITUTE(IFERROR(SEARCH("[",A2),IFERROR(IF(AND(CA2&lt;&gt;"y",SEARCH("Europe",R2)&gt;0),CHAR(34)&amp;"noeuni"&amp;CHAR(34)&amp;",",""),"")),"1","")</f>
        <v/>
      </c>
      <c r="FY2" s="48" t="str">
        <f t="shared" ref="FY2:FY7" si="65">IFERROR(IF(SEARCH("Arabic",CB2)&gt;0,CHAR(34)&amp;"arabic"&amp;CHAR(34)&amp;",",""),"")</f>
        <v/>
      </c>
      <c r="FZ2" s="48" t="str">
        <f t="shared" ref="FZ2:FZ7" si="66">IFERROR(IF(SEARCH("English",CB2)&gt;0,CHAR(34)&amp;"englis"&amp;CHAR(34)&amp;",",""),"")</f>
        <v/>
      </c>
      <c r="GA2" s="48" t="str">
        <f t="shared" ref="GA2:GA7" si="67">IFERROR(IF(SEARCH("French",CB2)&gt;0,CHAR(34)&amp;"french"&amp;CHAR(34)&amp;",",""),"")</f>
        <v/>
      </c>
      <c r="GB2" s="48" t="str">
        <f t="shared" ref="GB2:GB7"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7" si="71">IFERROR(IF(SEARCH("Dutch",CB2)&gt;0,CHAR(34)&amp;"dutchs"&amp;CHAR(34)&amp;",",""),"")</f>
        <v/>
      </c>
      <c r="GF2" s="48" t="str">
        <f>IFERROR(IF(SEARCH("Historical",AU2)&gt;0,CHAR(34)&amp;"histor"&amp;CHAR(34)&amp;",",""),"")</f>
        <v/>
      </c>
      <c r="GG2" s="48" t="str">
        <f t="shared" ref="GG2:GG7" si="72">IF(BU2="y",CHAR(34)&amp;"unjack"&amp;CHAR(34)&amp;",","")</f>
        <v/>
      </c>
      <c r="GH2" s="48" t="str">
        <f t="shared" ref="GH2:GH7" si="73">IF(CD2=1,CHAR(34)&amp;"southc"&amp;CHAR(34)&amp;",","")</f>
        <v/>
      </c>
      <c r="GI2" s="48" t="str">
        <f t="shared" ref="GI2:GI7" si="74">IF(CE2=1,CHAR(34)&amp;"hasmap"&amp;CHAR(34)&amp;",","")</f>
        <v/>
      </c>
      <c r="GJ2" s="48" t="str">
        <f t="shared" ref="GJ2:GJ7" si="75">IF(CP2="y",CHAR(34)&amp;CP$1&amp;CHAR(34)&amp;",","")</f>
        <v/>
      </c>
      <c r="GK2" s="48" t="str">
        <f t="shared" ref="GK2:GK7" si="76">IF(GJ2="",CHAR(34)&amp;"HasSta"&amp;CHAR(34)&amp;",","")</f>
        <v>"HasSta",</v>
      </c>
      <c r="GL2" s="48" t="str">
        <f t="shared" ref="GL2:GN7" si="77">IF(CQ2="y",CHAR(34)&amp;CQ$1&amp;CHAR(34)&amp;",","")</f>
        <v/>
      </c>
      <c r="GM2" s="48" t="str">
        <f t="shared" si="77"/>
        <v/>
      </c>
      <c r="GN2" s="48" t="str">
        <f t="shared" si="77"/>
        <v>"3+Star",</v>
      </c>
      <c r="GP2" s="48" t="str">
        <f t="shared" ref="GP2:GP7" si="78">CHAR(34)&amp;AU2&amp;CHAR(34)</f>
        <v>""</v>
      </c>
      <c r="GS2" s="48" t="str">
        <f t="shared" ref="GS2:GS7" si="79">SUBSTITUTE("["&amp;_xlfn.CONCAT(CW2:GN2)&amp;"]",",]","]")</f>
        <v>["5+Colo","lets10","startM","year19","largec","NoBand","Center","Rotate","sta","NO_GRE","myrBLU","HasSta","3+Star"]</v>
      </c>
      <c r="GT2" s="48" t="str">
        <f t="shared" ref="GT2:HB7" si="80">IF(BL2&lt;&gt;"",CHAR(34)&amp;"cl_"&amp;BL2&amp;CHAR(34)&amp;",","")</f>
        <v>"cl_BLA",</v>
      </c>
      <c r="GU2" s="48" t="str">
        <f t="shared" si="80"/>
        <v>"cl_BLU",</v>
      </c>
      <c r="GV2" s="48" t="str">
        <f t="shared" si="80"/>
        <v/>
      </c>
      <c r="GW2" s="48" t="str">
        <f t="shared" si="80"/>
        <v>"cl_RED",</v>
      </c>
      <c r="GX2" s="48" t="str">
        <f t="shared" si="80"/>
        <v>"cl_YEL",</v>
      </c>
      <c r="GY2" s="48" t="str">
        <f t="shared" si="80"/>
        <v/>
      </c>
      <c r="GZ2" s="48" t="str">
        <f t="shared" si="80"/>
        <v>"cl_BRO",</v>
      </c>
      <c r="HA2" s="48" t="str">
        <f t="shared" si="80"/>
        <v/>
      </c>
      <c r="HB2" s="48" t="str">
        <f t="shared" si="80"/>
        <v>"cl_WHI",</v>
      </c>
      <c r="HC2" s="48" t="str">
        <f t="shared" ref="HC2:HC7" si="81">SUBSTITUTE("["&amp;_xlfn.CONCAT(GT2:HB2)&amp;"]",",]","]")</f>
        <v>["cl_BLA","cl_BLU","cl_RED","cl_YEL","cl_BRO","cl_WHI"]</v>
      </c>
      <c r="HE2" s="71"/>
      <c r="HF2" s="72" t="str">
        <f t="shared" ref="HF2:HF7" si="82">"{couname:"&amp;CT2&amp;(IF(HK2&lt;&gt;"",",subtype:"&amp;CHAR(34)&amp;HK2&amp;CHAR(34),""))&amp;",year:"&amp;HJ2&amp;",region:"&amp;CU2&amp;",Colors:"&amp;HC2&amp;",Items:"&amp;GS2&amp;",Flag:"&amp;CV2&amp;",HDFlag:"&amp;CHAR(34)&amp;E2&amp;CHAR(34)&amp;",type:"&amp;GP2&amp;", describe: "&amp;HH2&amp;", isnew:"&amp;CHAR(34)&amp;F2&amp;CHAR(34)&amp;", links: "&amp;HL2&amp;"},"</f>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links: "https://en.wikipedia.org/wiki/Flag_of_the_Federated_States_of_Micronesia"},</v>
      </c>
      <c r="HG2" s="73" t="str">
        <f t="shared" ref="HG2:HG7" si="83">"{couname:"&amp;CT2&amp;(IF(HK2&lt;&gt;"",",subtype:"&amp;CHAR(34)&amp;HK2&amp;CHAR(34),""))&amp;",year:"&amp;HJ2&amp;",region:"&amp;CU2&amp;",Colors:"&amp;HC2&amp;",Items:"&amp;GS2&amp;",Flag:"&amp;CV2&amp;",HDFlag:"&amp;CHAR(34)&amp;E2&amp;CHAR(34)&amp;",type:"&amp;GP2&amp;", describe: "&amp;HI2&amp;", links: "&amp;HL2&amp;"},"</f>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links: "https://en.wikipedia.org/wiki/Flag_of_the_Federated_States_of_Micronesia"},</v>
      </c>
      <c r="HH2" s="48" t="str">
        <f t="shared" ref="HH2:HH7" si="84">IF(P2&lt;&gt;"",CHAR(34)&amp;"\n"&amp;P2&amp;CHAR(34),CHAR(34)&amp;CHAR(34))</f>
        <v>"\nThe blue field represents the Pacific Ocean. In an echo of U.S. heraldic practice, the stars represent the four federated states: Chuuk, Pohnpei, Kosrae and Yap, arranged like the points of the compass."</v>
      </c>
      <c r="HI2" s="48" t="str">
        <f t="shared" ref="HI2:HI7" si="85">IF(J2=0,CHAR(34)&amp;CHAR(34),HH2)</f>
        <v>"\nThe blue field represents the Pacific Ocean. In an echo of U.S. heraldic practice, the stars represent the four federated states: Chuuk, Pohnpei, Kosrae and Yap, arranged like the points of the compass."</v>
      </c>
      <c r="HJ2" s="48" t="str">
        <f t="shared" ref="HJ2:HJ7" si="86">CHAR(34)&amp;O2&amp;CHAR(34)</f>
        <v>"1978 "</v>
      </c>
      <c r="HL2" s="48" t="str">
        <f t="shared" ref="HL2:HL7" si="87">CHAR(34)&amp;I2&amp;CHAR(34)</f>
        <v>"https://en.wikipedia.org/wiki/Flag_of_the_Federated_States_of_Micronesia"</v>
      </c>
      <c r="HM2" s="72" t="str">
        <f t="shared" ref="HM2:HM7"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 "links": "https://en.wikipedia.org/wiki/Flag_of_the_Federated_States_of_Micronesia"},</v>
      </c>
      <c r="HN2" s="74" t="str">
        <f t="shared" ref="HN2:HN7"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{"couname":"Micronesia","year":"1978 ","region":"rgn_Oceania","Colors":["cl_BLA","cl_BLU","cl_RED","cl_YEL","cl_BRO","cl_WHI"],"Items":["5+Colo","lets10","startM","year19","largec","NoBand","Center","Rotate","sta","NO_GRE","myrBLU","HasSta","3+Star"],"Flag":"https://i.ibb.co/j4nBMmd/Micronesia-Flag.png","HDFlag":"https://upload.wikimedia.org/wikipedia/commons/thumb/e/e4/Flag_of_the_Federated_States_of_Micronesia.svg/2560px-Flag_of_the_Federated_States_of_Micronesia.svg.png","type":"", "describe": "\nThe blue field represents the Pacific Ocean. In an echo of U.S. heraldic practice, the stars represent the four federated states: Chuuk, Pohnpei, Kosrae and Yap, arranged like the points of the compass.", "isnew": ".", "links": "https://en.wikipedia.org/wiki/Flag_of_the_Federated_States_of_Micronesia"},</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0">SUM(IC2:IK2)</f>
        <v>0</v>
      </c>
      <c r="IM2" s="45">
        <f t="shared" ref="IM2:IM7" si="91">COUNTIF(IC2:IK2,"&gt;0")-CG2</f>
        <v>-6</v>
      </c>
      <c r="IN2" s="78" t="str">
        <f t="shared" ref="IN2:IN7" si="92">"http://mkweb.bcgsc.ca/color-summarizer/?url="&amp;D2&amp;"&amp;precision=low&amp;num_clusters="&amp;CG2&amp;"&amp;text=1"</f>
        <v>http://mkweb.bcgsc.ca/color-summarizer/?url=https://i.ibb.co/j4nBMmd/Micronesia-Flag.png&amp;precision=low&amp;num_clusters=6&amp;text=1</v>
      </c>
      <c r="IO2" s="48" t="str">
        <f t="shared" ref="IO2:IO7" si="93">IF(HP2&lt;&gt;"",CHAR(34)&amp;"black"&amp;CHAR(34),"")</f>
        <v>"black"</v>
      </c>
      <c r="IP2" s="48" t="str">
        <f t="shared" ref="IP2:IP7" si="94">IF(HQ2&lt;&gt;"",CHAR(34)&amp;"blue"&amp;CHAR(34),"")</f>
        <v>"blue"</v>
      </c>
      <c r="IQ2" s="48" t="str">
        <f t="shared" ref="IQ2:IQ7" si="95">IF(HR2&lt;&gt;"",CHAR(34)&amp;"green"&amp;CHAR(34),"")</f>
        <v/>
      </c>
      <c r="IR2" s="48" t="str">
        <f t="shared" ref="IR2:IR7" si="96">IF(HS2&lt;&gt;"",CHAR(34)&amp;"red"&amp;CHAR(34),"")</f>
        <v>"red"</v>
      </c>
      <c r="IS2" s="48" t="str">
        <f t="shared" ref="IS2:IS7" si="97">IF(HT2&lt;&gt;"",CHAR(34)&amp;"yellow"&amp;CHAR(34),"")</f>
        <v>"yellow"</v>
      </c>
      <c r="IT2" s="48" t="str">
        <f t="shared" ref="IT2:IT7" si="98">IF(HU2&lt;&gt;"",CHAR(34)&amp;"orange"&amp;CHAR(34),"")</f>
        <v/>
      </c>
      <c r="IU2" s="48" t="str">
        <f t="shared" ref="IU2:IU7" si="99">IF(HV2&lt;&gt;"",CHAR(34)&amp;"brown"&amp;CHAR(34),"")</f>
        <v>"brown"</v>
      </c>
      <c r="IV2" s="48" t="str">
        <f t="shared" ref="IV2:IV7" si="100">IF(HW2&lt;&gt;"",CHAR(34)&amp;"purple"&amp;CHAR(34),"")</f>
        <v/>
      </c>
      <c r="IW2" s="48" t="str">
        <f t="shared" ref="IW2:IW7" si="101">IF(HX2&lt;&gt;"",CHAR(34)&amp;"white"&amp;CHAR(34),"")</f>
        <v>"white"</v>
      </c>
      <c r="IX2" s="48" t="str">
        <f t="shared" ref="IX2:IX7" si="102">"{"&amp;CHAR(34)&amp;"url"&amp;CHAR(34)&amp;":"&amp;CHAR(34)&amp;IN2&amp;CHAR(34)&amp;","&amp;CHAR(34)&amp;"name"&amp;CHAR(34)&amp;":"&amp;CHAR(34)&amp;A2&amp;CHAR(34)&amp;"},"</f>
        <v>{"url":"http://mkweb.bcgsc.ca/color-summarizer/?url=https://i.ibb.co/j4nBMmd/Micronesia-Flag.png&amp;precision=low&amp;num_clusters=6&amp;text=1","name":"Micronesia"},</v>
      </c>
      <c r="IY2" s="48">
        <v>942</v>
      </c>
    </row>
    <row r="3" spans="1:259" s="48" customFormat="1" ht="38.4" customHeight="1" thickBot="1" x14ac:dyDescent="0.35">
      <c r="A3" s="79" t="s">
        <v>445</v>
      </c>
      <c r="B3" s="40" t="e" vm="57">
        <v>#VALUE!</v>
      </c>
      <c r="C3" s="41">
        <v>2</v>
      </c>
      <c r="D3" s="42" t="s">
        <v>446</v>
      </c>
      <c r="E3" s="43" t="s">
        <v>447</v>
      </c>
      <c r="F3" s="44" t="s">
        <v>166</v>
      </c>
      <c r="G3" s="45">
        <f>COUNTIF($A$1:$A$8341,A3)</f>
        <v>1</v>
      </c>
      <c r="H3" s="46"/>
      <c r="I3" s="47" t="s">
        <v>448</v>
      </c>
      <c r="J3" s="48" t="str">
        <f>""</f>
        <v/>
      </c>
      <c r="K3" s="49"/>
      <c r="L3" s="50"/>
      <c r="M3" s="50"/>
      <c r="N3" s="51" t="s">
        <v>169</v>
      </c>
      <c r="O3" s="52">
        <v>1997</v>
      </c>
      <c r="P3" s="53" t="s">
        <v>449</v>
      </c>
      <c r="Q3" s="54">
        <v>1</v>
      </c>
      <c r="R3" s="55" t="s">
        <v>169</v>
      </c>
      <c r="S3" s="56">
        <v>0</v>
      </c>
      <c r="T3" s="57" t="s">
        <v>173</v>
      </c>
      <c r="U3" s="58" t="s">
        <v>173</v>
      </c>
      <c r="V3" s="58" t="s">
        <v>173</v>
      </c>
      <c r="W3" s="58" t="s">
        <v>173</v>
      </c>
      <c r="X3" s="58" t="s">
        <v>172</v>
      </c>
      <c r="Y3" s="58" t="s">
        <v>173</v>
      </c>
      <c r="Z3" s="58" t="s">
        <v>173</v>
      </c>
      <c r="AA3" s="58" t="s">
        <v>172</v>
      </c>
      <c r="AB3" s="58" t="s">
        <v>173</v>
      </c>
      <c r="AC3" s="58" t="s">
        <v>173</v>
      </c>
      <c r="AD3" s="58" t="s">
        <v>173</v>
      </c>
      <c r="AE3" s="58" t="s">
        <v>173</v>
      </c>
      <c r="AF3" s="59" t="s">
        <v>173</v>
      </c>
      <c r="AG3" s="59" t="s">
        <v>173</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38</v>
      </c>
      <c r="AU3" s="59" t="s">
        <v>363</v>
      </c>
      <c r="AV3" s="59" t="str">
        <f>IF(LEFT(A3,1)="[",LEFT(A3,5)&amp;AU3&amp;A3,"")</f>
        <v>[MIC]State[MIC] Chuuk</v>
      </c>
      <c r="AW3" s="59" t="str">
        <f>C3&amp;H3&amp;A3</f>
        <v>2[MIC] Chuuk</v>
      </c>
      <c r="AX3" s="61"/>
      <c r="AY3" s="61"/>
      <c r="AZ3" s="62" t="s">
        <v>155</v>
      </c>
      <c r="BA3" s="62"/>
      <c r="BB3" s="62"/>
      <c r="BC3" s="63"/>
      <c r="BD3" s="64" t="s">
        <v>408</v>
      </c>
      <c r="BE3" s="47"/>
      <c r="BF3" s="64" t="s">
        <v>153</v>
      </c>
      <c r="BG3" s="64" t="s">
        <v>159</v>
      </c>
      <c r="BH3" s="64" t="s">
        <v>152</v>
      </c>
      <c r="BI3" s="64"/>
      <c r="BJ3" s="64"/>
      <c r="BK3" s="47"/>
      <c r="BL3" s="64" t="s">
        <v>153</v>
      </c>
      <c r="BM3" s="64" t="s">
        <v>159</v>
      </c>
      <c r="BN3" s="64" t="s">
        <v>152</v>
      </c>
      <c r="BO3" s="64" t="s">
        <v>155</v>
      </c>
      <c r="BP3" s="64" t="s">
        <v>156</v>
      </c>
      <c r="BQ3" s="64"/>
      <c r="BR3" s="64"/>
      <c r="BS3" s="64"/>
      <c r="BT3" s="64"/>
      <c r="BU3" s="65"/>
      <c r="BV3" s="66"/>
      <c r="BW3" s="66">
        <v>0</v>
      </c>
      <c r="BX3" s="47"/>
      <c r="CB3" s="6"/>
      <c r="CC3" s="6"/>
      <c r="CD3" s="67">
        <v>0</v>
      </c>
      <c r="CE3" s="67">
        <v>0</v>
      </c>
      <c r="CF3" s="67" t="e">
        <v>#REF!</v>
      </c>
      <c r="CG3" s="68" cm="1">
        <f t="array" ref="CG3">SUMPRODUCT(--(LEN(TRIM(BL3:BT3))&gt;0))</f>
        <v>5</v>
      </c>
      <c r="CH3" s="59" t="str">
        <f t="shared" si="0"/>
        <v>n</v>
      </c>
      <c r="CI3" s="59" t="str">
        <f t="shared" si="1"/>
        <v>n</v>
      </c>
      <c r="CJ3" s="59" t="str">
        <f t="shared" si="2"/>
        <v>n</v>
      </c>
      <c r="CK3" s="59" t="str">
        <f t="shared" si="3"/>
        <v>y</v>
      </c>
      <c r="CL3" s="59" t="str">
        <f t="shared" si="4"/>
        <v>y</v>
      </c>
      <c r="CM3" s="59" t="str">
        <f t="shared" si="5"/>
        <v>n</v>
      </c>
      <c r="CN3" s="59" t="str">
        <f t="shared" si="6"/>
        <v>n</v>
      </c>
      <c r="CO3" s="59" t="str">
        <f t="shared" si="7"/>
        <v>n</v>
      </c>
      <c r="CP3" s="59" t="str">
        <f t="shared" si="8"/>
        <v>n</v>
      </c>
      <c r="CQ3" s="59" t="str">
        <f t="shared" si="9"/>
        <v>n</v>
      </c>
      <c r="CR3" s="59" t="str">
        <f t="shared" si="10"/>
        <v>n</v>
      </c>
      <c r="CS3" s="59" t="str">
        <f t="shared" si="11"/>
        <v>y</v>
      </c>
      <c r="CT3" s="69" t="str">
        <f t="shared" si="12"/>
        <v>"[MIC] Chuuk"</v>
      </c>
      <c r="CU3" s="70" t="str">
        <f t="shared" si="13"/>
        <v>"rgn_Oceania"</v>
      </c>
      <c r="CV3" s="48" t="str">
        <f t="shared" si="14"/>
        <v>"https://upload.wikimedia.org/wikipedia/commons/thumb/5/55/Flag_of_Chuuk.svg/640px-Flag_of_Chuuk.svg.png"</v>
      </c>
      <c r="CW3" s="48" t="str">
        <f t="shared" si="15"/>
        <v/>
      </c>
      <c r="CX3" s="48" t="str">
        <f t="shared" si="15"/>
        <v/>
      </c>
      <c r="CY3" s="48" t="str">
        <f t="shared" si="15"/>
        <v/>
      </c>
      <c r="CZ3" s="48" t="str">
        <f t="shared" si="15"/>
        <v>"5+Colo",</v>
      </c>
      <c r="DA3" s="48" t="str">
        <f t="shared" si="16"/>
        <v/>
      </c>
      <c r="DB3" s="48" t="str">
        <f t="shared" si="17"/>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"lets05",</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"startC",</v>
      </c>
      <c r="DF3" s="48" t="str">
        <f t="shared" si="21"/>
        <v/>
      </c>
      <c r="DG3" s="48" t="str">
        <f t="shared" si="22"/>
        <v/>
      </c>
      <c r="DH3" s="48" t="str">
        <f t="shared" si="23"/>
        <v/>
      </c>
      <c r="DI3" s="48" t="str">
        <f t="shared" si="24"/>
        <v/>
      </c>
      <c r="DJ3" s="48" t="str">
        <f t="shared" si="25"/>
        <v/>
      </c>
      <c r="DK3" s="48" t="str">
        <f t="shared" si="26"/>
        <v/>
      </c>
      <c r="DL3" s="48" t="str">
        <f t="shared" si="27"/>
        <v/>
      </c>
      <c r="DM3" s="48" t="str" cm="1">
        <f t="array" ref="DM3">IF(CG3=3,CHAR(34) &amp; _xlfn.TEXTJOIN("", TRUE, RIGHT(HP3:HX3, 2)) &amp; CHAR(34) &amp; ",", "")</f>
        <v/>
      </c>
      <c r="DN3" s="48" t="str">
        <f t="shared" si="28"/>
        <v/>
      </c>
      <c r="DO3" s="48" t="str">
        <f t="shared" si="29"/>
        <v>"year19",</v>
      </c>
      <c r="DP3" s="6" t="str">
        <f t="shared" si="30"/>
        <v/>
      </c>
      <c r="DQ3" s="6" t="str">
        <f t="shared" si="31"/>
        <v/>
      </c>
      <c r="DR3" s="6" t="str">
        <f t="shared" si="32"/>
        <v/>
      </c>
      <c r="DS3" s="6" t="str">
        <f t="shared" si="33"/>
        <v/>
      </c>
      <c r="DT3" s="6" t="str">
        <f t="shared" si="34"/>
        <v/>
      </c>
      <c r="DU3" s="6" t="str">
        <f t="shared" si="35"/>
        <v/>
      </c>
      <c r="DV3" s="48" t="str">
        <f>IF(IA3&lt;&gt;"",(IF(IA3="y",CHAR(34)&amp;"largec"&amp;CHAR(34)&amp;",",CHAR(34)&amp;"smallc"&amp;CHAR(34)&amp;",")),"")</f>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"Circle",</v>
      </c>
      <c r="EF3" s="48" t="str">
        <f t="shared" si="39"/>
        <v/>
      </c>
      <c r="EG3" s="48" t="str">
        <f t="shared" si="40"/>
        <v/>
      </c>
      <c r="EH3" s="48" t="str">
        <f t="shared" si="40"/>
        <v>"Plants",</v>
      </c>
      <c r="EI3" s="48" t="str">
        <f t="shared" si="40"/>
        <v/>
      </c>
      <c r="EJ3" s="48" t="str">
        <f t="shared" si="40"/>
        <v/>
      </c>
      <c r="EK3" s="48" t="str">
        <f t="shared" si="40"/>
        <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 t="shared" si="41"/>
        <v>"staYEL",</v>
      </c>
      <c r="FB3" s="48" t="str">
        <f t="shared" si="42"/>
        <v/>
      </c>
      <c r="FC3" s="48" t="str">
        <f>IF(AND(AT3&gt;0,BB3&lt;&gt;""),CHAR(34)&amp;"sta"&amp;BB3&amp;CHAR(34)&amp;",","")</f>
        <v/>
      </c>
      <c r="FD3" s="48" t="str">
        <f t="shared" si="44"/>
        <v/>
      </c>
      <c r="FE3" s="48" t="str">
        <f t="shared" si="45"/>
        <v/>
      </c>
      <c r="FF3" s="48" t="str">
        <f t="shared" si="46"/>
        <v/>
      </c>
      <c r="FG3" s="48" t="str">
        <f t="shared" si="47"/>
        <v>"NO_RED",</v>
      </c>
      <c r="FH3" s="48" t="str">
        <f t="shared" si="48"/>
        <v/>
      </c>
      <c r="FI3" s="48" t="str">
        <f t="shared" si="49"/>
        <v/>
      </c>
      <c r="FJ3" s="48" t="str">
        <f t="shared" si="50"/>
        <v>"NO_BLA",</v>
      </c>
      <c r="FK3" s="48" t="str">
        <f t="shared" si="51"/>
        <v/>
      </c>
      <c r="FL3" s="48" t="str">
        <f t="shared" si="52"/>
        <v/>
      </c>
      <c r="FM3" s="48" t="str">
        <f t="shared" si="53"/>
        <v/>
      </c>
      <c r="FN3" s="48" t="str">
        <f t="shared" si="54"/>
        <v/>
      </c>
      <c r="FO3" s="48" t="str">
        <f t="shared" si="55"/>
        <v/>
      </c>
      <c r="FP3" s="48" t="str">
        <f t="shared" si="56"/>
        <v/>
      </c>
      <c r="FQ3" s="48" t="str">
        <f t="shared" si="57"/>
        <v>"001GRE",</v>
      </c>
      <c r="FR3" s="48" t="str">
        <f t="shared" si="58"/>
        <v>"002WHI",</v>
      </c>
      <c r="FS3" s="48" t="str">
        <f t="shared" si="59"/>
        <v>"003BLU",</v>
      </c>
      <c r="FT3" s="48" t="str">
        <f t="shared" si="60"/>
        <v>"myrEQ",</v>
      </c>
      <c r="FU3" s="48" t="str">
        <f t="shared" si="61"/>
        <v/>
      </c>
      <c r="FV3" s="48" t="str">
        <f t="shared" si="62"/>
        <v/>
      </c>
      <c r="FW3" s="48" t="str">
        <f t="shared" si="63"/>
        <v/>
      </c>
      <c r="FX3" s="48" t="str">
        <f>SUBSTITUTE(IFERROR(SEARCH("[",A3),IFERROR(IF(AND(CA3&lt;&gt;"y",SEARCH("Europe",R3)&gt;0),CHAR(34)&amp;"noeuni"&amp;CHAR(34)&amp;",",""),"")),"1","")</f>
        <v/>
      </c>
      <c r="FY3" s="48" t="str">
        <f t="shared" si="65"/>
        <v/>
      </c>
      <c r="FZ3" s="48" t="str">
        <f t="shared" si="66"/>
        <v/>
      </c>
      <c r="GA3" s="48" t="str">
        <f t="shared" si="67"/>
        <v/>
      </c>
      <c r="GB3" s="48" t="str">
        <f t="shared" si="68"/>
        <v/>
      </c>
      <c r="GC3" s="48" t="str">
        <f>IFERROR(IF(SEARCH("Portuguese",CB3)&gt;0,CHAR(34)&amp;"portug"&amp;CHAR(34)&amp;",",""),"")</f>
        <v/>
      </c>
      <c r="GD3" s="48" t="str">
        <f>IFERROR(IF(SEARCH("German",CB3)&gt;0,CHAR(34)&amp;"german"&amp;CHAR(34)&amp;",",""),"")</f>
        <v/>
      </c>
      <c r="GE3" s="48" t="str">
        <f t="shared" si="71"/>
        <v/>
      </c>
      <c r="GF3" s="48" t="str">
        <f>IFERROR(IF(SEARCH("Histor",AU3)&gt;0,CHAR(34)&amp;"histor"&amp;CHAR(34)&amp;",",""),"")</f>
        <v/>
      </c>
      <c r="GG3" s="48" t="str">
        <f t="shared" si="72"/>
        <v/>
      </c>
      <c r="GH3" s="48" t="str">
        <f t="shared" si="73"/>
        <v/>
      </c>
      <c r="GI3" s="48" t="str">
        <f t="shared" si="74"/>
        <v/>
      </c>
      <c r="GJ3" s="48" t="str">
        <f t="shared" si="75"/>
        <v/>
      </c>
      <c r="GK3" s="48" t="str">
        <f t="shared" si="76"/>
        <v>"HasSta",</v>
      </c>
      <c r="GL3" s="48" t="str">
        <f t="shared" si="77"/>
        <v/>
      </c>
      <c r="GM3" s="48" t="str">
        <f t="shared" si="77"/>
        <v/>
      </c>
      <c r="GN3" s="48" t="str">
        <f t="shared" si="77"/>
        <v>"3+Star",</v>
      </c>
      <c r="GP3" s="48" t="str">
        <f t="shared" si="78"/>
        <v>"State"</v>
      </c>
      <c r="GS3" s="48" t="str">
        <f t="shared" si="79"/>
        <v>["5+Colo","lets05","startC","year19","NoBand","Circle","Plants","Center","staYEL","NO_RED","NO_BLA","001GRE","002WHI","003BLU","myrEQ","HasSta","3+Star"]</v>
      </c>
      <c r="GT3" s="48" t="str">
        <f t="shared" si="80"/>
        <v>"cl_GRE",</v>
      </c>
      <c r="GU3" s="48" t="str">
        <f t="shared" si="80"/>
        <v>"cl_WHI",</v>
      </c>
      <c r="GV3" s="48" t="str">
        <f t="shared" si="80"/>
        <v>"cl_BLU",</v>
      </c>
      <c r="GW3" s="48" t="str">
        <f t="shared" si="80"/>
        <v>"cl_YEL",</v>
      </c>
      <c r="GX3" s="48" t="str">
        <f t="shared" si="80"/>
        <v>"cl_ORA",</v>
      </c>
      <c r="GY3" s="48" t="str">
        <f t="shared" si="80"/>
        <v/>
      </c>
      <c r="GZ3" s="48" t="str">
        <f t="shared" si="80"/>
        <v/>
      </c>
      <c r="HA3" s="48" t="str">
        <f t="shared" si="80"/>
        <v/>
      </c>
      <c r="HB3" s="48" t="str">
        <f t="shared" si="80"/>
        <v/>
      </c>
      <c r="HC3" s="48" t="str">
        <f t="shared" si="81"/>
        <v>["cl_GRE","cl_WHI","cl_BLU","cl_YEL","cl_ORA"]</v>
      </c>
      <c r="HE3" s="71"/>
      <c r="HF3" s="72" t="str">
        <f t="shared" si="82"/>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isnew:".", links: "https://en.wikipedia.org/wiki/List_of_Micronesian_flags"},</v>
      </c>
      <c r="HG3" s="73" t="str">
        <f t="shared" si="83"/>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links: "https://en.wikipedia.org/wiki/List_of_Micronesian_flags"},</v>
      </c>
      <c r="HH3" s="48" t="str">
        <f t="shared" si="84"/>
        <v>"\nPalm tree on a blue banner surrounded by a ring of stars"</v>
      </c>
      <c r="HI3" s="48" t="str">
        <f t="shared" si="85"/>
        <v>"\nPalm tree on a blue banner surrounded by a ring of stars"</v>
      </c>
      <c r="HJ3" s="48" t="str">
        <f t="shared" si="86"/>
        <v>"1997"</v>
      </c>
      <c r="HL3" s="48" t="str">
        <f t="shared" si="87"/>
        <v>"https://en.wikipedia.org/wiki/List_of_Micronesian_flags"</v>
      </c>
      <c r="HM3" s="72" t="str">
        <f t="shared" si="88"/>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"isnew": ".", "links": "https://en.wikipedia.org/wiki/List_of_Micronesian_flags"},</v>
      </c>
      <c r="HN3" s="74" t="str">
        <f t="shared" si="89"/>
        <v>{"couname":"[MIC] Chuuk","year":"1997","region":"rgn_Oceania","Colors":["cl_GRE","cl_WHI","cl_BLU","cl_YEL","cl_ORA"],"Items":["5+Colo","lets05","startC","year19","NoBand","Circle","Plants","Center","staYEL","NO_RED","NO_BLA","001GRE","002WHI","003BLU","myrEQ","HasSta","3+Star"],"Flag":"https://upload.wikimedia.org/wikipedia/commons/thumb/5/55/Flag_of_Chuuk.svg/640px-Flag_of_Chuuk.svg.png","HDFlag":"https://upload.wikimedia.org/wikipedia/commons/thumb/5/55/Flag_of_Chuuk.svg/2560px-Flag_of_Chuuk.svg.png","type":"State", "describe": "\nPalm tree on a blue banner surrounded by a ring of stars", "isnew": ".", "links": "https://en.wikipedia.org/wiki/List_of_Micronesian_flags"},</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 t="shared" si="91"/>
        <v>-5</v>
      </c>
      <c r="IN3" s="78" t="str">
        <f t="shared" si="92"/>
        <v>http://mkweb.bcgsc.ca/color-summarizer/?url=https://upload.wikimedia.org/wikipedia/commons/thumb/5/55/Flag_of_Chuuk.svg/640px-Flag_of_Chuuk.svg.png&amp;precision=low&amp;num_clusters=5&amp;text=1</v>
      </c>
      <c r="IO3" s="48" t="str">
        <f t="shared" si="93"/>
        <v/>
      </c>
      <c r="IP3" s="48" t="str">
        <f t="shared" si="94"/>
        <v>"blue"</v>
      </c>
      <c r="IQ3" s="48" t="str">
        <f t="shared" si="95"/>
        <v>"green"</v>
      </c>
      <c r="IR3" s="48" t="str">
        <f t="shared" si="96"/>
        <v/>
      </c>
      <c r="IS3" s="48" t="str">
        <f t="shared" si="97"/>
        <v>"yellow"</v>
      </c>
      <c r="IT3" s="48" t="str">
        <f t="shared" si="98"/>
        <v>"orange"</v>
      </c>
      <c r="IU3" s="48" t="str">
        <f t="shared" si="99"/>
        <v/>
      </c>
      <c r="IV3" s="48" t="str">
        <f t="shared" si="100"/>
        <v/>
      </c>
      <c r="IW3" s="48" t="str">
        <f t="shared" si="101"/>
        <v>"white"</v>
      </c>
      <c r="IX3" s="48" t="str">
        <f t="shared" si="102"/>
        <v>{"url":"http://mkweb.bcgsc.ca/color-summarizer/?url=https://upload.wikimedia.org/wikipedia/commons/thumb/5/55/Flag_of_Chuuk.svg/640px-Flag_of_Chuuk.svg.png&amp;precision=low&amp;num_clusters=5&amp;text=1","name":"[MIC] Chuuk"},</v>
      </c>
      <c r="IY3" s="48">
        <v>283</v>
      </c>
    </row>
    <row r="4" spans="1:259" s="48" customFormat="1" ht="38.4" customHeight="1" thickBot="1" x14ac:dyDescent="0.35">
      <c r="A4" s="79" t="s">
        <v>450</v>
      </c>
      <c r="B4" s="40" t="e" vm="58">
        <v>#VALUE!</v>
      </c>
      <c r="C4" s="41">
        <v>2</v>
      </c>
      <c r="D4" s="42" t="s">
        <v>451</v>
      </c>
      <c r="E4" s="43" t="s">
        <v>452</v>
      </c>
      <c r="F4" s="44" t="s">
        <v>166</v>
      </c>
      <c r="G4" s="45">
        <f>COUNTIF($A$1:$A$8341,A4)</f>
        <v>1</v>
      </c>
      <c r="H4" s="46"/>
      <c r="I4" s="47" t="s">
        <v>448</v>
      </c>
      <c r="J4" s="48" t="str">
        <f>""</f>
        <v/>
      </c>
      <c r="K4" s="49"/>
      <c r="L4" s="50"/>
      <c r="M4" s="50"/>
      <c r="N4" s="51" t="s">
        <v>169</v>
      </c>
      <c r="O4" s="52">
        <v>1981</v>
      </c>
      <c r="P4" s="53" t="s">
        <v>453</v>
      </c>
      <c r="Q4" s="54">
        <v>1</v>
      </c>
      <c r="R4" s="55" t="s">
        <v>169</v>
      </c>
      <c r="S4" s="56">
        <v>0</v>
      </c>
      <c r="T4" s="57" t="s">
        <v>173</v>
      </c>
      <c r="U4" s="58" t="s">
        <v>173</v>
      </c>
      <c r="V4" s="58" t="s">
        <v>173</v>
      </c>
      <c r="W4" s="58" t="s">
        <v>173</v>
      </c>
      <c r="X4" s="58" t="s">
        <v>173</v>
      </c>
      <c r="Y4" s="58" t="s">
        <v>173</v>
      </c>
      <c r="Z4" s="58" t="s">
        <v>173</v>
      </c>
      <c r="AA4" s="58" t="s">
        <v>172</v>
      </c>
      <c r="AB4" s="58" t="s">
        <v>173</v>
      </c>
      <c r="AC4" s="58" t="s">
        <v>173</v>
      </c>
      <c r="AD4" s="58" t="s">
        <v>173</v>
      </c>
      <c r="AE4" s="58" t="s">
        <v>173</v>
      </c>
      <c r="AF4" s="59" t="s">
        <v>173</v>
      </c>
      <c r="AG4" s="59" t="s">
        <v>173</v>
      </c>
      <c r="AH4" s="59" t="s">
        <v>172</v>
      </c>
      <c r="AI4" s="59" t="s">
        <v>173</v>
      </c>
      <c r="AJ4" s="59" t="s">
        <v>173</v>
      </c>
      <c r="AK4" s="59" t="s">
        <v>173</v>
      </c>
      <c r="AL4" s="59" t="s">
        <v>173</v>
      </c>
      <c r="AM4" s="59" t="s">
        <v>173</v>
      </c>
      <c r="AN4" s="59" t="s">
        <v>173</v>
      </c>
      <c r="AO4" s="59" t="s">
        <v>173</v>
      </c>
      <c r="AP4" s="59" t="s">
        <v>173</v>
      </c>
      <c r="AQ4" s="59" t="s">
        <v>173</v>
      </c>
      <c r="AR4" s="59" t="s">
        <v>173</v>
      </c>
      <c r="AS4" s="59" t="s">
        <v>173</v>
      </c>
      <c r="AT4" s="60">
        <v>4</v>
      </c>
      <c r="AU4" s="59" t="s">
        <v>363</v>
      </c>
      <c r="AV4" s="59" t="str">
        <f>IF(LEFT(A4,1)="[",LEFT(A4,5)&amp;AU4&amp;A4,"")</f>
        <v>[MIC]State[MIC] Kosrae</v>
      </c>
      <c r="AW4" s="59" t="str">
        <f>C4&amp;H4&amp;A4</f>
        <v>2[MIC] Kosrae</v>
      </c>
      <c r="AX4" s="61"/>
      <c r="AY4" s="61"/>
      <c r="AZ4" s="62" t="s">
        <v>192</v>
      </c>
      <c r="BA4" s="62" t="s">
        <v>192</v>
      </c>
      <c r="BB4" s="62"/>
      <c r="BC4" s="63"/>
      <c r="BD4" s="64" t="s">
        <v>152</v>
      </c>
      <c r="BE4" s="47"/>
      <c r="BF4" s="64" t="s">
        <v>152</v>
      </c>
      <c r="BG4" s="64" t="s">
        <v>155</v>
      </c>
      <c r="BH4" s="64" t="s">
        <v>152</v>
      </c>
      <c r="BI4" s="64"/>
      <c r="BJ4" s="64"/>
      <c r="BK4" s="47"/>
      <c r="BL4" s="64" t="s">
        <v>192</v>
      </c>
      <c r="BM4" s="64" t="s">
        <v>152</v>
      </c>
      <c r="BN4" s="64" t="s">
        <v>192</v>
      </c>
      <c r="BO4" s="64" t="s">
        <v>192</v>
      </c>
      <c r="BP4" s="64" t="s">
        <v>155</v>
      </c>
      <c r="BQ4" s="64" t="s">
        <v>192</v>
      </c>
      <c r="BR4" s="64" t="s">
        <v>192</v>
      </c>
      <c r="BS4" s="64" t="s">
        <v>192</v>
      </c>
      <c r="BT4" s="64" t="s">
        <v>159</v>
      </c>
      <c r="BU4" s="65"/>
      <c r="BV4" s="66"/>
      <c r="BW4" s="66">
        <v>0</v>
      </c>
      <c r="BX4" s="47"/>
      <c r="BY4" s="48" t="s">
        <v>173</v>
      </c>
      <c r="CB4" s="6"/>
      <c r="CC4" s="6"/>
      <c r="CD4" s="67">
        <v>0</v>
      </c>
      <c r="CE4" s="67">
        <v>0</v>
      </c>
      <c r="CF4" s="67" t="e">
        <v>#REF!</v>
      </c>
      <c r="CG4" s="68" cm="1">
        <f t="array" ref="CG4">SUMPRODUCT(--(LEN(TRIM(BL4:BT4))&gt;0))</f>
        <v>3</v>
      </c>
      <c r="CH4" s="59" t="str">
        <f t="shared" si="0"/>
        <v>n</v>
      </c>
      <c r="CI4" s="59" t="str">
        <f t="shared" si="1"/>
        <v>y</v>
      </c>
      <c r="CJ4" s="59" t="str">
        <f t="shared" si="2"/>
        <v>n</v>
      </c>
      <c r="CK4" s="59" t="str">
        <f t="shared" si="3"/>
        <v>n</v>
      </c>
      <c r="CL4" s="59" t="str">
        <f t="shared" si="4"/>
        <v>y</v>
      </c>
      <c r="CM4" s="59" t="str">
        <f t="shared" si="5"/>
        <v>n</v>
      </c>
      <c r="CN4" s="59" t="str">
        <f t="shared" si="6"/>
        <v>n</v>
      </c>
      <c r="CO4" s="59" t="str">
        <f t="shared" si="7"/>
        <v>n</v>
      </c>
      <c r="CP4" s="59" t="str">
        <f t="shared" si="8"/>
        <v>n</v>
      </c>
      <c r="CQ4" s="59" t="str">
        <f t="shared" si="9"/>
        <v>n</v>
      </c>
      <c r="CR4" s="59" t="str">
        <f t="shared" si="10"/>
        <v>n</v>
      </c>
      <c r="CS4" s="59" t="str">
        <f t="shared" si="11"/>
        <v>y</v>
      </c>
      <c r="CT4" s="69" t="str">
        <f t="shared" si="12"/>
        <v>"[MIC] Kosrae"</v>
      </c>
      <c r="CU4" s="70" t="str">
        <f t="shared" si="13"/>
        <v>"rgn_Oceania"</v>
      </c>
      <c r="CV4" s="48" t="str">
        <f t="shared" si="14"/>
        <v>"https://upload.wikimedia.org/wikipedia/commons/thumb/2/23/Flag_of_Kosrae.svg/640px-Flag_of_Kosrae.svg.png"</v>
      </c>
      <c r="CW4" s="48" t="str">
        <f t="shared" si="15"/>
        <v/>
      </c>
      <c r="CX4" s="48" t="str">
        <f t="shared" si="15"/>
        <v>"3Color",</v>
      </c>
      <c r="CY4" s="48" t="str">
        <f t="shared" si="15"/>
        <v/>
      </c>
      <c r="CZ4" s="48" t="str">
        <f t="shared" si="15"/>
        <v/>
      </c>
      <c r="DA4" s="48" t="str">
        <f t="shared" si="16"/>
        <v/>
      </c>
      <c r="DB4" s="48" t="str">
        <f t="shared" si="17"/>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"lets06",</v>
      </c>
      <c r="DE4" s="48" t="str">
        <f>CHAR(34)&amp;"start"&amp;IFERROR(LEFT(SUBSTITUTE(A4,"["&amp;MID(A4,FIND("[",A4)+1,FIND("]",A4)-FIND("[",A4)-1)&amp;"] ",""),1),LEFT(A4,1))&amp;CHAR(34)&amp;","</f>
        <v>"startK",</v>
      </c>
      <c r="DF4" s="48" t="str">
        <f t="shared" si="21"/>
        <v/>
      </c>
      <c r="DG4" s="48" t="str">
        <f t="shared" si="22"/>
        <v/>
      </c>
      <c r="DH4" s="48" t="str">
        <f t="shared" si="23"/>
        <v/>
      </c>
      <c r="DI4" s="48" t="str">
        <f t="shared" si="24"/>
        <v/>
      </c>
      <c r="DJ4" s="48" t="str">
        <f t="shared" si="25"/>
        <v/>
      </c>
      <c r="DK4" s="48" t="str">
        <f t="shared" si="26"/>
        <v/>
      </c>
      <c r="DL4" s="48" t="str">
        <f t="shared" si="27"/>
        <v/>
      </c>
      <c r="DM4" s="48" t="str" cm="1">
        <f t="array" ref="DM4">IF(CG4=3,CHAR(34) &amp; _xlfn.TEXTJOIN("", TRUE, RIGHT(HP4:HX4, 2)) &amp; CHAR(34) &amp; ",", "")</f>
        <v>"LUELHI",</v>
      </c>
      <c r="DN4" s="48" t="str">
        <f t="shared" si="28"/>
        <v/>
      </c>
      <c r="DO4" s="48" t="str">
        <f t="shared" si="29"/>
        <v>"year19",</v>
      </c>
      <c r="DP4" s="6" t="str">
        <f t="shared" si="30"/>
        <v/>
      </c>
      <c r="DQ4" s="6" t="str">
        <f t="shared" si="31"/>
        <v/>
      </c>
      <c r="DR4" s="6" t="str">
        <f t="shared" si="32"/>
        <v/>
      </c>
      <c r="DS4" s="6" t="str">
        <f t="shared" si="33"/>
        <v/>
      </c>
      <c r="DT4" s="6" t="str">
        <f t="shared" si="34"/>
        <v/>
      </c>
      <c r="DU4" s="6" t="str">
        <f t="shared" si="35"/>
        <v/>
      </c>
      <c r="DW4" s="48" t="str">
        <f t="shared" si="37"/>
        <v>"NoBand",</v>
      </c>
      <c r="DX4" s="48" t="str">
        <f t="shared" si="37"/>
        <v/>
      </c>
      <c r="DY4" s="48" t="str">
        <f t="shared" si="37"/>
        <v/>
      </c>
      <c r="DZ4" s="48" t="str">
        <f t="shared" si="37"/>
        <v/>
      </c>
      <c r="EA4" s="48" t="str">
        <f t="shared" si="38"/>
        <v/>
      </c>
      <c r="EB4" s="48" t="str">
        <f t="shared" si="38"/>
        <v/>
      </c>
      <c r="EC4" s="48" t="str">
        <f t="shared" si="38"/>
        <v/>
      </c>
      <c r="ED4" s="48" t="str">
        <f t="shared" si="38"/>
        <v/>
      </c>
      <c r="EE4" s="48" t="str">
        <f t="shared" si="38"/>
        <v/>
      </c>
      <c r="EF4" s="48" t="str">
        <f t="shared" si="39"/>
        <v/>
      </c>
      <c r="EG4" s="48" t="str">
        <f t="shared" si="40"/>
        <v/>
      </c>
      <c r="EH4" s="48" t="str">
        <f t="shared" si="40"/>
        <v>"Plants",</v>
      </c>
      <c r="EI4" s="48" t="str">
        <f t="shared" si="40"/>
        <v/>
      </c>
      <c r="EJ4" s="48" t="str">
        <f t="shared" si="40"/>
        <v/>
      </c>
      <c r="EK4" s="48" t="str">
        <f t="shared" si="40"/>
        <v/>
      </c>
      <c r="EL4" s="48" t="str">
        <f t="shared" si="40"/>
        <v/>
      </c>
      <c r="EM4" s="48" t="str">
        <f t="shared" si="40"/>
        <v/>
      </c>
      <c r="EN4" s="48" t="str">
        <f t="shared" si="40"/>
        <v/>
      </c>
      <c r="EO4" s="48" t="str">
        <f t="shared" si="40"/>
        <v>"Center",</v>
      </c>
      <c r="EP4" s="48" t="str">
        <f t="shared" si="40"/>
        <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
      </c>
      <c r="EY4" s="48" t="str">
        <f t="shared" si="40"/>
        <v/>
      </c>
      <c r="EZ4" s="48" t="str">
        <f t="shared" si="40"/>
        <v/>
      </c>
      <c r="FA4" s="48" t="str">
        <f t="shared" si="41"/>
        <v>"sta",</v>
      </c>
      <c r="FB4" s="48" t="str">
        <f t="shared" si="42"/>
        <v/>
      </c>
      <c r="FD4" s="48" t="str">
        <f t="shared" si="44"/>
        <v/>
      </c>
      <c r="FE4" s="48" t="str">
        <f t="shared" si="45"/>
        <v/>
      </c>
      <c r="FF4" s="48" t="str">
        <f t="shared" si="46"/>
        <v/>
      </c>
      <c r="FG4" s="48" t="str">
        <f t="shared" si="47"/>
        <v>"NO_RED",</v>
      </c>
      <c r="FH4" s="48" t="str">
        <f t="shared" si="48"/>
        <v>"NO_GRE",</v>
      </c>
      <c r="FI4" s="48" t="str">
        <f t="shared" si="49"/>
        <v/>
      </c>
      <c r="FJ4" s="48" t="str">
        <f t="shared" si="50"/>
        <v>"NO_BLA",</v>
      </c>
      <c r="FK4" s="48" t="str">
        <f t="shared" si="51"/>
        <v/>
      </c>
      <c r="FL4" s="48" t="str">
        <f t="shared" si="52"/>
        <v/>
      </c>
      <c r="FM4" s="48" t="str">
        <f t="shared" si="53"/>
        <v/>
      </c>
      <c r="FN4" s="48" t="str">
        <f t="shared" si="54"/>
        <v/>
      </c>
      <c r="FO4" s="48" t="str">
        <f t="shared" si="55"/>
        <v/>
      </c>
      <c r="FP4" s="48" t="str">
        <f t="shared" si="56"/>
        <v/>
      </c>
      <c r="FQ4" s="48" t="str">
        <f t="shared" si="57"/>
        <v>"001BLU",</v>
      </c>
      <c r="FR4" s="48" t="str">
        <f t="shared" si="58"/>
        <v>"002YEL",</v>
      </c>
      <c r="FS4" s="48" t="str">
        <f t="shared" si="59"/>
        <v>"003BLU",</v>
      </c>
      <c r="FT4" s="48" t="str">
        <f t="shared" si="60"/>
        <v>"myrBLU",</v>
      </c>
      <c r="FU4" s="48" t="str">
        <f t="shared" si="61"/>
        <v/>
      </c>
      <c r="FV4" s="48" t="str">
        <f t="shared" si="62"/>
        <v/>
      </c>
      <c r="FW4" s="48" t="str">
        <f t="shared" si="63"/>
        <v/>
      </c>
      <c r="FY4" s="48" t="str">
        <f t="shared" si="65"/>
        <v/>
      </c>
      <c r="FZ4" s="48" t="str">
        <f t="shared" si="66"/>
        <v/>
      </c>
      <c r="GA4" s="48" t="str">
        <f t="shared" si="67"/>
        <v/>
      </c>
      <c r="GB4" s="48" t="str">
        <f t="shared" si="68"/>
        <v/>
      </c>
      <c r="GE4" s="48" t="str">
        <f t="shared" si="71"/>
        <v/>
      </c>
      <c r="GF4" s="48" t="str">
        <f>IFERROR(IF(SEARCH("Historical",AU4)&gt;0,CHAR(34)&amp;"histor"&amp;CHAR(34)&amp;",",""),"")</f>
        <v/>
      </c>
      <c r="GG4" s="48" t="str">
        <f t="shared" si="72"/>
        <v/>
      </c>
      <c r="GH4" s="48" t="str">
        <f t="shared" si="73"/>
        <v/>
      </c>
      <c r="GI4" s="48" t="str">
        <f t="shared" si="74"/>
        <v/>
      </c>
      <c r="GJ4" s="48" t="str">
        <f t="shared" si="75"/>
        <v/>
      </c>
      <c r="GK4" s="48" t="str">
        <f t="shared" si="76"/>
        <v>"HasSta",</v>
      </c>
      <c r="GL4" s="48" t="str">
        <f t="shared" si="77"/>
        <v/>
      </c>
      <c r="GM4" s="48" t="str">
        <f t="shared" si="77"/>
        <v/>
      </c>
      <c r="GN4" s="48" t="str">
        <f t="shared" si="77"/>
        <v>"3+Star",</v>
      </c>
      <c r="GP4" s="48" t="str">
        <f t="shared" si="78"/>
        <v>"State"</v>
      </c>
      <c r="GS4" s="48" t="str">
        <f t="shared" si="79"/>
        <v>["3Color","lets06","startK","LUELHI","year19","NoBand","Plants","Center","sta","NO_RED","NO_GRE","NO_BLA","001BLU","002YEL","003BLU","myrBLU","HasSta","3+Star"]</v>
      </c>
      <c r="GT4" s="48" t="str">
        <f t="shared" si="80"/>
        <v/>
      </c>
      <c r="GU4" s="48" t="str">
        <f t="shared" si="80"/>
        <v>"cl_BLU",</v>
      </c>
      <c r="GV4" s="48" t="str">
        <f t="shared" si="80"/>
        <v/>
      </c>
      <c r="GW4" s="48" t="str">
        <f t="shared" si="80"/>
        <v/>
      </c>
      <c r="GX4" s="48" t="str">
        <f t="shared" si="80"/>
        <v>"cl_YEL",</v>
      </c>
      <c r="GY4" s="48" t="str">
        <f t="shared" si="80"/>
        <v/>
      </c>
      <c r="GZ4" s="48" t="str">
        <f t="shared" si="80"/>
        <v/>
      </c>
      <c r="HA4" s="48" t="str">
        <f t="shared" si="80"/>
        <v/>
      </c>
      <c r="HB4" s="48" t="str">
        <f t="shared" si="80"/>
        <v>"cl_WHI",</v>
      </c>
      <c r="HC4" s="48" t="str">
        <f t="shared" si="81"/>
        <v>["cl_BLU","cl_YEL","cl_WHI"]</v>
      </c>
      <c r="HE4" s="71"/>
      <c r="HF4" s="72" t="str">
        <f t="shared" si="82"/>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links: "https://en.wikipedia.org/wiki/List_of_Micronesian_flags"},</v>
      </c>
      <c r="HG4" s="73" t="str">
        <f t="shared" si="83"/>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links: "https://en.wikipedia.org/wiki/List_of_Micronesian_flags"},</v>
      </c>
      <c r="HH4" s="48" t="str">
        <f t="shared" si="84"/>
        <v>"\nFour white stars, the fafa stone (a ceremonial stone) and an olive branch wreath on a blue background."</v>
      </c>
      <c r="HI4" s="48" t="str">
        <f t="shared" si="85"/>
        <v>"\nFour white stars, the fafa stone (a ceremonial stone) and an olive branch wreath on a blue background."</v>
      </c>
      <c r="HJ4" s="48" t="str">
        <f t="shared" si="86"/>
        <v>"1981"</v>
      </c>
      <c r="HL4" s="48" t="str">
        <f t="shared" si="87"/>
        <v>"https://en.wikipedia.org/wiki/List_of_Micronesian_flags"</v>
      </c>
      <c r="HM4" s="72" t="str">
        <f t="shared" si="88"/>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 "links": "https://en.wikipedia.org/wiki/List_of_Micronesian_flags"},</v>
      </c>
      <c r="HN4" s="74" t="str">
        <f t="shared" si="89"/>
        <v>{"couname":"[MIC] Kosrae","year":"1981","region":"rgn_Oceania","Colors":["cl_BLU","cl_YEL","cl_WHI"],"Items":["3Color","lets06","startK","LUELHI","year19","NoBand","Plants","Center","sta","NO_RED","NO_GRE","NO_BLA","001BLU","002YEL","003BLU","myrBLU","HasSta","3+Star"],"Flag":"https://upload.wikimedia.org/wikipedia/commons/thumb/2/23/Flag_of_Kosrae.svg/640px-Flag_of_Kosrae.svg.png","HDFlag":"https://upload.wikimedia.org/wikipedia/commons/thumb/2/23/Flag_of_Kosrae.svg/2560px-Flag_of_Kosrae.svg.png","type":"State", "describe": "\nFour white stars, the fafa stone (a ceremonial stone) and an olive branch wreath on a blue background.", "isnew": ".", "links": "https://en.wikipedia.org/wiki/List_of_Micronesian_flags"},</v>
      </c>
      <c r="HO4" s="75">
        <v>45610</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91"/>
        <v>-3</v>
      </c>
      <c r="IN4" s="78" t="str">
        <f t="shared" si="92"/>
        <v>http://mkweb.bcgsc.ca/color-summarizer/?url=https://upload.wikimedia.org/wikipedia/commons/thumb/2/23/Flag_of_Kosrae.svg/640px-Flag_of_Kosrae.svg.png&amp;precision=low&amp;num_clusters=3&amp;text=1</v>
      </c>
      <c r="IO4" s="48" t="str">
        <f t="shared" si="93"/>
        <v/>
      </c>
      <c r="IP4" s="48" t="str">
        <f t="shared" si="94"/>
        <v>"blue"</v>
      </c>
      <c r="IQ4" s="48" t="str">
        <f t="shared" si="95"/>
        <v/>
      </c>
      <c r="IR4" s="48" t="str">
        <f t="shared" si="96"/>
        <v/>
      </c>
      <c r="IS4" s="48" t="str">
        <f t="shared" si="97"/>
        <v>"yellow"</v>
      </c>
      <c r="IT4" s="48" t="str">
        <f t="shared" si="98"/>
        <v/>
      </c>
      <c r="IU4" s="48" t="str">
        <f t="shared" si="99"/>
        <v/>
      </c>
      <c r="IV4" s="48" t="str">
        <f t="shared" si="100"/>
        <v/>
      </c>
      <c r="IW4" s="48" t="str">
        <f t="shared" si="101"/>
        <v>"white"</v>
      </c>
      <c r="IX4" s="48" t="str">
        <f t="shared" si="102"/>
        <v>{"url":"http://mkweb.bcgsc.ca/color-summarizer/?url=https://upload.wikimedia.org/wikipedia/commons/thumb/2/23/Flag_of_Kosrae.svg/640px-Flag_of_Kosrae.svg.png&amp;precision=low&amp;num_clusters=3&amp;text=1","name":"[MIC] Kosrae"},</v>
      </c>
      <c r="IY4" s="48">
        <v>1235</v>
      </c>
    </row>
    <row r="5" spans="1:259" s="48" customFormat="1" ht="38.4" customHeight="1" thickBot="1" x14ac:dyDescent="0.35">
      <c r="A5" s="79" t="s">
        <v>454</v>
      </c>
      <c r="B5" s="40" t="e" vm="59">
        <v>#VALUE!</v>
      </c>
      <c r="C5" s="41">
        <v>2</v>
      </c>
      <c r="D5" s="42" t="s">
        <v>455</v>
      </c>
      <c r="E5" s="43" t="s">
        <v>456</v>
      </c>
      <c r="F5" s="44" t="s">
        <v>166</v>
      </c>
      <c r="G5" s="45">
        <f>COUNTIF($A$1:$A$8341,A5)</f>
        <v>1</v>
      </c>
      <c r="H5" s="46"/>
      <c r="I5" s="47" t="s">
        <v>448</v>
      </c>
      <c r="J5" s="48" t="str">
        <f>""</f>
        <v/>
      </c>
      <c r="K5" s="49"/>
      <c r="L5" s="50"/>
      <c r="M5" s="50"/>
      <c r="N5" s="51" t="s">
        <v>169</v>
      </c>
      <c r="O5" s="52">
        <v>1993</v>
      </c>
      <c r="P5" s="53" t="s">
        <v>457</v>
      </c>
      <c r="Q5" s="54">
        <v>1</v>
      </c>
      <c r="R5" s="55" t="s">
        <v>169</v>
      </c>
      <c r="S5" s="56">
        <v>0</v>
      </c>
      <c r="T5" s="57" t="s">
        <v>173</v>
      </c>
      <c r="U5" s="58" t="s">
        <v>173</v>
      </c>
      <c r="V5" s="58" t="s">
        <v>173</v>
      </c>
      <c r="W5" s="58" t="s">
        <v>173</v>
      </c>
      <c r="X5" s="58" t="s">
        <v>172</v>
      </c>
      <c r="Y5" s="58" t="s">
        <v>173</v>
      </c>
      <c r="Z5" s="58" t="s">
        <v>173</v>
      </c>
      <c r="AA5" s="58" t="s">
        <v>172</v>
      </c>
      <c r="AB5" s="58" t="s">
        <v>173</v>
      </c>
      <c r="AC5" s="58" t="s">
        <v>173</v>
      </c>
      <c r="AD5" s="58" t="s">
        <v>173</v>
      </c>
      <c r="AE5" s="58" t="s">
        <v>173</v>
      </c>
      <c r="AF5" s="59" t="s">
        <v>173</v>
      </c>
      <c r="AG5" s="59" t="s">
        <v>173</v>
      </c>
      <c r="AH5" s="59" t="s">
        <v>172</v>
      </c>
      <c r="AI5" s="59" t="s">
        <v>173</v>
      </c>
      <c r="AJ5" s="59" t="s">
        <v>173</v>
      </c>
      <c r="AK5" s="59" t="s">
        <v>173</v>
      </c>
      <c r="AL5" s="59" t="s">
        <v>173</v>
      </c>
      <c r="AM5" s="59" t="s">
        <v>173</v>
      </c>
      <c r="AN5" s="59" t="s">
        <v>173</v>
      </c>
      <c r="AO5" s="59" t="s">
        <v>173</v>
      </c>
      <c r="AP5" s="59" t="s">
        <v>173</v>
      </c>
      <c r="AQ5" s="59" t="s">
        <v>173</v>
      </c>
      <c r="AR5" s="59" t="s">
        <v>173</v>
      </c>
      <c r="AS5" s="59" t="s">
        <v>173</v>
      </c>
      <c r="AT5" s="60">
        <v>11</v>
      </c>
      <c r="AU5" s="59" t="s">
        <v>363</v>
      </c>
      <c r="AV5" s="59" t="str">
        <f>IF(LEFT(A5,1)="[",LEFT(A5,5)&amp;AU5&amp;A5,"")</f>
        <v>[MIC]State[MIC] Pohnpei</v>
      </c>
      <c r="AW5" s="59" t="str">
        <f>C5&amp;H5&amp;A5</f>
        <v>2[MIC] Pohnpei</v>
      </c>
      <c r="AX5" s="61"/>
      <c r="AY5" s="61"/>
      <c r="AZ5" s="62"/>
      <c r="BA5" s="62"/>
      <c r="BB5" s="62"/>
      <c r="BC5" s="63"/>
      <c r="BD5" s="64" t="s">
        <v>408</v>
      </c>
      <c r="BE5" s="47"/>
      <c r="BF5" s="64" t="s">
        <v>154</v>
      </c>
      <c r="BG5" s="64" t="s">
        <v>159</v>
      </c>
      <c r="BH5" s="64" t="s">
        <v>152</v>
      </c>
      <c r="BI5" s="64"/>
      <c r="BJ5" s="64"/>
      <c r="BK5" s="47"/>
      <c r="BL5" s="64" t="s">
        <v>154</v>
      </c>
      <c r="BM5" s="64" t="s">
        <v>159</v>
      </c>
      <c r="BN5" s="64" t="s">
        <v>152</v>
      </c>
      <c r="BO5" s="64" t="s">
        <v>155</v>
      </c>
      <c r="BP5" s="64"/>
      <c r="BQ5" s="64"/>
      <c r="BR5" s="64"/>
      <c r="BS5" s="64"/>
      <c r="BT5" s="64"/>
      <c r="BU5" s="65"/>
      <c r="BV5" s="66"/>
      <c r="BW5" s="66">
        <v>0</v>
      </c>
      <c r="BX5" s="47"/>
      <c r="CB5" s="6"/>
      <c r="CC5" s="6"/>
      <c r="CD5" s="67">
        <v>0</v>
      </c>
      <c r="CE5" s="67">
        <v>0</v>
      </c>
      <c r="CF5" s="67" t="e">
        <v>#REF!</v>
      </c>
      <c r="CG5" s="68" cm="1">
        <f t="array" ref="CG5">SUMPRODUCT(--(LEN(TRIM(BL5:BT5))&gt;0))</f>
        <v>4</v>
      </c>
      <c r="CH5" s="59" t="str">
        <f t="shared" si="0"/>
        <v>n</v>
      </c>
      <c r="CI5" s="59" t="str">
        <f t="shared" si="1"/>
        <v>n</v>
      </c>
      <c r="CJ5" s="59" t="str">
        <f t="shared" si="2"/>
        <v>y</v>
      </c>
      <c r="CK5" s="59" t="str">
        <f t="shared" si="3"/>
        <v>n</v>
      </c>
      <c r="CL5" s="59" t="str">
        <f t="shared" si="4"/>
        <v>y</v>
      </c>
      <c r="CM5" s="59" t="str">
        <f t="shared" si="5"/>
        <v>n</v>
      </c>
      <c r="CN5" s="59" t="str">
        <f t="shared" si="6"/>
        <v>n</v>
      </c>
      <c r="CO5" s="59" t="str">
        <f t="shared" si="7"/>
        <v>n</v>
      </c>
      <c r="CP5" s="59" t="str">
        <f t="shared" si="8"/>
        <v>n</v>
      </c>
      <c r="CQ5" s="59" t="str">
        <f t="shared" si="9"/>
        <v>n</v>
      </c>
      <c r="CR5" s="59" t="str">
        <f t="shared" si="10"/>
        <v>n</v>
      </c>
      <c r="CS5" s="59" t="str">
        <f t="shared" si="11"/>
        <v>y</v>
      </c>
      <c r="CT5" s="69" t="str">
        <f t="shared" si="12"/>
        <v>"[MIC] Pohnpei"</v>
      </c>
      <c r="CU5" s="70" t="str">
        <f t="shared" si="13"/>
        <v>"rgn_Oceania"</v>
      </c>
      <c r="CV5" s="48" t="str">
        <f t="shared" si="14"/>
        <v>"https://upload.wikimedia.org/wikipedia/commons/thumb/c/ce/Flag_of_Pohnpei.svg/640px-Flag_of_Pohnpei.svg.png"</v>
      </c>
      <c r="CW5" s="48" t="str">
        <f t="shared" si="15"/>
        <v/>
      </c>
      <c r="CX5" s="48" t="str">
        <f t="shared" si="15"/>
        <v/>
      </c>
      <c r="CY5" s="48" t="str">
        <f t="shared" si="15"/>
        <v>"4Color",</v>
      </c>
      <c r="CZ5" s="48" t="str">
        <f t="shared" si="15"/>
        <v/>
      </c>
      <c r="DA5" s="48" t="str">
        <f t="shared" si="16"/>
        <v/>
      </c>
      <c r="DB5" s="48" t="str">
        <f t="shared" si="17"/>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"lets07",</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"startP",</v>
      </c>
      <c r="DF5" s="48" t="str">
        <f t="shared" si="21"/>
        <v/>
      </c>
      <c r="DG5" s="48" t="str">
        <f t="shared" si="22"/>
        <v/>
      </c>
      <c r="DH5" s="48" t="str">
        <f t="shared" si="23"/>
        <v/>
      </c>
      <c r="DI5" s="48" t="str">
        <f t="shared" si="24"/>
        <v/>
      </c>
      <c r="DJ5" s="48" t="str">
        <f t="shared" si="25"/>
        <v/>
      </c>
      <c r="DK5" s="48" t="str">
        <f t="shared" si="26"/>
        <v/>
      </c>
      <c r="DL5" s="48" t="str">
        <f t="shared" si="27"/>
        <v/>
      </c>
      <c r="DM5" s="48" t="str" cm="1">
        <f t="array" ref="DM5">IF(CG5=3,CHAR(34) &amp; _xlfn.TEXTJOIN("", TRUE, RIGHT(HP5:HX5, 2)) &amp; CHAR(34) &amp; ",", "")</f>
        <v/>
      </c>
      <c r="DN5" s="48" t="str">
        <f t="shared" si="28"/>
        <v/>
      </c>
      <c r="DO5" s="48" t="str">
        <f t="shared" si="29"/>
        <v>"year19",</v>
      </c>
      <c r="DP5" s="6" t="str">
        <f t="shared" si="30"/>
        <v/>
      </c>
      <c r="DQ5" s="6" t="str">
        <f t="shared" si="31"/>
        <v/>
      </c>
      <c r="DR5" s="6" t="str">
        <f t="shared" si="32"/>
        <v/>
      </c>
      <c r="DS5" s="6" t="str">
        <f t="shared" si="33"/>
        <v/>
      </c>
      <c r="DT5" s="6" t="str">
        <f t="shared" si="34"/>
        <v/>
      </c>
      <c r="DU5" s="6" t="str">
        <f t="shared" si="35"/>
        <v/>
      </c>
      <c r="DV5" s="48" t="str">
        <f>IF(IA5&lt;&gt;"",(IF(IA5="y",CHAR(34)&amp;"largec"&amp;CHAR(34)&amp;",",CHAR(34)&amp;"smallc"&amp;CHAR(34)&amp;",")),"")</f>
        <v/>
      </c>
      <c r="DW5" s="48" t="str">
        <f t="shared" si="37"/>
        <v>"NoBand",</v>
      </c>
      <c r="DX5" s="48" t="str">
        <f t="shared" si="37"/>
        <v/>
      </c>
      <c r="DY5" s="48" t="str">
        <f t="shared" si="37"/>
        <v/>
      </c>
      <c r="DZ5" s="48" t="str">
        <f t="shared" si="37"/>
        <v/>
      </c>
      <c r="EA5" s="48" t="str">
        <f t="shared" si="38"/>
        <v/>
      </c>
      <c r="EB5" s="48" t="str">
        <f t="shared" si="38"/>
        <v/>
      </c>
      <c r="EC5" s="48" t="str">
        <f t="shared" si="38"/>
        <v/>
      </c>
      <c r="ED5" s="48" t="str">
        <f t="shared" si="38"/>
        <v/>
      </c>
      <c r="EE5" s="48" t="str">
        <f t="shared" si="38"/>
        <v>"Circle",</v>
      </c>
      <c r="EF5" s="48" t="str">
        <f t="shared" si="39"/>
        <v/>
      </c>
      <c r="EG5" s="48" t="str">
        <f t="shared" si="40"/>
        <v/>
      </c>
      <c r="EH5" s="48" t="str">
        <f t="shared" si="40"/>
        <v>"Plants",</v>
      </c>
      <c r="EI5" s="48" t="str">
        <f t="shared" si="40"/>
        <v/>
      </c>
      <c r="EJ5" s="48" t="str">
        <f t="shared" si="40"/>
        <v/>
      </c>
      <c r="EK5" s="48" t="str">
        <f t="shared" si="40"/>
        <v/>
      </c>
      <c r="EL5" s="48" t="str">
        <f t="shared" si="40"/>
        <v/>
      </c>
      <c r="EM5" s="48" t="str">
        <f t="shared" si="40"/>
        <v/>
      </c>
      <c r="EN5" s="48" t="str">
        <f t="shared" si="40"/>
        <v/>
      </c>
      <c r="EO5" s="48" t="str">
        <f t="shared" si="40"/>
        <v>"Center",</v>
      </c>
      <c r="EP5" s="48" t="str">
        <f t="shared" si="40"/>
        <v/>
      </c>
      <c r="EQ5" s="48" t="str">
        <f t="shared" si="40"/>
        <v/>
      </c>
      <c r="ER5" s="48" t="str">
        <f t="shared" si="40"/>
        <v/>
      </c>
      <c r="ES5" s="48" t="str">
        <f t="shared" si="40"/>
        <v/>
      </c>
      <c r="ET5" s="48" t="str">
        <f t="shared" si="40"/>
        <v/>
      </c>
      <c r="EU5" s="48" t="str">
        <f t="shared" si="40"/>
        <v/>
      </c>
      <c r="EV5" s="48" t="str">
        <f t="shared" si="40"/>
        <v/>
      </c>
      <c r="EW5" s="48" t="str">
        <f t="shared" si="40"/>
        <v/>
      </c>
      <c r="EX5" s="48" t="str">
        <f t="shared" si="40"/>
        <v/>
      </c>
      <c r="EY5" s="48" t="str">
        <f t="shared" si="40"/>
        <v/>
      </c>
      <c r="EZ5" s="48" t="str">
        <f t="shared" si="40"/>
        <v/>
      </c>
      <c r="FA5" s="48" t="str">
        <f t="shared" si="41"/>
        <v>"sta",</v>
      </c>
      <c r="FB5" s="48" t="str">
        <f t="shared" si="42"/>
        <v/>
      </c>
      <c r="FC5" s="48" t="str">
        <f>IF(AND(AT5&gt;0,BB5&lt;&gt;""),CHAR(34)&amp;"sta"&amp;BB5&amp;CHAR(34)&amp;",","")</f>
        <v/>
      </c>
      <c r="FD5" s="48" t="str">
        <f t="shared" si="44"/>
        <v/>
      </c>
      <c r="FE5" s="48" t="str">
        <f t="shared" si="45"/>
        <v/>
      </c>
      <c r="FF5" s="48" t="str">
        <f t="shared" si="46"/>
        <v/>
      </c>
      <c r="FG5" s="48" t="str">
        <f t="shared" si="47"/>
        <v/>
      </c>
      <c r="FH5" s="48" t="str">
        <f t="shared" si="48"/>
        <v>"NO_GRE",</v>
      </c>
      <c r="FI5" s="48" t="str">
        <f t="shared" si="49"/>
        <v/>
      </c>
      <c r="FJ5" s="48" t="str">
        <f t="shared" si="50"/>
        <v>"NO_BLA",</v>
      </c>
      <c r="FK5" s="48" t="str">
        <f t="shared" si="51"/>
        <v/>
      </c>
      <c r="FL5" s="48" t="str">
        <f t="shared" si="52"/>
        <v/>
      </c>
      <c r="FM5" s="48" t="str">
        <f t="shared" si="53"/>
        <v/>
      </c>
      <c r="FN5" s="48" t="str">
        <f t="shared" si="54"/>
        <v/>
      </c>
      <c r="FO5" s="48" t="str">
        <f t="shared" si="55"/>
        <v/>
      </c>
      <c r="FP5" s="48" t="str">
        <f t="shared" si="56"/>
        <v/>
      </c>
      <c r="FQ5" s="48" t="str">
        <f t="shared" si="57"/>
        <v>"001RED",</v>
      </c>
      <c r="FR5" s="48" t="str">
        <f t="shared" si="58"/>
        <v>"002WHI",</v>
      </c>
      <c r="FS5" s="48" t="str">
        <f t="shared" si="59"/>
        <v>"003BLU",</v>
      </c>
      <c r="FT5" s="48" t="str">
        <f t="shared" si="60"/>
        <v>"myrEQ",</v>
      </c>
      <c r="FU5" s="48" t="str">
        <f t="shared" si="61"/>
        <v/>
      </c>
      <c r="FV5" s="48" t="str">
        <f t="shared" si="62"/>
        <v/>
      </c>
      <c r="FW5" s="48" t="str">
        <f t="shared" si="63"/>
        <v/>
      </c>
      <c r="FX5" s="48" t="str">
        <f>SUBSTITUTE(IFERROR(SEARCH("[",A5),IFERROR(IF(AND(CA5&lt;&gt;"y",SEARCH("Europe",R5)&gt;0),CHAR(34)&amp;"noeuni"&amp;CHAR(34)&amp;",",""),"")),"1","")</f>
        <v/>
      </c>
      <c r="FY5" s="48" t="str">
        <f t="shared" si="65"/>
        <v/>
      </c>
      <c r="FZ5" s="48" t="str">
        <f t="shared" si="66"/>
        <v/>
      </c>
      <c r="GA5" s="48" t="str">
        <f t="shared" si="67"/>
        <v/>
      </c>
      <c r="GB5" s="48" t="str">
        <f t="shared" si="68"/>
        <v/>
      </c>
      <c r="GC5" s="48" t="str">
        <f>IFERROR(IF(SEARCH("Portuguese",CB5)&gt;0,CHAR(34)&amp;"portug"&amp;CHAR(34)&amp;",",""),"")</f>
        <v/>
      </c>
      <c r="GD5" s="48" t="str">
        <f>IFERROR(IF(SEARCH("German",CB5)&gt;0,CHAR(34)&amp;"german"&amp;CHAR(34)&amp;",",""),"")</f>
        <v/>
      </c>
      <c r="GE5" s="48" t="str">
        <f t="shared" si="71"/>
        <v/>
      </c>
      <c r="GF5" s="48" t="str">
        <f>IFERROR(IF(SEARCH("Histor",AU5)&gt;0,CHAR(34)&amp;"histor"&amp;CHAR(34)&amp;",",""),"")</f>
        <v/>
      </c>
      <c r="GG5" s="48" t="str">
        <f t="shared" si="72"/>
        <v/>
      </c>
      <c r="GH5" s="48" t="str">
        <f t="shared" si="73"/>
        <v/>
      </c>
      <c r="GI5" s="48" t="str">
        <f t="shared" si="74"/>
        <v/>
      </c>
      <c r="GJ5" s="48" t="str">
        <f t="shared" si="75"/>
        <v/>
      </c>
      <c r="GK5" s="48" t="str">
        <f t="shared" si="76"/>
        <v>"HasSta",</v>
      </c>
      <c r="GL5" s="48" t="str">
        <f t="shared" si="77"/>
        <v/>
      </c>
      <c r="GM5" s="48" t="str">
        <f t="shared" si="77"/>
        <v/>
      </c>
      <c r="GN5" s="48" t="str">
        <f t="shared" si="77"/>
        <v>"3+Star",</v>
      </c>
      <c r="GP5" s="48" t="str">
        <f t="shared" si="78"/>
        <v>"State"</v>
      </c>
      <c r="GS5" s="48" t="str">
        <f t="shared" si="79"/>
        <v>["4Color","lets07","startP","year19","NoBand","Circle","Plants","Center","sta","NO_GRE","NO_BLA","001RED","002WHI","003BLU","myrEQ","HasSta","3+Star"]</v>
      </c>
      <c r="GT5" s="48" t="str">
        <f t="shared" si="80"/>
        <v>"cl_RED",</v>
      </c>
      <c r="GU5" s="48" t="str">
        <f t="shared" si="80"/>
        <v>"cl_WHI",</v>
      </c>
      <c r="GV5" s="48" t="str">
        <f t="shared" si="80"/>
        <v>"cl_BLU",</v>
      </c>
      <c r="GW5" s="48" t="str">
        <f t="shared" si="80"/>
        <v>"cl_YEL",</v>
      </c>
      <c r="GX5" s="48" t="str">
        <f t="shared" si="80"/>
        <v/>
      </c>
      <c r="GY5" s="48" t="str">
        <f t="shared" si="80"/>
        <v/>
      </c>
      <c r="GZ5" s="48" t="str">
        <f t="shared" si="80"/>
        <v/>
      </c>
      <c r="HA5" s="48" t="str">
        <f t="shared" si="80"/>
        <v/>
      </c>
      <c r="HB5" s="48" t="str">
        <f t="shared" si="80"/>
        <v/>
      </c>
      <c r="HC5" s="48" t="str">
        <f t="shared" si="81"/>
        <v>["cl_RED","cl_WHI","cl_BLU","cl_YEL"]</v>
      </c>
      <c r="HE5" s="71"/>
      <c r="HF5" s="72" t="str">
        <f t="shared" si="82"/>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links: "https://en.wikipedia.org/wiki/List_of_Micronesian_flags"},</v>
      </c>
      <c r="HG5" s="73" t="str">
        <f t="shared" si="83"/>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links: "https://en.wikipedia.org/wiki/List_of_Micronesian_flags"},</v>
      </c>
      <c r="HH5" s="48" t="str">
        <f t="shared" si="84"/>
        <v>"\nA blue flag with a ring of 11 stars, a wreath of coconut leaves, and a cup made from a coconut shell."</v>
      </c>
      <c r="HI5" s="48" t="str">
        <f t="shared" si="85"/>
        <v>"\nA blue flag with a ring of 11 stars, a wreath of coconut leaves, and a cup made from a coconut shell."</v>
      </c>
      <c r="HJ5" s="48" t="str">
        <f t="shared" si="86"/>
        <v>"1993"</v>
      </c>
      <c r="HL5" s="48" t="str">
        <f t="shared" si="87"/>
        <v>"https://en.wikipedia.org/wiki/List_of_Micronesian_flags"</v>
      </c>
      <c r="HM5" s="72" t="str">
        <f t="shared" si="88"/>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 "links": "https://en.wikipedia.org/wiki/List_of_Micronesian_flags"},</v>
      </c>
      <c r="HN5" s="74" t="str">
        <f t="shared" si="89"/>
        <v>{"couname":"[MIC] Pohnpei","year":"1993","region":"rgn_Oceania","Colors":["cl_RED","cl_WHI","cl_BLU","cl_YEL"],"Items":["4Color","lets07","startP","year19","NoBand","Circle","Plants","Center","sta","NO_GRE","NO_BLA","001RED","002WHI","003BLU","myrEQ","HasSta","3+Star"],"Flag":"https://upload.wikimedia.org/wikipedia/commons/thumb/c/ce/Flag_of_Pohnpei.svg/640px-Flag_of_Pohnpei.svg.png","HDFlag":"https://upload.wikimedia.org/wikipedia/commons/thumb/c/ce/Flag_of_Pohnpei.svg/2560px-Flag_of_Pohnpei.svg.png","type":"State", "describe": "\nA blue flag with a ring of 11 stars, a wreath of coconut leaves, and a cup made from a coconut shell.", "isnew": ".", "links": "https://en.wikipedia.org/wiki/List_of_Micronesian_flags"},</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RED</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SUM(IC5:IK5)</f>
        <v>0</v>
      </c>
      <c r="IM5" s="45">
        <f t="shared" si="91"/>
        <v>-4</v>
      </c>
      <c r="IN5" s="78" t="str">
        <f t="shared" si="92"/>
        <v>http://mkweb.bcgsc.ca/color-summarizer/?url=https://upload.wikimedia.org/wikipedia/commons/thumb/c/ce/Flag_of_Pohnpei.svg/640px-Flag_of_Pohnpei.svg.png&amp;precision=low&amp;num_clusters=4&amp;text=1</v>
      </c>
      <c r="IO5" s="48" t="str">
        <f t="shared" si="93"/>
        <v/>
      </c>
      <c r="IP5" s="48" t="str">
        <f t="shared" si="94"/>
        <v>"blue"</v>
      </c>
      <c r="IQ5" s="48" t="str">
        <f t="shared" si="95"/>
        <v/>
      </c>
      <c r="IR5" s="48" t="str">
        <f t="shared" si="96"/>
        <v>"red"</v>
      </c>
      <c r="IS5" s="48" t="str">
        <f t="shared" si="97"/>
        <v>"yellow"</v>
      </c>
      <c r="IT5" s="48" t="str">
        <f t="shared" si="98"/>
        <v/>
      </c>
      <c r="IU5" s="48" t="str">
        <f t="shared" si="99"/>
        <v/>
      </c>
      <c r="IV5" s="48" t="str">
        <f t="shared" si="100"/>
        <v/>
      </c>
      <c r="IW5" s="48" t="str">
        <f t="shared" si="101"/>
        <v>"white"</v>
      </c>
      <c r="IX5" s="48" t="str">
        <f t="shared" si="102"/>
        <v>{"url":"http://mkweb.bcgsc.ca/color-summarizer/?url=https://upload.wikimedia.org/wikipedia/commons/thumb/c/ce/Flag_of_Pohnpei.svg/640px-Flag_of_Pohnpei.svg.png&amp;precision=low&amp;num_clusters=4&amp;text=1","name":"[MIC] Pohnpei"},</v>
      </c>
      <c r="IY5" s="48">
        <v>284</v>
      </c>
    </row>
    <row r="6" spans="1:259" s="48" customFormat="1" ht="38.4" customHeight="1" thickBot="1" x14ac:dyDescent="0.35">
      <c r="A6" s="79" t="s">
        <v>458</v>
      </c>
      <c r="B6" s="40" t="e" vm="60">
        <v>#VALUE!</v>
      </c>
      <c r="C6" s="41">
        <v>2</v>
      </c>
      <c r="D6" s="42" t="s">
        <v>459</v>
      </c>
      <c r="E6" s="43" t="s">
        <v>460</v>
      </c>
      <c r="F6" s="44" t="s">
        <v>166</v>
      </c>
      <c r="G6" s="45">
        <f>COUNTIF($A$1:$A$8341,A6)</f>
        <v>1</v>
      </c>
      <c r="H6" s="46"/>
      <c r="I6" s="47" t="s">
        <v>448</v>
      </c>
      <c r="J6" s="48" t="str">
        <f>""</f>
        <v/>
      </c>
      <c r="K6" s="49"/>
      <c r="L6" s="50"/>
      <c r="M6" s="50"/>
      <c r="N6" s="51" t="s">
        <v>169</v>
      </c>
      <c r="O6" s="52">
        <v>1980</v>
      </c>
      <c r="P6" s="53" t="s">
        <v>461</v>
      </c>
      <c r="Q6" s="54">
        <v>1</v>
      </c>
      <c r="R6" s="55" t="s">
        <v>169</v>
      </c>
      <c r="S6" s="56">
        <v>0</v>
      </c>
      <c r="T6" s="57" t="s">
        <v>173</v>
      </c>
      <c r="U6" s="58" t="s">
        <v>173</v>
      </c>
      <c r="V6" s="58" t="s">
        <v>173</v>
      </c>
      <c r="W6" s="58" t="s">
        <v>173</v>
      </c>
      <c r="X6" s="58" t="s">
        <v>172</v>
      </c>
      <c r="Y6" s="58" t="s">
        <v>173</v>
      </c>
      <c r="Z6" s="58" t="s">
        <v>173</v>
      </c>
      <c r="AA6" s="58" t="s">
        <v>173</v>
      </c>
      <c r="AB6" s="58" t="s">
        <v>173</v>
      </c>
      <c r="AC6" s="58" t="s">
        <v>173</v>
      </c>
      <c r="AD6" s="58" t="s">
        <v>173</v>
      </c>
      <c r="AE6" s="58" t="s">
        <v>173</v>
      </c>
      <c r="AF6" s="59" t="s">
        <v>173</v>
      </c>
      <c r="AG6" s="59" t="s">
        <v>173</v>
      </c>
      <c r="AH6" s="59" t="s">
        <v>172</v>
      </c>
      <c r="AI6" s="59" t="s">
        <v>173</v>
      </c>
      <c r="AJ6" s="59" t="s">
        <v>173</v>
      </c>
      <c r="AK6" s="59" t="s">
        <v>173</v>
      </c>
      <c r="AL6" s="59" t="s">
        <v>173</v>
      </c>
      <c r="AM6" s="59" t="s">
        <v>173</v>
      </c>
      <c r="AN6" s="59" t="s">
        <v>173</v>
      </c>
      <c r="AO6" s="59" t="s">
        <v>173</v>
      </c>
      <c r="AP6" s="59" t="s">
        <v>172</v>
      </c>
      <c r="AQ6" s="59" t="s">
        <v>173</v>
      </c>
      <c r="AR6" s="59" t="s">
        <v>173</v>
      </c>
      <c r="AS6" s="59" t="s">
        <v>173</v>
      </c>
      <c r="AT6" s="60">
        <v>1</v>
      </c>
      <c r="AU6" s="59" t="s">
        <v>363</v>
      </c>
      <c r="AV6" s="59" t="str">
        <f>IF(LEFT(A6,1)="[",LEFT(A6,5)&amp;AU6&amp;A6,"")</f>
        <v>[MIC]State[MIC] Yap</v>
      </c>
      <c r="AW6" s="59" t="str">
        <f>C6&amp;H6&amp;A6</f>
        <v>2[MIC] Yap</v>
      </c>
      <c r="AX6" s="61"/>
      <c r="AY6" s="61"/>
      <c r="AZ6" s="62" t="s">
        <v>192</v>
      </c>
      <c r="BA6" s="62" t="s">
        <v>192</v>
      </c>
      <c r="BB6" s="62"/>
      <c r="BC6" s="63"/>
      <c r="BD6" s="64" t="s">
        <v>152</v>
      </c>
      <c r="BE6" s="47"/>
      <c r="BF6" s="64" t="s">
        <v>152</v>
      </c>
      <c r="BG6" s="64" t="s">
        <v>159</v>
      </c>
      <c r="BH6" s="64" t="s">
        <v>152</v>
      </c>
      <c r="BI6" s="64"/>
      <c r="BJ6" s="64"/>
      <c r="BK6" s="47"/>
      <c r="BL6" s="64" t="s">
        <v>151</v>
      </c>
      <c r="BM6" s="64" t="s">
        <v>152</v>
      </c>
      <c r="BN6" s="64" t="s">
        <v>153</v>
      </c>
      <c r="BO6" s="64" t="s">
        <v>154</v>
      </c>
      <c r="BP6" s="64" t="s">
        <v>155</v>
      </c>
      <c r="BQ6" s="64" t="s">
        <v>192</v>
      </c>
      <c r="BR6" s="64" t="s">
        <v>157</v>
      </c>
      <c r="BS6" s="64" t="s">
        <v>192</v>
      </c>
      <c r="BT6" s="64" t="s">
        <v>159</v>
      </c>
      <c r="BU6" s="65"/>
      <c r="BV6" s="66"/>
      <c r="BW6" s="66">
        <v>0</v>
      </c>
      <c r="BX6" s="47"/>
      <c r="BY6" s="48" t="s">
        <v>173</v>
      </c>
      <c r="CB6" s="6"/>
      <c r="CC6" s="6"/>
      <c r="CD6" s="67">
        <v>0</v>
      </c>
      <c r="CE6" s="67">
        <v>0</v>
      </c>
      <c r="CF6" s="67" t="e">
        <v>#REF!</v>
      </c>
      <c r="CG6" s="68" cm="1">
        <f t="array" ref="CG6">SUMPRODUCT(--(LEN(TRIM(BL6:BT6))&gt;0))</f>
        <v>7</v>
      </c>
      <c r="CH6" s="59" t="str">
        <f t="shared" si="0"/>
        <v>n</v>
      </c>
      <c r="CI6" s="59" t="str">
        <f t="shared" si="1"/>
        <v>n</v>
      </c>
      <c r="CJ6" s="59" t="str">
        <f t="shared" si="2"/>
        <v>n</v>
      </c>
      <c r="CK6" s="59" t="str">
        <f t="shared" si="3"/>
        <v>y</v>
      </c>
      <c r="CL6" s="59" t="str">
        <f t="shared" si="4"/>
        <v>y</v>
      </c>
      <c r="CM6" s="59" t="str">
        <f t="shared" si="5"/>
        <v>n</v>
      </c>
      <c r="CN6" s="59" t="str">
        <f t="shared" si="6"/>
        <v>n</v>
      </c>
      <c r="CO6" s="59" t="str">
        <f t="shared" si="7"/>
        <v>n</v>
      </c>
      <c r="CP6" s="59" t="str">
        <f t="shared" si="8"/>
        <v>n</v>
      </c>
      <c r="CQ6" s="59" t="str">
        <f t="shared" si="9"/>
        <v>y</v>
      </c>
      <c r="CR6" s="59" t="str">
        <f t="shared" si="10"/>
        <v>n</v>
      </c>
      <c r="CS6" s="59" t="str">
        <f t="shared" si="11"/>
        <v>n</v>
      </c>
      <c r="CT6" s="69" t="str">
        <f t="shared" si="12"/>
        <v>"[MIC] Yap"</v>
      </c>
      <c r="CU6" s="70" t="str">
        <f t="shared" si="13"/>
        <v>"rgn_Oceania"</v>
      </c>
      <c r="CV6" s="48" t="str">
        <f t="shared" si="14"/>
        <v>"https://upload.wikimedia.org/wikipedia/commons/thumb/2/2c/Flag_of_Yap.svg/640px-Flag_of_Yap.svg.png"</v>
      </c>
      <c r="CW6" s="48" t="str">
        <f t="shared" si="15"/>
        <v/>
      </c>
      <c r="CX6" s="48" t="str">
        <f t="shared" si="15"/>
        <v/>
      </c>
      <c r="CY6" s="48" t="str">
        <f t="shared" si="15"/>
        <v/>
      </c>
      <c r="CZ6" s="48" t="str">
        <f t="shared" si="15"/>
        <v>"5+Colo",</v>
      </c>
      <c r="DA6" s="48" t="str">
        <f t="shared" si="16"/>
        <v/>
      </c>
      <c r="DB6" s="48" t="str">
        <f t="shared" si="17"/>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"lets03",</v>
      </c>
      <c r="DE6" s="48" t="str">
        <f>CHAR(34)&amp;"start"&amp;IFERROR(LEFT(SUBSTITUTE(A6,"["&amp;MID(A6,FIND("[",A6)+1,FIND("]",A6)-FIND("[",A6)-1)&amp;"] ",""),1),LEFT(A6,1))&amp;CHAR(34)&amp;","</f>
        <v>"startY",</v>
      </c>
      <c r="DF6" s="48" t="str">
        <f t="shared" si="21"/>
        <v/>
      </c>
      <c r="DG6" s="48" t="str">
        <f t="shared" si="22"/>
        <v/>
      </c>
      <c r="DH6" s="48" t="str">
        <f t="shared" si="23"/>
        <v/>
      </c>
      <c r="DI6" s="48" t="str">
        <f t="shared" si="24"/>
        <v/>
      </c>
      <c r="DJ6" s="48" t="str">
        <f t="shared" si="25"/>
        <v>"with_y",</v>
      </c>
      <c r="DK6" s="48" t="str">
        <f t="shared" si="26"/>
        <v/>
      </c>
      <c r="DL6" s="48" t="str">
        <f t="shared" si="27"/>
        <v/>
      </c>
      <c r="DM6" s="48" t="str" cm="1">
        <f t="array" ref="DM6">IF(CG6=3,CHAR(34) &amp; _xlfn.TEXTJOIN("", TRUE, RIGHT(HP6:HX6, 2)) &amp; CHAR(34) &amp; ",", "")</f>
        <v/>
      </c>
      <c r="DN6" s="48" t="str">
        <f t="shared" si="28"/>
        <v/>
      </c>
      <c r="DO6" s="48" t="str">
        <f t="shared" si="29"/>
        <v>"year19",</v>
      </c>
      <c r="DP6" s="6" t="str">
        <f t="shared" si="30"/>
        <v/>
      </c>
      <c r="DQ6" s="6" t="str">
        <f t="shared" si="31"/>
        <v/>
      </c>
      <c r="DR6" s="6" t="str">
        <f t="shared" si="32"/>
        <v/>
      </c>
      <c r="DS6" s="6" t="str">
        <f t="shared" si="33"/>
        <v/>
      </c>
      <c r="DT6" s="6" t="str">
        <f t="shared" si="34"/>
        <v/>
      </c>
      <c r="DU6" s="6" t="str">
        <f t="shared" si="35"/>
        <v/>
      </c>
      <c r="DW6" s="48" t="str">
        <f t="shared" si="37"/>
        <v>"NoBand",</v>
      </c>
      <c r="DX6" s="48" t="str">
        <f t="shared" si="37"/>
        <v/>
      </c>
      <c r="DY6" s="48" t="str">
        <f t="shared" si="37"/>
        <v/>
      </c>
      <c r="DZ6" s="48" t="str">
        <f t="shared" si="37"/>
        <v/>
      </c>
      <c r="EA6" s="48" t="str">
        <f t="shared" si="38"/>
        <v/>
      </c>
      <c r="EB6" s="48" t="str">
        <f t="shared" si="38"/>
        <v/>
      </c>
      <c r="EC6" s="48" t="str">
        <f t="shared" si="38"/>
        <v/>
      </c>
      <c r="ED6" s="48" t="str">
        <f t="shared" si="38"/>
        <v/>
      </c>
      <c r="EE6" s="48" t="str">
        <f t="shared" si="38"/>
        <v>"Circle",</v>
      </c>
      <c r="EF6" s="48" t="str">
        <f t="shared" si="39"/>
        <v/>
      </c>
      <c r="EG6" s="48" t="str">
        <f t="shared" si="40"/>
        <v/>
      </c>
      <c r="EH6" s="48" t="str">
        <f t="shared" si="40"/>
        <v/>
      </c>
      <c r="EI6" s="48" t="str">
        <f t="shared" si="40"/>
        <v/>
      </c>
      <c r="EJ6" s="48" t="str">
        <f t="shared" si="40"/>
        <v/>
      </c>
      <c r="EK6" s="48" t="str">
        <f t="shared" si="40"/>
        <v/>
      </c>
      <c r="EL6" s="48" t="str">
        <f t="shared" si="40"/>
        <v/>
      </c>
      <c r="EM6" s="48" t="str">
        <f t="shared" si="40"/>
        <v/>
      </c>
      <c r="EN6" s="48" t="str">
        <f t="shared" si="40"/>
        <v/>
      </c>
      <c r="EO6" s="48" t="str">
        <f t="shared" si="40"/>
        <v>"Center",</v>
      </c>
      <c r="EP6" s="48" t="str">
        <f t="shared" si="40"/>
        <v/>
      </c>
      <c r="EQ6" s="48" t="str">
        <f t="shared" si="40"/>
        <v/>
      </c>
      <c r="ER6" s="48" t="str">
        <f t="shared" si="40"/>
        <v/>
      </c>
      <c r="ES6" s="48" t="str">
        <f t="shared" si="40"/>
        <v/>
      </c>
      <c r="ET6" s="48" t="str">
        <f t="shared" si="40"/>
        <v/>
      </c>
      <c r="EU6" s="48" t="str">
        <f t="shared" si="40"/>
        <v/>
      </c>
      <c r="EV6" s="48" t="str">
        <f t="shared" si="40"/>
        <v/>
      </c>
      <c r="EW6" s="48" t="str">
        <f t="shared" si="40"/>
        <v>"Ships!",</v>
      </c>
      <c r="EX6" s="48" t="str">
        <f t="shared" si="40"/>
        <v/>
      </c>
      <c r="EY6" s="48" t="str">
        <f t="shared" si="40"/>
        <v/>
      </c>
      <c r="EZ6" s="48" t="str">
        <f t="shared" si="40"/>
        <v/>
      </c>
      <c r="FA6" s="48" t="str">
        <f t="shared" si="41"/>
        <v>"sta",</v>
      </c>
      <c r="FB6" s="48" t="str">
        <f t="shared" si="42"/>
        <v/>
      </c>
      <c r="FD6" s="48" t="str">
        <f t="shared" si="44"/>
        <v/>
      </c>
      <c r="FE6" s="48" t="str">
        <f t="shared" si="45"/>
        <v/>
      </c>
      <c r="FF6" s="48" t="str">
        <f t="shared" si="46"/>
        <v/>
      </c>
      <c r="FG6" s="48" t="str">
        <f t="shared" si="47"/>
        <v/>
      </c>
      <c r="FH6" s="48" t="str">
        <f t="shared" si="48"/>
        <v/>
      </c>
      <c r="FI6" s="48" t="str">
        <f t="shared" si="49"/>
        <v/>
      </c>
      <c r="FJ6" s="48" t="str">
        <f t="shared" si="50"/>
        <v/>
      </c>
      <c r="FK6" s="48" t="str">
        <f t="shared" si="51"/>
        <v/>
      </c>
      <c r="FL6" s="48" t="str">
        <f t="shared" si="52"/>
        <v/>
      </c>
      <c r="FM6" s="48" t="str">
        <f t="shared" si="53"/>
        <v/>
      </c>
      <c r="FN6" s="48" t="str">
        <f t="shared" si="54"/>
        <v/>
      </c>
      <c r="FO6" s="48" t="str">
        <f t="shared" si="55"/>
        <v/>
      </c>
      <c r="FP6" s="48" t="str">
        <f t="shared" si="56"/>
        <v/>
      </c>
      <c r="FQ6" s="48" t="str">
        <f t="shared" si="57"/>
        <v>"001BLU",</v>
      </c>
      <c r="FR6" s="48" t="str">
        <f t="shared" si="58"/>
        <v>"002WHI",</v>
      </c>
      <c r="FS6" s="48" t="str">
        <f t="shared" si="59"/>
        <v>"003BLU",</v>
      </c>
      <c r="FT6" s="48" t="str">
        <f t="shared" si="60"/>
        <v>"myrBLU",</v>
      </c>
      <c r="FU6" s="48" t="str">
        <f t="shared" si="61"/>
        <v/>
      </c>
      <c r="FV6" s="48" t="str">
        <f t="shared" si="62"/>
        <v/>
      </c>
      <c r="FW6" s="48" t="str">
        <f t="shared" si="63"/>
        <v/>
      </c>
      <c r="FY6" s="48" t="str">
        <f t="shared" si="65"/>
        <v/>
      </c>
      <c r="FZ6" s="48" t="str">
        <f t="shared" si="66"/>
        <v/>
      </c>
      <c r="GA6" s="48" t="str">
        <f t="shared" si="67"/>
        <v/>
      </c>
      <c r="GB6" s="48" t="str">
        <f t="shared" si="68"/>
        <v/>
      </c>
      <c r="GE6" s="48" t="str">
        <f t="shared" si="71"/>
        <v/>
      </c>
      <c r="GF6" s="48" t="str">
        <f>IFERROR(IF(SEARCH("Historical",AU6)&gt;0,CHAR(34)&amp;"histor"&amp;CHAR(34)&amp;",",""),"")</f>
        <v/>
      </c>
      <c r="GG6" s="48" t="str">
        <f t="shared" si="72"/>
        <v/>
      </c>
      <c r="GH6" s="48" t="str">
        <f t="shared" si="73"/>
        <v/>
      </c>
      <c r="GI6" s="48" t="str">
        <f t="shared" si="74"/>
        <v/>
      </c>
      <c r="GJ6" s="48" t="str">
        <f t="shared" si="75"/>
        <v/>
      </c>
      <c r="GK6" s="48" t="str">
        <f t="shared" si="76"/>
        <v>"HasSta",</v>
      </c>
      <c r="GL6" s="48" t="str">
        <f t="shared" si="77"/>
        <v>"1Stars",</v>
      </c>
      <c r="GM6" s="48" t="str">
        <f t="shared" si="77"/>
        <v/>
      </c>
      <c r="GN6" s="48" t="str">
        <f t="shared" si="77"/>
        <v/>
      </c>
      <c r="GP6" s="48" t="str">
        <f t="shared" si="78"/>
        <v>"State"</v>
      </c>
      <c r="GS6" s="48" t="str">
        <f t="shared" si="79"/>
        <v>["5+Colo","lets03","startY","with_y","year19","NoBand","Circle","Center","Ships!","sta","001BLU","002WHI","003BLU","myrBLU","HasSta","1Stars"]</v>
      </c>
      <c r="GT6" s="48" t="str">
        <f t="shared" si="80"/>
        <v>"cl_BLA",</v>
      </c>
      <c r="GU6" s="48" t="str">
        <f t="shared" si="80"/>
        <v>"cl_BLU",</v>
      </c>
      <c r="GV6" s="48" t="str">
        <f t="shared" si="80"/>
        <v>"cl_GRE",</v>
      </c>
      <c r="GW6" s="48" t="str">
        <f t="shared" si="80"/>
        <v>"cl_RED",</v>
      </c>
      <c r="GX6" s="48" t="str">
        <f t="shared" si="80"/>
        <v>"cl_YEL",</v>
      </c>
      <c r="GY6" s="48" t="str">
        <f t="shared" si="80"/>
        <v/>
      </c>
      <c r="GZ6" s="48" t="str">
        <f t="shared" si="80"/>
        <v>"cl_BRO",</v>
      </c>
      <c r="HA6" s="48" t="str">
        <f t="shared" si="80"/>
        <v/>
      </c>
      <c r="HB6" s="48" t="str">
        <f t="shared" si="80"/>
        <v>"cl_WHI",</v>
      </c>
      <c r="HC6" s="48" t="str">
        <f t="shared" si="81"/>
        <v>["cl_BLA","cl_BLU","cl_GRE","cl_RED","cl_YEL","cl_BRO","cl_WHI"]</v>
      </c>
      <c r="HE6" s="71"/>
      <c r="HF6" s="72" t="str">
        <f t="shared" si="82"/>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links: "https://en.wikipedia.org/wiki/List_of_Micronesian_flags"},</v>
      </c>
      <c r="HG6" s="73" t="str">
        <f t="shared" si="83"/>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links: "https://en.wikipedia.org/wiki/List_of_Micronesian_flags"},</v>
      </c>
      <c r="HH6" s="48" t="str">
        <f t="shared" si="84"/>
        <v>"\nBlue flag with a centered polynesian boat. In the very center is a white star. "</v>
      </c>
      <c r="HI6" s="48" t="str">
        <f t="shared" si="85"/>
        <v>"\nBlue flag with a centered polynesian boat. In the very center is a white star. "</v>
      </c>
      <c r="HJ6" s="48" t="str">
        <f t="shared" si="86"/>
        <v>"1980"</v>
      </c>
      <c r="HL6" s="48" t="str">
        <f t="shared" si="87"/>
        <v>"https://en.wikipedia.org/wiki/List_of_Micronesian_flags"</v>
      </c>
      <c r="HM6" s="72" t="str">
        <f t="shared" si="88"/>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 "links": "https://en.wikipedia.org/wiki/List_of_Micronesian_flags"},</v>
      </c>
      <c r="HN6" s="74" t="str">
        <f t="shared" si="89"/>
        <v>{"couname":"[MIC] Yap","year":"1980","region":"rgn_Oceania","Colors":["cl_BLA","cl_BLU","cl_GRE","cl_RED","cl_YEL","cl_BRO","cl_WHI"],"Items":["5+Colo","lets03","startY","with_y","year19","NoBand","Circle","Center","Ships!","sta","001BLU","002WHI","003BLU","myrBLU","HasSta","1Stars"],"Flag":"https://upload.wikimedia.org/wikipedia/commons/thumb/2/2c/Flag_of_Yap.svg/640px-Flag_of_Yap.svg.png","HDFlag":"https://upload.wikimedia.org/wikipedia/commons/thumb/2/2c/Flag_of_Yap.svg/2560px-Flag_of_Yap.svg.png","type":"State", "describe": "\nBlue flag with a centered polynesian boat. In the very center is a white star. ", "isnew": ".", "links": "https://en.wikipedia.org/wiki/List_of_Micronesian_flags"},</v>
      </c>
      <c r="HO6" s="75">
        <v>45610</v>
      </c>
      <c r="HP6" s="48" t="str" cm="1">
        <f t="array" ref="HP6">IF(_xlfn.TEXTJOIN(", ", TRUE, IF(ISNUMBER(SEARCH("BLA", BL6:BT6)), COLUMN(BL6:BT6) - COLUMN(BL6) + 1, ""))&lt;&gt;"","BLA","")</f>
        <v>BLA</v>
      </c>
      <c r="HQ6" s="48" t="str" cm="1">
        <f t="array" ref="HQ6">IF(_xlfn.TEXTJOIN(", ", TRUE, IF(ISNUMBER(SEARCH("BLU", BL6:BT6)), COLUMN(BL6:BT6) - COLUMN(BL6) + 1, ""))&lt;&gt;"","BLU","")</f>
        <v>BLU</v>
      </c>
      <c r="HR6" s="48" t="str" cm="1">
        <f t="array" ref="HR6">IF(_xlfn.TEXTJOIN(", ", TRUE, IF(ISNUMBER(SEARCH("GRE", BL6:BT6)), COLUMN(BL6:BT6) - COLUMN(BL6) + 1, ""))&lt;&gt;"","GRE","")</f>
        <v>GRE</v>
      </c>
      <c r="HS6" s="48" t="str" cm="1">
        <f t="array" ref="HS6">IF(_xlfn.TEXTJOIN(", ", TRUE, IF(ISNUMBER(SEARCH("RED", BL6:BT6)), COLUMN(BL6:BT6) - COLUMN(BL6) + 1, ""))&lt;&gt;"","RED","")</f>
        <v>RED</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BRO</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 t="shared" si="91"/>
        <v>-7</v>
      </c>
      <c r="IN6" s="78" t="str">
        <f t="shared" si="92"/>
        <v>http://mkweb.bcgsc.ca/color-summarizer/?url=https://upload.wikimedia.org/wikipedia/commons/thumb/2/2c/Flag_of_Yap.svg/640px-Flag_of_Yap.svg.png&amp;precision=low&amp;num_clusters=7&amp;text=1</v>
      </c>
      <c r="IO6" s="48" t="str">
        <f t="shared" si="93"/>
        <v>"black"</v>
      </c>
      <c r="IP6" s="48" t="str">
        <f t="shared" si="94"/>
        <v>"blue"</v>
      </c>
      <c r="IQ6" s="48" t="str">
        <f t="shared" si="95"/>
        <v>"green"</v>
      </c>
      <c r="IR6" s="48" t="str">
        <f t="shared" si="96"/>
        <v>"red"</v>
      </c>
      <c r="IS6" s="48" t="str">
        <f t="shared" si="97"/>
        <v>"yellow"</v>
      </c>
      <c r="IT6" s="48" t="str">
        <f t="shared" si="98"/>
        <v/>
      </c>
      <c r="IU6" s="48" t="str">
        <f t="shared" si="99"/>
        <v>"brown"</v>
      </c>
      <c r="IV6" s="48" t="str">
        <f t="shared" si="100"/>
        <v/>
      </c>
      <c r="IW6" s="48" t="str">
        <f t="shared" si="101"/>
        <v>"white"</v>
      </c>
      <c r="IX6" s="48" t="str">
        <f t="shared" si="102"/>
        <v>{"url":"http://mkweb.bcgsc.ca/color-summarizer/?url=https://upload.wikimedia.org/wikipedia/commons/thumb/2/2c/Flag_of_Yap.svg/640px-Flag_of_Yap.svg.png&amp;precision=low&amp;num_clusters=7&amp;text=1","name":"[MIC] Yap"},</v>
      </c>
      <c r="IY6" s="48">
        <v>1236</v>
      </c>
    </row>
    <row r="7" spans="1:259" s="48" customFormat="1" ht="38.4" customHeight="1" thickBot="1" x14ac:dyDescent="0.35">
      <c r="A7" s="81" t="s">
        <v>771</v>
      </c>
      <c r="B7" s="40" t="e" vm="61">
        <v>#VALUE!</v>
      </c>
      <c r="C7" s="41">
        <v>3</v>
      </c>
      <c r="D7" s="42" t="s">
        <v>772</v>
      </c>
      <c r="E7" s="43" t="s">
        <v>772</v>
      </c>
      <c r="F7" s="44" t="s">
        <v>166</v>
      </c>
      <c r="G7" s="45">
        <f>COUNTIF($A$1:$A$8341,A7)</f>
        <v>1</v>
      </c>
      <c r="H7" s="46" t="s">
        <v>773</v>
      </c>
      <c r="I7" s="47" t="s">
        <v>774</v>
      </c>
      <c r="J7" s="48" t="str">
        <f>""</f>
        <v/>
      </c>
      <c r="K7" s="49"/>
      <c r="L7" s="50"/>
      <c r="M7" s="50"/>
      <c r="N7" s="51" t="s">
        <v>169</v>
      </c>
      <c r="O7" s="52">
        <v>1962</v>
      </c>
      <c r="P7" s="53" t="s">
        <v>775</v>
      </c>
      <c r="Q7" s="54">
        <v>5</v>
      </c>
      <c r="R7" s="55" t="s">
        <v>169</v>
      </c>
      <c r="S7" s="56">
        <v>0</v>
      </c>
      <c r="T7" s="57" t="s">
        <v>173</v>
      </c>
      <c r="U7" s="58" t="s">
        <v>173</v>
      </c>
      <c r="V7" s="58" t="s">
        <v>173</v>
      </c>
      <c r="W7" s="58" t="s">
        <v>173</v>
      </c>
      <c r="X7" s="58" t="s">
        <v>172</v>
      </c>
      <c r="Y7" s="58" t="s">
        <v>173</v>
      </c>
      <c r="Z7" s="58" t="s">
        <v>173</v>
      </c>
      <c r="AA7" s="58" t="s">
        <v>173</v>
      </c>
      <c r="AB7" s="58" t="s">
        <v>173</v>
      </c>
      <c r="AC7" s="58" t="s">
        <v>173</v>
      </c>
      <c r="AD7" s="58" t="s">
        <v>173</v>
      </c>
      <c r="AE7" s="58" t="s">
        <v>173</v>
      </c>
      <c r="AF7" s="59" t="s">
        <v>173</v>
      </c>
      <c r="AG7" s="59" t="s">
        <v>173</v>
      </c>
      <c r="AH7" s="59" t="s">
        <v>172</v>
      </c>
      <c r="AI7" s="59" t="s">
        <v>173</v>
      </c>
      <c r="AJ7" s="59" t="s">
        <v>173</v>
      </c>
      <c r="AK7" s="59" t="s">
        <v>173</v>
      </c>
      <c r="AL7" s="59" t="s">
        <v>173</v>
      </c>
      <c r="AM7" s="59" t="s">
        <v>173</v>
      </c>
      <c r="AN7" s="59" t="s">
        <v>173</v>
      </c>
      <c r="AO7" s="59" t="s">
        <v>173</v>
      </c>
      <c r="AP7" s="59" t="s">
        <v>173</v>
      </c>
      <c r="AQ7" s="59" t="s">
        <v>173</v>
      </c>
      <c r="AR7" s="59" t="s">
        <v>172</v>
      </c>
      <c r="AS7" s="59" t="s">
        <v>173</v>
      </c>
      <c r="AT7" s="60">
        <v>6</v>
      </c>
      <c r="AU7" s="59" t="s">
        <v>677</v>
      </c>
      <c r="AV7" s="59" t="str">
        <f>IF(LEFT(A7,1)="[",LEFT(A7,5)&amp;AU7&amp;A7,"")</f>
        <v>[MIC]Historical[MIC] Trust Territory of the Pacific Islands (1947-1994)</v>
      </c>
      <c r="AW7" s="59" t="str">
        <f>C7&amp;H7&amp;A7</f>
        <v>3[MIC] Other[MIC] Trust Territory of the Pacific Islands (1947-1994)</v>
      </c>
      <c r="AX7" s="61"/>
      <c r="AY7" s="61"/>
      <c r="AZ7" s="62" t="s">
        <v>192</v>
      </c>
      <c r="BA7" s="62" t="s">
        <v>192</v>
      </c>
      <c r="BB7" s="62"/>
      <c r="BC7" s="63"/>
      <c r="BD7" s="64" t="s">
        <v>156</v>
      </c>
      <c r="BE7" s="47"/>
      <c r="BF7" s="64" t="s">
        <v>156</v>
      </c>
      <c r="BG7" s="64" t="s">
        <v>151</v>
      </c>
      <c r="BH7" s="64" t="s">
        <v>152</v>
      </c>
      <c r="BI7" s="64"/>
      <c r="BJ7" s="64"/>
      <c r="BK7" s="47"/>
      <c r="BL7" s="64" t="s">
        <v>151</v>
      </c>
      <c r="BM7" s="64" t="s">
        <v>152</v>
      </c>
      <c r="BN7" s="64" t="s">
        <v>192</v>
      </c>
      <c r="BO7" s="64" t="s">
        <v>192</v>
      </c>
      <c r="BP7" s="64" t="s">
        <v>155</v>
      </c>
      <c r="BQ7" s="64" t="s">
        <v>156</v>
      </c>
      <c r="BR7" s="64" t="s">
        <v>192</v>
      </c>
      <c r="BS7" s="64" t="s">
        <v>192</v>
      </c>
      <c r="BT7" s="64" t="s">
        <v>192</v>
      </c>
      <c r="BU7" s="65"/>
      <c r="BV7" s="66"/>
      <c r="BW7" s="66">
        <v>0</v>
      </c>
      <c r="BX7" s="47"/>
      <c r="CB7" s="6"/>
      <c r="CC7" s="6"/>
      <c r="CD7" s="67">
        <v>0</v>
      </c>
      <c r="CE7" s="67">
        <v>0</v>
      </c>
      <c r="CF7" s="67" t="e">
        <v>#REF!</v>
      </c>
      <c r="CG7" s="68" cm="1">
        <f t="array" ref="CG7">SUMPRODUCT(--(LEN(TRIM(BL7:BT7))&gt;0))</f>
        <v>4</v>
      </c>
      <c r="CH7" s="59" t="str">
        <f t="shared" si="0"/>
        <v>n</v>
      </c>
      <c r="CI7" s="59" t="str">
        <f t="shared" si="1"/>
        <v>n</v>
      </c>
      <c r="CJ7" s="59" t="str">
        <f t="shared" si="2"/>
        <v>y</v>
      </c>
      <c r="CK7" s="59" t="str">
        <f t="shared" si="3"/>
        <v>n</v>
      </c>
      <c r="CL7" s="59" t="str">
        <f t="shared" si="4"/>
        <v>y</v>
      </c>
      <c r="CM7" s="59" t="str">
        <f t="shared" si="5"/>
        <v>n</v>
      </c>
      <c r="CN7" s="59" t="str">
        <f t="shared" si="6"/>
        <v>n</v>
      </c>
      <c r="CO7" s="59" t="str">
        <f t="shared" si="7"/>
        <v>n</v>
      </c>
      <c r="CP7" s="59" t="str">
        <f t="shared" si="8"/>
        <v>n</v>
      </c>
      <c r="CQ7" s="59" t="str">
        <f t="shared" si="9"/>
        <v>n</v>
      </c>
      <c r="CR7" s="59" t="str">
        <f t="shared" si="10"/>
        <v>n</v>
      </c>
      <c r="CS7" s="59" t="str">
        <f t="shared" si="11"/>
        <v>y</v>
      </c>
      <c r="CT7" s="69" t="str">
        <f t="shared" si="12"/>
        <v>"[MIC] Trust Territory of the Pacific Islands (1947-1994)"</v>
      </c>
      <c r="CU7" s="70" t="str">
        <f t="shared" si="13"/>
        <v>"rgn_Oceania"</v>
      </c>
      <c r="CV7" s="48" t="str">
        <f t="shared" si="14"/>
        <v>"https://upload.wikimedia.org/wikipedia/commons/thumb/4/41/Flag_of_the_Trust_Territory_of_the_Pacific_Islands.svg/640px-Flag_of_the_Trust_Territory_of_the_Pacific_Islands.svg.png"</v>
      </c>
      <c r="CW7" s="48" t="str">
        <f t="shared" si="15"/>
        <v/>
      </c>
      <c r="CX7" s="48" t="str">
        <f t="shared" si="15"/>
        <v/>
      </c>
      <c r="CY7" s="48" t="str">
        <f t="shared" si="15"/>
        <v>"4Color",</v>
      </c>
      <c r="CZ7" s="48" t="str">
        <f t="shared" si="15"/>
        <v/>
      </c>
      <c r="DA7" s="48" t="str">
        <f t="shared" si="16"/>
        <v>"words2",</v>
      </c>
      <c r="DB7" s="48" t="str">
        <f t="shared" si="17"/>
        <v>"words3",</v>
      </c>
      <c r="DD7" s="48" t="str">
        <f t="shared" ref="DD7" si="103">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"lets43",</v>
      </c>
      <c r="DE7" s="48" t="str">
        <f t="shared" ref="DE7" si="104">CHAR(34)&amp;"start"&amp;IFERROR(LEFT(SUBSTITUTE(A7,"["&amp;MID(A7,FIND("[",A7)+1,FIND("]",A7)-FIND("[",A7)-1)&amp;"] ",""),1),LEFT(A7,1))&amp;CHAR(34)&amp;","</f>
        <v>"startT",</v>
      </c>
      <c r="DF7" s="48" t="str">
        <f t="shared" si="21"/>
        <v/>
      </c>
      <c r="DG7" s="48" t="str">
        <f t="shared" si="22"/>
        <v/>
      </c>
      <c r="DH7" s="48" t="str">
        <f t="shared" si="23"/>
        <v/>
      </c>
      <c r="DI7" s="48" t="str">
        <f t="shared" si="24"/>
        <v/>
      </c>
      <c r="DJ7" s="48" t="str">
        <f t="shared" si="25"/>
        <v>"with_y",</v>
      </c>
      <c r="DK7" s="48" t="str">
        <f t="shared" si="26"/>
        <v/>
      </c>
      <c r="DL7" s="48" t="str">
        <f t="shared" si="27"/>
        <v/>
      </c>
      <c r="DM7" s="48" t="str" cm="1">
        <f t="array" ref="DM7">IF(CG7=3,CHAR(34) &amp; _xlfn.TEXTJOIN("", TRUE, RIGHT(HP7:HX7, 2)) &amp; CHAR(34) &amp; ",", "")</f>
        <v/>
      </c>
      <c r="DN7" s="48" t="str">
        <f t="shared" si="28"/>
        <v/>
      </c>
      <c r="DO7" s="48" t="str">
        <f t="shared" si="29"/>
        <v>"year19",</v>
      </c>
      <c r="DP7" s="6" t="str">
        <f t="shared" si="30"/>
        <v/>
      </c>
      <c r="DQ7" s="6" t="str">
        <f t="shared" si="31"/>
        <v/>
      </c>
      <c r="DR7" s="6" t="str">
        <f t="shared" si="32"/>
        <v/>
      </c>
      <c r="DS7" s="6" t="str">
        <f t="shared" si="33"/>
        <v/>
      </c>
      <c r="DT7" s="6" t="str">
        <f t="shared" si="34"/>
        <v/>
      </c>
      <c r="DU7" s="6" t="str">
        <f t="shared" si="35"/>
        <v/>
      </c>
      <c r="DW7" s="48" t="str">
        <f t="shared" si="37"/>
        <v>"NoBand",</v>
      </c>
      <c r="DX7" s="48" t="str">
        <f t="shared" si="37"/>
        <v/>
      </c>
      <c r="DY7" s="48" t="str">
        <f t="shared" si="37"/>
        <v/>
      </c>
      <c r="DZ7" s="48" t="str">
        <f t="shared" si="37"/>
        <v/>
      </c>
      <c r="EA7" s="48" t="str">
        <f t="shared" si="38"/>
        <v/>
      </c>
      <c r="EB7" s="48" t="str">
        <f t="shared" si="38"/>
        <v/>
      </c>
      <c r="EC7" s="48" t="str">
        <f t="shared" si="38"/>
        <v/>
      </c>
      <c r="ED7" s="48" t="str">
        <f t="shared" si="38"/>
        <v/>
      </c>
      <c r="EE7" s="48" t="str">
        <f t="shared" si="38"/>
        <v>"Circle",</v>
      </c>
      <c r="EF7" s="48" t="str">
        <f t="shared" si="39"/>
        <v/>
      </c>
      <c r="EG7" s="48" t="str">
        <f t="shared" si="40"/>
        <v/>
      </c>
      <c r="EH7" s="48" t="str">
        <f t="shared" si="40"/>
        <v/>
      </c>
      <c r="EI7" s="48" t="str">
        <f t="shared" si="40"/>
        <v/>
      </c>
      <c r="EJ7" s="48" t="str">
        <f t="shared" si="40"/>
        <v/>
      </c>
      <c r="EK7" s="48" t="str">
        <f t="shared" si="40"/>
        <v/>
      </c>
      <c r="EL7" s="48" t="str">
        <f t="shared" si="40"/>
        <v/>
      </c>
      <c r="EM7" s="48" t="str">
        <f t="shared" si="40"/>
        <v/>
      </c>
      <c r="EN7" s="48" t="str">
        <f t="shared" si="40"/>
        <v/>
      </c>
      <c r="EO7" s="48" t="str">
        <f t="shared" si="40"/>
        <v>"Center",</v>
      </c>
      <c r="EP7" s="48" t="str">
        <f t="shared" si="40"/>
        <v/>
      </c>
      <c r="EQ7" s="48" t="str">
        <f t="shared" si="40"/>
        <v/>
      </c>
      <c r="ER7" s="48" t="str">
        <f t="shared" si="40"/>
        <v/>
      </c>
      <c r="ES7" s="48" t="str">
        <f t="shared" si="40"/>
        <v/>
      </c>
      <c r="ET7" s="48" t="str">
        <f t="shared" si="40"/>
        <v/>
      </c>
      <c r="EU7" s="48" t="str">
        <f t="shared" si="40"/>
        <v/>
      </c>
      <c r="EV7" s="48" t="str">
        <f t="shared" si="40"/>
        <v/>
      </c>
      <c r="EW7" s="48" t="str">
        <f t="shared" si="40"/>
        <v/>
      </c>
      <c r="EX7" s="48" t="str">
        <f t="shared" si="40"/>
        <v/>
      </c>
      <c r="EY7" s="48" t="str">
        <f t="shared" si="40"/>
        <v>"Rotate",</v>
      </c>
      <c r="EZ7" s="48" t="str">
        <f t="shared" si="40"/>
        <v/>
      </c>
      <c r="FA7" s="48" t="str">
        <f t="shared" si="41"/>
        <v>"sta",</v>
      </c>
      <c r="FB7" s="48" t="str">
        <f t="shared" si="42"/>
        <v/>
      </c>
      <c r="FD7" s="48" t="str">
        <f t="shared" si="44"/>
        <v/>
      </c>
      <c r="FE7" s="48" t="str">
        <f t="shared" si="45"/>
        <v/>
      </c>
      <c r="FF7" s="48" t="str">
        <f t="shared" si="46"/>
        <v>"NO_WHI",</v>
      </c>
      <c r="FG7" s="48" t="str">
        <f t="shared" si="47"/>
        <v>"NO_RED",</v>
      </c>
      <c r="FH7" s="48" t="str">
        <f t="shared" si="48"/>
        <v>"NO_GRE",</v>
      </c>
      <c r="FI7" s="48" t="str">
        <f t="shared" si="49"/>
        <v/>
      </c>
      <c r="FJ7" s="48" t="str">
        <f t="shared" si="50"/>
        <v/>
      </c>
      <c r="FK7" s="48" t="str">
        <f t="shared" si="51"/>
        <v>"WHGRNO",</v>
      </c>
      <c r="FL7" s="48" t="str">
        <f t="shared" si="52"/>
        <v/>
      </c>
      <c r="FM7" s="48" t="str">
        <f t="shared" si="53"/>
        <v/>
      </c>
      <c r="FN7" s="48" t="str">
        <f t="shared" si="54"/>
        <v/>
      </c>
      <c r="FO7" s="48" t="str">
        <f t="shared" si="55"/>
        <v/>
      </c>
      <c r="FP7" s="48" t="str">
        <f t="shared" si="56"/>
        <v>"WHRENO",</v>
      </c>
      <c r="FQ7" s="48" t="str">
        <f t="shared" si="57"/>
        <v>"001ORA",</v>
      </c>
      <c r="FR7" s="48" t="str">
        <f t="shared" si="58"/>
        <v>"002BLA",</v>
      </c>
      <c r="FS7" s="48" t="str">
        <f t="shared" si="59"/>
        <v>"003BLU",</v>
      </c>
      <c r="FT7" s="48" t="str">
        <f t="shared" si="60"/>
        <v>"myrORA",</v>
      </c>
      <c r="FU7" s="48" t="str">
        <f t="shared" si="61"/>
        <v/>
      </c>
      <c r="FV7" s="48" t="str">
        <f t="shared" si="62"/>
        <v/>
      </c>
      <c r="FW7" s="48" t="str">
        <f t="shared" si="63"/>
        <v/>
      </c>
      <c r="FY7" s="48" t="str">
        <f t="shared" si="65"/>
        <v/>
      </c>
      <c r="FZ7" s="48" t="str">
        <f t="shared" si="66"/>
        <v/>
      </c>
      <c r="GA7" s="48" t="str">
        <f t="shared" si="67"/>
        <v/>
      </c>
      <c r="GB7" s="48" t="str">
        <f t="shared" si="68"/>
        <v/>
      </c>
      <c r="GE7" s="48" t="str">
        <f t="shared" si="71"/>
        <v/>
      </c>
      <c r="GF7" s="48" t="str">
        <f t="shared" ref="GF7" si="105">IFERROR(IF(SEARCH("Historical",AU7)&gt;0,CHAR(34)&amp;"histor"&amp;CHAR(34)&amp;",",""),"")</f>
        <v>"histor",</v>
      </c>
      <c r="GG7" s="48" t="str">
        <f t="shared" si="72"/>
        <v/>
      </c>
      <c r="GH7" s="48" t="str">
        <f t="shared" si="73"/>
        <v/>
      </c>
      <c r="GI7" s="48" t="str">
        <f t="shared" si="74"/>
        <v/>
      </c>
      <c r="GJ7" s="48" t="str">
        <f t="shared" si="75"/>
        <v/>
      </c>
      <c r="GK7" s="48" t="str">
        <f t="shared" si="76"/>
        <v>"HasSta",</v>
      </c>
      <c r="GL7" s="48" t="str">
        <f t="shared" si="77"/>
        <v/>
      </c>
      <c r="GM7" s="48" t="str">
        <f t="shared" si="77"/>
        <v/>
      </c>
      <c r="GN7" s="48" t="str">
        <f t="shared" si="77"/>
        <v>"3+Star",</v>
      </c>
      <c r="GP7" s="48" t="str">
        <f t="shared" si="78"/>
        <v>"Historical"</v>
      </c>
      <c r="GS7" s="48" t="str">
        <f t="shared" si="79"/>
        <v>["4Color","words2","words3","lets43","startT","with_y","year19","NoBand","Circle","Center","Rotate","sta","NO_WHI","NO_RED","NO_GRE","WHGRNO","WHRENO","001ORA","002BLA","003BLU","myrORA","histor","HasSta","3+Star"]</v>
      </c>
      <c r="GT7" s="48" t="str">
        <f t="shared" si="80"/>
        <v>"cl_BLA",</v>
      </c>
      <c r="GU7" s="48" t="str">
        <f t="shared" si="80"/>
        <v>"cl_BLU",</v>
      </c>
      <c r="GV7" s="48" t="str">
        <f t="shared" si="80"/>
        <v/>
      </c>
      <c r="GW7" s="48" t="str">
        <f t="shared" si="80"/>
        <v/>
      </c>
      <c r="GX7" s="48" t="str">
        <f t="shared" si="80"/>
        <v>"cl_YEL",</v>
      </c>
      <c r="GY7" s="48" t="str">
        <f t="shared" si="80"/>
        <v>"cl_ORA",</v>
      </c>
      <c r="GZ7" s="48" t="str">
        <f t="shared" si="80"/>
        <v/>
      </c>
      <c r="HA7" s="48" t="str">
        <f t="shared" si="80"/>
        <v/>
      </c>
      <c r="HB7" s="48" t="str">
        <f t="shared" si="80"/>
        <v/>
      </c>
      <c r="HC7" s="48" t="str">
        <f t="shared" si="81"/>
        <v>["cl_BLA","cl_BLU","cl_YEL","cl_ORA"]</v>
      </c>
      <c r="HE7" s="71"/>
      <c r="HF7" s="72" t="str">
        <f t="shared" si="82"/>
        <v>{couname:"[MIC] Trust Territory of the Pacific Islands (1947-1994)",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links: "https://en.wikipedia.org/wiki/Flag_of_the_Trust_Territory_of_the_Pacific_Islands"},</v>
      </c>
      <c r="HG7" s="73" t="str">
        <f t="shared" si="83"/>
        <v>{couname:"[MIC] Trust Territory of the Pacific Islands (1947-1994)",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links: "https://en.wikipedia.org/wiki/Flag_of_the_Trust_Territory_of_the_Pacific_Islands"},</v>
      </c>
      <c r="HH7" s="48" t="str">
        <f t="shared" si="84"/>
        <v>"\nA circle of six white stars on a blue background. The six stars represented the six districts: the Marianas, the Marshall Islands, Yap, Chuuk, Pohnpei, and Palau."</v>
      </c>
      <c r="HI7" s="48" t="str">
        <f t="shared" si="85"/>
        <v>"\nA circle of six white stars on a blue background. The six stars represented the six districts: the Marianas, the Marshall Islands, Yap, Chuuk, Pohnpei, and Palau."</v>
      </c>
      <c r="HJ7" s="48" t="str">
        <f t="shared" si="86"/>
        <v>"1962"</v>
      </c>
      <c r="HL7" s="48" t="str">
        <f t="shared" si="87"/>
        <v>"https://en.wikipedia.org/wiki/Flag_of_the_Trust_Territory_of_the_Pacific_Islands"</v>
      </c>
      <c r="HM7" s="72" t="str">
        <f t="shared" si="88"/>
        <v>{"couname":"[MIC] Trust Territory of the Pacific Islands (1947-1994)","subtype":"[MIC] Other","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 "links": "https://en.wikipedia.org/wiki/Flag_of_the_Trust_Territory_of_the_Pacific_Islands"},</v>
      </c>
      <c r="HN7" s="74" t="str">
        <f t="shared" si="89"/>
        <v>{"couname":"[MIC] Trust Territory of the Pacific Islands (1947-1994)","subtype":"[MIC] Other","year":"1962","region":"rgn_Oceania","Colors":["cl_BLA","cl_BLU","cl_YEL","cl_ORA"],"Items":["4Color","words2","words3","lets43","startT","with_y","year19","NoBand","Circle","Center","Rotate","sta","NO_WHI","NO_RED","NO_GRE","WHGRNO","WHRENO","001ORA","002BLA","003BLU","myrORA","histor","HasSta","3+Star"],"Flag":"https://upload.wikimedia.org/wikipedia/commons/thumb/4/41/Flag_of_the_Trust_Territory_of_the_Pacific_Islands.svg/640px-Flag_of_the_Trust_Territory_of_the_Pacific_Islands.svg.png","HDFlag":"https://upload.wikimedia.org/wikipedia/commons/thumb/4/41/Flag_of_the_Trust_Territory_of_the_Pacific_Islands.svg/640px-Flag_of_the_Trust_Territory_of_the_Pacific_Islands.svg.png","type":"Historical", "describe": "\nA circle of six white stars on a blue background. The six stars represented the six districts: the Marianas, the Marshall Islands, Yap, Chuuk, Pohnpei, and Palau.", "isnew": ".", "links": "https://en.wikipedia.org/wiki/Flag_of_the_Trust_Territory_of_the_Pacific_Islands"},</v>
      </c>
      <c r="HO7" s="75">
        <v>45610</v>
      </c>
      <c r="HP7" s="48" t="str" cm="1">
        <f t="array" ref="HP7">IF(_xlfn.TEXTJOIN(", ", TRUE, IF(ISNUMBER(SEARCH("BLA", BL7:BT7)), COLUMN(BL7:BT7) - COLUMN(BL7) + 1, ""))&lt;&gt;"","BLA","")</f>
        <v>BLA</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ORA</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
      </c>
      <c r="HY7" s="76"/>
      <c r="HZ7" s="76"/>
      <c r="IA7" s="6"/>
      <c r="IB7" s="6"/>
      <c r="IC7" s="77"/>
      <c r="ID7" s="77"/>
      <c r="IE7" s="77"/>
      <c r="IF7" s="77"/>
      <c r="IG7" s="77"/>
      <c r="IH7" s="77"/>
      <c r="II7" s="77"/>
      <c r="IJ7" s="77"/>
      <c r="IK7" s="77"/>
      <c r="IM7" s="45">
        <f t="shared" si="91"/>
        <v>-4</v>
      </c>
      <c r="IN7" s="78" t="str">
        <f t="shared" si="92"/>
        <v>http://mkweb.bcgsc.ca/color-summarizer/?url=https://upload.wikimedia.org/wikipedia/commons/thumb/4/41/Flag_of_the_Trust_Territory_of_the_Pacific_Islands.svg/640px-Flag_of_the_Trust_Territory_of_the_Pacific_Islands.svg.png&amp;precision=low&amp;num_clusters=4&amp;text=1</v>
      </c>
      <c r="IO7" s="48" t="str">
        <f t="shared" si="93"/>
        <v>"black"</v>
      </c>
      <c r="IP7" s="48" t="str">
        <f t="shared" si="94"/>
        <v>"blue"</v>
      </c>
      <c r="IQ7" s="48" t="str">
        <f t="shared" si="95"/>
        <v/>
      </c>
      <c r="IR7" s="48" t="str">
        <f t="shared" si="96"/>
        <v/>
      </c>
      <c r="IS7" s="48" t="str">
        <f t="shared" si="97"/>
        <v>"yellow"</v>
      </c>
      <c r="IT7" s="48" t="str">
        <f t="shared" si="98"/>
        <v>"orange"</v>
      </c>
      <c r="IU7" s="48" t="str">
        <f t="shared" si="99"/>
        <v/>
      </c>
      <c r="IV7" s="48" t="str">
        <f t="shared" si="100"/>
        <v/>
      </c>
      <c r="IW7" s="48" t="str">
        <f t="shared" si="101"/>
        <v/>
      </c>
      <c r="IX7" s="48" t="str">
        <f t="shared" si="102"/>
        <v>{"url":"http://mkweb.bcgsc.ca/color-summarizer/?url=https://upload.wikimedia.org/wikipedia/commons/thumb/4/41/Flag_of_the_Trust_Territory_of_the_Pacific_Islands.svg/640px-Flag_of_the_Trust_Territory_of_the_Pacific_Islands.svg.png&amp;precision=low&amp;num_clusters=4&amp;text=1","name":"[MIC] Trust Territory of the Pacific Islands (1947-1994)"},</v>
      </c>
      <c r="IY7" s="48">
        <v>1475</v>
      </c>
    </row>
  </sheetData>
  <conditionalFormatting sqref="H1 CW1:GS1 IA1:IB1">
    <cfRule type="cellIs" dxfId="4154" priority="251" operator="greaterThan">
      <formula>0</formula>
    </cfRule>
  </conditionalFormatting>
  <conditionalFormatting sqref="H1">
    <cfRule type="cellIs" dxfId="4153" priority="217" stopIfTrue="1" operator="notEqual">
      <formula>""</formula>
    </cfRule>
  </conditionalFormatting>
  <conditionalFormatting sqref="T1:BK1">
    <cfRule type="cellIs" dxfId="4152" priority="254" operator="greaterThan">
      <formula>0</formula>
    </cfRule>
  </conditionalFormatting>
  <conditionalFormatting sqref="BV1:BW1">
    <cfRule type="cellIs" dxfId="4151" priority="253" operator="equal">
      <formula>"nc"</formula>
    </cfRule>
  </conditionalFormatting>
  <conditionalFormatting sqref="HF1:HG1">
    <cfRule type="cellIs" dxfId="4150" priority="255" operator="greaterThan">
      <formula>0</formula>
    </cfRule>
  </conditionalFormatting>
  <conditionalFormatting sqref="HK1">
    <cfRule type="cellIs" dxfId="4149" priority="252" operator="greaterThan">
      <formula>0</formula>
    </cfRule>
  </conditionalFormatting>
  <conditionalFormatting sqref="HP1:HX1">
    <cfRule type="cellIs" dxfId="4148" priority="229" operator="equal">
      <formula>"PIN"</formula>
    </cfRule>
    <cfRule type="cellIs" dxfId="4147" priority="230" operator="equal">
      <formula>"ORA"</formula>
    </cfRule>
    <cfRule type="cellIs" dxfId="4146" priority="231" operator="equal">
      <formula>"GRA"</formula>
    </cfRule>
    <cfRule type="cellIs" dxfId="4145" priority="232" operator="equal">
      <formula>"PUR"</formula>
    </cfRule>
    <cfRule type="cellIs" dxfId="4144" priority="233" operator="equal">
      <formula>"BRO"</formula>
    </cfRule>
    <cfRule type="cellIs" dxfId="4143" priority="234" operator="equal">
      <formula>"YEL"</formula>
    </cfRule>
    <cfRule type="cellIs" dxfId="4142" priority="235" operator="equal">
      <formula>"BLU"</formula>
    </cfRule>
    <cfRule type="cellIs" dxfId="4141" priority="236" operator="equal">
      <formula>"WHI"</formula>
    </cfRule>
    <cfRule type="cellIs" dxfId="4140" priority="237" operator="equal">
      <formula>"GRE"</formula>
    </cfRule>
    <cfRule type="cellIs" dxfId="4139" priority="238" operator="equal">
      <formula>"RED"</formula>
    </cfRule>
    <cfRule type="cellIs" dxfId="4138" priority="239" operator="equal">
      <formula>"BLA"</formula>
    </cfRule>
  </conditionalFormatting>
  <conditionalFormatting sqref="IC1:IK1">
    <cfRule type="cellIs" dxfId="4137" priority="240" operator="equal">
      <formula>"PIN"</formula>
    </cfRule>
    <cfRule type="cellIs" dxfId="4136" priority="241" operator="equal">
      <formula>"ORA"</formula>
    </cfRule>
    <cfRule type="cellIs" dxfId="4135" priority="242" operator="equal">
      <formula>"GRA"</formula>
    </cfRule>
    <cfRule type="cellIs" dxfId="4134" priority="243" operator="equal">
      <formula>"PUR"</formula>
    </cfRule>
    <cfRule type="cellIs" dxfId="4133" priority="244" operator="equal">
      <formula>"BRO"</formula>
    </cfRule>
    <cfRule type="cellIs" dxfId="4132" priority="245" operator="equal">
      <formula>"YEL"</formula>
    </cfRule>
    <cfRule type="cellIs" dxfId="4131" priority="246" operator="equal">
      <formula>"BLU"</formula>
    </cfRule>
    <cfRule type="cellIs" dxfId="4130" priority="247" operator="equal">
      <formula>"WHI"</formula>
    </cfRule>
    <cfRule type="cellIs" dxfId="4129" priority="248" operator="equal">
      <formula>"GRE"</formula>
    </cfRule>
    <cfRule type="cellIs" dxfId="4128" priority="249" operator="equal">
      <formula>"RED"</formula>
    </cfRule>
    <cfRule type="cellIs" dxfId="4127" priority="250" operator="equal">
      <formula>"BLA"</formula>
    </cfRule>
  </conditionalFormatting>
  <conditionalFormatting sqref="IO1:IW1">
    <cfRule type="cellIs" dxfId="4126" priority="218" operator="equal">
      <formula>"PIN"</formula>
    </cfRule>
    <cfRule type="cellIs" dxfId="4125" priority="219" operator="equal">
      <formula>"ORA"</formula>
    </cfRule>
    <cfRule type="cellIs" dxfId="4124" priority="220" operator="equal">
      <formula>"GRA"</formula>
    </cfRule>
    <cfRule type="cellIs" dxfId="4123" priority="221" operator="equal">
      <formula>"PUR"</formula>
    </cfRule>
    <cfRule type="cellIs" dxfId="4122" priority="222" operator="equal">
      <formula>"BRO"</formula>
    </cfRule>
    <cfRule type="cellIs" dxfId="4121" priority="223" operator="equal">
      <formula>"YEL"</formula>
    </cfRule>
    <cfRule type="cellIs" dxfId="4120" priority="224" operator="equal">
      <formula>"BLU"</formula>
    </cfRule>
    <cfRule type="cellIs" dxfId="4119" priority="225" operator="equal">
      <formula>"WHI"</formula>
    </cfRule>
    <cfRule type="cellIs" dxfId="4118" priority="226" operator="equal">
      <formula>"GRE"</formula>
    </cfRule>
    <cfRule type="cellIs" dxfId="4117" priority="227" operator="equal">
      <formula>"RED"</formula>
    </cfRule>
    <cfRule type="cellIs" dxfId="4116" priority="228" operator="equal">
      <formula>"BLA"</formula>
    </cfRule>
  </conditionalFormatting>
  <conditionalFormatting sqref="H2">
    <cfRule type="cellIs" dxfId="4115" priority="186" stopIfTrue="1" operator="notEqual">
      <formula>""</formula>
    </cfRule>
  </conditionalFormatting>
  <conditionalFormatting sqref="R2 CU2">
    <cfRule type="cellIs" dxfId="4114" priority="188" operator="greaterThan">
      <formula>0</formula>
    </cfRule>
  </conditionalFormatting>
  <conditionalFormatting sqref="T2:AS2 CH2:CS2">
    <cfRule type="cellIs" dxfId="4113" priority="183" stopIfTrue="1" operator="equal">
      <formula>"n"</formula>
    </cfRule>
    <cfRule type="cellIs" dxfId="4112" priority="184" stopIfTrue="1" operator="equal">
      <formula>"y"</formula>
    </cfRule>
    <cfRule type="cellIs" dxfId="4111" priority="185" operator="greaterThan">
      <formula>0</formula>
    </cfRule>
  </conditionalFormatting>
  <conditionalFormatting sqref="AZ2:BB2">
    <cfRule type="expression" dxfId="4110" priority="182">
      <formula>$AT2=0</formula>
    </cfRule>
  </conditionalFormatting>
  <conditionalFormatting sqref="AZ2:BU2">
    <cfRule type="cellIs" dxfId="4109" priority="191" operator="equal">
      <formula>"PIN"</formula>
    </cfRule>
    <cfRule type="cellIs" dxfId="4108" priority="192" operator="equal">
      <formula>"ORA"</formula>
    </cfRule>
    <cfRule type="cellIs" dxfId="4107" priority="193" operator="equal">
      <formula>"GRA"</formula>
    </cfRule>
    <cfRule type="cellIs" dxfId="4106" priority="194" operator="equal">
      <formula>"PUR"</formula>
    </cfRule>
    <cfRule type="cellIs" dxfId="4105" priority="195" operator="equal">
      <formula>"BRO"</formula>
    </cfRule>
    <cfRule type="cellIs" dxfId="4104" priority="196" operator="equal">
      <formula>"YEL"</formula>
    </cfRule>
    <cfRule type="cellIs" dxfId="4103" priority="197" operator="equal">
      <formula>"BLU"</formula>
    </cfRule>
    <cfRule type="cellIs" dxfId="4102" priority="198" operator="equal">
      <formula>"WHI"</formula>
    </cfRule>
    <cfRule type="cellIs" dxfId="4101" priority="199" operator="equal">
      <formula>"GRE"</formula>
    </cfRule>
    <cfRule type="cellIs" dxfId="4100" priority="200" operator="equal">
      <formula>"RED"</formula>
    </cfRule>
    <cfRule type="cellIs" dxfId="4099" priority="201" operator="equal">
      <formula>"BLA"</formula>
    </cfRule>
  </conditionalFormatting>
  <conditionalFormatting sqref="BV2:BW2">
    <cfRule type="cellIs" dxfId="4098" priority="213" operator="equal">
      <formula>"nc"</formula>
    </cfRule>
  </conditionalFormatting>
  <conditionalFormatting sqref="BX2:CA2 CD2:CF2">
    <cfRule type="cellIs" dxfId="4097" priority="187" operator="equal">
      <formula>"y"</formula>
    </cfRule>
    <cfRule type="cellIs" dxfId="4096" priority="202" operator="equal">
      <formula>"PIN"</formula>
    </cfRule>
    <cfRule type="cellIs" dxfId="4095" priority="203" operator="equal">
      <formula>"ORA"</formula>
    </cfRule>
    <cfRule type="cellIs" dxfId="4094" priority="204" operator="equal">
      <formula>"GRA"</formula>
    </cfRule>
    <cfRule type="cellIs" dxfId="4093" priority="205" operator="equal">
      <formula>"PUR"</formula>
    </cfRule>
    <cfRule type="cellIs" dxfId="4092" priority="206" operator="equal">
      <formula>"BRO"</formula>
    </cfRule>
    <cfRule type="cellIs" dxfId="4091" priority="207" operator="equal">
      <formula>"YEL"</formula>
    </cfRule>
    <cfRule type="cellIs" dxfId="4090" priority="208" operator="equal">
      <formula>"BLU"</formula>
    </cfRule>
    <cfRule type="cellIs" dxfId="4089" priority="209" operator="equal">
      <formula>"WHI"</formula>
    </cfRule>
    <cfRule type="cellIs" dxfId="4088" priority="210" operator="equal">
      <formula>"GRE"</formula>
    </cfRule>
    <cfRule type="cellIs" dxfId="4087" priority="211" operator="equal">
      <formula>"RED"</formula>
    </cfRule>
    <cfRule type="cellIs" dxfId="4086" priority="212" operator="equal">
      <formula>"BLA"</formula>
    </cfRule>
  </conditionalFormatting>
  <conditionalFormatting sqref="BZ2:CA2 CD2:CF2">
    <cfRule type="cellIs" dxfId="4085" priority="189" operator="greaterThan">
      <formula>0</formula>
    </cfRule>
  </conditionalFormatting>
  <conditionalFormatting sqref="IC2:IK2">
    <cfRule type="expression" dxfId="4084" priority="190">
      <formula>$IL2&gt;0</formula>
    </cfRule>
  </conditionalFormatting>
  <conditionalFormatting sqref="S2">
    <cfRule type="colorScale" priority="214">
      <colorScale>
        <cfvo type="min"/>
        <cfvo type="max"/>
        <color rgb="FFFCFCFF"/>
        <color rgb="FF754BFB"/>
      </colorScale>
    </cfRule>
  </conditionalFormatting>
  <conditionalFormatting sqref="AT2">
    <cfRule type="colorScale" priority="215">
      <colorScale>
        <cfvo type="min"/>
        <cfvo type="max"/>
        <color rgb="FFFCFCFF"/>
        <color theme="8" tint="0.39997558519241921"/>
      </colorScale>
    </cfRule>
  </conditionalFormatting>
  <conditionalFormatting sqref="CG2">
    <cfRule type="colorScale" priority="216">
      <colorScale>
        <cfvo type="min"/>
        <cfvo type="max"/>
        <color rgb="FFFCFCFF"/>
        <color rgb="FF63BE7B"/>
      </colorScale>
    </cfRule>
  </conditionalFormatting>
  <conditionalFormatting sqref="J2">
    <cfRule type="colorScale" priority="181">
      <colorScale>
        <cfvo type="min"/>
        <cfvo type="percentile" val="50"/>
        <cfvo type="max"/>
        <color rgb="FFF8696B"/>
        <color rgb="FFFFEB84"/>
        <color rgb="FF63BE7B"/>
      </colorScale>
    </cfRule>
  </conditionalFormatting>
  <conditionalFormatting sqref="H3">
    <cfRule type="cellIs" dxfId="2474" priority="149" stopIfTrue="1" operator="notEqual">
      <formula>""</formula>
    </cfRule>
  </conditionalFormatting>
  <conditionalFormatting sqref="R3 CU3">
    <cfRule type="cellIs" dxfId="2473" priority="151" operator="greaterThan">
      <formula>0</formula>
    </cfRule>
  </conditionalFormatting>
  <conditionalFormatting sqref="T3:AS3 CH3:CS3">
    <cfRule type="cellIs" dxfId="2472" priority="146" stopIfTrue="1" operator="equal">
      <formula>"n"</formula>
    </cfRule>
    <cfRule type="cellIs" dxfId="2471" priority="147" stopIfTrue="1" operator="equal">
      <formula>"y"</formula>
    </cfRule>
    <cfRule type="cellIs" dxfId="2470" priority="148" operator="greaterThan">
      <formula>0</formula>
    </cfRule>
  </conditionalFormatting>
  <conditionalFormatting sqref="AZ3:BB3">
    <cfRule type="expression" dxfId="2469" priority="145">
      <formula>$AT3=0</formula>
    </cfRule>
  </conditionalFormatting>
  <conditionalFormatting sqref="AZ3:BU3">
    <cfRule type="cellIs" dxfId="2468" priority="154" operator="equal">
      <formula>"PIN"</formula>
    </cfRule>
    <cfRule type="cellIs" dxfId="2467" priority="155" operator="equal">
      <formula>"ORA"</formula>
    </cfRule>
    <cfRule type="cellIs" dxfId="2466" priority="156" operator="equal">
      <formula>"GRA"</formula>
    </cfRule>
    <cfRule type="cellIs" dxfId="2465" priority="157" operator="equal">
      <formula>"PUR"</formula>
    </cfRule>
    <cfRule type="cellIs" dxfId="2464" priority="158" operator="equal">
      <formula>"BRO"</formula>
    </cfRule>
    <cfRule type="cellIs" dxfId="2463" priority="159" operator="equal">
      <formula>"YEL"</formula>
    </cfRule>
    <cfRule type="cellIs" dxfId="2462" priority="160" operator="equal">
      <formula>"BLU"</formula>
    </cfRule>
    <cfRule type="cellIs" dxfId="2461" priority="161" operator="equal">
      <formula>"WHI"</formula>
    </cfRule>
    <cfRule type="cellIs" dxfId="2460" priority="162" operator="equal">
      <formula>"GRE"</formula>
    </cfRule>
    <cfRule type="cellIs" dxfId="2459" priority="163" operator="equal">
      <formula>"RED"</formula>
    </cfRule>
    <cfRule type="cellIs" dxfId="2458" priority="164" operator="equal">
      <formula>"BLA"</formula>
    </cfRule>
  </conditionalFormatting>
  <conditionalFormatting sqref="BV3">
    <cfRule type="cellIs" dxfId="2457" priority="176" operator="equal">
      <formula>"nc"</formula>
    </cfRule>
  </conditionalFormatting>
  <conditionalFormatting sqref="BX3:CA3 CD3:CF3">
    <cfRule type="cellIs" dxfId="2456" priority="150" operator="equal">
      <formula>"y"</formula>
    </cfRule>
    <cfRule type="cellIs" dxfId="2455" priority="165" operator="equal">
      <formula>"PIN"</formula>
    </cfRule>
    <cfRule type="cellIs" dxfId="2454" priority="166" operator="equal">
      <formula>"ORA"</formula>
    </cfRule>
    <cfRule type="cellIs" dxfId="2453" priority="167" operator="equal">
      <formula>"GRA"</formula>
    </cfRule>
    <cfRule type="cellIs" dxfId="2452" priority="168" operator="equal">
      <formula>"PUR"</formula>
    </cfRule>
    <cfRule type="cellIs" dxfId="2451" priority="169" operator="equal">
      <formula>"BRO"</formula>
    </cfRule>
    <cfRule type="cellIs" dxfId="2450" priority="170" operator="equal">
      <formula>"YEL"</formula>
    </cfRule>
    <cfRule type="cellIs" dxfId="2449" priority="171" operator="equal">
      <formula>"BLU"</formula>
    </cfRule>
    <cfRule type="cellIs" dxfId="2448" priority="172" operator="equal">
      <formula>"WHI"</formula>
    </cfRule>
    <cfRule type="cellIs" dxfId="2447" priority="173" operator="equal">
      <formula>"GRE"</formula>
    </cfRule>
    <cfRule type="cellIs" dxfId="2446" priority="174" operator="equal">
      <formula>"RED"</formula>
    </cfRule>
    <cfRule type="cellIs" dxfId="2445" priority="175" operator="equal">
      <formula>"BLA"</formula>
    </cfRule>
  </conditionalFormatting>
  <conditionalFormatting sqref="BZ3:CA3 CD3:CF3">
    <cfRule type="cellIs" dxfId="2444" priority="152" operator="greaterThan">
      <formula>0</formula>
    </cfRule>
  </conditionalFormatting>
  <conditionalFormatting sqref="IC3:IK3">
    <cfRule type="expression" dxfId="2443" priority="153">
      <formula>$IL3&gt;0</formula>
    </cfRule>
  </conditionalFormatting>
  <conditionalFormatting sqref="J3">
    <cfRule type="colorScale" priority="177">
      <colorScale>
        <cfvo type="min"/>
        <cfvo type="percentile" val="50"/>
        <cfvo type="max"/>
        <color rgb="FFF8696B"/>
        <color rgb="FFFFEB84"/>
        <color rgb="FF63BE7B"/>
      </colorScale>
    </cfRule>
  </conditionalFormatting>
  <conditionalFormatting sqref="S3">
    <cfRule type="colorScale" priority="178">
      <colorScale>
        <cfvo type="min"/>
        <cfvo type="max"/>
        <color rgb="FFFCFCFF"/>
        <color rgb="FF754BFB"/>
      </colorScale>
    </cfRule>
  </conditionalFormatting>
  <conditionalFormatting sqref="AT3">
    <cfRule type="colorScale" priority="179">
      <colorScale>
        <cfvo type="min"/>
        <cfvo type="max"/>
        <color rgb="FFFCFCFF"/>
        <color theme="8" tint="0.39997558519241921"/>
      </colorScale>
    </cfRule>
  </conditionalFormatting>
  <conditionalFormatting sqref="CG3">
    <cfRule type="colorScale" priority="180">
      <colorScale>
        <cfvo type="min"/>
        <cfvo type="max"/>
        <color rgb="FFFCFCFF"/>
        <color rgb="FF63BE7B"/>
      </colorScale>
    </cfRule>
  </conditionalFormatting>
  <conditionalFormatting sqref="H4">
    <cfRule type="cellIs" dxfId="2442" priority="113" stopIfTrue="1" operator="notEqual">
      <formula>""</formula>
    </cfRule>
  </conditionalFormatting>
  <conditionalFormatting sqref="R4 CU4">
    <cfRule type="cellIs" dxfId="2441" priority="115" operator="greaterThan">
      <formula>0</formula>
    </cfRule>
  </conditionalFormatting>
  <conditionalFormatting sqref="T4:AS4 CH4:CS4">
    <cfRule type="cellIs" dxfId="2440" priority="110" stopIfTrue="1" operator="equal">
      <formula>"n"</formula>
    </cfRule>
    <cfRule type="cellIs" dxfId="2439" priority="111" stopIfTrue="1" operator="equal">
      <formula>"y"</formula>
    </cfRule>
    <cfRule type="cellIs" dxfId="2438" priority="112" operator="greaterThan">
      <formula>0</formula>
    </cfRule>
  </conditionalFormatting>
  <conditionalFormatting sqref="AZ4:BB4">
    <cfRule type="expression" dxfId="2437" priority="109">
      <formula>$AT4=0</formula>
    </cfRule>
  </conditionalFormatting>
  <conditionalFormatting sqref="AZ4:BU4">
    <cfRule type="cellIs" dxfId="2436" priority="118" operator="equal">
      <formula>"PIN"</formula>
    </cfRule>
    <cfRule type="cellIs" dxfId="2435" priority="119" operator="equal">
      <formula>"ORA"</formula>
    </cfRule>
    <cfRule type="cellIs" dxfId="2434" priority="120" operator="equal">
      <formula>"GRA"</formula>
    </cfRule>
    <cfRule type="cellIs" dxfId="2433" priority="121" operator="equal">
      <formula>"PUR"</formula>
    </cfRule>
    <cfRule type="cellIs" dxfId="2432" priority="122" operator="equal">
      <formula>"BRO"</formula>
    </cfRule>
    <cfRule type="cellIs" dxfId="2431" priority="123" operator="equal">
      <formula>"YEL"</formula>
    </cfRule>
    <cfRule type="cellIs" dxfId="2430" priority="124" operator="equal">
      <formula>"BLU"</formula>
    </cfRule>
    <cfRule type="cellIs" dxfId="2429" priority="125" operator="equal">
      <formula>"WHI"</formula>
    </cfRule>
    <cfRule type="cellIs" dxfId="2428" priority="126" operator="equal">
      <formula>"GRE"</formula>
    </cfRule>
    <cfRule type="cellIs" dxfId="2427" priority="127" operator="equal">
      <formula>"RED"</formula>
    </cfRule>
    <cfRule type="cellIs" dxfId="2426" priority="128" operator="equal">
      <formula>"BLA"</formula>
    </cfRule>
  </conditionalFormatting>
  <conditionalFormatting sqref="BV4">
    <cfRule type="cellIs" dxfId="2425" priority="140" operator="equal">
      <formula>"nc"</formula>
    </cfRule>
  </conditionalFormatting>
  <conditionalFormatting sqref="BX4:CA4 CD4:CF4">
    <cfRule type="cellIs" dxfId="2424" priority="114" operator="equal">
      <formula>"y"</formula>
    </cfRule>
    <cfRule type="cellIs" dxfId="2423" priority="129" operator="equal">
      <formula>"PIN"</formula>
    </cfRule>
    <cfRule type="cellIs" dxfId="2422" priority="130" operator="equal">
      <formula>"ORA"</formula>
    </cfRule>
    <cfRule type="cellIs" dxfId="2421" priority="131" operator="equal">
      <formula>"GRA"</formula>
    </cfRule>
    <cfRule type="cellIs" dxfId="2420" priority="132" operator="equal">
      <formula>"PUR"</formula>
    </cfRule>
    <cfRule type="cellIs" dxfId="2419" priority="133" operator="equal">
      <formula>"BRO"</formula>
    </cfRule>
    <cfRule type="cellIs" dxfId="2418" priority="134" operator="equal">
      <formula>"YEL"</formula>
    </cfRule>
    <cfRule type="cellIs" dxfId="2417" priority="135" operator="equal">
      <formula>"BLU"</formula>
    </cfRule>
    <cfRule type="cellIs" dxfId="2416" priority="136" operator="equal">
      <formula>"WHI"</formula>
    </cfRule>
    <cfRule type="cellIs" dxfId="2415" priority="137" operator="equal">
      <formula>"GRE"</formula>
    </cfRule>
    <cfRule type="cellIs" dxfId="2414" priority="138" operator="equal">
      <formula>"RED"</formula>
    </cfRule>
    <cfRule type="cellIs" dxfId="2413" priority="139" operator="equal">
      <formula>"BLA"</formula>
    </cfRule>
  </conditionalFormatting>
  <conditionalFormatting sqref="BZ4:CA4 CD4:CF4">
    <cfRule type="cellIs" dxfId="2412" priority="116" operator="greaterThan">
      <formula>0</formula>
    </cfRule>
  </conditionalFormatting>
  <conditionalFormatting sqref="IC4:IK4">
    <cfRule type="expression" dxfId="2411" priority="117">
      <formula>$IL4&gt;0</formula>
    </cfRule>
  </conditionalFormatting>
  <conditionalFormatting sqref="J4">
    <cfRule type="colorScale" priority="141">
      <colorScale>
        <cfvo type="min"/>
        <cfvo type="percentile" val="50"/>
        <cfvo type="max"/>
        <color rgb="FFF8696B"/>
        <color rgb="FFFFEB84"/>
        <color rgb="FF63BE7B"/>
      </colorScale>
    </cfRule>
  </conditionalFormatting>
  <conditionalFormatting sqref="S4">
    <cfRule type="colorScale" priority="142">
      <colorScale>
        <cfvo type="min"/>
        <cfvo type="max"/>
        <color rgb="FFFCFCFF"/>
        <color rgb="FF754BFB"/>
      </colorScale>
    </cfRule>
  </conditionalFormatting>
  <conditionalFormatting sqref="AT4">
    <cfRule type="colorScale" priority="143">
      <colorScale>
        <cfvo type="min"/>
        <cfvo type="max"/>
        <color rgb="FFFCFCFF"/>
        <color theme="8" tint="0.39997558519241921"/>
      </colorScale>
    </cfRule>
  </conditionalFormatting>
  <conditionalFormatting sqref="CG4">
    <cfRule type="colorScale" priority="144">
      <colorScale>
        <cfvo type="min"/>
        <cfvo type="max"/>
        <color rgb="FFFCFCFF"/>
        <color rgb="FF63BE7B"/>
      </colorScale>
    </cfRule>
  </conditionalFormatting>
  <conditionalFormatting sqref="H5">
    <cfRule type="cellIs" dxfId="2410" priority="77" stopIfTrue="1" operator="notEqual">
      <formula>""</formula>
    </cfRule>
  </conditionalFormatting>
  <conditionalFormatting sqref="R5 CU5">
    <cfRule type="cellIs" dxfId="2409" priority="79" operator="greaterThan">
      <formula>0</formula>
    </cfRule>
  </conditionalFormatting>
  <conditionalFormatting sqref="T5:AS5 CH5:CS5">
    <cfRule type="cellIs" dxfId="2408" priority="74" stopIfTrue="1" operator="equal">
      <formula>"n"</formula>
    </cfRule>
    <cfRule type="cellIs" dxfId="2407" priority="75" stopIfTrue="1" operator="equal">
      <formula>"y"</formula>
    </cfRule>
    <cfRule type="cellIs" dxfId="2406" priority="76" operator="greaterThan">
      <formula>0</formula>
    </cfRule>
  </conditionalFormatting>
  <conditionalFormatting sqref="AZ5:BB5">
    <cfRule type="expression" dxfId="2405" priority="73">
      <formula>$AT5=0</formula>
    </cfRule>
  </conditionalFormatting>
  <conditionalFormatting sqref="AZ5:BU5">
    <cfRule type="cellIs" dxfId="2404" priority="82" operator="equal">
      <formula>"PIN"</formula>
    </cfRule>
    <cfRule type="cellIs" dxfId="2403" priority="83" operator="equal">
      <formula>"ORA"</formula>
    </cfRule>
    <cfRule type="cellIs" dxfId="2402" priority="84" operator="equal">
      <formula>"GRA"</formula>
    </cfRule>
    <cfRule type="cellIs" dxfId="2401" priority="85" operator="equal">
      <formula>"PUR"</formula>
    </cfRule>
    <cfRule type="cellIs" dxfId="2400" priority="86" operator="equal">
      <formula>"BRO"</formula>
    </cfRule>
    <cfRule type="cellIs" dxfId="2399" priority="87" operator="equal">
      <formula>"YEL"</formula>
    </cfRule>
    <cfRule type="cellIs" dxfId="2398" priority="88" operator="equal">
      <formula>"BLU"</formula>
    </cfRule>
    <cfRule type="cellIs" dxfId="2397" priority="89" operator="equal">
      <formula>"WHI"</formula>
    </cfRule>
    <cfRule type="cellIs" dxfId="2396" priority="90" operator="equal">
      <formula>"GRE"</formula>
    </cfRule>
    <cfRule type="cellIs" dxfId="2395" priority="91" operator="equal">
      <formula>"RED"</formula>
    </cfRule>
    <cfRule type="cellIs" dxfId="2394" priority="92" operator="equal">
      <formula>"BLA"</formula>
    </cfRule>
  </conditionalFormatting>
  <conditionalFormatting sqref="BV5">
    <cfRule type="cellIs" dxfId="2393" priority="104" operator="equal">
      <formula>"nc"</formula>
    </cfRule>
  </conditionalFormatting>
  <conditionalFormatting sqref="BX5:CA5 CD5:CF5">
    <cfRule type="cellIs" dxfId="2392" priority="78" operator="equal">
      <formula>"y"</formula>
    </cfRule>
    <cfRule type="cellIs" dxfId="2391" priority="93" operator="equal">
      <formula>"PIN"</formula>
    </cfRule>
    <cfRule type="cellIs" dxfId="2390" priority="94" operator="equal">
      <formula>"ORA"</formula>
    </cfRule>
    <cfRule type="cellIs" dxfId="2389" priority="95" operator="equal">
      <formula>"GRA"</formula>
    </cfRule>
    <cfRule type="cellIs" dxfId="2388" priority="96" operator="equal">
      <formula>"PUR"</formula>
    </cfRule>
    <cfRule type="cellIs" dxfId="2387" priority="97" operator="equal">
      <formula>"BRO"</formula>
    </cfRule>
    <cfRule type="cellIs" dxfId="2386" priority="98" operator="equal">
      <formula>"YEL"</formula>
    </cfRule>
    <cfRule type="cellIs" dxfId="2385" priority="99" operator="equal">
      <formula>"BLU"</formula>
    </cfRule>
    <cfRule type="cellIs" dxfId="2384" priority="100" operator="equal">
      <formula>"WHI"</formula>
    </cfRule>
    <cfRule type="cellIs" dxfId="2383" priority="101" operator="equal">
      <formula>"GRE"</formula>
    </cfRule>
    <cfRule type="cellIs" dxfId="2382" priority="102" operator="equal">
      <formula>"RED"</formula>
    </cfRule>
    <cfRule type="cellIs" dxfId="2381" priority="103" operator="equal">
      <formula>"BLA"</formula>
    </cfRule>
  </conditionalFormatting>
  <conditionalFormatting sqref="BZ5:CA5 CD5:CF5">
    <cfRule type="cellIs" dxfId="2380" priority="80" operator="greaterThan">
      <formula>0</formula>
    </cfRule>
  </conditionalFormatting>
  <conditionalFormatting sqref="IC5:IK5">
    <cfRule type="expression" dxfId="2379" priority="81">
      <formula>$IL5&gt;0</formula>
    </cfRule>
  </conditionalFormatting>
  <conditionalFormatting sqref="J5">
    <cfRule type="colorScale" priority="105">
      <colorScale>
        <cfvo type="min"/>
        <cfvo type="percentile" val="50"/>
        <cfvo type="max"/>
        <color rgb="FFF8696B"/>
        <color rgb="FFFFEB84"/>
        <color rgb="FF63BE7B"/>
      </colorScale>
    </cfRule>
  </conditionalFormatting>
  <conditionalFormatting sqref="S5">
    <cfRule type="colorScale" priority="106">
      <colorScale>
        <cfvo type="min"/>
        <cfvo type="max"/>
        <color rgb="FFFCFCFF"/>
        <color rgb="FF754BFB"/>
      </colorScale>
    </cfRule>
  </conditionalFormatting>
  <conditionalFormatting sqref="AT5">
    <cfRule type="colorScale" priority="107">
      <colorScale>
        <cfvo type="min"/>
        <cfvo type="max"/>
        <color rgb="FFFCFCFF"/>
        <color theme="8" tint="0.39997558519241921"/>
      </colorScale>
    </cfRule>
  </conditionalFormatting>
  <conditionalFormatting sqref="CG5">
    <cfRule type="colorScale" priority="108">
      <colorScale>
        <cfvo type="min"/>
        <cfvo type="max"/>
        <color rgb="FFFCFCFF"/>
        <color rgb="FF63BE7B"/>
      </colorScale>
    </cfRule>
  </conditionalFormatting>
  <conditionalFormatting sqref="H6">
    <cfRule type="cellIs" dxfId="2378" priority="41" stopIfTrue="1" operator="notEqual">
      <formula>""</formula>
    </cfRule>
  </conditionalFormatting>
  <conditionalFormatting sqref="R6 CU6">
    <cfRule type="cellIs" dxfId="2377" priority="43" operator="greaterThan">
      <formula>0</formula>
    </cfRule>
  </conditionalFormatting>
  <conditionalFormatting sqref="T6:AS6 CH6:CS6">
    <cfRule type="cellIs" dxfId="2376" priority="38" stopIfTrue="1" operator="equal">
      <formula>"n"</formula>
    </cfRule>
    <cfRule type="cellIs" dxfId="2375" priority="39" stopIfTrue="1" operator="equal">
      <formula>"y"</formula>
    </cfRule>
    <cfRule type="cellIs" dxfId="2374" priority="40" operator="greaterThan">
      <formula>0</formula>
    </cfRule>
  </conditionalFormatting>
  <conditionalFormatting sqref="AZ6:BB6">
    <cfRule type="expression" dxfId="2373" priority="37">
      <formula>$AT6=0</formula>
    </cfRule>
  </conditionalFormatting>
  <conditionalFormatting sqref="AZ6:BU6">
    <cfRule type="cellIs" dxfId="2372" priority="46" operator="equal">
      <formula>"PIN"</formula>
    </cfRule>
    <cfRule type="cellIs" dxfId="2371" priority="47" operator="equal">
      <formula>"ORA"</formula>
    </cfRule>
    <cfRule type="cellIs" dxfId="2370" priority="48" operator="equal">
      <formula>"GRA"</formula>
    </cfRule>
    <cfRule type="cellIs" dxfId="2369" priority="49" operator="equal">
      <formula>"PUR"</formula>
    </cfRule>
    <cfRule type="cellIs" dxfId="2368" priority="50" operator="equal">
      <formula>"BRO"</formula>
    </cfRule>
    <cfRule type="cellIs" dxfId="2367" priority="51" operator="equal">
      <formula>"YEL"</formula>
    </cfRule>
    <cfRule type="cellIs" dxfId="2366" priority="52" operator="equal">
      <formula>"BLU"</formula>
    </cfRule>
    <cfRule type="cellIs" dxfId="2365" priority="53" operator="equal">
      <formula>"WHI"</formula>
    </cfRule>
    <cfRule type="cellIs" dxfId="2364" priority="54" operator="equal">
      <formula>"GRE"</formula>
    </cfRule>
    <cfRule type="cellIs" dxfId="2363" priority="55" operator="equal">
      <formula>"RED"</formula>
    </cfRule>
    <cfRule type="cellIs" dxfId="2362" priority="56" operator="equal">
      <formula>"BLA"</formula>
    </cfRule>
  </conditionalFormatting>
  <conditionalFormatting sqref="BV6">
    <cfRule type="cellIs" dxfId="2361" priority="68" operator="equal">
      <formula>"nc"</formula>
    </cfRule>
  </conditionalFormatting>
  <conditionalFormatting sqref="BX6:CA6 CD6:CF6">
    <cfRule type="cellIs" dxfId="2360" priority="42" operator="equal">
      <formula>"y"</formula>
    </cfRule>
    <cfRule type="cellIs" dxfId="2359" priority="57" operator="equal">
      <formula>"PIN"</formula>
    </cfRule>
    <cfRule type="cellIs" dxfId="2358" priority="58" operator="equal">
      <formula>"ORA"</formula>
    </cfRule>
    <cfRule type="cellIs" dxfId="2357" priority="59" operator="equal">
      <formula>"GRA"</formula>
    </cfRule>
    <cfRule type="cellIs" dxfId="2356" priority="60" operator="equal">
      <formula>"PUR"</formula>
    </cfRule>
    <cfRule type="cellIs" dxfId="2355" priority="61" operator="equal">
      <formula>"BRO"</formula>
    </cfRule>
    <cfRule type="cellIs" dxfId="2354" priority="62" operator="equal">
      <formula>"YEL"</formula>
    </cfRule>
    <cfRule type="cellIs" dxfId="2353" priority="63" operator="equal">
      <formula>"BLU"</formula>
    </cfRule>
    <cfRule type="cellIs" dxfId="2352" priority="64" operator="equal">
      <formula>"WHI"</formula>
    </cfRule>
    <cfRule type="cellIs" dxfId="2351" priority="65" operator="equal">
      <formula>"GRE"</formula>
    </cfRule>
    <cfRule type="cellIs" dxfId="2350" priority="66" operator="equal">
      <formula>"RED"</formula>
    </cfRule>
    <cfRule type="cellIs" dxfId="2349" priority="67" operator="equal">
      <formula>"BLA"</formula>
    </cfRule>
  </conditionalFormatting>
  <conditionalFormatting sqref="BZ6:CA6 CD6:CF6">
    <cfRule type="cellIs" dxfId="2348" priority="44" operator="greaterThan">
      <formula>0</formula>
    </cfRule>
  </conditionalFormatting>
  <conditionalFormatting sqref="IC6:IK6">
    <cfRule type="expression" dxfId="2347" priority="45">
      <formula>$IL6&gt;0</formula>
    </cfRule>
  </conditionalFormatting>
  <conditionalFormatting sqref="J6">
    <cfRule type="colorScale" priority="69">
      <colorScale>
        <cfvo type="min"/>
        <cfvo type="percentile" val="50"/>
        <cfvo type="max"/>
        <color rgb="FFF8696B"/>
        <color rgb="FFFFEB84"/>
        <color rgb="FF63BE7B"/>
      </colorScale>
    </cfRule>
  </conditionalFormatting>
  <conditionalFormatting sqref="S6">
    <cfRule type="colorScale" priority="70">
      <colorScale>
        <cfvo type="min"/>
        <cfvo type="max"/>
        <color rgb="FFFCFCFF"/>
        <color rgb="FF754BFB"/>
      </colorScale>
    </cfRule>
  </conditionalFormatting>
  <conditionalFormatting sqref="AT6">
    <cfRule type="colorScale" priority="71">
      <colorScale>
        <cfvo type="min"/>
        <cfvo type="max"/>
        <color rgb="FFFCFCFF"/>
        <color theme="8" tint="0.39997558519241921"/>
      </colorScale>
    </cfRule>
  </conditionalFormatting>
  <conditionalFormatting sqref="CG6">
    <cfRule type="colorScale" priority="72">
      <colorScale>
        <cfvo type="min"/>
        <cfvo type="max"/>
        <color rgb="FFFCFCFF"/>
        <color rgb="FF63BE7B"/>
      </colorScale>
    </cfRule>
  </conditionalFormatting>
  <conditionalFormatting sqref="H7">
    <cfRule type="cellIs" dxfId="447" priority="5" stopIfTrue="1" operator="notEqual">
      <formula>""</formula>
    </cfRule>
  </conditionalFormatting>
  <conditionalFormatting sqref="R7 CU7">
    <cfRule type="cellIs" dxfId="446" priority="7" operator="greaterThan">
      <formula>0</formula>
    </cfRule>
  </conditionalFormatting>
  <conditionalFormatting sqref="T7:AS7 CH7:CS7">
    <cfRule type="cellIs" dxfId="445" priority="2" stopIfTrue="1" operator="equal">
      <formula>"n"</formula>
    </cfRule>
    <cfRule type="cellIs" dxfId="444" priority="3" stopIfTrue="1" operator="equal">
      <formula>"y"</formula>
    </cfRule>
    <cfRule type="cellIs" dxfId="443" priority="4" operator="greaterThan">
      <formula>0</formula>
    </cfRule>
  </conditionalFormatting>
  <conditionalFormatting sqref="AZ7:BB7">
    <cfRule type="expression" dxfId="442" priority="1">
      <formula>$AT7=0</formula>
    </cfRule>
  </conditionalFormatting>
  <conditionalFormatting sqref="AZ7:BU7">
    <cfRule type="cellIs" dxfId="441" priority="10" operator="equal">
      <formula>"PIN"</formula>
    </cfRule>
    <cfRule type="cellIs" dxfId="440" priority="11" operator="equal">
      <formula>"ORA"</formula>
    </cfRule>
    <cfRule type="cellIs" dxfId="439" priority="12" operator="equal">
      <formula>"GRA"</formula>
    </cfRule>
    <cfRule type="cellIs" dxfId="438" priority="13" operator="equal">
      <formula>"PUR"</formula>
    </cfRule>
    <cfRule type="cellIs" dxfId="437" priority="14" operator="equal">
      <formula>"BRO"</formula>
    </cfRule>
    <cfRule type="cellIs" dxfId="436" priority="15" operator="equal">
      <formula>"YEL"</formula>
    </cfRule>
    <cfRule type="cellIs" dxfId="435" priority="16" operator="equal">
      <formula>"BLU"</formula>
    </cfRule>
    <cfRule type="cellIs" dxfId="434" priority="17" operator="equal">
      <formula>"WHI"</formula>
    </cfRule>
    <cfRule type="cellIs" dxfId="433" priority="18" operator="equal">
      <formula>"GRE"</formula>
    </cfRule>
    <cfRule type="cellIs" dxfId="432" priority="19" operator="equal">
      <formula>"RED"</formula>
    </cfRule>
    <cfRule type="cellIs" dxfId="431" priority="20" operator="equal">
      <formula>"BLA"</formula>
    </cfRule>
  </conditionalFormatting>
  <conditionalFormatting sqref="BV7">
    <cfRule type="cellIs" dxfId="430" priority="32" operator="equal">
      <formula>"nc"</formula>
    </cfRule>
  </conditionalFormatting>
  <conditionalFormatting sqref="BX7:CA7 CD7:CF7">
    <cfRule type="cellIs" dxfId="429" priority="6" operator="equal">
      <formula>"y"</formula>
    </cfRule>
    <cfRule type="cellIs" dxfId="428" priority="21" operator="equal">
      <formula>"PIN"</formula>
    </cfRule>
    <cfRule type="cellIs" dxfId="427" priority="22" operator="equal">
      <formula>"ORA"</formula>
    </cfRule>
    <cfRule type="cellIs" dxfId="426" priority="23" operator="equal">
      <formula>"GRA"</formula>
    </cfRule>
    <cfRule type="cellIs" dxfId="425" priority="24" operator="equal">
      <formula>"PUR"</formula>
    </cfRule>
    <cfRule type="cellIs" dxfId="424" priority="25" operator="equal">
      <formula>"BRO"</formula>
    </cfRule>
    <cfRule type="cellIs" dxfId="423" priority="26" operator="equal">
      <formula>"YEL"</formula>
    </cfRule>
    <cfRule type="cellIs" dxfId="422" priority="27" operator="equal">
      <formula>"BLU"</formula>
    </cfRule>
    <cfRule type="cellIs" dxfId="421" priority="28" operator="equal">
      <formula>"WHI"</formula>
    </cfRule>
    <cfRule type="cellIs" dxfId="420" priority="29" operator="equal">
      <formula>"GRE"</formula>
    </cfRule>
    <cfRule type="cellIs" dxfId="419" priority="30" operator="equal">
      <formula>"RED"</formula>
    </cfRule>
    <cfRule type="cellIs" dxfId="418" priority="31" operator="equal">
      <formula>"BLA"</formula>
    </cfRule>
  </conditionalFormatting>
  <conditionalFormatting sqref="BZ7:CA7 CD7:CF7">
    <cfRule type="cellIs" dxfId="417" priority="8" operator="greaterThan">
      <formula>0</formula>
    </cfRule>
  </conditionalFormatting>
  <conditionalFormatting sqref="IC7:IK7">
    <cfRule type="expression" dxfId="416" priority="9">
      <formula>$IL7&gt;0</formula>
    </cfRule>
  </conditionalFormatting>
  <conditionalFormatting sqref="J7">
    <cfRule type="colorScale" priority="33">
      <colorScale>
        <cfvo type="min"/>
        <cfvo type="percentile" val="50"/>
        <cfvo type="max"/>
        <color rgb="FFF8696B"/>
        <color rgb="FFFFEB84"/>
        <color rgb="FF63BE7B"/>
      </colorScale>
    </cfRule>
  </conditionalFormatting>
  <conditionalFormatting sqref="S7">
    <cfRule type="colorScale" priority="34">
      <colorScale>
        <cfvo type="min"/>
        <cfvo type="max"/>
        <color rgb="FFFCFCFF"/>
        <color rgb="FF754BFB"/>
      </colorScale>
    </cfRule>
  </conditionalFormatting>
  <conditionalFormatting sqref="AT7">
    <cfRule type="colorScale" priority="35">
      <colorScale>
        <cfvo type="min"/>
        <cfvo type="max"/>
        <color rgb="FFFCFCFF"/>
        <color theme="8" tint="0.39997558519241921"/>
      </colorScale>
    </cfRule>
  </conditionalFormatting>
  <conditionalFormatting sqref="CG7">
    <cfRule type="colorScale" priority="36">
      <colorScale>
        <cfvo type="min"/>
        <cfvo type="max"/>
        <color rgb="FFFCFCFF"/>
        <color rgb="FF63BE7B"/>
      </colorScale>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518BC-A1EA-46CD-935E-E015AD4564FF}">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247</v>
      </c>
      <c r="B2" s="40" t="e" vm="62">
        <v>#VALUE!</v>
      </c>
      <c r="C2" s="41">
        <v>1</v>
      </c>
      <c r="D2" s="42" t="s">
        <v>248</v>
      </c>
      <c r="E2" s="43" t="s">
        <v>249</v>
      </c>
      <c r="F2" s="44" t="s">
        <v>166</v>
      </c>
      <c r="G2" s="45">
        <f>COUNTIF($A$1:$A$8256,A2)</f>
        <v>1</v>
      </c>
      <c r="H2" s="46"/>
      <c r="I2" s="47" t="s">
        <v>250</v>
      </c>
      <c r="J2" s="48" t="str">
        <f>""</f>
        <v/>
      </c>
      <c r="K2" s="49">
        <v>12780</v>
      </c>
      <c r="L2" s="50">
        <v>200</v>
      </c>
      <c r="M2" s="50" t="s">
        <v>251</v>
      </c>
      <c r="N2" s="51" t="s">
        <v>169</v>
      </c>
      <c r="O2" s="52" t="s">
        <v>252</v>
      </c>
      <c r="P2" s="53" t="s">
        <v>253</v>
      </c>
      <c r="Q2" s="54">
        <v>1</v>
      </c>
      <c r="R2" s="55" t="s">
        <v>169</v>
      </c>
      <c r="S2" s="56">
        <v>3</v>
      </c>
      <c r="T2" s="57" t="s">
        <v>173</v>
      </c>
      <c r="U2" s="58" t="s">
        <v>173</v>
      </c>
      <c r="V2" s="58" t="s">
        <v>172</v>
      </c>
      <c r="W2" s="58" t="s">
        <v>173</v>
      </c>
      <c r="X2" s="58" t="s">
        <v>173</v>
      </c>
      <c r="Y2" s="58" t="s">
        <v>173</v>
      </c>
      <c r="Z2" s="58" t="s">
        <v>173</v>
      </c>
      <c r="AA2" s="58" t="s">
        <v>173</v>
      </c>
      <c r="AB2" s="58" t="s">
        <v>173</v>
      </c>
      <c r="AC2" s="58" t="s">
        <v>173</v>
      </c>
      <c r="AD2" s="58" t="s">
        <v>173</v>
      </c>
      <c r="AE2" s="58" t="s">
        <v>173</v>
      </c>
      <c r="AF2" s="59" t="s">
        <v>173</v>
      </c>
      <c r="AG2" s="59" t="s">
        <v>172</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1</v>
      </c>
      <c r="AU2" s="59"/>
      <c r="AV2" s="59" t="str">
        <f>IF(LEFT(A2,1)="[",LEFT(A2,5)&amp;AU2&amp;A2,"")</f>
        <v/>
      </c>
      <c r="AW2" s="59" t="str">
        <f>C2&amp;H2&amp;A2</f>
        <v>1Nauru</v>
      </c>
      <c r="AX2" s="61"/>
      <c r="AY2" s="61"/>
      <c r="AZ2" s="62" t="s">
        <v>155</v>
      </c>
      <c r="BA2" s="62"/>
      <c r="BB2" s="62"/>
      <c r="BC2" s="63"/>
      <c r="BD2" s="64" t="s">
        <v>152</v>
      </c>
      <c r="BE2" s="47"/>
      <c r="BF2" s="64" t="s">
        <v>159</v>
      </c>
      <c r="BG2" s="64" t="s">
        <v>192</v>
      </c>
      <c r="BH2" s="64" t="s">
        <v>152</v>
      </c>
      <c r="BI2" s="64"/>
      <c r="BJ2" s="64"/>
      <c r="BK2" s="47"/>
      <c r="BL2" s="64"/>
      <c r="BM2" s="64" t="s">
        <v>152</v>
      </c>
      <c r="BN2" s="64" t="s">
        <v>192</v>
      </c>
      <c r="BO2" s="64" t="s">
        <v>154</v>
      </c>
      <c r="BP2" s="64" t="s">
        <v>155</v>
      </c>
      <c r="BQ2" s="64" t="s">
        <v>192</v>
      </c>
      <c r="BR2" s="64" t="s">
        <v>192</v>
      </c>
      <c r="BS2" s="64" t="s">
        <v>192</v>
      </c>
      <c r="BT2" s="64" t="s">
        <v>159</v>
      </c>
      <c r="BU2" s="65"/>
      <c r="BV2" s="66"/>
      <c r="BW2" s="66">
        <v>0</v>
      </c>
      <c r="BX2" s="47"/>
      <c r="CB2" s="6"/>
      <c r="CC2" s="6"/>
      <c r="CD2" s="67">
        <v>0</v>
      </c>
      <c r="CE2" s="67">
        <v>0</v>
      </c>
      <c r="CF2" s="67" t="e">
        <v>#REF!</v>
      </c>
      <c r="CG2" s="68" cm="1">
        <f t="array" ref="CG2">SUMPRODUCT(--(LEN(TRIM(BL2:BT2))&gt;0))</f>
        <v>4</v>
      </c>
      <c r="CH2" s="59" t="str">
        <f t="shared" ref="CH2:CH3" si="0">IF(CG2=2,"y","n")</f>
        <v>n</v>
      </c>
      <c r="CI2" s="59" t="str">
        <f t="shared" ref="CI2:CI3" si="1">IF(CG2=3,"y","n")</f>
        <v>n</v>
      </c>
      <c r="CJ2" s="59" t="str">
        <f t="shared" ref="CJ2:CJ3" si="2">IF(CG2=4,"y","n")</f>
        <v>y</v>
      </c>
      <c r="CK2" s="59" t="str">
        <f t="shared" ref="CK2:CK3" si="3">IF(CG2&gt;4,"y","n")</f>
        <v>n</v>
      </c>
      <c r="CL2" s="59" t="str">
        <f t="shared" ref="CL2:CL3" si="4">IF(S2=0,"y","n")</f>
        <v>n</v>
      </c>
      <c r="CM2" s="59" t="str">
        <f t="shared" ref="CM2:CM3" si="5">IF(S2=2,"y","n")</f>
        <v>n</v>
      </c>
      <c r="CN2" s="59" t="str">
        <f t="shared" ref="CN2:CN3" si="6">IF(S2=3,"y","n")</f>
        <v>y</v>
      </c>
      <c r="CO2" s="59" t="str">
        <f t="shared" ref="CO2:CO3" si="7">IF(S2&gt;=4,"y","n")</f>
        <v>n</v>
      </c>
      <c r="CP2" s="59" t="str">
        <f t="shared" ref="CP2:CP3" si="8">IF(AT2=0,"y","n")</f>
        <v>n</v>
      </c>
      <c r="CQ2" s="59" t="str">
        <f t="shared" ref="CQ2:CQ3" si="9">IF(AT2=1,"y","n")</f>
        <v>y</v>
      </c>
      <c r="CR2" s="59" t="str">
        <f t="shared" ref="CR2:CR3" si="10">IF(AT2=2,"y","n")</f>
        <v>n</v>
      </c>
      <c r="CS2" s="59" t="str">
        <f t="shared" ref="CS2:CS3" si="11">IF(AT2&gt;=3,"y","n")</f>
        <v>n</v>
      </c>
      <c r="CT2" s="69" t="str">
        <f t="shared" ref="CT2:CT3" si="12">CHAR(34)&amp;A2&amp;CHAR(34)</f>
        <v>"Nauru"</v>
      </c>
      <c r="CU2" s="70" t="str">
        <f t="shared" ref="CU2:CU3" si="13">CHAR(34)&amp;"rgn_"&amp;R2&amp;CHAR(34)</f>
        <v>"rgn_Oceania"</v>
      </c>
      <c r="CV2" s="48" t="str">
        <f t="shared" ref="CV2:CV3" si="14">CHAR(34)&amp;D2&amp;CHAR(34)</f>
        <v>"https://i.ibb.co/Sm3L855/Nauru-Flag.png"</v>
      </c>
      <c r="CW2" s="48" t="str">
        <f t="shared" ref="CW2:CZ3" si="15">IF(CH2="y",CHAR(34)&amp;CH$1&amp;CHAR(34)&amp;",","")</f>
        <v/>
      </c>
      <c r="CX2" s="48" t="str">
        <f t="shared" si="15"/>
        <v/>
      </c>
      <c r="CY2" s="48" t="str">
        <f t="shared" si="15"/>
        <v>"4Color",</v>
      </c>
      <c r="CZ2" s="48" t="str">
        <f t="shared" si="15"/>
        <v/>
      </c>
      <c r="DA2" s="48" t="str">
        <f t="shared" ref="DA2:DA3" si="16">IF(Q2&gt;1,CHAR(34)&amp;"words2"&amp;CHAR(34)&amp;",","")</f>
        <v/>
      </c>
      <c r="DB2" s="48" t="str">
        <f t="shared" ref="DB2:DB3" si="17">IF(Q2&gt;2,CHAR(34)&amp;"words3"&amp;CHAR(34)&amp;",","")</f>
        <v/>
      </c>
      <c r="DC2" s="48" t="str">
        <f t="shared" ref="DC2" si="18">IF(Q2=2,CHAR(34)&amp;"exact2"&amp;CHAR(34)&amp;",","")</f>
        <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 t="shared" ref="DF2:DF3" si="21">IFERROR(IF(SEARCH("tan",A2)&gt;0,CHAR(34)&amp;"withtn"&amp;CHAR(34)&amp;",",""),"")</f>
        <v/>
      </c>
      <c r="DG2" s="48" t="str">
        <f t="shared" ref="DG2:DG3" si="22">IFERROR(IF(SEARCH("q",A2)&gt;0,CHAR(34)&amp;"with_q"&amp;CHAR(34)&amp;",",""),"")</f>
        <v/>
      </c>
      <c r="DH2" s="48" t="str">
        <f t="shared" ref="DH2:DH3" si="23">IFERROR(IF(SEARCH("v",A2)&gt;0,CHAR(34)&amp;"with_v"&amp;CHAR(34)&amp;",",""),"")</f>
        <v/>
      </c>
      <c r="DI2" s="48" t="str">
        <f t="shared" ref="DI2:DI3" si="24">IFERROR(IF(SEARCH("w",A2)&gt;0,CHAR(34)&amp;"with_w"&amp;CHAR(34)&amp;",",""),"")</f>
        <v/>
      </c>
      <c r="DJ2" s="48" t="str">
        <f t="shared" ref="DJ2:DJ3" si="25">IFERROR(IF(SEARCH("y",A2)&gt;0,CHAR(34)&amp;"with_y"&amp;CHAR(34)&amp;",",""),"")</f>
        <v/>
      </c>
      <c r="DK2" s="48" t="str">
        <f t="shared" ref="DK2:DK3" si="26">IFERROR(IF(SEARCH("z",A2)&gt;0,CHAR(34)&amp;"with_z"&amp;CHAR(34)&amp;",",""),"")</f>
        <v/>
      </c>
      <c r="DL2" s="48" t="str">
        <f t="shared" ref="DL2:DL3" si="27">IF(CG2=2, CHAR(34) &amp; _xlfn.TEXTJOIN("", TRUE, _xlfn._xlws.SORT(HP2:HX2)) &amp; CHAR(34) &amp; ",", "")</f>
        <v/>
      </c>
      <c r="DM2" s="48" t="str" cm="1">
        <f t="array" ref="DM2">IF(CG2=3,CHAR(34) &amp; _xlfn.TEXTJOIN("", TRUE, RIGHT(HP2:HX2, 2)) &amp; CHAR(34) &amp; ",", "")</f>
        <v/>
      </c>
      <c r="DN2" s="48" t="str">
        <f t="shared" ref="DN2:DN3" si="28">IF(AND(ISNUMBER(SEARCH("18", O2)), ISERROR(SEARCH("1918", O2)), ISERROR(SEARCH("2018", O2))), CHAR(34) &amp; "year18" &amp; CHAR(34) &amp; ",", "")</f>
        <v/>
      </c>
      <c r="DO2" s="48" t="str">
        <f t="shared" ref="DO2:DO3" si="29">IF(AND(ISNUMBER(SEARCH("19", O2)), ISERROR(SEARCH("1819", O2)),  ISERROR(SEARCH("1219", O2)),ISERROR(SEARCH("1119", O2)),ISERROR(SEARCH("1190", O2)),ISERROR(SEARCH("2019", O2))), CHAR(34) &amp; "year19" &amp; CHAR(34) &amp; ",", "")</f>
        <v>"year19",</v>
      </c>
      <c r="DP2" s="6" t="str">
        <f t="shared" ref="DP2:DP3" si="30">IF(AND(ISNUMBER(SEARCH("20", O2)), ISERROR(SEARCH("1920", O2))), CHAR(34)&amp;"year00"&amp;CHAR(34)&amp;",", "")</f>
        <v/>
      </c>
      <c r="DQ2" s="6" t="str">
        <f t="shared" ref="DQ2:DQ3" si="31">IF(CC2="y",CHAR(34)&amp;"soviet"&amp;CHAR(34)&amp;",","")</f>
        <v/>
      </c>
      <c r="DR2" s="6" t="str">
        <f t="shared" ref="DR2:DR3" si="32">IF(BY2="y",CHAR(34)&amp;"dgband"&amp;CHAR(34)&amp;",","")</f>
        <v/>
      </c>
      <c r="DS2" s="6" t="str">
        <f t="shared" ref="DS2:DS3" si="33">IF(W2="y",IF(AND(V2="n",BY2&lt;&gt;"y"),CHAR(34)&amp;"allver"&amp;CHAR(34)&amp;",",""),"")</f>
        <v/>
      </c>
      <c r="DT2" s="6" t="str">
        <f t="shared" ref="DT2:DT3" si="34">IF(V2="y",IF(AND(W2="n",BY2&lt;&gt;"y"),CHAR(34)&amp;"allhor"&amp;CHAR(34)&amp;",",""),"")</f>
        <v>"allhor",</v>
      </c>
      <c r="DU2" s="6" t="str">
        <f t="shared" ref="DU2:DU3" si="35">IF(BY2="y",IF(AND(W2="n",V2="n"),CHAR(34)&amp;"alldia"&amp;CHAR(34)&amp;",",""),"")</f>
        <v/>
      </c>
      <c r="DV2" s="48" t="str">
        <f t="shared" ref="DV2" si="36">IF(IA2&lt;&gt;"",(IF(IA2="y",CHAR(34)&amp;"largec"&amp;CHAR(34)&amp;",",CHAR(34)&amp;"smallc"&amp;CHAR(34)&amp;",")),"")</f>
        <v/>
      </c>
      <c r="DW2" s="48" t="str">
        <f t="shared" ref="DW2:DZ3" si="37">IF(CL2="y",CHAR(34)&amp;CL$1&amp;CHAR(34)&amp;",","")</f>
        <v/>
      </c>
      <c r="DX2" s="48" t="str">
        <f t="shared" si="37"/>
        <v/>
      </c>
      <c r="DY2" s="48" t="str">
        <f t="shared" si="37"/>
        <v>"3Bands",</v>
      </c>
      <c r="DZ2" s="48" t="str">
        <f t="shared" si="37"/>
        <v/>
      </c>
      <c r="EA2" s="48" t="str">
        <f t="shared" ref="EA2:EE3" si="38">IF(T2="y",CHAR(34)&amp;T$1&amp;CHAR(34)&amp;",","")</f>
        <v/>
      </c>
      <c r="EB2" s="48" t="str">
        <f t="shared" si="38"/>
        <v/>
      </c>
      <c r="EC2" s="48" t="str">
        <f t="shared" si="38"/>
        <v>"Horizo",</v>
      </c>
      <c r="ED2" s="48" t="str">
        <f t="shared" si="38"/>
        <v/>
      </c>
      <c r="EE2" s="48" t="str">
        <f t="shared" si="38"/>
        <v/>
      </c>
      <c r="EF2" s="48" t="str">
        <f t="shared" ref="EF2:EF3" si="39">IF(AND(Y2&lt;&gt;"n",Y2&lt;&gt;""),CHAR(34)&amp;Y$1&amp;CHAR(34)&amp;",","")</f>
        <v/>
      </c>
      <c r="EG2" s="48" t="str">
        <f t="shared" ref="EG2:EZ3"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"Unequa",</v>
      </c>
      <c r="EO2" s="48" t="str">
        <f t="shared" si="40"/>
        <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FA3" si="41">IF(AT2&gt;0,CHAR(34)&amp;"sta"&amp;AZ2&amp;CHAR(34)&amp;",","")</f>
        <v>"staYEL",</v>
      </c>
      <c r="FB2" s="48" t="str">
        <f t="shared" ref="FB2:FB3" si="42">IF(AND(AT2&gt;0,BA2&lt;&gt;""),CHAR(34)&amp;"sta"&amp;BA2&amp;CHAR(34)&amp;",","")</f>
        <v/>
      </c>
      <c r="FC2" s="48" t="str">
        <f t="shared" ref="FC2" si="43">IF(AND(AT2&gt;0,BB2&lt;&gt;""),CHAR(34)&amp;"sta"&amp;BB2&amp;CHAR(34)&amp;",","")</f>
        <v/>
      </c>
      <c r="FD2" s="48" t="str">
        <f t="shared" ref="FD2:FD3" si="44">IF(BV2="n",CHAR(34)&amp;"tcWHYE"&amp;CHAR(34)&amp;",",IF(BV2="y",CHAR(34)&amp;FD$1&amp;CHAR(34)&amp;",",""))</f>
        <v/>
      </c>
      <c r="FE2" s="48" t="str">
        <f t="shared" ref="FE2:FE3" si="45">IF(COUNTIF(BL2:BT2,"BLU")=0,CHAR(34)&amp;"NO_BLU"&amp;CHAR(34)&amp;",", "")</f>
        <v/>
      </c>
      <c r="FF2" s="48" t="str">
        <f t="shared" ref="FF2:FF3" si="46">IF(COUNTIF(BL2:BT2,"WHI")=0,CHAR(34)&amp;"NO_WHI"&amp;CHAR(34)&amp;",", "")</f>
        <v/>
      </c>
      <c r="FG2" s="48" t="str">
        <f t="shared" ref="FG2:FG3" si="47">IF(COUNTIF(BL2:BT2,"RED")=0,CHAR(34)&amp;"NO_RED"&amp;CHAR(34)&amp;",", "")</f>
        <v/>
      </c>
      <c r="FH2" s="48" t="str">
        <f t="shared" ref="FH2:FH3" si="48">IF(COUNTIF(BL2:BS2,"GRE")=0,CHAR(34)&amp;"NO_GRE"&amp;CHAR(34)&amp;",", "")</f>
        <v>"NO_GRE",</v>
      </c>
      <c r="FI2" s="48" t="str">
        <f t="shared" ref="FI2:FI3" si="49">IF(COUNTIF(BL2:BT2,"YEL")=0,CHAR(34)&amp;"NO_YEL"&amp;CHAR(34)&amp;",", "")</f>
        <v/>
      </c>
      <c r="FJ2" s="48" t="str">
        <f t="shared" ref="FJ2:FJ3" si="50">IF(COUNTIF(BL2:BT2,"BLA")=0,CHAR(34)&amp;"NO_BLA"&amp;CHAR(34)&amp;",", "")</f>
        <v>"NO_BLA",</v>
      </c>
      <c r="FK2" s="48" t="str">
        <f t="shared" ref="FK2:FK3" si="51">IF(AND(FH2&lt;&gt;"",FF2&lt;&gt;""),CHAR(34)&amp;"WHGRNO"&amp;CHAR(34)&amp;",","")</f>
        <v/>
      </c>
      <c r="FL2" s="48" t="str">
        <f t="shared" ref="FL2:FL3" si="52">IF(AND(FI2&lt;&gt;"",FF2&lt;&gt;""),CHAR(34)&amp;"WHYENO"&amp;CHAR(34)&amp;",","")</f>
        <v/>
      </c>
      <c r="FM2" s="48" t="str">
        <f t="shared" ref="FM2:FM3" si="53">IF(AND(FJ2&lt;&gt;"",FF2&lt;&gt;""),CHAR(34)&amp;"BAWHNO"&amp;CHAR(34)&amp;",","")</f>
        <v/>
      </c>
      <c r="FN2" s="48" t="str">
        <f t="shared" ref="FN2:FN3" si="54">IF(AND(FE2&lt;&gt;"",FF2&lt;&gt;""),CHAR(34)&amp;"BLWHNO"&amp;CHAR(34)&amp;",","")</f>
        <v/>
      </c>
      <c r="FO2" s="48" t="str">
        <f t="shared" ref="FO2:FO3" si="55">IF(AND(FE2&lt;&gt;"",FG2&lt;&gt;""),CHAR(34)&amp;"BLRENO"&amp;CHAR(34)&amp;",","")</f>
        <v/>
      </c>
      <c r="FP2" s="48" t="str">
        <f t="shared" ref="FP2:FP3" si="56">IF(AND(FF2&lt;&gt;"",FF2&lt;&gt;""),CHAR(34)&amp;"WHRENO"&amp;CHAR(34)&amp;",","")</f>
        <v/>
      </c>
      <c r="FQ2" s="48" t="str">
        <f t="shared" ref="FQ2:FQ3" si="57">IF(LEN(BF2)=3,CHAR(34)&amp;"001"&amp;BF2&amp;CHAR(34)&amp;",","")</f>
        <v>"001WHI",</v>
      </c>
      <c r="FR2" s="48" t="str">
        <f t="shared" ref="FR2:FR3" si="58">IF(LEN(BG2)=3,CHAR(34)&amp;"002"&amp;BG2&amp;CHAR(34)&amp;",","")</f>
        <v/>
      </c>
      <c r="FS2" s="48" t="str">
        <f t="shared" ref="FS2:FS3" si="59">IF(LEN(BH2)=3,CHAR(34)&amp;"003"&amp;BH2&amp;CHAR(34)&amp;",","")</f>
        <v>"003BLU",</v>
      </c>
      <c r="FT2" s="48" t="str">
        <f t="shared" ref="FT2:FT3" si="60">CHAR(34)&amp;"myr"&amp;BD2&amp;CHAR(34)&amp;","</f>
        <v>"myrBLU",</v>
      </c>
      <c r="FU2" s="48" t="str">
        <f t="shared" ref="FU2:FU3" si="61">IF(AY2="y",CHAR(34)&amp;"island"&amp;CHAR(34)&amp;",","")</f>
        <v/>
      </c>
      <c r="FV2" s="48" t="str">
        <f t="shared" ref="FV2:FV3" si="62">IF(BZ2="y",CHAR(34)&amp;"landlo"&amp;CHAR(34)&amp;",","")</f>
        <v/>
      </c>
      <c r="FW2" s="48" t="str">
        <f t="shared" ref="FW2:FW3" si="63">IF(CA2="y",CHAR(34)&amp;"eunion"&amp;CHAR(34)&amp;",","")</f>
        <v/>
      </c>
      <c r="FX2" s="48" t="str">
        <f t="shared" ref="FX2" si="64">SUBSTITUTE(IFERROR(SEARCH("[",A2),IFERROR(IF(AND(CA2&lt;&gt;"y",SEARCH("Europe",R2)&gt;0),CHAR(34)&amp;"noeuni"&amp;CHAR(34)&amp;",",""),"")),"1","")</f>
        <v/>
      </c>
      <c r="FY2" s="48" t="str">
        <f t="shared" ref="FY2:FY3" si="65">IFERROR(IF(SEARCH("Arabic",CB2)&gt;0,CHAR(34)&amp;"arabic"&amp;CHAR(34)&amp;",",""),"")</f>
        <v/>
      </c>
      <c r="FZ2" s="48" t="str">
        <f t="shared" ref="FZ2:FZ3" si="66">IFERROR(IF(SEARCH("English",CB2)&gt;0,CHAR(34)&amp;"englis"&amp;CHAR(34)&amp;",",""),"")</f>
        <v/>
      </c>
      <c r="GA2" s="48" t="str">
        <f t="shared" ref="GA2:GA3" si="67">IFERROR(IF(SEARCH("French",CB2)&gt;0,CHAR(34)&amp;"french"&amp;CHAR(34)&amp;",",""),"")</f>
        <v/>
      </c>
      <c r="GB2" s="48" t="str">
        <f t="shared" ref="GB2:GB3"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3" si="71">IFERROR(IF(SEARCH("Dutch",CB2)&gt;0,CHAR(34)&amp;"dutchs"&amp;CHAR(34)&amp;",",""),"")</f>
        <v/>
      </c>
      <c r="GF2" s="48" t="str">
        <f>IFERROR(IF(SEARCH("Historical",AU2)&gt;0,CHAR(34)&amp;"histor"&amp;CHAR(34)&amp;",",""),"")</f>
        <v/>
      </c>
      <c r="GG2" s="48" t="str">
        <f t="shared" ref="GG2:GG3" si="72">IF(BU2="y",CHAR(34)&amp;"unjack"&amp;CHAR(34)&amp;",","")</f>
        <v/>
      </c>
      <c r="GH2" s="48" t="str">
        <f t="shared" ref="GH2:GH3" si="73">IF(CD2=1,CHAR(34)&amp;"southc"&amp;CHAR(34)&amp;",","")</f>
        <v/>
      </c>
      <c r="GI2" s="48" t="str">
        <f t="shared" ref="GI2:GI3" si="74">IF(CE2=1,CHAR(34)&amp;"hasmap"&amp;CHAR(34)&amp;",","")</f>
        <v/>
      </c>
      <c r="GJ2" s="48" t="str">
        <f t="shared" ref="GJ2:GJ3" si="75">IF(CP2="y",CHAR(34)&amp;CP$1&amp;CHAR(34)&amp;",","")</f>
        <v/>
      </c>
      <c r="GK2" s="48" t="str">
        <f t="shared" ref="GK2:GK3" si="76">IF(GJ2="",CHAR(34)&amp;"HasSta"&amp;CHAR(34)&amp;",","")</f>
        <v>"HasSta",</v>
      </c>
      <c r="GL2" s="48" t="str">
        <f t="shared" ref="GL2:GN3" si="77">IF(CQ2="y",CHAR(34)&amp;CQ$1&amp;CHAR(34)&amp;",","")</f>
        <v>"1Stars",</v>
      </c>
      <c r="GM2" s="48" t="str">
        <f t="shared" si="77"/>
        <v/>
      </c>
      <c r="GN2" s="48" t="str">
        <f t="shared" si="77"/>
        <v/>
      </c>
      <c r="GP2" s="48" t="str">
        <f t="shared" ref="GP2:GP3" si="78">CHAR(34)&amp;AU2&amp;CHAR(34)</f>
        <v>""</v>
      </c>
      <c r="GS2" s="48" t="str">
        <f t="shared" ref="GS2:GS3" si="79">SUBSTITUTE("["&amp;_xlfn.CONCAT(CW2:GN2)&amp;"]",",]","]")</f>
        <v>["4Color","lets05","startN","year19","allhor","3Bands","Horizo","Unequa","staYEL","NO_GRE","NO_BLA","001WHI","003BLU","myrBLU","HasSta","1Stars"]</v>
      </c>
      <c r="GT2" s="48" t="str">
        <f t="shared" ref="GT2:HB3" si="80">IF(BL2&lt;&gt;"",CHAR(34)&amp;"cl_"&amp;BL2&amp;CHAR(34)&amp;",","")</f>
        <v/>
      </c>
      <c r="GU2" s="48" t="str">
        <f t="shared" si="80"/>
        <v>"cl_BLU",</v>
      </c>
      <c r="GV2" s="48" t="str">
        <f t="shared" si="80"/>
        <v/>
      </c>
      <c r="GW2" s="48" t="str">
        <f t="shared" si="80"/>
        <v>"cl_RED",</v>
      </c>
      <c r="GX2" s="48" t="str">
        <f t="shared" si="80"/>
        <v>"cl_YEL",</v>
      </c>
      <c r="GY2" s="48" t="str">
        <f t="shared" si="80"/>
        <v/>
      </c>
      <c r="GZ2" s="48" t="str">
        <f t="shared" si="80"/>
        <v/>
      </c>
      <c r="HA2" s="48" t="str">
        <f t="shared" si="80"/>
        <v/>
      </c>
      <c r="HB2" s="48" t="str">
        <f t="shared" si="80"/>
        <v>"cl_WHI",</v>
      </c>
      <c r="HC2" s="48" t="str">
        <f t="shared" ref="HC2:HC3" si="81">SUBSTITUTE("["&amp;_xlfn.CONCAT(GT2:HB2)&amp;"]",",]","]")</f>
        <v>["cl_BLU","cl_RED","cl_YEL","cl_WHI"]</v>
      </c>
      <c r="HE2" s="71"/>
      <c r="HF2" s="72" t="str">
        <f t="shared" ref="HF2:HF3" si="82">"{couname:"&amp;CT2&amp;(IF(HK2&lt;&gt;"",",subtype:"&amp;CHAR(34)&amp;HK2&amp;CHAR(34),""))&amp;",year:"&amp;HJ2&amp;",region:"&amp;CU2&amp;",Colors:"&amp;HC2&amp;",Items:"&amp;GS2&amp;",Flag:"&amp;CV2&amp;",HDFlag:"&amp;CHAR(34)&amp;E2&amp;CHAR(34)&amp;",type:"&amp;GP2&amp;", describe: "&amp;HH2&amp;", isnew:"&amp;CHAR(34)&amp;F2&amp;CHAR(34)&amp;", links: "&amp;HL2&amp;"},"</f>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links: "https://en.wikipedia.org/wiki/Flag_of_Nauru"},</v>
      </c>
      <c r="HG2" s="73" t="str">
        <f t="shared" ref="HG2:HG3" si="83">"{couname:"&amp;CT2&amp;(IF(HK2&lt;&gt;"",",subtype:"&amp;CHAR(34)&amp;HK2&amp;CHAR(34),""))&amp;",year:"&amp;HJ2&amp;",region:"&amp;CU2&amp;",Colors:"&amp;HC2&amp;",Items:"&amp;GS2&amp;",Flag:"&amp;CV2&amp;",HDFlag:"&amp;CHAR(34)&amp;E2&amp;CHAR(34)&amp;",type:"&amp;GP2&amp;", describe: "&amp;HI2&amp;", links: "&amp;HL2&amp;"},"</f>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links: "https://en.wikipedia.org/wiki/Flag_of_Nauru"},</v>
      </c>
      <c r="HH2" s="48" t="str">
        <f t="shared" ref="HH2:HH3" si="84">IF(P2&lt;&gt;"",CHAR(34)&amp;"\n"&amp;P2&amp;CHAR(34),CHAR(34)&amp;CHAR(34))</f>
        <v>"\nThe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v>
      </c>
      <c r="HI2" s="48" t="str">
        <f t="shared" ref="HI2:HI3" si="85">IF(J2=0,CHAR(34)&amp;CHAR(34),HH2)</f>
        <v>"\nThe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v>
      </c>
      <c r="HJ2" s="48" t="str">
        <f t="shared" ref="HJ2:HJ3" si="86">CHAR(34)&amp;O2&amp;CHAR(34)</f>
        <v>"1968 "</v>
      </c>
      <c r="HL2" s="48" t="str">
        <f t="shared" ref="HL2:HL3" si="87">CHAR(34)&amp;I2&amp;CHAR(34)</f>
        <v>"https://en.wikipedia.org/wiki/Flag_of_Nauru"</v>
      </c>
      <c r="HM2" s="72" t="str">
        <f t="shared" ref="HM2:HM3"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 "links": "https://en.wikipedia.org/wiki/Flag_of_Nauru"},</v>
      </c>
      <c r="HN2" s="74" t="str">
        <f t="shared" ref="HN2:HN3"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{"couname":"Nauru","year":"1968 ","region":"rgn_Oceania","Colors":["cl_BLU","cl_RED","cl_YEL","cl_WHI"],"Items":["4Color","lets05","startN","year19","allhor","3Bands","Horizo","Unequa","staYEL","NO_GRE","NO_BLA","001WHI","003BLU","myrBLU","HasSta","1Stars"],"Flag":"https://i.ibb.co/Sm3L855/Nauru-Flag.png","HDFlag":"https://upload.wikimedia.org/wikipedia/commons/thumb/3/30/Flag_of_Nauru.svg/2560px-Flag_of_Nauru.svg.png","type":"", "describe": "\nThe narrow gold stripe with a width of 1⁄12 of the length of the flag represents the Equator. The stripe along with the star signifies the location of the island in the Pacific Ocean one degree south of the Equator. The separation of the blue flag cloth into two equal parts recalls the saga, that the first inhabitants were to have been brought to Earth from two boulders.\n\nNauru itself is symbolised by a white 12-pointed star. The twelve points on the star represent the island's twelve original tribes", "isnew": ".", "links": "https://en.wikipedia.org/wiki/Flag_of_Nauru"},</v>
      </c>
      <c r="HO2" s="75">
        <v>45576</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L2" s="48">
        <f t="shared" ref="IL2" si="90">SUM(IC2:IK2)</f>
        <v>0</v>
      </c>
      <c r="IM2" s="45">
        <f t="shared" ref="IM2:IM3" si="91">COUNTIF(IC2:IK2,"&gt;0")-CG2</f>
        <v>-4</v>
      </c>
      <c r="IN2" s="78" t="str">
        <f t="shared" ref="IN2:IN3" si="92">"http://mkweb.bcgsc.ca/color-summarizer/?url="&amp;D2&amp;"&amp;precision=low&amp;num_clusters="&amp;CG2&amp;"&amp;text=1"</f>
        <v>http://mkweb.bcgsc.ca/color-summarizer/?url=https://i.ibb.co/Sm3L855/Nauru-Flag.png&amp;precision=low&amp;num_clusters=4&amp;text=1</v>
      </c>
      <c r="IO2" s="48" t="str">
        <f t="shared" ref="IO2:IO3" si="93">IF(HP2&lt;&gt;"",CHAR(34)&amp;"black"&amp;CHAR(34),"")</f>
        <v/>
      </c>
      <c r="IP2" s="48" t="str">
        <f t="shared" ref="IP2:IP3" si="94">IF(HQ2&lt;&gt;"",CHAR(34)&amp;"blue"&amp;CHAR(34),"")</f>
        <v>"blue"</v>
      </c>
      <c r="IQ2" s="48" t="str">
        <f t="shared" ref="IQ2:IQ3" si="95">IF(HR2&lt;&gt;"",CHAR(34)&amp;"green"&amp;CHAR(34),"")</f>
        <v/>
      </c>
      <c r="IR2" s="48" t="str">
        <f t="shared" ref="IR2:IR3" si="96">IF(HS2&lt;&gt;"",CHAR(34)&amp;"red"&amp;CHAR(34),"")</f>
        <v>"red"</v>
      </c>
      <c r="IS2" s="48" t="str">
        <f t="shared" ref="IS2:IS3" si="97">IF(HT2&lt;&gt;"",CHAR(34)&amp;"yellow"&amp;CHAR(34),"")</f>
        <v>"yellow"</v>
      </c>
      <c r="IT2" s="48" t="str">
        <f t="shared" ref="IT2:IT3" si="98">IF(HU2&lt;&gt;"",CHAR(34)&amp;"orange"&amp;CHAR(34),"")</f>
        <v/>
      </c>
      <c r="IU2" s="48" t="str">
        <f t="shared" ref="IU2:IU3" si="99">IF(HV2&lt;&gt;"",CHAR(34)&amp;"brown"&amp;CHAR(34),"")</f>
        <v/>
      </c>
      <c r="IV2" s="48" t="str">
        <f t="shared" ref="IV2:IV3" si="100">IF(HW2&lt;&gt;"",CHAR(34)&amp;"purple"&amp;CHAR(34),"")</f>
        <v/>
      </c>
      <c r="IW2" s="48" t="str">
        <f t="shared" ref="IW2:IW3" si="101">IF(HX2&lt;&gt;"",CHAR(34)&amp;"white"&amp;CHAR(34),"")</f>
        <v>"white"</v>
      </c>
      <c r="IX2" s="48" t="str">
        <f t="shared" ref="IX2:IX3" si="102">"{"&amp;CHAR(34)&amp;"url"&amp;CHAR(34)&amp;":"&amp;CHAR(34)&amp;IN2&amp;CHAR(34)&amp;","&amp;CHAR(34)&amp;"name"&amp;CHAR(34)&amp;":"&amp;CHAR(34)&amp;A2&amp;CHAR(34)&amp;"},"</f>
        <v>{"url":"http://mkweb.bcgsc.ca/color-summarizer/?url=https://i.ibb.co/Sm3L855/Nauru-Flag.png&amp;precision=low&amp;num_clusters=4&amp;text=1","name":"Nauru"},</v>
      </c>
      <c r="IY2" s="48">
        <v>945</v>
      </c>
    </row>
    <row r="3" spans="1:259" s="48" customFormat="1" ht="38.4" customHeight="1" thickBot="1" x14ac:dyDescent="0.35">
      <c r="A3" s="81" t="s">
        <v>786</v>
      </c>
      <c r="B3" s="40" t="e" vm="63">
        <v>#VALUE!</v>
      </c>
      <c r="C3" s="41">
        <v>3</v>
      </c>
      <c r="D3" s="42" t="s">
        <v>787</v>
      </c>
      <c r="E3" s="43" t="s">
        <v>788</v>
      </c>
      <c r="F3" s="44" t="s">
        <v>166</v>
      </c>
      <c r="G3" s="45">
        <f>COUNTIF($A$1:$A$8256,A3)</f>
        <v>1</v>
      </c>
      <c r="H3" s="46" t="s">
        <v>789</v>
      </c>
      <c r="I3" s="47" t="s">
        <v>790</v>
      </c>
      <c r="J3" s="48" t="str">
        <f>""</f>
        <v/>
      </c>
      <c r="K3" s="49"/>
      <c r="L3" s="50"/>
      <c r="M3" s="50"/>
      <c r="N3" s="51" t="s">
        <v>169</v>
      </c>
      <c r="O3" s="52" t="s">
        <v>791</v>
      </c>
      <c r="P3" s="53" t="s">
        <v>792</v>
      </c>
      <c r="Q3" s="54">
        <v>3</v>
      </c>
      <c r="R3" s="55" t="s">
        <v>169</v>
      </c>
      <c r="S3" s="56">
        <v>0</v>
      </c>
      <c r="T3" s="57" t="s">
        <v>173</v>
      </c>
      <c r="U3" s="58" t="s">
        <v>173</v>
      </c>
      <c r="V3" s="58" t="s">
        <v>173</v>
      </c>
      <c r="W3" s="58" t="s">
        <v>173</v>
      </c>
      <c r="X3" s="58" t="s">
        <v>173</v>
      </c>
      <c r="Y3" s="58" t="s">
        <v>173</v>
      </c>
      <c r="Z3" s="58" t="s">
        <v>173</v>
      </c>
      <c r="AA3" s="58" t="s">
        <v>173</v>
      </c>
      <c r="AB3" s="58" t="s">
        <v>173</v>
      </c>
      <c r="AC3" s="58" t="s">
        <v>173</v>
      </c>
      <c r="AD3" s="58" t="s">
        <v>173</v>
      </c>
      <c r="AE3" s="58" t="s">
        <v>173</v>
      </c>
      <c r="AF3" s="59" t="s">
        <v>173</v>
      </c>
      <c r="AG3" s="59" t="s">
        <v>173</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1</v>
      </c>
      <c r="AU3" s="59" t="s">
        <v>793</v>
      </c>
      <c r="AV3" s="59" t="str">
        <f>IF(LEFT(A3,1)="[",LEFT(A3,5)&amp;AU3&amp;A3,"")</f>
        <v>[NRU]Maritime[NRU] Nauru Pacific Line</v>
      </c>
      <c r="AW3" s="59" t="str">
        <f>C3&amp;H3&amp;A3</f>
        <v>3[NRU] Other[NRU] Nauru Pacific Line</v>
      </c>
      <c r="AX3" s="61"/>
      <c r="AY3" s="61"/>
      <c r="AZ3" s="62" t="s">
        <v>151</v>
      </c>
      <c r="BA3" s="62" t="s">
        <v>155</v>
      </c>
      <c r="BB3" s="62"/>
      <c r="BC3" s="63"/>
      <c r="BD3" s="64" t="s">
        <v>408</v>
      </c>
      <c r="BE3" s="47"/>
      <c r="BF3" s="64" t="s">
        <v>152</v>
      </c>
      <c r="BG3" s="64" t="s">
        <v>192</v>
      </c>
      <c r="BH3" s="64" t="s">
        <v>153</v>
      </c>
      <c r="BI3" s="64"/>
      <c r="BJ3" s="64"/>
      <c r="BK3" s="47"/>
      <c r="BL3" s="64" t="s">
        <v>151</v>
      </c>
      <c r="BM3" s="64" t="s">
        <v>152</v>
      </c>
      <c r="BN3" s="64" t="s">
        <v>153</v>
      </c>
      <c r="BO3" s="64" t="s">
        <v>154</v>
      </c>
      <c r="BP3" s="64" t="s">
        <v>155</v>
      </c>
      <c r="BQ3" s="64" t="s">
        <v>192</v>
      </c>
      <c r="BR3" s="64" t="s">
        <v>157</v>
      </c>
      <c r="BS3" s="64" t="s">
        <v>192</v>
      </c>
      <c r="BT3" s="64" t="s">
        <v>159</v>
      </c>
      <c r="BU3" s="65"/>
      <c r="BV3" s="66"/>
      <c r="BW3" s="66">
        <v>0</v>
      </c>
      <c r="BX3" s="47"/>
      <c r="CB3" s="6"/>
      <c r="CC3" s="6"/>
      <c r="CD3" s="67">
        <v>0</v>
      </c>
      <c r="CE3" s="67">
        <v>1</v>
      </c>
      <c r="CF3" s="67" t="e">
        <v>#REF!</v>
      </c>
      <c r="CG3" s="68" cm="1">
        <f t="array" ref="CG3">SUMPRODUCT(--(LEN(TRIM(BL3:BT3))&gt;0))</f>
        <v>7</v>
      </c>
      <c r="CH3" s="59" t="str">
        <f t="shared" si="0"/>
        <v>n</v>
      </c>
      <c r="CI3" s="59" t="str">
        <f t="shared" si="1"/>
        <v>n</v>
      </c>
      <c r="CJ3" s="59" t="str">
        <f t="shared" si="2"/>
        <v>n</v>
      </c>
      <c r="CK3" s="59" t="str">
        <f t="shared" si="3"/>
        <v>y</v>
      </c>
      <c r="CL3" s="59" t="str">
        <f t="shared" si="4"/>
        <v>y</v>
      </c>
      <c r="CM3" s="59" t="str">
        <f t="shared" si="5"/>
        <v>n</v>
      </c>
      <c r="CN3" s="59" t="str">
        <f t="shared" si="6"/>
        <v>n</v>
      </c>
      <c r="CO3" s="59" t="str">
        <f t="shared" si="7"/>
        <v>n</v>
      </c>
      <c r="CP3" s="59" t="str">
        <f t="shared" si="8"/>
        <v>n</v>
      </c>
      <c r="CQ3" s="59" t="str">
        <f t="shared" si="9"/>
        <v>y</v>
      </c>
      <c r="CR3" s="59" t="str">
        <f t="shared" si="10"/>
        <v>n</v>
      </c>
      <c r="CS3" s="59" t="str">
        <f t="shared" si="11"/>
        <v>n</v>
      </c>
      <c r="CT3" s="69" t="str">
        <f t="shared" si="12"/>
        <v>"[NRU] Nauru Pacific Line"</v>
      </c>
      <c r="CU3" s="70" t="str">
        <f t="shared" si="13"/>
        <v>"rgn_Oceania"</v>
      </c>
      <c r="CV3" s="48" t="str">
        <f t="shared" si="14"/>
        <v>"https://upload.wikimedia.org/wikipedia/commons/thumb/6/62/Flag_of_the_Nauru_Pacific_Line.svg/640px-Flag_of_the_Nauru_Pacific_Line.svg.png"</v>
      </c>
      <c r="CW3" s="48" t="str">
        <f t="shared" si="15"/>
        <v/>
      </c>
      <c r="CX3" s="48" t="str">
        <f t="shared" si="15"/>
        <v/>
      </c>
      <c r="CY3" s="48" t="str">
        <f t="shared" si="15"/>
        <v/>
      </c>
      <c r="CZ3" s="48" t="str">
        <f t="shared" si="15"/>
        <v>"5+Colo",</v>
      </c>
      <c r="DA3" s="48" t="str">
        <f t="shared" si="16"/>
        <v>"words2",</v>
      </c>
      <c r="DB3" s="48" t="str">
        <f t="shared" si="17"/>
        <v>"words3",</v>
      </c>
      <c r="DD3" s="48" t="str">
        <f t="shared" ref="DD3" si="103">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"lets16",</v>
      </c>
      <c r="DE3" s="48" t="str">
        <f t="shared" ref="DE3" si="104">CHAR(34)&amp;"start"&amp;IFERROR(LEFT(SUBSTITUTE(A3,"["&amp;MID(A3,FIND("[",A3)+1,FIND("]",A3)-FIND("[",A3)-1)&amp;"] ",""),1),LEFT(A3,1))&amp;CHAR(34)&amp;","</f>
        <v>"startN",</v>
      </c>
      <c r="DF3" s="48" t="str">
        <f t="shared" si="21"/>
        <v/>
      </c>
      <c r="DG3" s="48" t="str">
        <f t="shared" si="22"/>
        <v/>
      </c>
      <c r="DH3" s="48" t="str">
        <f t="shared" si="23"/>
        <v/>
      </c>
      <c r="DI3" s="48" t="str">
        <f t="shared" si="24"/>
        <v/>
      </c>
      <c r="DJ3" s="48" t="str">
        <f t="shared" si="25"/>
        <v/>
      </c>
      <c r="DK3" s="48" t="str">
        <f t="shared" si="26"/>
        <v/>
      </c>
      <c r="DL3" s="48" t="str">
        <f t="shared" si="27"/>
        <v/>
      </c>
      <c r="DM3" s="48" t="str" cm="1">
        <f t="array" ref="DM3">IF(CG3=3,CHAR(34) &amp; _xlfn.TEXTJOIN("", TRUE, RIGHT(HP3:HX3, 2)) &amp; CHAR(34) &amp; ",", "")</f>
        <v/>
      </c>
      <c r="DN3" s="48" t="str">
        <f t="shared" si="28"/>
        <v/>
      </c>
      <c r="DO3" s="48" t="str">
        <f t="shared" si="29"/>
        <v>"year19",</v>
      </c>
      <c r="DP3" s="6" t="str">
        <f t="shared" si="30"/>
        <v/>
      </c>
      <c r="DQ3" s="6" t="str">
        <f t="shared" si="31"/>
        <v/>
      </c>
      <c r="DR3" s="6" t="str">
        <f t="shared" si="32"/>
        <v/>
      </c>
      <c r="DS3" s="6" t="str">
        <f t="shared" si="33"/>
        <v/>
      </c>
      <c r="DT3" s="6" t="str">
        <f t="shared" si="34"/>
        <v/>
      </c>
      <c r="DU3" s="6" t="str">
        <f t="shared" si="35"/>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
      </c>
      <c r="EF3" s="48" t="str">
        <f t="shared" si="39"/>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
      </c>
      <c r="EO3" s="48" t="str">
        <f t="shared" si="40"/>
        <v>"Center",</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
      </c>
      <c r="EX3" s="48" t="str">
        <f t="shared" si="40"/>
        <v/>
      </c>
      <c r="EY3" s="48" t="str">
        <f t="shared" si="40"/>
        <v/>
      </c>
      <c r="EZ3" s="48" t="str">
        <f t="shared" si="40"/>
        <v/>
      </c>
      <c r="FA3" s="48" t="str">
        <f t="shared" si="41"/>
        <v>"staBLA",</v>
      </c>
      <c r="FB3" s="48" t="str">
        <f t="shared" si="42"/>
        <v>"staYEL",</v>
      </c>
      <c r="FD3" s="48" t="str">
        <f t="shared" si="44"/>
        <v/>
      </c>
      <c r="FE3" s="48" t="str">
        <f t="shared" si="45"/>
        <v/>
      </c>
      <c r="FF3" s="48" t="str">
        <f t="shared" si="46"/>
        <v/>
      </c>
      <c r="FG3" s="48" t="str">
        <f t="shared" si="47"/>
        <v/>
      </c>
      <c r="FH3" s="48" t="str">
        <f t="shared" si="48"/>
        <v/>
      </c>
      <c r="FI3" s="48" t="str">
        <f t="shared" si="49"/>
        <v/>
      </c>
      <c r="FJ3" s="48" t="str">
        <f t="shared" si="50"/>
        <v/>
      </c>
      <c r="FK3" s="48" t="str">
        <f t="shared" si="51"/>
        <v/>
      </c>
      <c r="FL3" s="48" t="str">
        <f t="shared" si="52"/>
        <v/>
      </c>
      <c r="FM3" s="48" t="str">
        <f t="shared" si="53"/>
        <v/>
      </c>
      <c r="FN3" s="48" t="str">
        <f t="shared" si="54"/>
        <v/>
      </c>
      <c r="FO3" s="48" t="str">
        <f t="shared" si="55"/>
        <v/>
      </c>
      <c r="FP3" s="48" t="str">
        <f t="shared" si="56"/>
        <v/>
      </c>
      <c r="FQ3" s="48" t="str">
        <f t="shared" si="57"/>
        <v>"001BLU",</v>
      </c>
      <c r="FR3" s="48" t="str">
        <f t="shared" si="58"/>
        <v/>
      </c>
      <c r="FS3" s="48" t="str">
        <f t="shared" si="59"/>
        <v>"003GRE",</v>
      </c>
      <c r="FT3" s="48" t="str">
        <f t="shared" si="60"/>
        <v>"myrEQ",</v>
      </c>
      <c r="FU3" s="48" t="str">
        <f t="shared" si="61"/>
        <v/>
      </c>
      <c r="FV3" s="48" t="str">
        <f t="shared" si="62"/>
        <v/>
      </c>
      <c r="FW3" s="48" t="str">
        <f t="shared" si="63"/>
        <v/>
      </c>
      <c r="FY3" s="48" t="str">
        <f t="shared" si="65"/>
        <v/>
      </c>
      <c r="FZ3" s="48" t="str">
        <f t="shared" si="66"/>
        <v/>
      </c>
      <c r="GA3" s="48" t="str">
        <f t="shared" si="67"/>
        <v/>
      </c>
      <c r="GB3" s="48" t="str">
        <f t="shared" si="68"/>
        <v/>
      </c>
      <c r="GE3" s="48" t="str">
        <f t="shared" si="71"/>
        <v/>
      </c>
      <c r="GF3" s="48" t="str">
        <f t="shared" ref="GF3" si="105">IFERROR(IF(SEARCH("Historical",AU3)&gt;0,CHAR(34)&amp;"histor"&amp;CHAR(34)&amp;",",""),"")</f>
        <v/>
      </c>
      <c r="GG3" s="48" t="str">
        <f t="shared" si="72"/>
        <v/>
      </c>
      <c r="GH3" s="48" t="str">
        <f t="shared" si="73"/>
        <v/>
      </c>
      <c r="GI3" s="48" t="str">
        <f t="shared" si="74"/>
        <v>"hasmap",</v>
      </c>
      <c r="GJ3" s="48" t="str">
        <f t="shared" si="75"/>
        <v/>
      </c>
      <c r="GK3" s="48" t="str">
        <f t="shared" si="76"/>
        <v>"HasSta",</v>
      </c>
      <c r="GL3" s="48" t="str">
        <f t="shared" si="77"/>
        <v>"1Stars",</v>
      </c>
      <c r="GM3" s="48" t="str">
        <f t="shared" si="77"/>
        <v/>
      </c>
      <c r="GN3" s="48" t="str">
        <f t="shared" si="77"/>
        <v/>
      </c>
      <c r="GP3" s="48" t="str">
        <f t="shared" si="78"/>
        <v>"Maritime"</v>
      </c>
      <c r="GS3" s="48" t="str">
        <f t="shared" si="79"/>
        <v>["5+Colo","words2","words3","lets16","startN","year19","NoBand","Center","staBLA","staYEL","001BLU","003GRE","myrEQ","hasmap","HasSta","1Stars"]</v>
      </c>
      <c r="GT3" s="48" t="str">
        <f t="shared" si="80"/>
        <v>"cl_BLA",</v>
      </c>
      <c r="GU3" s="48" t="str">
        <f t="shared" si="80"/>
        <v>"cl_BLU",</v>
      </c>
      <c r="GV3" s="48" t="str">
        <f t="shared" si="80"/>
        <v>"cl_GRE",</v>
      </c>
      <c r="GW3" s="48" t="str">
        <f t="shared" si="80"/>
        <v>"cl_RED",</v>
      </c>
      <c r="GX3" s="48" t="str">
        <f t="shared" si="80"/>
        <v>"cl_YEL",</v>
      </c>
      <c r="GY3" s="48" t="str">
        <f t="shared" si="80"/>
        <v/>
      </c>
      <c r="GZ3" s="48" t="str">
        <f t="shared" si="80"/>
        <v>"cl_BRO",</v>
      </c>
      <c r="HA3" s="48" t="str">
        <f t="shared" si="80"/>
        <v/>
      </c>
      <c r="HB3" s="48" t="str">
        <f t="shared" si="80"/>
        <v>"cl_WHI",</v>
      </c>
      <c r="HC3" s="48" t="str">
        <f t="shared" si="81"/>
        <v>["cl_BLA","cl_BLU","cl_GRE","cl_RED","cl_YEL","cl_BRO","cl_WHI"]</v>
      </c>
      <c r="HE3" s="71"/>
      <c r="HF3" s="72" t="str">
        <f t="shared" si="82"/>
        <v>{couname:"[NRU] Nauru Pacific Line",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links: "https://en.wikipedia.org/wiki/Nauru_Pacific_Line"},</v>
      </c>
      <c r="HG3" s="73" t="str">
        <f t="shared" si="83"/>
        <v>{couname:"[NRU] Nauru Pacific Line",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links: "https://en.wikipedia.org/wiki/Nauru_Pacific_Line"},</v>
      </c>
      <c r="HH3" s="48" t="str">
        <f t="shared" si="84"/>
        <v>"\nThe Nauru Pacific Line (NPL) is the national shipping line of the Republic of Nauru"</v>
      </c>
      <c r="HI3" s="48" t="str">
        <f t="shared" si="85"/>
        <v>"\nThe Nauru Pacific Line (NPL) is the national shipping line of the Republic of Nauru"</v>
      </c>
      <c r="HJ3" s="48" t="str">
        <f t="shared" si="86"/>
        <v>"1969"</v>
      </c>
      <c r="HL3" s="48" t="str">
        <f t="shared" si="87"/>
        <v>"https://en.wikipedia.org/wiki/Nauru_Pacific_Line"</v>
      </c>
      <c r="HM3" s="72" t="str">
        <f t="shared" si="88"/>
        <v>{"couname":"[NRU] Nauru Pacific Line","subtype":"[NRU] Other","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 "links": "https://en.wikipedia.org/wiki/Nauru_Pacific_Line"},</v>
      </c>
      <c r="HN3" s="74" t="str">
        <f t="shared" si="89"/>
        <v>{"couname":"[NRU] Nauru Pacific Line","subtype":"[NRU] Other","year":"1969","region":"rgn_Oceania","Colors":["cl_BLA","cl_BLU","cl_GRE","cl_RED","cl_YEL","cl_BRO","cl_WHI"],"Items":["5+Colo","words2","words3","lets16","startN","year19","NoBand","Center","staBLA","staYEL","001BLU","003GRE","myrEQ","hasmap","HasSta","1Stars"],"Flag":"https://upload.wikimedia.org/wikipedia/commons/thumb/6/62/Flag_of_the_Nauru_Pacific_Line.svg/640px-Flag_of_the_Nauru_Pacific_Line.svg.png","HDFlag":"https://upload.wikimedia.org/wikipedia/commons/thumb/6/62/Flag_of_the_Nauru_Pacific_Line.svg/2560px-Flag_of_the_Nauru_Pacific_Line.svg.png","type":"Maritime", "describe": "\nThe Nauru Pacific Line (NPL) is the national shipping line of the Republic of Nauru", "isnew": ".", "links": "https://en.wikipedia.org/wiki/Nauru_Pacific_Line"},</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si="91"/>
        <v>-7</v>
      </c>
      <c r="IN3" s="78" t="str">
        <f t="shared" si="92"/>
        <v>http://mkweb.bcgsc.ca/color-summarizer/?url=https://upload.wikimedia.org/wikipedia/commons/thumb/6/62/Flag_of_the_Nauru_Pacific_Line.svg/640px-Flag_of_the_Nauru_Pacific_Line.svg.png&amp;precision=low&amp;num_clusters=7&amp;text=1</v>
      </c>
      <c r="IO3" s="48" t="str">
        <f t="shared" si="93"/>
        <v>"black"</v>
      </c>
      <c r="IP3" s="48" t="str">
        <f t="shared" si="94"/>
        <v>"blue"</v>
      </c>
      <c r="IQ3" s="48" t="str">
        <f t="shared" si="95"/>
        <v>"green"</v>
      </c>
      <c r="IR3" s="48" t="str">
        <f t="shared" si="96"/>
        <v>"red"</v>
      </c>
      <c r="IS3" s="48" t="str">
        <f t="shared" si="97"/>
        <v>"yellow"</v>
      </c>
      <c r="IT3" s="48" t="str">
        <f t="shared" si="98"/>
        <v/>
      </c>
      <c r="IU3" s="48" t="str">
        <f t="shared" si="99"/>
        <v>"brown"</v>
      </c>
      <c r="IV3" s="48" t="str">
        <f t="shared" si="100"/>
        <v/>
      </c>
      <c r="IW3" s="48" t="str">
        <f t="shared" si="101"/>
        <v>"white"</v>
      </c>
      <c r="IX3" s="48" t="str">
        <f t="shared" si="102"/>
        <v>{"url":"http://mkweb.bcgsc.ca/color-summarizer/?url=https://upload.wikimedia.org/wikipedia/commons/thumb/6/62/Flag_of_the_Nauru_Pacific_Line.svg/640px-Flag_of_the_Nauru_Pacific_Line.svg.png&amp;precision=low&amp;num_clusters=7&amp;text=1","name":"[NRU] Nauru Pacific Line"},</v>
      </c>
      <c r="IY3" s="48">
        <v>1478</v>
      </c>
    </row>
  </sheetData>
  <conditionalFormatting sqref="H1 CW1:GS1 IA1:IB1">
    <cfRule type="cellIs" dxfId="4083" priority="107" operator="greaterThan">
      <formula>0</formula>
    </cfRule>
  </conditionalFormatting>
  <conditionalFormatting sqref="H1">
    <cfRule type="cellIs" dxfId="4082" priority="73" stopIfTrue="1" operator="notEqual">
      <formula>""</formula>
    </cfRule>
  </conditionalFormatting>
  <conditionalFormatting sqref="T1:BK1">
    <cfRule type="cellIs" dxfId="4081" priority="110" operator="greaterThan">
      <formula>0</formula>
    </cfRule>
  </conditionalFormatting>
  <conditionalFormatting sqref="BV1:BW1">
    <cfRule type="cellIs" dxfId="4080" priority="109" operator="equal">
      <formula>"nc"</formula>
    </cfRule>
  </conditionalFormatting>
  <conditionalFormatting sqref="HF1:HG1">
    <cfRule type="cellIs" dxfId="4079" priority="111" operator="greaterThan">
      <formula>0</formula>
    </cfRule>
  </conditionalFormatting>
  <conditionalFormatting sqref="HK1">
    <cfRule type="cellIs" dxfId="4078" priority="108" operator="greaterThan">
      <formula>0</formula>
    </cfRule>
  </conditionalFormatting>
  <conditionalFormatting sqref="HP1:HX1">
    <cfRule type="cellIs" dxfId="4077" priority="85" operator="equal">
      <formula>"PIN"</formula>
    </cfRule>
    <cfRule type="cellIs" dxfId="4076" priority="86" operator="equal">
      <formula>"ORA"</formula>
    </cfRule>
    <cfRule type="cellIs" dxfId="4075" priority="87" operator="equal">
      <formula>"GRA"</formula>
    </cfRule>
    <cfRule type="cellIs" dxfId="4074" priority="88" operator="equal">
      <formula>"PUR"</formula>
    </cfRule>
    <cfRule type="cellIs" dxfId="4073" priority="89" operator="equal">
      <formula>"BRO"</formula>
    </cfRule>
    <cfRule type="cellIs" dxfId="4072" priority="90" operator="equal">
      <formula>"YEL"</formula>
    </cfRule>
    <cfRule type="cellIs" dxfId="4071" priority="91" operator="equal">
      <formula>"BLU"</formula>
    </cfRule>
    <cfRule type="cellIs" dxfId="4070" priority="92" operator="equal">
      <formula>"WHI"</formula>
    </cfRule>
    <cfRule type="cellIs" dxfId="4069" priority="93" operator="equal">
      <formula>"GRE"</formula>
    </cfRule>
    <cfRule type="cellIs" dxfId="4068" priority="94" operator="equal">
      <formula>"RED"</formula>
    </cfRule>
    <cfRule type="cellIs" dxfId="4067" priority="95" operator="equal">
      <formula>"BLA"</formula>
    </cfRule>
  </conditionalFormatting>
  <conditionalFormatting sqref="IC1:IK1">
    <cfRule type="cellIs" dxfId="4066" priority="96" operator="equal">
      <formula>"PIN"</formula>
    </cfRule>
    <cfRule type="cellIs" dxfId="4065" priority="97" operator="equal">
      <formula>"ORA"</formula>
    </cfRule>
    <cfRule type="cellIs" dxfId="4064" priority="98" operator="equal">
      <formula>"GRA"</formula>
    </cfRule>
    <cfRule type="cellIs" dxfId="4063" priority="99" operator="equal">
      <formula>"PUR"</formula>
    </cfRule>
    <cfRule type="cellIs" dxfId="4062" priority="100" operator="equal">
      <formula>"BRO"</formula>
    </cfRule>
    <cfRule type="cellIs" dxfId="4061" priority="101" operator="equal">
      <formula>"YEL"</formula>
    </cfRule>
    <cfRule type="cellIs" dxfId="4060" priority="102" operator="equal">
      <formula>"BLU"</formula>
    </cfRule>
    <cfRule type="cellIs" dxfId="4059" priority="103" operator="equal">
      <formula>"WHI"</formula>
    </cfRule>
    <cfRule type="cellIs" dxfId="4058" priority="104" operator="equal">
      <formula>"GRE"</formula>
    </cfRule>
    <cfRule type="cellIs" dxfId="4057" priority="105" operator="equal">
      <formula>"RED"</formula>
    </cfRule>
    <cfRule type="cellIs" dxfId="4056" priority="106" operator="equal">
      <formula>"BLA"</formula>
    </cfRule>
  </conditionalFormatting>
  <conditionalFormatting sqref="IO1:IW1">
    <cfRule type="cellIs" dxfId="4055" priority="74" operator="equal">
      <formula>"PIN"</formula>
    </cfRule>
    <cfRule type="cellIs" dxfId="4054" priority="75" operator="equal">
      <formula>"ORA"</formula>
    </cfRule>
    <cfRule type="cellIs" dxfId="4053" priority="76" operator="equal">
      <formula>"GRA"</formula>
    </cfRule>
    <cfRule type="cellIs" dxfId="4052" priority="77" operator="equal">
      <formula>"PUR"</formula>
    </cfRule>
    <cfRule type="cellIs" dxfId="4051" priority="78" operator="equal">
      <formula>"BRO"</formula>
    </cfRule>
    <cfRule type="cellIs" dxfId="4050" priority="79" operator="equal">
      <formula>"YEL"</formula>
    </cfRule>
    <cfRule type="cellIs" dxfId="4049" priority="80" operator="equal">
      <formula>"BLU"</formula>
    </cfRule>
    <cfRule type="cellIs" dxfId="4048" priority="81" operator="equal">
      <formula>"WHI"</formula>
    </cfRule>
    <cfRule type="cellIs" dxfId="4047" priority="82" operator="equal">
      <formula>"GRE"</formula>
    </cfRule>
    <cfRule type="cellIs" dxfId="4046" priority="83" operator="equal">
      <formula>"RED"</formula>
    </cfRule>
    <cfRule type="cellIs" dxfId="4045" priority="84" operator="equal">
      <formula>"BLA"</formula>
    </cfRule>
  </conditionalFormatting>
  <conditionalFormatting sqref="H2">
    <cfRule type="cellIs" dxfId="4044" priority="42" stopIfTrue="1" operator="notEqual">
      <formula>""</formula>
    </cfRule>
  </conditionalFormatting>
  <conditionalFormatting sqref="R2 CU2">
    <cfRule type="cellIs" dxfId="4043" priority="44" operator="greaterThan">
      <formula>0</formula>
    </cfRule>
  </conditionalFormatting>
  <conditionalFormatting sqref="T2:AS2 CH2:CS2">
    <cfRule type="cellIs" dxfId="4042" priority="39" stopIfTrue="1" operator="equal">
      <formula>"n"</formula>
    </cfRule>
    <cfRule type="cellIs" dxfId="4041" priority="40" stopIfTrue="1" operator="equal">
      <formula>"y"</formula>
    </cfRule>
    <cfRule type="cellIs" dxfId="4040" priority="41" operator="greaterThan">
      <formula>0</formula>
    </cfRule>
  </conditionalFormatting>
  <conditionalFormatting sqref="AZ2:BB2">
    <cfRule type="expression" dxfId="4039" priority="38">
      <formula>$AT2=0</formula>
    </cfRule>
  </conditionalFormatting>
  <conditionalFormatting sqref="AZ2:BU2">
    <cfRule type="cellIs" dxfId="4038" priority="47" operator="equal">
      <formula>"PIN"</formula>
    </cfRule>
    <cfRule type="cellIs" dxfId="4037" priority="48" operator="equal">
      <formula>"ORA"</formula>
    </cfRule>
    <cfRule type="cellIs" dxfId="4036" priority="49" operator="equal">
      <formula>"GRA"</formula>
    </cfRule>
    <cfRule type="cellIs" dxfId="4035" priority="50" operator="equal">
      <formula>"PUR"</formula>
    </cfRule>
    <cfRule type="cellIs" dxfId="4034" priority="51" operator="equal">
      <formula>"BRO"</formula>
    </cfRule>
    <cfRule type="cellIs" dxfId="4033" priority="52" operator="equal">
      <formula>"YEL"</formula>
    </cfRule>
    <cfRule type="cellIs" dxfId="4032" priority="53" operator="equal">
      <formula>"BLU"</formula>
    </cfRule>
    <cfRule type="cellIs" dxfId="4031" priority="54" operator="equal">
      <formula>"WHI"</formula>
    </cfRule>
    <cfRule type="cellIs" dxfId="4030" priority="55" operator="equal">
      <formula>"GRE"</formula>
    </cfRule>
    <cfRule type="cellIs" dxfId="4029" priority="56" operator="equal">
      <formula>"RED"</formula>
    </cfRule>
    <cfRule type="cellIs" dxfId="4028" priority="57" operator="equal">
      <formula>"BLA"</formula>
    </cfRule>
  </conditionalFormatting>
  <conditionalFormatting sqref="BV2:BW2">
    <cfRule type="cellIs" dxfId="4027" priority="69" operator="equal">
      <formula>"nc"</formula>
    </cfRule>
  </conditionalFormatting>
  <conditionalFormatting sqref="BX2:CA2 CD2:CF2">
    <cfRule type="cellIs" dxfId="4026" priority="43" operator="equal">
      <formula>"y"</formula>
    </cfRule>
    <cfRule type="cellIs" dxfId="4025" priority="58" operator="equal">
      <formula>"PIN"</formula>
    </cfRule>
    <cfRule type="cellIs" dxfId="4024" priority="59" operator="equal">
      <formula>"ORA"</formula>
    </cfRule>
    <cfRule type="cellIs" dxfId="4023" priority="60" operator="equal">
      <formula>"GRA"</formula>
    </cfRule>
    <cfRule type="cellIs" dxfId="4022" priority="61" operator="equal">
      <formula>"PUR"</formula>
    </cfRule>
    <cfRule type="cellIs" dxfId="4021" priority="62" operator="equal">
      <formula>"BRO"</formula>
    </cfRule>
    <cfRule type="cellIs" dxfId="4020" priority="63" operator="equal">
      <formula>"YEL"</formula>
    </cfRule>
    <cfRule type="cellIs" dxfId="4019" priority="64" operator="equal">
      <formula>"BLU"</formula>
    </cfRule>
    <cfRule type="cellIs" dxfId="4018" priority="65" operator="equal">
      <formula>"WHI"</formula>
    </cfRule>
    <cfRule type="cellIs" dxfId="4017" priority="66" operator="equal">
      <formula>"GRE"</formula>
    </cfRule>
    <cfRule type="cellIs" dxfId="4016" priority="67" operator="equal">
      <formula>"RED"</formula>
    </cfRule>
    <cfRule type="cellIs" dxfId="4015" priority="68" operator="equal">
      <formula>"BLA"</formula>
    </cfRule>
  </conditionalFormatting>
  <conditionalFormatting sqref="BZ2:CA2 CD2:CF2">
    <cfRule type="cellIs" dxfId="4014" priority="45" operator="greaterThan">
      <formula>0</formula>
    </cfRule>
  </conditionalFormatting>
  <conditionalFormatting sqref="IC2:IK2">
    <cfRule type="expression" dxfId="4013"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351" priority="5" stopIfTrue="1" operator="notEqual">
      <formula>""</formula>
    </cfRule>
  </conditionalFormatting>
  <conditionalFormatting sqref="R3 CU3">
    <cfRule type="cellIs" dxfId="350" priority="7" operator="greaterThan">
      <formula>0</formula>
    </cfRule>
  </conditionalFormatting>
  <conditionalFormatting sqref="T3:AS3 CH3:CS3">
    <cfRule type="cellIs" dxfId="349" priority="2" stopIfTrue="1" operator="equal">
      <formula>"n"</formula>
    </cfRule>
    <cfRule type="cellIs" dxfId="348" priority="3" stopIfTrue="1" operator="equal">
      <formula>"y"</formula>
    </cfRule>
    <cfRule type="cellIs" dxfId="347" priority="4" operator="greaterThan">
      <formula>0</formula>
    </cfRule>
  </conditionalFormatting>
  <conditionalFormatting sqref="AZ3:BB3">
    <cfRule type="expression" dxfId="346" priority="1">
      <formula>$AT3=0</formula>
    </cfRule>
  </conditionalFormatting>
  <conditionalFormatting sqref="AZ3:BU3">
    <cfRule type="cellIs" dxfId="345" priority="10" operator="equal">
      <formula>"PIN"</formula>
    </cfRule>
    <cfRule type="cellIs" dxfId="344" priority="11" operator="equal">
      <formula>"ORA"</formula>
    </cfRule>
    <cfRule type="cellIs" dxfId="343" priority="12" operator="equal">
      <formula>"GRA"</formula>
    </cfRule>
    <cfRule type="cellIs" dxfId="342" priority="13" operator="equal">
      <formula>"PUR"</formula>
    </cfRule>
    <cfRule type="cellIs" dxfId="341" priority="14" operator="equal">
      <formula>"BRO"</formula>
    </cfRule>
    <cfRule type="cellIs" dxfId="340" priority="15" operator="equal">
      <formula>"YEL"</formula>
    </cfRule>
    <cfRule type="cellIs" dxfId="339" priority="16" operator="equal">
      <formula>"BLU"</formula>
    </cfRule>
    <cfRule type="cellIs" dxfId="338" priority="17" operator="equal">
      <formula>"WHI"</formula>
    </cfRule>
    <cfRule type="cellIs" dxfId="337" priority="18" operator="equal">
      <formula>"GRE"</formula>
    </cfRule>
    <cfRule type="cellIs" dxfId="336" priority="19" operator="equal">
      <formula>"RED"</formula>
    </cfRule>
    <cfRule type="cellIs" dxfId="335" priority="20" operator="equal">
      <formula>"BLA"</formula>
    </cfRule>
  </conditionalFormatting>
  <conditionalFormatting sqref="BV3">
    <cfRule type="cellIs" dxfId="334" priority="32" operator="equal">
      <formula>"nc"</formula>
    </cfRule>
  </conditionalFormatting>
  <conditionalFormatting sqref="BX3:CA3 CD3:CF3">
    <cfRule type="cellIs" dxfId="333" priority="6" operator="equal">
      <formula>"y"</formula>
    </cfRule>
    <cfRule type="cellIs" dxfId="332" priority="21" operator="equal">
      <formula>"PIN"</formula>
    </cfRule>
    <cfRule type="cellIs" dxfId="331" priority="22" operator="equal">
      <formula>"ORA"</formula>
    </cfRule>
    <cfRule type="cellIs" dxfId="330" priority="23" operator="equal">
      <formula>"GRA"</formula>
    </cfRule>
    <cfRule type="cellIs" dxfId="329" priority="24" operator="equal">
      <formula>"PUR"</formula>
    </cfRule>
    <cfRule type="cellIs" dxfId="328" priority="25" operator="equal">
      <formula>"BRO"</formula>
    </cfRule>
    <cfRule type="cellIs" dxfId="327" priority="26" operator="equal">
      <formula>"YEL"</formula>
    </cfRule>
    <cfRule type="cellIs" dxfId="326" priority="27" operator="equal">
      <formula>"BLU"</formula>
    </cfRule>
    <cfRule type="cellIs" dxfId="325" priority="28" operator="equal">
      <formula>"WHI"</formula>
    </cfRule>
    <cfRule type="cellIs" dxfId="324" priority="29" operator="equal">
      <formula>"GRE"</formula>
    </cfRule>
    <cfRule type="cellIs" dxfId="323" priority="30" operator="equal">
      <formula>"RED"</formula>
    </cfRule>
    <cfRule type="cellIs" dxfId="322" priority="31" operator="equal">
      <formula>"BLA"</formula>
    </cfRule>
  </conditionalFormatting>
  <conditionalFormatting sqref="BZ3:CA3 CD3:CF3">
    <cfRule type="cellIs" dxfId="321" priority="8" operator="greaterThan">
      <formula>0</formula>
    </cfRule>
  </conditionalFormatting>
  <conditionalFormatting sqref="IC3:IK3">
    <cfRule type="expression" dxfId="320"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1E92F-972B-45E6-A467-097A2B85C4EF}">
  <dimension ref="A1:IY5"/>
  <sheetViews>
    <sheetView zoomScale="70" zoomScaleNormal="70" workbookViewId="0">
      <selection activeCell="A5" sqref="A5:XFD5"/>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254</v>
      </c>
      <c r="B2" s="40" t="e" vm="64">
        <v>#VALUE!</v>
      </c>
      <c r="C2" s="41">
        <v>1</v>
      </c>
      <c r="D2" s="42" t="s">
        <v>255</v>
      </c>
      <c r="E2" s="43" t="s">
        <v>256</v>
      </c>
      <c r="F2" s="44" t="s">
        <v>166</v>
      </c>
      <c r="G2" s="45">
        <f>COUNTIF($A$1:$A$8342,A2)</f>
        <v>1</v>
      </c>
      <c r="H2" s="46"/>
      <c r="I2" s="47" t="s">
        <v>257</v>
      </c>
      <c r="J2" s="48" t="str">
        <f>""</f>
        <v/>
      </c>
      <c r="K2" s="49">
        <v>292000</v>
      </c>
      <c r="L2" s="50">
        <v>125000</v>
      </c>
      <c r="M2" s="50" t="s">
        <v>258</v>
      </c>
      <c r="N2" s="51" t="s">
        <v>169</v>
      </c>
      <c r="O2" s="52" t="s">
        <v>259</v>
      </c>
      <c r="P2" s="53" t="s">
        <v>260</v>
      </c>
      <c r="Q2" s="54">
        <v>2</v>
      </c>
      <c r="R2" s="55" t="s">
        <v>169</v>
      </c>
      <c r="S2" s="56">
        <v>3</v>
      </c>
      <c r="T2" s="57" t="s">
        <v>173</v>
      </c>
      <c r="U2" s="58" t="s">
        <v>173</v>
      </c>
      <c r="V2" s="58" t="s">
        <v>172</v>
      </c>
      <c r="W2" s="58" t="s">
        <v>173</v>
      </c>
      <c r="X2" s="58" t="s">
        <v>172</v>
      </c>
      <c r="Y2" s="58" t="s">
        <v>173</v>
      </c>
      <c r="Z2" s="58" t="s">
        <v>173</v>
      </c>
      <c r="AA2" s="58" t="s">
        <v>173</v>
      </c>
      <c r="AB2" s="58" t="s">
        <v>173</v>
      </c>
      <c r="AC2" s="58" t="s">
        <v>172</v>
      </c>
      <c r="AD2" s="58" t="s">
        <v>172</v>
      </c>
      <c r="AE2" s="58" t="s">
        <v>173</v>
      </c>
      <c r="AF2" s="59" t="s">
        <v>173</v>
      </c>
      <c r="AG2" s="59" t="s">
        <v>173</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0</v>
      </c>
      <c r="AU2" s="59"/>
      <c r="AV2" s="59" t="str">
        <f>IF(LEFT(A2,1)="[",LEFT(A2,5)&amp;AU2&amp;A2,"")</f>
        <v/>
      </c>
      <c r="AW2" s="59" t="str">
        <f>C2&amp;H2&amp;A2</f>
        <v>1New Caledonia</v>
      </c>
      <c r="AX2" s="61"/>
      <c r="AY2" s="61"/>
      <c r="AZ2" s="62" t="s">
        <v>192</v>
      </c>
      <c r="BA2" s="62"/>
      <c r="BB2" s="62"/>
      <c r="BC2" s="63"/>
      <c r="BD2" s="64" t="s">
        <v>159</v>
      </c>
      <c r="BE2" s="47"/>
      <c r="BF2" s="64" t="s">
        <v>192</v>
      </c>
      <c r="BG2" s="64" t="s">
        <v>192</v>
      </c>
      <c r="BH2" s="64" t="s">
        <v>192</v>
      </c>
      <c r="BI2" s="64"/>
      <c r="BJ2" s="64"/>
      <c r="BK2" s="47"/>
      <c r="BL2" s="64" t="s">
        <v>151</v>
      </c>
      <c r="BM2" s="64" t="s">
        <v>152</v>
      </c>
      <c r="BN2" s="64" t="s">
        <v>153</v>
      </c>
      <c r="BO2" s="64" t="s">
        <v>154</v>
      </c>
      <c r="BP2" s="64" t="s">
        <v>155</v>
      </c>
      <c r="BQ2" s="64" t="s">
        <v>192</v>
      </c>
      <c r="BR2" s="64" t="s">
        <v>157</v>
      </c>
      <c r="BS2" s="64" t="s">
        <v>192</v>
      </c>
      <c r="BT2" s="64" t="s">
        <v>159</v>
      </c>
      <c r="BU2" s="65"/>
      <c r="BV2" s="66"/>
      <c r="BW2" s="66">
        <v>0</v>
      </c>
      <c r="BX2" s="47"/>
      <c r="CB2" s="6"/>
      <c r="CC2" s="6"/>
      <c r="CD2" s="67">
        <v>0</v>
      </c>
      <c r="CE2" s="67">
        <v>0</v>
      </c>
      <c r="CF2" s="67" t="e">
        <v>#REF!</v>
      </c>
      <c r="CG2" s="68" cm="1">
        <f t="array" ref="CG2">SUMPRODUCT(--(LEN(TRIM(BL2:BT2))&gt;0))</f>
        <v>7</v>
      </c>
      <c r="CH2" s="59" t="str">
        <f t="shared" ref="CH2:CH5" si="0">IF(CG2=2,"y","n")</f>
        <v>n</v>
      </c>
      <c r="CI2" s="59" t="str">
        <f t="shared" ref="CI2:CI5" si="1">IF(CG2=3,"y","n")</f>
        <v>n</v>
      </c>
      <c r="CJ2" s="59" t="str">
        <f t="shared" ref="CJ2:CJ5" si="2">IF(CG2=4,"y","n")</f>
        <v>n</v>
      </c>
      <c r="CK2" s="59" t="str">
        <f t="shared" ref="CK2:CK5" si="3">IF(CG2&gt;4,"y","n")</f>
        <v>y</v>
      </c>
      <c r="CL2" s="59" t="str">
        <f t="shared" ref="CL2:CL5" si="4">IF(S2=0,"y","n")</f>
        <v>n</v>
      </c>
      <c r="CM2" s="59" t="str">
        <f t="shared" ref="CM2:CM5" si="5">IF(S2=2,"y","n")</f>
        <v>n</v>
      </c>
      <c r="CN2" s="59" t="str">
        <f t="shared" ref="CN2:CN5" si="6">IF(S2=3,"y","n")</f>
        <v>y</v>
      </c>
      <c r="CO2" s="59" t="str">
        <f t="shared" ref="CO2:CO5" si="7">IF(S2&gt;=4,"y","n")</f>
        <v>n</v>
      </c>
      <c r="CP2" s="59" t="str">
        <f t="shared" ref="CP2:CP5" si="8">IF(AT2=0,"y","n")</f>
        <v>y</v>
      </c>
      <c r="CQ2" s="59" t="str">
        <f t="shared" ref="CQ2:CQ5" si="9">IF(AT2=1,"y","n")</f>
        <v>n</v>
      </c>
      <c r="CR2" s="59" t="str">
        <f t="shared" ref="CR2:CR5" si="10">IF(AT2=2,"y","n")</f>
        <v>n</v>
      </c>
      <c r="CS2" s="59" t="str">
        <f t="shared" ref="CS2:CS5" si="11">IF(AT2&gt;=3,"y","n")</f>
        <v>n</v>
      </c>
      <c r="CT2" s="69" t="str">
        <f t="shared" ref="CT2:CT5" si="12">CHAR(34)&amp;A2&amp;CHAR(34)</f>
        <v>"New Caledonia"</v>
      </c>
      <c r="CU2" s="70" t="str">
        <f t="shared" ref="CU2:CU5" si="13">CHAR(34)&amp;"rgn_"&amp;R2&amp;CHAR(34)</f>
        <v>"rgn_Oceania"</v>
      </c>
      <c r="CV2" s="48" t="str">
        <f t="shared" ref="CV2:CV5" si="14">CHAR(34)&amp;D2&amp;CHAR(34)</f>
        <v>"https://i.ibb.co/8BYXc8r/New-Caledonia-Flag.png"</v>
      </c>
      <c r="CW2" s="48" t="str">
        <f t="shared" ref="CW2:CZ5" si="15">IF(CH2="y",CHAR(34)&amp;CH$1&amp;CHAR(34)&amp;",","")</f>
        <v/>
      </c>
      <c r="CX2" s="48" t="str">
        <f t="shared" si="15"/>
        <v/>
      </c>
      <c r="CY2" s="48" t="str">
        <f t="shared" si="15"/>
        <v/>
      </c>
      <c r="CZ2" s="48" t="str">
        <f t="shared" si="15"/>
        <v>"5+Colo",</v>
      </c>
      <c r="DA2" s="48" t="str">
        <f t="shared" ref="DA2:DA5" si="16">IF(Q2&gt;1,CHAR(34)&amp;"words2"&amp;CHAR(34)&amp;",","")</f>
        <v>"words2",</v>
      </c>
      <c r="DB2" s="48" t="str">
        <f t="shared" ref="DB2:DB5"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"lets12",</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 t="shared" ref="DF2:DF5" si="21">IFERROR(IF(SEARCH("tan",A2)&gt;0,CHAR(34)&amp;"withtn"&amp;CHAR(34)&amp;",",""),"")</f>
        <v/>
      </c>
      <c r="DG2" s="48" t="str">
        <f t="shared" ref="DG2:DG5" si="22">IFERROR(IF(SEARCH("q",A2)&gt;0,CHAR(34)&amp;"with_q"&amp;CHAR(34)&amp;",",""),"")</f>
        <v/>
      </c>
      <c r="DH2" s="48" t="str">
        <f t="shared" ref="DH2:DH5" si="23">IFERROR(IF(SEARCH("v",A2)&gt;0,CHAR(34)&amp;"with_v"&amp;CHAR(34)&amp;",",""),"")</f>
        <v/>
      </c>
      <c r="DI2" s="48" t="str">
        <f t="shared" ref="DI2:DI5" si="24">IFERROR(IF(SEARCH("w",A2)&gt;0,CHAR(34)&amp;"with_w"&amp;CHAR(34)&amp;",",""),"")</f>
        <v>"with_w",</v>
      </c>
      <c r="DJ2" s="48" t="str">
        <f t="shared" ref="DJ2:DJ5" si="25">IFERROR(IF(SEARCH("y",A2)&gt;0,CHAR(34)&amp;"with_y"&amp;CHAR(34)&amp;",",""),"")</f>
        <v/>
      </c>
      <c r="DK2" s="48" t="str">
        <f t="shared" ref="DK2:DK5" si="26">IFERROR(IF(SEARCH("z",A2)&gt;0,CHAR(34)&amp;"with_z"&amp;CHAR(34)&amp;",",""),"")</f>
        <v/>
      </c>
      <c r="DL2" s="48" t="str">
        <f t="shared" ref="DL2:DL5" si="27">IF(CG2=2, CHAR(34) &amp; _xlfn.TEXTJOIN("", TRUE, _xlfn._xlws.SORT(HP2:HX2)) &amp; CHAR(34) &amp; ",", "")</f>
        <v/>
      </c>
      <c r="DM2" s="48" t="str" cm="1">
        <f t="array" ref="DM2">IF(CG2=3,CHAR(34) &amp; _xlfn.TEXTJOIN("", TRUE, RIGHT(HP2:HX2, 2)) &amp; CHAR(34) &amp; ",", "")</f>
        <v/>
      </c>
      <c r="DN2" s="48" t="str">
        <f t="shared" ref="DN2:DN5" si="28">IF(AND(ISNUMBER(SEARCH("18", O2)), ISERROR(SEARCH("1918", O2)), ISERROR(SEARCH("2018", O2))), CHAR(34) &amp; "year18" &amp; CHAR(34) &amp; ",", "")</f>
        <v/>
      </c>
      <c r="DO2" s="48" t="str">
        <f t="shared" ref="DO2:DO5" si="29">IF(AND(ISNUMBER(SEARCH("19", O2)), ISERROR(SEARCH("1819", O2)),  ISERROR(SEARCH("1219", O2)),ISERROR(SEARCH("1119", O2)),ISERROR(SEARCH("1190", O2)),ISERROR(SEARCH("2019", O2))), CHAR(34) &amp; "year19" &amp; CHAR(34) &amp; ",", "")</f>
        <v/>
      </c>
      <c r="DP2" s="6" t="str">
        <f t="shared" ref="DP2:DP5" si="30">IF(AND(ISNUMBER(SEARCH("20", O2)), ISERROR(SEARCH("1920", O2))), CHAR(34)&amp;"year00"&amp;CHAR(34)&amp;",", "")</f>
        <v>"year00",</v>
      </c>
      <c r="DQ2" s="6" t="str">
        <f t="shared" ref="DQ2:DQ5" si="31">IF(CC2="y",CHAR(34)&amp;"soviet"&amp;CHAR(34)&amp;",","")</f>
        <v/>
      </c>
      <c r="DR2" s="6" t="str">
        <f t="shared" ref="DR2:DR5" si="32">IF(BY2="y",CHAR(34)&amp;"dgband"&amp;CHAR(34)&amp;",","")</f>
        <v/>
      </c>
      <c r="DS2" s="6" t="str">
        <f t="shared" ref="DS2:DS5" si="33">IF(W2="y",IF(AND(V2="n",BY2&lt;&gt;"y"),CHAR(34)&amp;"allver"&amp;CHAR(34)&amp;",",""),"")</f>
        <v/>
      </c>
      <c r="DT2" s="6" t="str">
        <f t="shared" ref="DT2:DT5" si="34">IF(V2="y",IF(AND(W2="n",BY2&lt;&gt;"y"),CHAR(34)&amp;"allhor"&amp;CHAR(34)&amp;",",""),"")</f>
        <v>"allhor",</v>
      </c>
      <c r="DU2" s="6" t="str">
        <f t="shared" ref="DU2:DU5" si="35">IF(BY2="y",IF(AND(W2="n",V2="n"),CHAR(34)&amp;"alldia"&amp;CHAR(34)&amp;",",""),"")</f>
        <v/>
      </c>
      <c r="DV2" s="48" t="str">
        <f t="shared" ref="DV2" si="36">IF(IA2&lt;&gt;"",(IF(IA2="y",CHAR(34)&amp;"largec"&amp;CHAR(34)&amp;",",CHAR(34)&amp;"smallc"&amp;CHAR(34)&amp;",")),"")</f>
        <v>"largec",</v>
      </c>
      <c r="DW2" s="48" t="str">
        <f t="shared" ref="DW2:DZ5" si="37">IF(CL2="y",CHAR(34)&amp;CL$1&amp;CHAR(34)&amp;",","")</f>
        <v/>
      </c>
      <c r="DX2" s="48" t="str">
        <f t="shared" si="37"/>
        <v/>
      </c>
      <c r="DY2" s="48" t="str">
        <f t="shared" si="37"/>
        <v>"3Bands",</v>
      </c>
      <c r="DZ2" s="48" t="str">
        <f t="shared" si="37"/>
        <v/>
      </c>
      <c r="EA2" s="48" t="str">
        <f t="shared" ref="EA2:EE5" si="38">IF(T2="y",CHAR(34)&amp;T$1&amp;CHAR(34)&amp;",","")</f>
        <v/>
      </c>
      <c r="EB2" s="48" t="str">
        <f t="shared" si="38"/>
        <v/>
      </c>
      <c r="EC2" s="48" t="str">
        <f t="shared" si="38"/>
        <v>"Horizo",</v>
      </c>
      <c r="ED2" s="48" t="str">
        <f t="shared" si="38"/>
        <v/>
      </c>
      <c r="EE2" s="48" t="str">
        <f t="shared" si="38"/>
        <v>"Circle",</v>
      </c>
      <c r="EF2" s="48" t="str">
        <f t="shared" ref="EF2:EF5" si="39">IF(AND(Y2&lt;&gt;"n",Y2&lt;&gt;""),CHAR(34)&amp;Y$1&amp;CHAR(34)&amp;",","")</f>
        <v/>
      </c>
      <c r="EG2" s="48" t="str">
        <f t="shared" ref="EG2:EZ5" si="40">IF(Z2="y",CHAR(34)&amp;Z$1&amp;CHAR(34)&amp;",","")</f>
        <v/>
      </c>
      <c r="EH2" s="48" t="str">
        <f t="shared" si="40"/>
        <v/>
      </c>
      <c r="EI2" s="48" t="str">
        <f t="shared" si="40"/>
        <v/>
      </c>
      <c r="EJ2" s="48" t="str">
        <f t="shared" si="40"/>
        <v>"Weapon",</v>
      </c>
      <c r="EK2" s="48" t="str">
        <f t="shared" si="40"/>
        <v>"HasSun",</v>
      </c>
      <c r="EL2" s="48" t="str">
        <f t="shared" si="40"/>
        <v/>
      </c>
      <c r="EM2" s="48" t="str">
        <f t="shared" si="40"/>
        <v/>
      </c>
      <c r="EN2" s="48" t="str">
        <f t="shared" si="40"/>
        <v/>
      </c>
      <c r="EO2" s="48" t="str">
        <f t="shared" si="40"/>
        <v/>
      </c>
      <c r="EP2" s="48" t="str">
        <f t="shared" si="40"/>
        <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FA5" si="41">IF(AT2&gt;0,CHAR(34)&amp;"sta"&amp;AZ2&amp;CHAR(34)&amp;",","")</f>
        <v/>
      </c>
      <c r="FB2" s="48" t="str">
        <f t="shared" ref="FB2:FB5" si="42">IF(AND(AT2&gt;0,BA2&lt;&gt;""),CHAR(34)&amp;"sta"&amp;BA2&amp;CHAR(34)&amp;",","")</f>
        <v/>
      </c>
      <c r="FC2" s="48" t="str">
        <f t="shared" ref="FC2" si="43">IF(AND(AT2&gt;0,BB2&lt;&gt;""),CHAR(34)&amp;"sta"&amp;BB2&amp;CHAR(34)&amp;",","")</f>
        <v/>
      </c>
      <c r="FD2" s="48" t="str">
        <f t="shared" ref="FD2:FD5" si="44">IF(BV2="n",CHAR(34)&amp;"tcWHYE"&amp;CHAR(34)&amp;",",IF(BV2="y",CHAR(34)&amp;FD$1&amp;CHAR(34)&amp;",",""))</f>
        <v/>
      </c>
      <c r="FE2" s="48" t="str">
        <f t="shared" ref="FE2:FE5" si="45">IF(COUNTIF(BL2:BT2,"BLU")=0,CHAR(34)&amp;"NO_BLU"&amp;CHAR(34)&amp;",", "")</f>
        <v/>
      </c>
      <c r="FF2" s="48" t="str">
        <f t="shared" ref="FF2:FF5" si="46">IF(COUNTIF(BL2:BT2,"WHI")=0,CHAR(34)&amp;"NO_WHI"&amp;CHAR(34)&amp;",", "")</f>
        <v/>
      </c>
      <c r="FG2" s="48" t="str">
        <f t="shared" ref="FG2:FG5" si="47">IF(COUNTIF(BL2:BT2,"RED")=0,CHAR(34)&amp;"NO_RED"&amp;CHAR(34)&amp;",", "")</f>
        <v/>
      </c>
      <c r="FH2" s="48" t="str">
        <f t="shared" ref="FH2:FH5" si="48">IF(COUNTIF(BL2:BS2,"GRE")=0,CHAR(34)&amp;"NO_GRE"&amp;CHAR(34)&amp;",", "")</f>
        <v/>
      </c>
      <c r="FI2" s="48" t="str">
        <f t="shared" ref="FI2:FI5" si="49">IF(COUNTIF(BL2:BT2,"YEL")=0,CHAR(34)&amp;"NO_YEL"&amp;CHAR(34)&amp;",", "")</f>
        <v/>
      </c>
      <c r="FJ2" s="48" t="str">
        <f t="shared" ref="FJ2:FJ5" si="50">IF(COUNTIF(BL2:BT2,"BLA")=0,CHAR(34)&amp;"NO_BLA"&amp;CHAR(34)&amp;",", "")</f>
        <v/>
      </c>
      <c r="FK2" s="48" t="str">
        <f t="shared" ref="FK2:FK5" si="51">IF(AND(FH2&lt;&gt;"",FF2&lt;&gt;""),CHAR(34)&amp;"WHGRNO"&amp;CHAR(34)&amp;",","")</f>
        <v/>
      </c>
      <c r="FL2" s="48" t="str">
        <f t="shared" ref="FL2:FL5" si="52">IF(AND(FI2&lt;&gt;"",FF2&lt;&gt;""),CHAR(34)&amp;"WHYENO"&amp;CHAR(34)&amp;",","")</f>
        <v/>
      </c>
      <c r="FM2" s="48" t="str">
        <f t="shared" ref="FM2:FM5" si="53">IF(AND(FJ2&lt;&gt;"",FF2&lt;&gt;""),CHAR(34)&amp;"BAWHNO"&amp;CHAR(34)&amp;",","")</f>
        <v/>
      </c>
      <c r="FN2" s="48" t="str">
        <f t="shared" ref="FN2:FN5" si="54">IF(AND(FE2&lt;&gt;"",FF2&lt;&gt;""),CHAR(34)&amp;"BLWHNO"&amp;CHAR(34)&amp;",","")</f>
        <v/>
      </c>
      <c r="FO2" s="48" t="str">
        <f t="shared" ref="FO2:FO5" si="55">IF(AND(FE2&lt;&gt;"",FG2&lt;&gt;""),CHAR(34)&amp;"BLRENO"&amp;CHAR(34)&amp;",","")</f>
        <v/>
      </c>
      <c r="FP2" s="48" t="str">
        <f t="shared" ref="FP2:FP5" si="56">IF(AND(FF2&lt;&gt;"",FF2&lt;&gt;""),CHAR(34)&amp;"WHRENO"&amp;CHAR(34)&amp;",","")</f>
        <v/>
      </c>
      <c r="FQ2" s="48" t="str">
        <f t="shared" ref="FQ2:FQ5" si="57">IF(LEN(BF2)=3,CHAR(34)&amp;"001"&amp;BF2&amp;CHAR(34)&amp;",","")</f>
        <v/>
      </c>
      <c r="FR2" s="48" t="str">
        <f t="shared" ref="FR2:FR5" si="58">IF(LEN(BG2)=3,CHAR(34)&amp;"002"&amp;BG2&amp;CHAR(34)&amp;",","")</f>
        <v/>
      </c>
      <c r="FS2" s="48" t="str">
        <f t="shared" ref="FS2:FS5" si="59">IF(LEN(BH2)=3,CHAR(34)&amp;"003"&amp;BH2&amp;CHAR(34)&amp;",","")</f>
        <v/>
      </c>
      <c r="FT2" s="48" t="str">
        <f t="shared" ref="FT2:FT5" si="60">CHAR(34)&amp;"myr"&amp;BD2&amp;CHAR(34)&amp;","</f>
        <v>"myrWHI",</v>
      </c>
      <c r="FU2" s="48" t="str">
        <f t="shared" ref="FU2:FU5" si="61">IF(AY2="y",CHAR(34)&amp;"island"&amp;CHAR(34)&amp;",","")</f>
        <v/>
      </c>
      <c r="FV2" s="48" t="str">
        <f t="shared" ref="FV2:FV5" si="62">IF(BZ2="y",CHAR(34)&amp;"landlo"&amp;CHAR(34)&amp;",","")</f>
        <v/>
      </c>
      <c r="FW2" s="48" t="str">
        <f t="shared" ref="FW2:FW5" si="63">IF(CA2="y",CHAR(34)&amp;"eunion"&amp;CHAR(34)&amp;",","")</f>
        <v/>
      </c>
      <c r="FX2" s="48" t="str">
        <f t="shared" ref="FX2" si="64">SUBSTITUTE(IFERROR(SEARCH("[",A2),IFERROR(IF(AND(CA2&lt;&gt;"y",SEARCH("Europe",R2)&gt;0),CHAR(34)&amp;"noeuni"&amp;CHAR(34)&amp;",",""),"")),"1","")</f>
        <v/>
      </c>
      <c r="FY2" s="48" t="str">
        <f t="shared" ref="FY2:FY5" si="65">IFERROR(IF(SEARCH("Arabic",CB2)&gt;0,CHAR(34)&amp;"arabic"&amp;CHAR(34)&amp;",",""),"")</f>
        <v/>
      </c>
      <c r="FZ2" s="48" t="str">
        <f t="shared" ref="FZ2:FZ5" si="66">IFERROR(IF(SEARCH("English",CB2)&gt;0,CHAR(34)&amp;"englis"&amp;CHAR(34)&amp;",",""),"")</f>
        <v/>
      </c>
      <c r="GA2" s="48" t="str">
        <f t="shared" ref="GA2:GA5" si="67">IFERROR(IF(SEARCH("French",CB2)&gt;0,CHAR(34)&amp;"french"&amp;CHAR(34)&amp;",",""),"")</f>
        <v/>
      </c>
      <c r="GB2" s="48" t="str">
        <f t="shared" ref="GB2:GB5"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5" si="71">IFERROR(IF(SEARCH("Dutch",CB2)&gt;0,CHAR(34)&amp;"dutchs"&amp;CHAR(34)&amp;",",""),"")</f>
        <v/>
      </c>
      <c r="GF2" s="48" t="str">
        <f>IFERROR(IF(SEARCH("Historical",AU2)&gt;0,CHAR(34)&amp;"histor"&amp;CHAR(34)&amp;",",""),"")</f>
        <v/>
      </c>
      <c r="GG2" s="48" t="str">
        <f t="shared" ref="GG2:GG5" si="72">IF(BU2="y",CHAR(34)&amp;"unjack"&amp;CHAR(34)&amp;",","")</f>
        <v/>
      </c>
      <c r="GH2" s="48" t="str">
        <f t="shared" ref="GH2:GH5" si="73">IF(CD2=1,CHAR(34)&amp;"southc"&amp;CHAR(34)&amp;",","")</f>
        <v/>
      </c>
      <c r="GI2" s="48" t="str">
        <f t="shared" ref="GI2:GI5" si="74">IF(CE2=1,CHAR(34)&amp;"hasmap"&amp;CHAR(34)&amp;",","")</f>
        <v/>
      </c>
      <c r="GJ2" s="48" t="str">
        <f t="shared" ref="GJ2:GJ5" si="75">IF(CP2="y",CHAR(34)&amp;CP$1&amp;CHAR(34)&amp;",","")</f>
        <v>"NoStar",</v>
      </c>
      <c r="GK2" s="48" t="str">
        <f t="shared" ref="GK2:GK5" si="76">IF(GJ2="",CHAR(34)&amp;"HasSta"&amp;CHAR(34)&amp;",","")</f>
        <v/>
      </c>
      <c r="GL2" s="48" t="str">
        <f t="shared" ref="GL2:GN5" si="77">IF(CQ2="y",CHAR(34)&amp;CQ$1&amp;CHAR(34)&amp;",","")</f>
        <v/>
      </c>
      <c r="GM2" s="48" t="str">
        <f t="shared" si="77"/>
        <v/>
      </c>
      <c r="GN2" s="48" t="str">
        <f t="shared" si="77"/>
        <v/>
      </c>
      <c r="GP2" s="48" t="str">
        <f t="shared" ref="GP2:GP5" si="78">CHAR(34)&amp;AU2&amp;CHAR(34)</f>
        <v>""</v>
      </c>
      <c r="GS2" s="48" t="str">
        <f t="shared" ref="GS2:GS5" si="79">SUBSTITUTE("["&amp;_xlfn.CONCAT(CW2:GN2)&amp;"]",",]","]")</f>
        <v>["5+Colo","words2","exact2","lets12","startN","with_w","year00","allhor","largec","3Bands","Horizo","Circle","Weapon","HasSun","myrWHI","NoStar"]</v>
      </c>
      <c r="GT2" s="48" t="str">
        <f t="shared" ref="GT2:HB5" si="80">IF(BL2&lt;&gt;"",CHAR(34)&amp;"cl_"&amp;BL2&amp;CHAR(34)&amp;",","")</f>
        <v>"cl_BLA",</v>
      </c>
      <c r="GU2" s="48" t="str">
        <f t="shared" si="80"/>
        <v>"cl_BLU",</v>
      </c>
      <c r="GV2" s="48" t="str">
        <f t="shared" si="80"/>
        <v>"cl_GRE",</v>
      </c>
      <c r="GW2" s="48" t="str">
        <f t="shared" si="80"/>
        <v>"cl_RED",</v>
      </c>
      <c r="GX2" s="48" t="str">
        <f t="shared" si="80"/>
        <v>"cl_YEL",</v>
      </c>
      <c r="GY2" s="48" t="str">
        <f t="shared" si="80"/>
        <v/>
      </c>
      <c r="GZ2" s="48" t="str">
        <f t="shared" si="80"/>
        <v>"cl_BRO",</v>
      </c>
      <c r="HA2" s="48" t="str">
        <f t="shared" si="80"/>
        <v/>
      </c>
      <c r="HB2" s="48" t="str">
        <f t="shared" si="80"/>
        <v>"cl_WHI",</v>
      </c>
      <c r="HC2" s="48" t="str">
        <f t="shared" ref="HC2:HC5" si="81">SUBSTITUTE("["&amp;_xlfn.CONCAT(GT2:HB2)&amp;"]",",]","]")</f>
        <v>["cl_BLA","cl_BLU","cl_GRE","cl_RED","cl_YEL","cl_BRO","cl_WHI"]</v>
      </c>
      <c r="HE2" s="71"/>
      <c r="HF2" s="72" t="str">
        <f t="shared" ref="HF2:HF5" si="82">"{couname:"&amp;CT2&amp;(IF(HK2&lt;&gt;"",",subtype:"&amp;CHAR(34)&amp;HK2&amp;CHAR(34),""))&amp;",year:"&amp;HJ2&amp;",region:"&amp;CU2&amp;",Colors:"&amp;HC2&amp;",Items:"&amp;GS2&amp;",Flag:"&amp;CV2&amp;",HDFlag:"&amp;CHAR(34)&amp;E2&amp;CHAR(34)&amp;",type:"&amp;GP2&amp;", describe: "&amp;HH2&amp;", isnew:"&amp;CHAR(34)&amp;F2&amp;CHAR(34)&amp;", links: "&amp;HL2&amp;"},"</f>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links: "https://en.wikipedia.org/wiki/Flags_of_New_Caledonia"},</v>
      </c>
      <c r="HG2" s="73" t="str">
        <f t="shared" ref="HG2:HG5" si="83">"{couname:"&amp;CT2&amp;(IF(HK2&lt;&gt;"",",subtype:"&amp;CHAR(34)&amp;HK2&amp;CHAR(34),""))&amp;",year:"&amp;HJ2&amp;",region:"&amp;CU2&amp;",Colors:"&amp;HC2&amp;",Items:"&amp;GS2&amp;",Flag:"&amp;CV2&amp;",HDFlag:"&amp;CHAR(34)&amp;E2&amp;CHAR(34)&amp;",type:"&amp;GP2&amp;", describe: "&amp;HI2&amp;", links: "&amp;HL2&amp;"},"</f>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links: "https://en.wikipedia.org/wiki/Flags_of_New_Caledonia"},</v>
      </c>
      <c r="HH2" s="48" t="str">
        <f t="shared" ref="HH2:HH5" si="84">IF(P2&lt;&gt;"",CHAR(34)&amp;"\n"&amp;P2&amp;CHAR(34),CHAR(34)&amp;CHAR(34))</f>
        <v>"\nIn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v>
      </c>
      <c r="HI2" s="48" t="str">
        <f t="shared" ref="HI2:HI5" si="85">IF(J2=0,CHAR(34)&amp;CHAR(34),HH2)</f>
        <v>"\nIn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v>
      </c>
      <c r="HJ2" s="48" t="str">
        <f t="shared" ref="HJ2:HJ5" si="86">CHAR(34)&amp;O2&amp;CHAR(34)</f>
        <v>"2010 "</v>
      </c>
      <c r="HL2" s="48" t="str">
        <f t="shared" ref="HL2:HL5" si="87">CHAR(34)&amp;I2&amp;CHAR(34)</f>
        <v>"https://en.wikipedia.org/wiki/Flags_of_New_Caledonia"</v>
      </c>
      <c r="HM2" s="72" t="str">
        <f t="shared" ref="HM2:HM5"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 "links": "https://en.wikipedia.org/wiki/Flags_of_New_Caledonia"},</v>
      </c>
      <c r="HN2" s="74" t="str">
        <f t="shared" ref="HN2:HN5"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{"couname":"New Caledonia","year":"2010 ","region":"rgn_Oceania","Colors":["cl_BLA","cl_BLU","cl_GRE","cl_RED","cl_YEL","cl_BRO","cl_WHI"],"Items":["5+Colo","words2","exact2","lets12","startN","with_w","year00","allhor","largec","3Bands","Horizo","Circle","Weapon","HasSun","myrWHI","NoStar"],"Flag":"https://i.ibb.co/8BYXc8r/New-Caledonia-Flag.png","HDFlag":"https://upload.wikimedia.org/wikipedia/commons/thumb/6/66/Flag_of_FLNKS.svg/2560px-Flag_of_FLNKS.svg.png","type":"", "describe": "\nIn July 2010, the Congress of New Caledonia voted in favour of a wish to fly the Kanak flag of the independence movement FLNKS alongside the French Tricolour. \n\nThe blue symbolizes both the sky and more importantly the ocean surrounding New Caledonia. The red symbolizes the blood shed by the Kanaks in their struggle for independence, socialism, and unity. The green symbolizes the land itself and by extension the ancestors buried within it. The yellow disc is a representation of the sun and the symbol upon it consists of a flèche faitière, a kind of arrow that adorns the roofs of Kanak houses thrust through tutut shells.", "isnew": ".", "links": "https://en.wikipedia.org/wiki/Flags_of_New_Caledonia"},</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0">SUM(IC2:IK2)</f>
        <v>0</v>
      </c>
      <c r="IM2" s="45">
        <f t="shared" ref="IM2:IM5" si="91">COUNTIF(IC2:IK2,"&gt;0")-CG2</f>
        <v>-7</v>
      </c>
      <c r="IN2" s="78" t="str">
        <f t="shared" ref="IN2:IN5" si="92">"http://mkweb.bcgsc.ca/color-summarizer/?url="&amp;D2&amp;"&amp;precision=low&amp;num_clusters="&amp;CG2&amp;"&amp;text=1"</f>
        <v>http://mkweb.bcgsc.ca/color-summarizer/?url=https://i.ibb.co/8BYXc8r/New-Caledonia-Flag.png&amp;precision=low&amp;num_clusters=7&amp;text=1</v>
      </c>
      <c r="IO2" s="48" t="str">
        <f t="shared" ref="IO2:IO5" si="93">IF(HP2&lt;&gt;"",CHAR(34)&amp;"black"&amp;CHAR(34),"")</f>
        <v>"black"</v>
      </c>
      <c r="IP2" s="48" t="str">
        <f t="shared" ref="IP2:IP5" si="94">IF(HQ2&lt;&gt;"",CHAR(34)&amp;"blue"&amp;CHAR(34),"")</f>
        <v>"blue"</v>
      </c>
      <c r="IQ2" s="48" t="str">
        <f t="shared" ref="IQ2:IQ5" si="95">IF(HR2&lt;&gt;"",CHAR(34)&amp;"green"&amp;CHAR(34),"")</f>
        <v>"green"</v>
      </c>
      <c r="IR2" s="48" t="str">
        <f t="shared" ref="IR2:IR5" si="96">IF(HS2&lt;&gt;"",CHAR(34)&amp;"red"&amp;CHAR(34),"")</f>
        <v>"red"</v>
      </c>
      <c r="IS2" s="48" t="str">
        <f t="shared" ref="IS2:IS5" si="97">IF(HT2&lt;&gt;"",CHAR(34)&amp;"yellow"&amp;CHAR(34),"")</f>
        <v>"yellow"</v>
      </c>
      <c r="IT2" s="48" t="str">
        <f t="shared" ref="IT2:IT5" si="98">IF(HU2&lt;&gt;"",CHAR(34)&amp;"orange"&amp;CHAR(34),"")</f>
        <v/>
      </c>
      <c r="IU2" s="48" t="str">
        <f t="shared" ref="IU2:IU5" si="99">IF(HV2&lt;&gt;"",CHAR(34)&amp;"brown"&amp;CHAR(34),"")</f>
        <v>"brown"</v>
      </c>
      <c r="IV2" s="48" t="str">
        <f t="shared" ref="IV2:IV5" si="100">IF(HW2&lt;&gt;"",CHAR(34)&amp;"purple"&amp;CHAR(34),"")</f>
        <v/>
      </c>
      <c r="IW2" s="48" t="str">
        <f t="shared" ref="IW2:IW5" si="101">IF(HX2&lt;&gt;"",CHAR(34)&amp;"white"&amp;CHAR(34),"")</f>
        <v>"white"</v>
      </c>
      <c r="IX2" s="48" t="str">
        <f t="shared" ref="IX2:IX5" si="102">"{"&amp;CHAR(34)&amp;"url"&amp;CHAR(34)&amp;":"&amp;CHAR(34)&amp;IN2&amp;CHAR(34)&amp;","&amp;CHAR(34)&amp;"name"&amp;CHAR(34)&amp;":"&amp;CHAR(34)&amp;A2&amp;CHAR(34)&amp;"},"</f>
        <v>{"url":"http://mkweb.bcgsc.ca/color-summarizer/?url=https://i.ibb.co/8BYXc8r/New-Caledonia-Flag.png&amp;precision=low&amp;num_clusters=7&amp;text=1","name":"New Caledonia"},</v>
      </c>
      <c r="IY2" s="48">
        <v>946</v>
      </c>
    </row>
    <row r="3" spans="1:259" s="48" customFormat="1" ht="38.4" customHeight="1" thickBot="1" x14ac:dyDescent="0.35">
      <c r="A3" s="79" t="s">
        <v>462</v>
      </c>
      <c r="B3" s="40" t="e" vm="65">
        <v>#VALUE!</v>
      </c>
      <c r="C3" s="41">
        <v>2</v>
      </c>
      <c r="D3" s="42" t="s">
        <v>463</v>
      </c>
      <c r="E3" s="43" t="s">
        <v>464</v>
      </c>
      <c r="F3" s="44" t="s">
        <v>166</v>
      </c>
      <c r="G3" s="45">
        <f>COUNTIF($A$1:$A$8342,A3)</f>
        <v>1</v>
      </c>
      <c r="H3" s="46"/>
      <c r="I3" s="47" t="s">
        <v>465</v>
      </c>
      <c r="J3" s="48" t="str">
        <f>""</f>
        <v/>
      </c>
      <c r="K3" s="49"/>
      <c r="L3" s="50"/>
      <c r="M3" s="50"/>
      <c r="N3" s="51" t="s">
        <v>169</v>
      </c>
      <c r="O3" s="52" t="s">
        <v>355</v>
      </c>
      <c r="P3" s="53" t="s">
        <v>466</v>
      </c>
      <c r="Q3" s="54">
        <v>3</v>
      </c>
      <c r="R3" s="55" t="s">
        <v>169</v>
      </c>
      <c r="S3" s="56">
        <v>0</v>
      </c>
      <c r="T3" s="57" t="s">
        <v>173</v>
      </c>
      <c r="U3" s="58" t="s">
        <v>173</v>
      </c>
      <c r="V3" s="58" t="s">
        <v>173</v>
      </c>
      <c r="W3" s="58" t="s">
        <v>173</v>
      </c>
      <c r="X3" s="58" t="s">
        <v>172</v>
      </c>
      <c r="Y3" s="58" t="s">
        <v>173</v>
      </c>
      <c r="Z3" s="58" t="s">
        <v>173</v>
      </c>
      <c r="AA3" s="58" t="s">
        <v>173</v>
      </c>
      <c r="AB3" s="58" t="s">
        <v>173</v>
      </c>
      <c r="AC3" s="58" t="s">
        <v>173</v>
      </c>
      <c r="AD3" s="58" t="s">
        <v>173</v>
      </c>
      <c r="AE3" s="58" t="s">
        <v>173</v>
      </c>
      <c r="AF3" s="59" t="s">
        <v>173</v>
      </c>
      <c r="AG3" s="59" t="s">
        <v>172</v>
      </c>
      <c r="AH3" s="59" t="s">
        <v>172</v>
      </c>
      <c r="AI3" s="59" t="s">
        <v>173</v>
      </c>
      <c r="AJ3" s="59" t="s">
        <v>173</v>
      </c>
      <c r="AK3" s="59" t="s">
        <v>173</v>
      </c>
      <c r="AL3" s="59" t="s">
        <v>173</v>
      </c>
      <c r="AM3" s="59" t="s">
        <v>172</v>
      </c>
      <c r="AN3" s="59" t="s">
        <v>173</v>
      </c>
      <c r="AO3" s="59" t="s">
        <v>173</v>
      </c>
      <c r="AP3" s="59" t="s">
        <v>173</v>
      </c>
      <c r="AQ3" s="59" t="s">
        <v>173</v>
      </c>
      <c r="AR3" s="59" t="s">
        <v>173</v>
      </c>
      <c r="AS3" s="59" t="s">
        <v>173</v>
      </c>
      <c r="AT3" s="60">
        <v>0</v>
      </c>
      <c r="AU3" s="59" t="s">
        <v>467</v>
      </c>
      <c r="AV3" s="59" t="str">
        <f>IF(LEFT(A3,1)="[",LEFT(A3,5)&amp;AU3&amp;A3,"")</f>
        <v>[NCL]Province[NCL] Loyalty Islands Province</v>
      </c>
      <c r="AW3" s="59" t="str">
        <f>C3&amp;H3&amp;A3</f>
        <v>2[NCL] Loyalty Islands Province</v>
      </c>
      <c r="AX3" s="61"/>
      <c r="AY3" s="61"/>
      <c r="AZ3" s="62" t="s">
        <v>155</v>
      </c>
      <c r="BA3" s="62" t="s">
        <v>192</v>
      </c>
      <c r="BB3" s="62"/>
      <c r="BC3" s="63"/>
      <c r="BD3" s="64" t="s">
        <v>152</v>
      </c>
      <c r="BE3" s="47"/>
      <c r="BF3" s="64" t="s">
        <v>152</v>
      </c>
      <c r="BG3" s="64" t="s">
        <v>159</v>
      </c>
      <c r="BH3" s="64" t="s">
        <v>152</v>
      </c>
      <c r="BI3" s="64"/>
      <c r="BJ3" s="64"/>
      <c r="BK3" s="47"/>
      <c r="BL3" s="64" t="s">
        <v>192</v>
      </c>
      <c r="BM3" s="64" t="s">
        <v>152</v>
      </c>
      <c r="BN3" s="64" t="s">
        <v>153</v>
      </c>
      <c r="BO3" s="64" t="s">
        <v>192</v>
      </c>
      <c r="BP3" s="64" t="s">
        <v>155</v>
      </c>
      <c r="BQ3" s="64" t="s">
        <v>192</v>
      </c>
      <c r="BR3" s="64" t="s">
        <v>192</v>
      </c>
      <c r="BS3" s="64" t="s">
        <v>192</v>
      </c>
      <c r="BT3" s="64" t="s">
        <v>159</v>
      </c>
      <c r="BU3" s="65"/>
      <c r="BV3" s="66"/>
      <c r="BW3" s="66">
        <v>0</v>
      </c>
      <c r="BX3" s="47"/>
      <c r="BY3" s="48" t="s">
        <v>173</v>
      </c>
      <c r="CB3" s="6"/>
      <c r="CC3" s="6"/>
      <c r="CD3" s="67">
        <v>0</v>
      </c>
      <c r="CE3" s="67">
        <v>0</v>
      </c>
      <c r="CF3" s="67" t="e">
        <v>#REF!</v>
      </c>
      <c r="CG3" s="68" cm="1">
        <f t="array" ref="CG3">SUMPRODUCT(--(LEN(TRIM(BL3:BT3))&gt;0))</f>
        <v>4</v>
      </c>
      <c r="CH3" s="59" t="str">
        <f t="shared" si="0"/>
        <v>n</v>
      </c>
      <c r="CI3" s="59" t="str">
        <f t="shared" si="1"/>
        <v>n</v>
      </c>
      <c r="CJ3" s="59" t="str">
        <f t="shared" si="2"/>
        <v>y</v>
      </c>
      <c r="CK3" s="59" t="str">
        <f t="shared" si="3"/>
        <v>n</v>
      </c>
      <c r="CL3" s="59" t="str">
        <f t="shared" si="4"/>
        <v>y</v>
      </c>
      <c r="CM3" s="59" t="str">
        <f t="shared" si="5"/>
        <v>n</v>
      </c>
      <c r="CN3" s="59" t="str">
        <f t="shared" si="6"/>
        <v>n</v>
      </c>
      <c r="CO3" s="59" t="str">
        <f t="shared" si="7"/>
        <v>n</v>
      </c>
      <c r="CP3" s="59" t="str">
        <f t="shared" si="8"/>
        <v>y</v>
      </c>
      <c r="CQ3" s="59" t="str">
        <f t="shared" si="9"/>
        <v>n</v>
      </c>
      <c r="CR3" s="59" t="str">
        <f t="shared" si="10"/>
        <v>n</v>
      </c>
      <c r="CS3" s="59" t="str">
        <f t="shared" si="11"/>
        <v>n</v>
      </c>
      <c r="CT3" s="69" t="str">
        <f t="shared" si="12"/>
        <v>"[NCL] Loyalty Islands Province"</v>
      </c>
      <c r="CU3" s="70" t="str">
        <f t="shared" si="13"/>
        <v>"rgn_Oceania"</v>
      </c>
      <c r="CV3" s="48" t="str">
        <f t="shared" si="14"/>
        <v>"https://upload.wikimedia.org/wikipedia/commons/thumb/8/87/Iles-Loyaut%C3%A9_drapeau.svg/640px-Iles-Loyaut%C3%A9_drapeau.svg.png"</v>
      </c>
      <c r="CW3" s="48" t="str">
        <f t="shared" si="15"/>
        <v/>
      </c>
      <c r="CX3" s="48" t="str">
        <f t="shared" si="15"/>
        <v/>
      </c>
      <c r="CY3" s="48" t="str">
        <f t="shared" si="15"/>
        <v>"4Color",</v>
      </c>
      <c r="CZ3" s="48" t="str">
        <f t="shared" si="15"/>
        <v/>
      </c>
      <c r="DA3" s="48" t="str">
        <f t="shared" si="16"/>
        <v>"words2",</v>
      </c>
      <c r="DB3" s="48" t="str">
        <f t="shared" si="17"/>
        <v>"words3",</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"lets22",</v>
      </c>
      <c r="DE3" s="48" t="str">
        <f>CHAR(34)&amp;"start"&amp;IFERROR(LEFT(SUBSTITUTE(A3,"["&amp;MID(A3,FIND("[",A3)+1,FIND("]",A3)-FIND("[",A3)-1)&amp;"] ",""),1),LEFT(A3,1))&amp;CHAR(34)&amp;","</f>
        <v>"startL",</v>
      </c>
      <c r="DF3" s="48" t="str">
        <f t="shared" si="21"/>
        <v/>
      </c>
      <c r="DG3" s="48" t="str">
        <f t="shared" si="22"/>
        <v/>
      </c>
      <c r="DH3" s="48" t="str">
        <f t="shared" si="23"/>
        <v>"with_v",</v>
      </c>
      <c r="DI3" s="48" t="str">
        <f t="shared" si="24"/>
        <v/>
      </c>
      <c r="DJ3" s="48" t="str">
        <f t="shared" si="25"/>
        <v>"with_y",</v>
      </c>
      <c r="DK3" s="48" t="str">
        <f t="shared" si="26"/>
        <v/>
      </c>
      <c r="DL3" s="48" t="str">
        <f t="shared" si="27"/>
        <v/>
      </c>
      <c r="DM3" s="48" t="str" cm="1">
        <f t="array" ref="DM3">IF(CG3=3,CHAR(34) &amp; _xlfn.TEXTJOIN("", TRUE, RIGHT(HP3:HX3, 2)) &amp; CHAR(34) &amp; ",", "")</f>
        <v/>
      </c>
      <c r="DN3" s="48" t="str">
        <f t="shared" si="28"/>
        <v/>
      </c>
      <c r="DO3" s="48" t="str">
        <f t="shared" si="29"/>
        <v/>
      </c>
      <c r="DP3" s="6" t="str">
        <f t="shared" si="30"/>
        <v/>
      </c>
      <c r="DQ3" s="6" t="str">
        <f t="shared" si="31"/>
        <v/>
      </c>
      <c r="DR3" s="6" t="str">
        <f t="shared" si="32"/>
        <v/>
      </c>
      <c r="DS3" s="6" t="str">
        <f t="shared" si="33"/>
        <v/>
      </c>
      <c r="DT3" s="6" t="str">
        <f t="shared" si="34"/>
        <v/>
      </c>
      <c r="DU3" s="6" t="str">
        <f t="shared" si="35"/>
        <v/>
      </c>
      <c r="DW3" s="48" t="str">
        <f t="shared" si="37"/>
        <v>"NoBand",</v>
      </c>
      <c r="DX3" s="48" t="str">
        <f t="shared" si="37"/>
        <v/>
      </c>
      <c r="DY3" s="48" t="str">
        <f t="shared" si="37"/>
        <v/>
      </c>
      <c r="DZ3" s="48" t="str">
        <f t="shared" si="37"/>
        <v/>
      </c>
      <c r="EA3" s="48" t="str">
        <f t="shared" si="38"/>
        <v/>
      </c>
      <c r="EB3" s="48" t="str">
        <f t="shared" si="38"/>
        <v/>
      </c>
      <c r="EC3" s="48" t="str">
        <f t="shared" si="38"/>
        <v/>
      </c>
      <c r="ED3" s="48" t="str">
        <f t="shared" si="38"/>
        <v/>
      </c>
      <c r="EE3" s="48" t="str">
        <f t="shared" si="38"/>
        <v>"Circle",</v>
      </c>
      <c r="EF3" s="48" t="str">
        <f t="shared" si="39"/>
        <v/>
      </c>
      <c r="EG3" s="48" t="str">
        <f t="shared" si="40"/>
        <v/>
      </c>
      <c r="EH3" s="48" t="str">
        <f t="shared" si="40"/>
        <v/>
      </c>
      <c r="EI3" s="48" t="str">
        <f t="shared" si="40"/>
        <v/>
      </c>
      <c r="EJ3" s="48" t="str">
        <f t="shared" si="40"/>
        <v/>
      </c>
      <c r="EK3" s="48" t="str">
        <f t="shared" si="40"/>
        <v/>
      </c>
      <c r="EL3" s="48" t="str">
        <f t="shared" si="40"/>
        <v/>
      </c>
      <c r="EM3" s="48" t="str">
        <f t="shared" si="40"/>
        <v/>
      </c>
      <c r="EN3" s="48" t="str">
        <f t="shared" si="40"/>
        <v>"Unequa",</v>
      </c>
      <c r="EO3" s="48" t="str">
        <f t="shared" si="40"/>
        <v>"Center",</v>
      </c>
      <c r="EP3" s="48" t="str">
        <f t="shared" si="40"/>
        <v/>
      </c>
      <c r="EQ3" s="48" t="str">
        <f t="shared" si="40"/>
        <v/>
      </c>
      <c r="ER3" s="48" t="str">
        <f t="shared" si="40"/>
        <v/>
      </c>
      <c r="ES3" s="48" t="str">
        <f t="shared" si="40"/>
        <v/>
      </c>
      <c r="ET3" s="48" t="str">
        <f t="shared" si="40"/>
        <v>"Geogrh",</v>
      </c>
      <c r="EU3" s="48" t="str">
        <f t="shared" si="40"/>
        <v/>
      </c>
      <c r="EV3" s="48" t="str">
        <f t="shared" si="40"/>
        <v/>
      </c>
      <c r="EW3" s="48" t="str">
        <f t="shared" si="40"/>
        <v/>
      </c>
      <c r="EX3" s="48" t="str">
        <f t="shared" si="40"/>
        <v/>
      </c>
      <c r="EY3" s="48" t="str">
        <f t="shared" si="40"/>
        <v/>
      </c>
      <c r="EZ3" s="48" t="str">
        <f t="shared" si="40"/>
        <v/>
      </c>
      <c r="FA3" s="48" t="str">
        <f t="shared" si="41"/>
        <v/>
      </c>
      <c r="FB3" s="48" t="str">
        <f t="shared" si="42"/>
        <v/>
      </c>
      <c r="FD3" s="48" t="str">
        <f t="shared" si="44"/>
        <v/>
      </c>
      <c r="FE3" s="48" t="str">
        <f t="shared" si="45"/>
        <v/>
      </c>
      <c r="FF3" s="48" t="str">
        <f t="shared" si="46"/>
        <v/>
      </c>
      <c r="FG3" s="48" t="str">
        <f t="shared" si="47"/>
        <v>"NO_RED",</v>
      </c>
      <c r="FH3" s="48" t="str">
        <f t="shared" si="48"/>
        <v/>
      </c>
      <c r="FI3" s="48" t="str">
        <f t="shared" si="49"/>
        <v/>
      </c>
      <c r="FJ3" s="48" t="str">
        <f t="shared" si="50"/>
        <v>"NO_BLA",</v>
      </c>
      <c r="FK3" s="48" t="str">
        <f t="shared" si="51"/>
        <v/>
      </c>
      <c r="FL3" s="48" t="str">
        <f t="shared" si="52"/>
        <v/>
      </c>
      <c r="FM3" s="48" t="str">
        <f t="shared" si="53"/>
        <v/>
      </c>
      <c r="FN3" s="48" t="str">
        <f t="shared" si="54"/>
        <v/>
      </c>
      <c r="FO3" s="48" t="str">
        <f t="shared" si="55"/>
        <v/>
      </c>
      <c r="FP3" s="48" t="str">
        <f t="shared" si="56"/>
        <v/>
      </c>
      <c r="FQ3" s="48" t="str">
        <f t="shared" si="57"/>
        <v>"001BLU",</v>
      </c>
      <c r="FR3" s="48" t="str">
        <f t="shared" si="58"/>
        <v>"002WHI",</v>
      </c>
      <c r="FS3" s="48" t="str">
        <f t="shared" si="59"/>
        <v>"003BLU",</v>
      </c>
      <c r="FT3" s="48" t="str">
        <f t="shared" si="60"/>
        <v>"myrBLU",</v>
      </c>
      <c r="FU3" s="48" t="str">
        <f t="shared" si="61"/>
        <v/>
      </c>
      <c r="FV3" s="48" t="str">
        <f t="shared" si="62"/>
        <v/>
      </c>
      <c r="FW3" s="48" t="str">
        <f t="shared" si="63"/>
        <v/>
      </c>
      <c r="FY3" s="48" t="str">
        <f t="shared" si="65"/>
        <v/>
      </c>
      <c r="FZ3" s="48" t="str">
        <f t="shared" si="66"/>
        <v/>
      </c>
      <c r="GA3" s="48" t="str">
        <f t="shared" si="67"/>
        <v/>
      </c>
      <c r="GB3" s="48" t="str">
        <f t="shared" si="68"/>
        <v/>
      </c>
      <c r="GE3" s="48" t="str">
        <f t="shared" si="71"/>
        <v/>
      </c>
      <c r="GF3" s="48" t="str">
        <f>IFERROR(IF(SEARCH("Historical",AU3)&gt;0,CHAR(34)&amp;"histor"&amp;CHAR(34)&amp;",",""),"")</f>
        <v/>
      </c>
      <c r="GG3" s="48" t="str">
        <f t="shared" si="72"/>
        <v/>
      </c>
      <c r="GH3" s="48" t="str">
        <f t="shared" si="73"/>
        <v/>
      </c>
      <c r="GI3" s="48" t="str">
        <f t="shared" si="74"/>
        <v/>
      </c>
      <c r="GJ3" s="48" t="str">
        <f t="shared" si="75"/>
        <v>"NoStar",</v>
      </c>
      <c r="GK3" s="48" t="str">
        <f t="shared" si="76"/>
        <v/>
      </c>
      <c r="GL3" s="48" t="str">
        <f t="shared" si="77"/>
        <v/>
      </c>
      <c r="GM3" s="48" t="str">
        <f t="shared" si="77"/>
        <v/>
      </c>
      <c r="GN3" s="48" t="str">
        <f t="shared" si="77"/>
        <v/>
      </c>
      <c r="GP3" s="48" t="str">
        <f t="shared" si="78"/>
        <v>"Province"</v>
      </c>
      <c r="GS3" s="48" t="str">
        <f t="shared" si="79"/>
        <v>["4Color","words2","words3","lets22","startL","with_v","with_y","NoBand","Circle","Unequa","Center","Geogrh","NO_RED","NO_BLA","001BLU","002WHI","003BLU","myrBLU","NoStar"]</v>
      </c>
      <c r="GT3" s="48" t="str">
        <f t="shared" si="80"/>
        <v/>
      </c>
      <c r="GU3" s="48" t="str">
        <f t="shared" si="80"/>
        <v>"cl_BLU",</v>
      </c>
      <c r="GV3" s="48" t="str">
        <f t="shared" si="80"/>
        <v>"cl_GRE",</v>
      </c>
      <c r="GW3" s="48" t="str">
        <f t="shared" si="80"/>
        <v/>
      </c>
      <c r="GX3" s="48" t="str">
        <f t="shared" si="80"/>
        <v>"cl_YEL",</v>
      </c>
      <c r="GY3" s="48" t="str">
        <f t="shared" si="80"/>
        <v/>
      </c>
      <c r="GZ3" s="48" t="str">
        <f t="shared" si="80"/>
        <v/>
      </c>
      <c r="HA3" s="48" t="str">
        <f t="shared" si="80"/>
        <v/>
      </c>
      <c r="HB3" s="48" t="str">
        <f t="shared" si="80"/>
        <v>"cl_WHI",</v>
      </c>
      <c r="HC3" s="48" t="str">
        <f t="shared" si="81"/>
        <v>["cl_BLU","cl_GRE","cl_YEL","cl_WHI"]</v>
      </c>
      <c r="HE3" s="71"/>
      <c r="HF3" s="72" t="str">
        <f t="shared" si="82"/>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links: "https://en.m.wikipedia.org/wiki/Flags_of_New_Caledonia"},</v>
      </c>
      <c r="HG3" s="73" t="str">
        <f t="shared" si="83"/>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links: "https://en.m.wikipedia.org/wiki/Flags_of_New_Caledonia"},</v>
      </c>
      <c r="HH3" s="48" t="str">
        <f t="shared" si="84"/>
        <v>"\nA yellow disc on a white field defaced with a black flèche faîtière."</v>
      </c>
      <c r="HI3" s="48" t="str">
        <f t="shared" si="85"/>
        <v>"\nA yellow disc on a white field defaced with a black flèche faîtière."</v>
      </c>
      <c r="HJ3" s="48" t="str">
        <f t="shared" si="86"/>
        <v>"???"</v>
      </c>
      <c r="HL3" s="48" t="str">
        <f t="shared" si="87"/>
        <v>"https://en.m.wikipedia.org/wiki/Flags_of_New_Caledonia"</v>
      </c>
      <c r="HM3" s="72" t="str">
        <f t="shared" si="88"/>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 "links": "https://en.m.wikipedia.org/wiki/Flags_of_New_Caledonia"},</v>
      </c>
      <c r="HN3" s="74" t="str">
        <f t="shared" si="89"/>
        <v>{"couname":"[NCL] Loyalty Islands Province","year":"???","region":"rgn_Oceania","Colors":["cl_BLU","cl_GRE","cl_YEL","cl_WHI"],"Items":["4Color","words2","words3","lets22","startL","with_v","with_y","NoBand","Circle","Unequa","Center","Geogrh","NO_RED","NO_BLA","001BLU","002WHI","003BLU","myrBLU","NoStar"],"Flag":"https://upload.wikimedia.org/wikipedia/commons/thumb/8/87/Iles-Loyaut%C3%A9_drapeau.svg/640px-Iles-Loyaut%C3%A9_drapeau.svg.png","HDFlag":"https://upload.wikimedia.org/wikipedia/commons/thumb/8/87/Iles-Loyaut%C3%A9_drapeau.svg/1280px-Iles-Loyaut%C3%A9_drapeau.svg.png","type":"Province", "describe": "\nA yellow disc on a white field defaced with a black flèche faîtière.", "isnew": ".", "links": "https://en.m.wikipedia.org/wiki/Flags_of_New_Caledonia"},</v>
      </c>
      <c r="HO3" s="75">
        <v>45610</v>
      </c>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si="91"/>
        <v>-4</v>
      </c>
      <c r="IN3" s="78" t="str">
        <f t="shared" si="92"/>
        <v>http://mkweb.bcgsc.ca/color-summarizer/?url=https://upload.wikimedia.org/wikipedia/commons/thumb/8/87/Iles-Loyaut%C3%A9_drapeau.svg/640px-Iles-Loyaut%C3%A9_drapeau.svg.png&amp;precision=low&amp;num_clusters=4&amp;text=1</v>
      </c>
      <c r="IO3" s="48" t="str">
        <f t="shared" si="93"/>
        <v/>
      </c>
      <c r="IP3" s="48" t="str">
        <f t="shared" si="94"/>
        <v>"blue"</v>
      </c>
      <c r="IQ3" s="48" t="str">
        <f t="shared" si="95"/>
        <v>"green"</v>
      </c>
      <c r="IR3" s="48" t="str">
        <f t="shared" si="96"/>
        <v/>
      </c>
      <c r="IS3" s="48" t="str">
        <f t="shared" si="97"/>
        <v>"yellow"</v>
      </c>
      <c r="IT3" s="48" t="str">
        <f t="shared" si="98"/>
        <v/>
      </c>
      <c r="IU3" s="48" t="str">
        <f t="shared" si="99"/>
        <v/>
      </c>
      <c r="IV3" s="48" t="str">
        <f t="shared" si="100"/>
        <v/>
      </c>
      <c r="IW3" s="48" t="str">
        <f t="shared" si="101"/>
        <v>"white"</v>
      </c>
      <c r="IX3" s="48" t="str">
        <f t="shared" si="102"/>
        <v>{"url":"http://mkweb.bcgsc.ca/color-summarizer/?url=https://upload.wikimedia.org/wikipedia/commons/thumb/8/87/Iles-Loyaut%C3%A9_drapeau.svg/640px-Iles-Loyaut%C3%A9_drapeau.svg.png&amp;precision=low&amp;num_clusters=4&amp;text=1","name":"[NCL] Loyalty Islands Province"},</v>
      </c>
      <c r="IY3" s="48">
        <v>1237</v>
      </c>
    </row>
    <row r="4" spans="1:259" s="48" customFormat="1" ht="38.4" customHeight="1" thickBot="1" x14ac:dyDescent="0.35">
      <c r="A4" s="79" t="s">
        <v>468</v>
      </c>
      <c r="B4" s="40" t="e" vm="66">
        <v>#VALUE!</v>
      </c>
      <c r="C4" s="41">
        <v>2</v>
      </c>
      <c r="D4" s="42" t="s">
        <v>469</v>
      </c>
      <c r="E4" s="43" t="s">
        <v>470</v>
      </c>
      <c r="F4" s="44" t="s">
        <v>166</v>
      </c>
      <c r="G4" s="45">
        <f>COUNTIF($A$1:$A$8342,A4)</f>
        <v>1</v>
      </c>
      <c r="H4" s="46"/>
      <c r="I4" s="47" t="s">
        <v>471</v>
      </c>
      <c r="J4" s="48" t="str">
        <f>""</f>
        <v/>
      </c>
      <c r="K4" s="49"/>
      <c r="L4" s="50"/>
      <c r="M4" s="50"/>
      <c r="N4" s="51" t="s">
        <v>169</v>
      </c>
      <c r="O4" s="52" t="s">
        <v>355</v>
      </c>
      <c r="P4" s="53" t="s">
        <v>472</v>
      </c>
      <c r="Q4" s="54">
        <v>2</v>
      </c>
      <c r="R4" s="55" t="s">
        <v>169</v>
      </c>
      <c r="S4" s="56">
        <v>0</v>
      </c>
      <c r="T4" s="57" t="s">
        <v>173</v>
      </c>
      <c r="U4" s="58" t="s">
        <v>173</v>
      </c>
      <c r="V4" s="58" t="s">
        <v>173</v>
      </c>
      <c r="W4" s="58" t="s">
        <v>173</v>
      </c>
      <c r="X4" s="58" t="s">
        <v>172</v>
      </c>
      <c r="Y4" s="58" t="s">
        <v>173</v>
      </c>
      <c r="Z4" s="58" t="s">
        <v>173</v>
      </c>
      <c r="AA4" s="58" t="s">
        <v>173</v>
      </c>
      <c r="AB4" s="58" t="s">
        <v>173</v>
      </c>
      <c r="AC4" s="58" t="s">
        <v>173</v>
      </c>
      <c r="AD4" s="58" t="s">
        <v>173</v>
      </c>
      <c r="AE4" s="58" t="s">
        <v>173</v>
      </c>
      <c r="AF4" s="59" t="s">
        <v>173</v>
      </c>
      <c r="AG4" s="59" t="s">
        <v>172</v>
      </c>
      <c r="AH4" s="59" t="s">
        <v>172</v>
      </c>
      <c r="AI4" s="59" t="s">
        <v>173</v>
      </c>
      <c r="AJ4" s="59" t="s">
        <v>173</v>
      </c>
      <c r="AK4" s="59" t="s">
        <v>173</v>
      </c>
      <c r="AL4" s="59" t="s">
        <v>173</v>
      </c>
      <c r="AM4" s="59" t="s">
        <v>172</v>
      </c>
      <c r="AN4" s="59" t="s">
        <v>173</v>
      </c>
      <c r="AO4" s="59" t="s">
        <v>173</v>
      </c>
      <c r="AP4" s="59" t="s">
        <v>173</v>
      </c>
      <c r="AQ4" s="59" t="s">
        <v>173</v>
      </c>
      <c r="AR4" s="59" t="s">
        <v>173</v>
      </c>
      <c r="AS4" s="59" t="s">
        <v>173</v>
      </c>
      <c r="AT4" s="60">
        <v>0</v>
      </c>
      <c r="AU4" s="59" t="s">
        <v>467</v>
      </c>
      <c r="AV4" s="59" t="str">
        <f>IF(LEFT(A4,1)="[",LEFT(A4,5)&amp;AU4&amp;A4,"")</f>
        <v>[NCL]Province[NCL] North Province</v>
      </c>
      <c r="AW4" s="59" t="str">
        <f>C4&amp;H4&amp;A4</f>
        <v>2[NCL] North Province</v>
      </c>
      <c r="AX4" s="61"/>
      <c r="AY4" s="61"/>
      <c r="AZ4" s="62" t="s">
        <v>192</v>
      </c>
      <c r="BA4" s="62" t="s">
        <v>192</v>
      </c>
      <c r="BB4" s="62"/>
      <c r="BC4" s="63"/>
      <c r="BD4" s="64" t="s">
        <v>152</v>
      </c>
      <c r="BE4" s="47"/>
      <c r="BF4" s="64" t="s">
        <v>152</v>
      </c>
      <c r="BG4" s="64" t="s">
        <v>159</v>
      </c>
      <c r="BH4" s="64" t="s">
        <v>152</v>
      </c>
      <c r="BI4" s="64"/>
      <c r="BJ4" s="64"/>
      <c r="BK4" s="47"/>
      <c r="BL4" s="64" t="s">
        <v>151</v>
      </c>
      <c r="BM4" s="64" t="s">
        <v>152</v>
      </c>
      <c r="BN4" s="64" t="s">
        <v>153</v>
      </c>
      <c r="BO4" s="64" t="s">
        <v>154</v>
      </c>
      <c r="BP4" s="64" t="s">
        <v>155</v>
      </c>
      <c r="BQ4" s="64" t="s">
        <v>156</v>
      </c>
      <c r="BR4" s="64" t="s">
        <v>157</v>
      </c>
      <c r="BS4" s="64" t="s">
        <v>192</v>
      </c>
      <c r="BT4" s="64" t="s">
        <v>159</v>
      </c>
      <c r="BU4" s="65"/>
      <c r="BV4" s="66"/>
      <c r="BW4" s="66">
        <v>0</v>
      </c>
      <c r="BX4" s="47"/>
      <c r="CB4" s="6"/>
      <c r="CC4" s="6"/>
      <c r="CD4" s="67">
        <v>0</v>
      </c>
      <c r="CE4" s="67">
        <v>0</v>
      </c>
      <c r="CF4" s="67" t="e">
        <v>#REF!</v>
      </c>
      <c r="CG4" s="68" cm="1">
        <f t="array" ref="CG4">SUMPRODUCT(--(LEN(TRIM(BL4:BT4))&gt;0))</f>
        <v>8</v>
      </c>
      <c r="CH4" s="59" t="str">
        <f t="shared" si="0"/>
        <v>n</v>
      </c>
      <c r="CI4" s="59" t="str">
        <f t="shared" si="1"/>
        <v>n</v>
      </c>
      <c r="CJ4" s="59" t="str">
        <f t="shared" si="2"/>
        <v>n</v>
      </c>
      <c r="CK4" s="59" t="str">
        <f t="shared" si="3"/>
        <v>y</v>
      </c>
      <c r="CL4" s="59" t="str">
        <f t="shared" si="4"/>
        <v>y</v>
      </c>
      <c r="CM4" s="59" t="str">
        <f t="shared" si="5"/>
        <v>n</v>
      </c>
      <c r="CN4" s="59" t="str">
        <f t="shared" si="6"/>
        <v>n</v>
      </c>
      <c r="CO4" s="59" t="str">
        <f t="shared" si="7"/>
        <v>n</v>
      </c>
      <c r="CP4" s="59" t="str">
        <f t="shared" si="8"/>
        <v>y</v>
      </c>
      <c r="CQ4" s="59" t="str">
        <f t="shared" si="9"/>
        <v>n</v>
      </c>
      <c r="CR4" s="59" t="str">
        <f t="shared" si="10"/>
        <v>n</v>
      </c>
      <c r="CS4" s="59" t="str">
        <f t="shared" si="11"/>
        <v>n</v>
      </c>
      <c r="CT4" s="69" t="str">
        <f t="shared" si="12"/>
        <v>"[NCL] North Province"</v>
      </c>
      <c r="CU4" s="70" t="str">
        <f t="shared" si="13"/>
        <v>"rgn_Oceania"</v>
      </c>
      <c r="CV4" s="48" t="str">
        <f t="shared" si="14"/>
        <v>"https://upload.wikimedia.org/wikipedia/commons/thumb/4/42/Drapeau_Province_Nord_Nouvelle_Cal%C3%A9donie.svg/640px-Drapeau_Province_Nord_Nouvelle_Cal%C3%A9donie.svg.png"</v>
      </c>
      <c r="CW4" s="48" t="str">
        <f t="shared" si="15"/>
        <v/>
      </c>
      <c r="CX4" s="48" t="str">
        <f t="shared" si="15"/>
        <v/>
      </c>
      <c r="CY4" s="48" t="str">
        <f t="shared" si="15"/>
        <v/>
      </c>
      <c r="CZ4" s="48" t="str">
        <f t="shared" si="15"/>
        <v>"5+Colo",</v>
      </c>
      <c r="DA4" s="48" t="str">
        <f t="shared" si="16"/>
        <v>"words2",</v>
      </c>
      <c r="DB4" s="48" t="str">
        <f t="shared" si="17"/>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"lets13",</v>
      </c>
      <c r="DE4" s="48" t="str">
        <f>CHAR(34)&amp;"start"&amp;IFERROR(LEFT(SUBSTITUTE(A4,"["&amp;MID(A4,FIND("[",A4)+1,FIND("]",A4)-FIND("[",A4)-1)&amp;"] ",""),1),LEFT(A4,1))&amp;CHAR(34)&amp;","</f>
        <v>"startN",</v>
      </c>
      <c r="DF4" s="48" t="str">
        <f t="shared" si="21"/>
        <v/>
      </c>
      <c r="DG4" s="48" t="str">
        <f t="shared" si="22"/>
        <v/>
      </c>
      <c r="DH4" s="48" t="str">
        <f t="shared" si="23"/>
        <v>"with_v",</v>
      </c>
      <c r="DI4" s="48" t="str">
        <f t="shared" si="24"/>
        <v/>
      </c>
      <c r="DJ4" s="48" t="str">
        <f t="shared" si="25"/>
        <v/>
      </c>
      <c r="DK4" s="48" t="str">
        <f t="shared" si="26"/>
        <v/>
      </c>
      <c r="DL4" s="48" t="str">
        <f t="shared" si="27"/>
        <v/>
      </c>
      <c r="DM4" s="48" t="str" cm="1">
        <f t="array" ref="DM4">IF(CG4=3,CHAR(34) &amp; _xlfn.TEXTJOIN("", TRUE, RIGHT(HP4:HX4, 2)) &amp; CHAR(34) &amp; ",", "")</f>
        <v/>
      </c>
      <c r="DN4" s="48" t="str">
        <f t="shared" si="28"/>
        <v/>
      </c>
      <c r="DO4" s="48" t="str">
        <f t="shared" si="29"/>
        <v/>
      </c>
      <c r="DP4" s="6" t="str">
        <f t="shared" si="30"/>
        <v/>
      </c>
      <c r="DQ4" s="6" t="str">
        <f t="shared" si="31"/>
        <v/>
      </c>
      <c r="DR4" s="6" t="str">
        <f t="shared" si="32"/>
        <v/>
      </c>
      <c r="DS4" s="6" t="str">
        <f t="shared" si="33"/>
        <v/>
      </c>
      <c r="DT4" s="6" t="str">
        <f t="shared" si="34"/>
        <v/>
      </c>
      <c r="DU4" s="6" t="str">
        <f t="shared" si="35"/>
        <v/>
      </c>
      <c r="DW4" s="48" t="str">
        <f t="shared" si="37"/>
        <v>"NoBand",</v>
      </c>
      <c r="DX4" s="48" t="str">
        <f t="shared" si="37"/>
        <v/>
      </c>
      <c r="DY4" s="48" t="str">
        <f t="shared" si="37"/>
        <v/>
      </c>
      <c r="DZ4" s="48" t="str">
        <f t="shared" si="37"/>
        <v/>
      </c>
      <c r="EA4" s="48" t="str">
        <f t="shared" si="38"/>
        <v/>
      </c>
      <c r="EB4" s="48" t="str">
        <f t="shared" si="38"/>
        <v/>
      </c>
      <c r="EC4" s="48" t="str">
        <f t="shared" si="38"/>
        <v/>
      </c>
      <c r="ED4" s="48" t="str">
        <f t="shared" si="38"/>
        <v/>
      </c>
      <c r="EE4" s="48" t="str">
        <f t="shared" si="38"/>
        <v>"Circle",</v>
      </c>
      <c r="EF4" s="48" t="str">
        <f t="shared" si="39"/>
        <v/>
      </c>
      <c r="EG4" s="48" t="str">
        <f t="shared" si="40"/>
        <v/>
      </c>
      <c r="EH4" s="48" t="str">
        <f t="shared" si="40"/>
        <v/>
      </c>
      <c r="EI4" s="48" t="str">
        <f t="shared" si="40"/>
        <v/>
      </c>
      <c r="EJ4" s="48" t="str">
        <f t="shared" si="40"/>
        <v/>
      </c>
      <c r="EK4" s="48" t="str">
        <f t="shared" si="40"/>
        <v/>
      </c>
      <c r="EL4" s="48" t="str">
        <f t="shared" si="40"/>
        <v/>
      </c>
      <c r="EM4" s="48" t="str">
        <f t="shared" si="40"/>
        <v/>
      </c>
      <c r="EN4" s="48" t="str">
        <f t="shared" si="40"/>
        <v>"Unequa",</v>
      </c>
      <c r="EO4" s="48" t="str">
        <f t="shared" si="40"/>
        <v>"Center",</v>
      </c>
      <c r="EP4" s="48" t="str">
        <f t="shared" si="40"/>
        <v/>
      </c>
      <c r="EQ4" s="48" t="str">
        <f t="shared" si="40"/>
        <v/>
      </c>
      <c r="ER4" s="48" t="str">
        <f t="shared" si="40"/>
        <v/>
      </c>
      <c r="ES4" s="48" t="str">
        <f t="shared" si="40"/>
        <v/>
      </c>
      <c r="ET4" s="48" t="str">
        <f t="shared" si="40"/>
        <v>"Geogrh",</v>
      </c>
      <c r="EU4" s="48" t="str">
        <f t="shared" si="40"/>
        <v/>
      </c>
      <c r="EV4" s="48" t="str">
        <f t="shared" si="40"/>
        <v/>
      </c>
      <c r="EW4" s="48" t="str">
        <f t="shared" si="40"/>
        <v/>
      </c>
      <c r="EX4" s="48" t="str">
        <f t="shared" si="40"/>
        <v/>
      </c>
      <c r="EY4" s="48" t="str">
        <f t="shared" si="40"/>
        <v/>
      </c>
      <c r="EZ4" s="48" t="str">
        <f t="shared" si="40"/>
        <v/>
      </c>
      <c r="FA4" s="48" t="str">
        <f t="shared" si="41"/>
        <v/>
      </c>
      <c r="FB4" s="48" t="str">
        <f t="shared" si="42"/>
        <v/>
      </c>
      <c r="FD4" s="48" t="str">
        <f t="shared" si="44"/>
        <v/>
      </c>
      <c r="FE4" s="48" t="str">
        <f t="shared" si="45"/>
        <v/>
      </c>
      <c r="FF4" s="48" t="str">
        <f t="shared" si="46"/>
        <v/>
      </c>
      <c r="FG4" s="48" t="str">
        <f t="shared" si="47"/>
        <v/>
      </c>
      <c r="FH4" s="48" t="str">
        <f t="shared" si="48"/>
        <v/>
      </c>
      <c r="FI4" s="48" t="str">
        <f t="shared" si="49"/>
        <v/>
      </c>
      <c r="FJ4" s="48" t="str">
        <f t="shared" si="50"/>
        <v/>
      </c>
      <c r="FK4" s="48" t="str">
        <f t="shared" si="51"/>
        <v/>
      </c>
      <c r="FL4" s="48" t="str">
        <f t="shared" si="52"/>
        <v/>
      </c>
      <c r="FM4" s="48" t="str">
        <f t="shared" si="53"/>
        <v/>
      </c>
      <c r="FN4" s="48" t="str">
        <f t="shared" si="54"/>
        <v/>
      </c>
      <c r="FO4" s="48" t="str">
        <f t="shared" si="55"/>
        <v/>
      </c>
      <c r="FP4" s="48" t="str">
        <f t="shared" si="56"/>
        <v/>
      </c>
      <c r="FQ4" s="48" t="str">
        <f t="shared" si="57"/>
        <v>"001BLU",</v>
      </c>
      <c r="FR4" s="48" t="str">
        <f t="shared" si="58"/>
        <v>"002WHI",</v>
      </c>
      <c r="FS4" s="48" t="str">
        <f t="shared" si="59"/>
        <v>"003BLU",</v>
      </c>
      <c r="FT4" s="48" t="str">
        <f t="shared" si="60"/>
        <v>"myrBLU",</v>
      </c>
      <c r="FU4" s="48" t="str">
        <f t="shared" si="61"/>
        <v/>
      </c>
      <c r="FV4" s="48" t="str">
        <f t="shared" si="62"/>
        <v/>
      </c>
      <c r="FW4" s="48" t="str">
        <f t="shared" si="63"/>
        <v/>
      </c>
      <c r="FY4" s="48" t="str">
        <f t="shared" si="65"/>
        <v/>
      </c>
      <c r="FZ4" s="48" t="str">
        <f t="shared" si="66"/>
        <v/>
      </c>
      <c r="GA4" s="48" t="str">
        <f t="shared" si="67"/>
        <v/>
      </c>
      <c r="GB4" s="48" t="str">
        <f t="shared" si="68"/>
        <v/>
      </c>
      <c r="GE4" s="48" t="str">
        <f t="shared" si="71"/>
        <v/>
      </c>
      <c r="GF4" s="48" t="str">
        <f>IFERROR(IF(SEARCH("Historical",AU4)&gt;0,CHAR(34)&amp;"histor"&amp;CHAR(34)&amp;",",""),"")</f>
        <v/>
      </c>
      <c r="GG4" s="48" t="str">
        <f t="shared" si="72"/>
        <v/>
      </c>
      <c r="GH4" s="48" t="str">
        <f t="shared" si="73"/>
        <v/>
      </c>
      <c r="GI4" s="48" t="str">
        <f t="shared" si="74"/>
        <v/>
      </c>
      <c r="GJ4" s="48" t="str">
        <f t="shared" si="75"/>
        <v>"NoStar",</v>
      </c>
      <c r="GK4" s="48" t="str">
        <f t="shared" si="76"/>
        <v/>
      </c>
      <c r="GL4" s="48" t="str">
        <f t="shared" si="77"/>
        <v/>
      </c>
      <c r="GM4" s="48" t="str">
        <f t="shared" si="77"/>
        <v/>
      </c>
      <c r="GN4" s="48" t="str">
        <f t="shared" si="77"/>
        <v/>
      </c>
      <c r="GP4" s="48" t="str">
        <f t="shared" si="78"/>
        <v>"Province"</v>
      </c>
      <c r="GS4" s="48" t="str">
        <f t="shared" si="79"/>
        <v>["5+Colo","words2","lets13","startN","with_v","NoBand","Circle","Unequa","Center","Geogrh","001BLU","002WHI","003BLU","myrBLU","NoStar"]</v>
      </c>
      <c r="GT4" s="48" t="str">
        <f t="shared" si="80"/>
        <v>"cl_BLA",</v>
      </c>
      <c r="GU4" s="48" t="str">
        <f t="shared" si="80"/>
        <v>"cl_BLU",</v>
      </c>
      <c r="GV4" s="48" t="str">
        <f t="shared" si="80"/>
        <v>"cl_GRE",</v>
      </c>
      <c r="GW4" s="48" t="str">
        <f t="shared" si="80"/>
        <v>"cl_RED",</v>
      </c>
      <c r="GX4" s="48" t="str">
        <f t="shared" si="80"/>
        <v>"cl_YEL",</v>
      </c>
      <c r="GY4" s="48" t="str">
        <f t="shared" si="80"/>
        <v>"cl_ORA",</v>
      </c>
      <c r="GZ4" s="48" t="str">
        <f t="shared" si="80"/>
        <v>"cl_BRO",</v>
      </c>
      <c r="HA4" s="48" t="str">
        <f t="shared" si="80"/>
        <v/>
      </c>
      <c r="HB4" s="48" t="str">
        <f t="shared" si="80"/>
        <v>"cl_WHI",</v>
      </c>
      <c r="HC4" s="48" t="str">
        <f t="shared" si="81"/>
        <v>["cl_BLA","cl_BLU","cl_GRE","cl_RED","cl_YEL","cl_ORA","cl_BRO","cl_WHI"]</v>
      </c>
      <c r="HE4" s="71"/>
      <c r="HF4" s="72" t="str">
        <f t="shared" si="82"/>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links: "https://en.m.wikipedia.org/wiki/North_Province,_New_Caledonia"},</v>
      </c>
      <c r="HG4" s="73" t="str">
        <f t="shared" si="83"/>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links: "https://en.m.wikipedia.org/wiki/North_Province,_New_Caledonia"},</v>
      </c>
      <c r="HH4" s="48" t="str">
        <f t="shared" si="84"/>
        <v>"\nA map of the region on a white field defaced with a black flèche faîtière"</v>
      </c>
      <c r="HI4" s="48" t="str">
        <f t="shared" si="85"/>
        <v>"\nA map of the region on a white field defaced with a black flèche faîtière"</v>
      </c>
      <c r="HJ4" s="48" t="str">
        <f t="shared" si="86"/>
        <v>"???"</v>
      </c>
      <c r="HL4" s="48" t="str">
        <f t="shared" si="87"/>
        <v>"https://en.m.wikipedia.org/wiki/North_Province,_New_Caledonia"</v>
      </c>
      <c r="HM4" s="72" t="str">
        <f t="shared" si="88"/>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 "links": "https://en.m.wikipedia.org/wiki/North_Province,_New_Caledonia"},</v>
      </c>
      <c r="HN4" s="74" t="str">
        <f t="shared" si="89"/>
        <v>{"couname":"[NCL] North Province","year":"???","region":"rgn_Oceania","Colors":["cl_BLA","cl_BLU","cl_GRE","cl_RED","cl_YEL","cl_ORA","cl_BRO","cl_WHI"],"Items":["5+Colo","words2","lets13","startN","with_v","NoBand","Circle","Unequa","Center","Geogrh","001BLU","002WHI","003BLU","myrBLU","NoStar"],"Flag":"https://upload.wikimedia.org/wikipedia/commons/thumb/4/42/Drapeau_Province_Nord_Nouvelle_Cal%C3%A9donie.svg/640px-Drapeau_Province_Nord_Nouvelle_Cal%C3%A9donie.svg.png","HDFlag":"https://upload.wikimedia.org/wikipedia/commons/thumb/4/42/Drapeau_Province_Nord_Nouvelle_Cal%C3%A9donie.svg/1280px-Drapeau_Province_Nord_Nouvelle_Cal%C3%A9donie.svg.png","type":"Province", "describe": "\nA map of the region on a white field defaced with a black flèche faîtière", "isnew": ".", "links": "https://en.m.wikipedia.org/wiki/North_Province,_New_Caledonia"},</v>
      </c>
      <c r="HO4" s="75">
        <v>45610</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ORA</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91"/>
        <v>-8</v>
      </c>
      <c r="IN4" s="78" t="str">
        <f t="shared" si="92"/>
        <v>http://mkweb.bcgsc.ca/color-summarizer/?url=https://upload.wikimedia.org/wikipedia/commons/thumb/4/42/Drapeau_Province_Nord_Nouvelle_Cal%C3%A9donie.svg/640px-Drapeau_Province_Nord_Nouvelle_Cal%C3%A9donie.svg.png&amp;precision=low&amp;num_clusters=8&amp;text=1</v>
      </c>
      <c r="IO4" s="48" t="str">
        <f t="shared" si="93"/>
        <v>"black"</v>
      </c>
      <c r="IP4" s="48" t="str">
        <f t="shared" si="94"/>
        <v>"blue"</v>
      </c>
      <c r="IQ4" s="48" t="str">
        <f t="shared" si="95"/>
        <v>"green"</v>
      </c>
      <c r="IR4" s="48" t="str">
        <f t="shared" si="96"/>
        <v>"red"</v>
      </c>
      <c r="IS4" s="48" t="str">
        <f t="shared" si="97"/>
        <v>"yellow"</v>
      </c>
      <c r="IT4" s="48" t="str">
        <f t="shared" si="98"/>
        <v>"orange"</v>
      </c>
      <c r="IU4" s="48" t="str">
        <f t="shared" si="99"/>
        <v>"brown"</v>
      </c>
      <c r="IV4" s="48" t="str">
        <f t="shared" si="100"/>
        <v/>
      </c>
      <c r="IW4" s="48" t="str">
        <f t="shared" si="101"/>
        <v>"white"</v>
      </c>
      <c r="IX4" s="48" t="str">
        <f t="shared" si="102"/>
        <v>{"url":"http://mkweb.bcgsc.ca/color-summarizer/?url=https://upload.wikimedia.org/wikipedia/commons/thumb/4/42/Drapeau_Province_Nord_Nouvelle_Cal%C3%A9donie.svg/640px-Drapeau_Province_Nord_Nouvelle_Cal%C3%A9donie.svg.png&amp;precision=low&amp;num_clusters=8&amp;text=1","name":"[NCL] North Province"},</v>
      </c>
      <c r="IY4" s="48">
        <v>1238</v>
      </c>
    </row>
    <row r="5" spans="1:259" s="48" customFormat="1" ht="38.4" customHeight="1" thickBot="1" x14ac:dyDescent="0.35">
      <c r="A5" s="79" t="s">
        <v>473</v>
      </c>
      <c r="B5" s="40" t="e" vm="67">
        <v>#VALUE!</v>
      </c>
      <c r="C5" s="41">
        <v>2</v>
      </c>
      <c r="D5" s="42" t="s">
        <v>474</v>
      </c>
      <c r="E5" s="43" t="s">
        <v>475</v>
      </c>
      <c r="F5" s="44" t="s">
        <v>166</v>
      </c>
      <c r="G5" s="45">
        <f>COUNTIF($A$1:$A$8342,A5)</f>
        <v>1</v>
      </c>
      <c r="H5" s="46"/>
      <c r="I5" s="47" t="s">
        <v>476</v>
      </c>
      <c r="J5" s="48" t="str">
        <f>""</f>
        <v/>
      </c>
      <c r="K5" s="49"/>
      <c r="L5" s="50"/>
      <c r="M5" s="50"/>
      <c r="N5" s="51" t="s">
        <v>169</v>
      </c>
      <c r="O5" s="52" t="s">
        <v>355</v>
      </c>
      <c r="P5" s="53" t="s">
        <v>477</v>
      </c>
      <c r="Q5" s="54">
        <v>2</v>
      </c>
      <c r="R5" s="55" t="s">
        <v>169</v>
      </c>
      <c r="S5" s="56">
        <v>0</v>
      </c>
      <c r="T5" s="57" t="s">
        <v>173</v>
      </c>
      <c r="U5" s="58" t="s">
        <v>173</v>
      </c>
      <c r="V5" s="58" t="s">
        <v>173</v>
      </c>
      <c r="W5" s="58" t="s">
        <v>173</v>
      </c>
      <c r="X5" s="58" t="s">
        <v>173</v>
      </c>
      <c r="Y5" s="58" t="s">
        <v>173</v>
      </c>
      <c r="Z5" s="58" t="s">
        <v>173</v>
      </c>
      <c r="AA5" s="58" t="s">
        <v>173</v>
      </c>
      <c r="AB5" s="58" t="s">
        <v>173</v>
      </c>
      <c r="AC5" s="58" t="s">
        <v>173</v>
      </c>
      <c r="AD5" s="58" t="s">
        <v>173</v>
      </c>
      <c r="AE5" s="58" t="s">
        <v>173</v>
      </c>
      <c r="AF5" s="59" t="s">
        <v>173</v>
      </c>
      <c r="AG5" s="59" t="s">
        <v>172</v>
      </c>
      <c r="AH5" s="59" t="s">
        <v>172</v>
      </c>
      <c r="AI5" s="59" t="s">
        <v>173</v>
      </c>
      <c r="AJ5" s="59" t="s">
        <v>173</v>
      </c>
      <c r="AK5" s="59" t="s">
        <v>173</v>
      </c>
      <c r="AL5" s="59" t="s">
        <v>173</v>
      </c>
      <c r="AM5" s="59" t="s">
        <v>173</v>
      </c>
      <c r="AN5" s="59" t="s">
        <v>172</v>
      </c>
      <c r="AO5" s="59" t="s">
        <v>173</v>
      </c>
      <c r="AP5" s="59" t="s">
        <v>172</v>
      </c>
      <c r="AQ5" s="59" t="s">
        <v>173</v>
      </c>
      <c r="AR5" s="59" t="s">
        <v>173</v>
      </c>
      <c r="AS5" s="59" t="s">
        <v>173</v>
      </c>
      <c r="AT5" s="60">
        <v>0</v>
      </c>
      <c r="AU5" s="59" t="s">
        <v>467</v>
      </c>
      <c r="AV5" s="59" t="str">
        <f>IF(LEFT(A5,1)="[",LEFT(A5,5)&amp;AU5&amp;A5,"")</f>
        <v>[NCL]Province[NCL] South Province</v>
      </c>
      <c r="AW5" s="59" t="str">
        <f>C5&amp;H5&amp;A5</f>
        <v>2[NCL] South Province</v>
      </c>
      <c r="AX5" s="61"/>
      <c r="AY5" s="61"/>
      <c r="AZ5" s="62" t="s">
        <v>192</v>
      </c>
      <c r="BA5" s="62" t="s">
        <v>192</v>
      </c>
      <c r="BB5" s="62"/>
      <c r="BC5" s="63"/>
      <c r="BD5" s="64" t="s">
        <v>154</v>
      </c>
      <c r="BE5" s="47"/>
      <c r="BF5" s="64" t="s">
        <v>159</v>
      </c>
      <c r="BG5" s="64" t="s">
        <v>154</v>
      </c>
      <c r="BH5" s="64" t="s">
        <v>152</v>
      </c>
      <c r="BI5" s="64"/>
      <c r="BJ5" s="64"/>
      <c r="BK5" s="47"/>
      <c r="BL5" s="64" t="s">
        <v>151</v>
      </c>
      <c r="BM5" s="64" t="s">
        <v>152</v>
      </c>
      <c r="BN5" s="64" t="s">
        <v>153</v>
      </c>
      <c r="BO5" s="64" t="s">
        <v>154</v>
      </c>
      <c r="BP5" s="64" t="s">
        <v>192</v>
      </c>
      <c r="BQ5" s="64" t="s">
        <v>192</v>
      </c>
      <c r="BR5" s="64" t="s">
        <v>192</v>
      </c>
      <c r="BS5" s="64" t="s">
        <v>192</v>
      </c>
      <c r="BT5" s="64" t="s">
        <v>159</v>
      </c>
      <c r="BU5" s="65"/>
      <c r="BV5" s="66"/>
      <c r="BW5" s="66">
        <v>0</v>
      </c>
      <c r="BX5" s="47"/>
      <c r="BY5" s="48" t="s">
        <v>173</v>
      </c>
      <c r="CB5" s="6"/>
      <c r="CC5" s="6"/>
      <c r="CD5" s="67">
        <v>0</v>
      </c>
      <c r="CE5" s="67">
        <v>0</v>
      </c>
      <c r="CF5" s="67" t="e">
        <v>#REF!</v>
      </c>
      <c r="CG5" s="68" cm="1">
        <f t="array" ref="CG5">SUMPRODUCT(--(LEN(TRIM(BL5:BT5))&gt;0))</f>
        <v>5</v>
      </c>
      <c r="CH5" s="59" t="str">
        <f t="shared" si="0"/>
        <v>n</v>
      </c>
      <c r="CI5" s="59" t="str">
        <f t="shared" si="1"/>
        <v>n</v>
      </c>
      <c r="CJ5" s="59" t="str">
        <f t="shared" si="2"/>
        <v>n</v>
      </c>
      <c r="CK5" s="59" t="str">
        <f t="shared" si="3"/>
        <v>y</v>
      </c>
      <c r="CL5" s="59" t="str">
        <f t="shared" si="4"/>
        <v>y</v>
      </c>
      <c r="CM5" s="59" t="str">
        <f t="shared" si="5"/>
        <v>n</v>
      </c>
      <c r="CN5" s="59" t="str">
        <f t="shared" si="6"/>
        <v>n</v>
      </c>
      <c r="CO5" s="59" t="str">
        <f t="shared" si="7"/>
        <v>n</v>
      </c>
      <c r="CP5" s="59" t="str">
        <f t="shared" si="8"/>
        <v>y</v>
      </c>
      <c r="CQ5" s="59" t="str">
        <f t="shared" si="9"/>
        <v>n</v>
      </c>
      <c r="CR5" s="59" t="str">
        <f t="shared" si="10"/>
        <v>n</v>
      </c>
      <c r="CS5" s="59" t="str">
        <f t="shared" si="11"/>
        <v>n</v>
      </c>
      <c r="CT5" s="69" t="str">
        <f t="shared" si="12"/>
        <v>"[NCL] South Province"</v>
      </c>
      <c r="CU5" s="70" t="str">
        <f t="shared" si="13"/>
        <v>"rgn_Oceania"</v>
      </c>
      <c r="CV5" s="48" t="str">
        <f t="shared" si="14"/>
        <v>"https://upload.wikimedia.org/wikipedia/commons/thumb/9/94/Bandera_Province_Sud.svg/640px-Bandera_Province_Sud.svg.png"</v>
      </c>
      <c r="CW5" s="48" t="str">
        <f t="shared" si="15"/>
        <v/>
      </c>
      <c r="CX5" s="48" t="str">
        <f t="shared" si="15"/>
        <v/>
      </c>
      <c r="CY5" s="48" t="str">
        <f t="shared" si="15"/>
        <v/>
      </c>
      <c r="CZ5" s="48" t="str">
        <f t="shared" si="15"/>
        <v>"5+Colo",</v>
      </c>
      <c r="DA5" s="48" t="str">
        <f t="shared" si="16"/>
        <v>"words2",</v>
      </c>
      <c r="DB5" s="48" t="str">
        <f t="shared" si="17"/>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"lets13",</v>
      </c>
      <c r="DE5" s="48" t="str">
        <f>CHAR(34)&amp;"start"&amp;IFERROR(LEFT(SUBSTITUTE(A5,"["&amp;MID(A5,FIND("[",A5)+1,FIND("]",A5)-FIND("[",A5)-1)&amp;"] ",""),1),LEFT(A5,1))&amp;CHAR(34)&amp;","</f>
        <v>"startS",</v>
      </c>
      <c r="DF5" s="48" t="str">
        <f t="shared" si="21"/>
        <v/>
      </c>
      <c r="DG5" s="48" t="str">
        <f t="shared" si="22"/>
        <v/>
      </c>
      <c r="DH5" s="48" t="str">
        <f t="shared" si="23"/>
        <v>"with_v",</v>
      </c>
      <c r="DI5" s="48" t="str">
        <f t="shared" si="24"/>
        <v/>
      </c>
      <c r="DJ5" s="48" t="str">
        <f t="shared" si="25"/>
        <v/>
      </c>
      <c r="DK5" s="48" t="str">
        <f t="shared" si="26"/>
        <v/>
      </c>
      <c r="DL5" s="48" t="str">
        <f t="shared" si="27"/>
        <v/>
      </c>
      <c r="DM5" s="48" t="str" cm="1">
        <f t="array" ref="DM5">IF(CG5=3,CHAR(34) &amp; _xlfn.TEXTJOIN("", TRUE, RIGHT(HP5:HX5, 2)) &amp; CHAR(34) &amp; ",", "")</f>
        <v/>
      </c>
      <c r="DN5" s="48" t="str">
        <f t="shared" si="28"/>
        <v/>
      </c>
      <c r="DO5" s="48" t="str">
        <f t="shared" si="29"/>
        <v/>
      </c>
      <c r="DP5" s="6" t="str">
        <f t="shared" si="30"/>
        <v/>
      </c>
      <c r="DQ5" s="6" t="str">
        <f t="shared" si="31"/>
        <v/>
      </c>
      <c r="DR5" s="6" t="str">
        <f t="shared" si="32"/>
        <v/>
      </c>
      <c r="DS5" s="6" t="str">
        <f t="shared" si="33"/>
        <v/>
      </c>
      <c r="DT5" s="6" t="str">
        <f t="shared" si="34"/>
        <v/>
      </c>
      <c r="DU5" s="6" t="str">
        <f t="shared" si="35"/>
        <v/>
      </c>
      <c r="DW5" s="48" t="str">
        <f t="shared" si="37"/>
        <v>"NoBand",</v>
      </c>
      <c r="DX5" s="48" t="str">
        <f t="shared" si="37"/>
        <v/>
      </c>
      <c r="DY5" s="48" t="str">
        <f t="shared" si="37"/>
        <v/>
      </c>
      <c r="DZ5" s="48" t="str">
        <f t="shared" si="37"/>
        <v/>
      </c>
      <c r="EA5" s="48" t="str">
        <f t="shared" si="38"/>
        <v/>
      </c>
      <c r="EB5" s="48" t="str">
        <f t="shared" si="38"/>
        <v/>
      </c>
      <c r="EC5" s="48" t="str">
        <f t="shared" si="38"/>
        <v/>
      </c>
      <c r="ED5" s="48" t="str">
        <f t="shared" si="38"/>
        <v/>
      </c>
      <c r="EE5" s="48" t="str">
        <f t="shared" si="38"/>
        <v/>
      </c>
      <c r="EF5" s="48" t="str">
        <f t="shared" si="39"/>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"Unequa",</v>
      </c>
      <c r="EO5" s="48" t="str">
        <f t="shared" si="40"/>
        <v>"Center",</v>
      </c>
      <c r="EP5" s="48" t="str">
        <f t="shared" si="40"/>
        <v/>
      </c>
      <c r="EQ5" s="48" t="str">
        <f t="shared" si="40"/>
        <v/>
      </c>
      <c r="ER5" s="48" t="str">
        <f t="shared" si="40"/>
        <v/>
      </c>
      <c r="ES5" s="48" t="str">
        <f t="shared" si="40"/>
        <v/>
      </c>
      <c r="ET5" s="48" t="str">
        <f t="shared" si="40"/>
        <v/>
      </c>
      <c r="EU5" s="48" t="str">
        <f t="shared" si="40"/>
        <v>"Humans",</v>
      </c>
      <c r="EV5" s="48" t="str">
        <f t="shared" si="40"/>
        <v/>
      </c>
      <c r="EW5" s="48" t="str">
        <f t="shared" si="40"/>
        <v>"Ships!",</v>
      </c>
      <c r="EX5" s="48" t="str">
        <f t="shared" si="40"/>
        <v/>
      </c>
      <c r="EY5" s="48" t="str">
        <f t="shared" si="40"/>
        <v/>
      </c>
      <c r="EZ5" s="48" t="str">
        <f t="shared" si="40"/>
        <v/>
      </c>
      <c r="FA5" s="48" t="str">
        <f t="shared" si="41"/>
        <v/>
      </c>
      <c r="FB5" s="48" t="str">
        <f t="shared" si="42"/>
        <v/>
      </c>
      <c r="FD5" s="48" t="str">
        <f t="shared" si="44"/>
        <v/>
      </c>
      <c r="FE5" s="48" t="str">
        <f t="shared" si="45"/>
        <v/>
      </c>
      <c r="FF5" s="48" t="str">
        <f t="shared" si="46"/>
        <v/>
      </c>
      <c r="FG5" s="48" t="str">
        <f t="shared" si="47"/>
        <v/>
      </c>
      <c r="FH5" s="48" t="str">
        <f t="shared" si="48"/>
        <v/>
      </c>
      <c r="FI5" s="48" t="str">
        <f t="shared" si="49"/>
        <v>"NO_YEL",</v>
      </c>
      <c r="FJ5" s="48" t="str">
        <f t="shared" si="50"/>
        <v/>
      </c>
      <c r="FK5" s="48" t="str">
        <f t="shared" si="51"/>
        <v/>
      </c>
      <c r="FL5" s="48" t="str">
        <f t="shared" si="52"/>
        <v/>
      </c>
      <c r="FM5" s="48" t="str">
        <f t="shared" si="53"/>
        <v/>
      </c>
      <c r="FN5" s="48" t="str">
        <f t="shared" si="54"/>
        <v/>
      </c>
      <c r="FO5" s="48" t="str">
        <f t="shared" si="55"/>
        <v/>
      </c>
      <c r="FP5" s="48" t="str">
        <f t="shared" si="56"/>
        <v/>
      </c>
      <c r="FQ5" s="48" t="str">
        <f t="shared" si="57"/>
        <v>"001WHI",</v>
      </c>
      <c r="FR5" s="48" t="str">
        <f t="shared" si="58"/>
        <v>"002RED",</v>
      </c>
      <c r="FS5" s="48" t="str">
        <f t="shared" si="59"/>
        <v>"003BLU",</v>
      </c>
      <c r="FT5" s="48" t="str">
        <f t="shared" si="60"/>
        <v>"myrRED",</v>
      </c>
      <c r="FU5" s="48" t="str">
        <f t="shared" si="61"/>
        <v/>
      </c>
      <c r="FV5" s="48" t="str">
        <f t="shared" si="62"/>
        <v/>
      </c>
      <c r="FW5" s="48" t="str">
        <f t="shared" si="63"/>
        <v/>
      </c>
      <c r="FY5" s="48" t="str">
        <f t="shared" si="65"/>
        <v/>
      </c>
      <c r="FZ5" s="48" t="str">
        <f t="shared" si="66"/>
        <v/>
      </c>
      <c r="GA5" s="48" t="str">
        <f t="shared" si="67"/>
        <v/>
      </c>
      <c r="GB5" s="48" t="str">
        <f t="shared" si="68"/>
        <v/>
      </c>
      <c r="GE5" s="48" t="str">
        <f t="shared" si="71"/>
        <v/>
      </c>
      <c r="GF5" s="48" t="str">
        <f>IFERROR(IF(SEARCH("Historical",AU5)&gt;0,CHAR(34)&amp;"histor"&amp;CHAR(34)&amp;",",""),"")</f>
        <v/>
      </c>
      <c r="GG5" s="48" t="str">
        <f t="shared" si="72"/>
        <v/>
      </c>
      <c r="GH5" s="48" t="str">
        <f t="shared" si="73"/>
        <v/>
      </c>
      <c r="GI5" s="48" t="str">
        <f t="shared" si="74"/>
        <v/>
      </c>
      <c r="GJ5" s="48" t="str">
        <f t="shared" si="75"/>
        <v>"NoStar",</v>
      </c>
      <c r="GK5" s="48" t="str">
        <f t="shared" si="76"/>
        <v/>
      </c>
      <c r="GL5" s="48" t="str">
        <f t="shared" si="77"/>
        <v/>
      </c>
      <c r="GM5" s="48" t="str">
        <f t="shared" si="77"/>
        <v/>
      </c>
      <c r="GN5" s="48" t="str">
        <f t="shared" si="77"/>
        <v/>
      </c>
      <c r="GP5" s="48" t="str">
        <f t="shared" si="78"/>
        <v>"Province"</v>
      </c>
      <c r="GS5" s="48" t="str">
        <f t="shared" si="79"/>
        <v>["5+Colo","words2","lets13","startS","with_v","NoBand","Unequa","Center","Humans","Ships!","NO_YEL","001WHI","002RED","003BLU","myrRED","NoStar"]</v>
      </c>
      <c r="GT5" s="48" t="str">
        <f t="shared" si="80"/>
        <v>"cl_BLA",</v>
      </c>
      <c r="GU5" s="48" t="str">
        <f t="shared" si="80"/>
        <v>"cl_BLU",</v>
      </c>
      <c r="GV5" s="48" t="str">
        <f t="shared" si="80"/>
        <v>"cl_GRE",</v>
      </c>
      <c r="GW5" s="48" t="str">
        <f t="shared" si="80"/>
        <v>"cl_RED",</v>
      </c>
      <c r="GX5" s="48" t="str">
        <f t="shared" si="80"/>
        <v/>
      </c>
      <c r="GY5" s="48" t="str">
        <f t="shared" si="80"/>
        <v/>
      </c>
      <c r="GZ5" s="48" t="str">
        <f t="shared" si="80"/>
        <v/>
      </c>
      <c r="HA5" s="48" t="str">
        <f t="shared" si="80"/>
        <v/>
      </c>
      <c r="HB5" s="48" t="str">
        <f t="shared" si="80"/>
        <v>"cl_WHI",</v>
      </c>
      <c r="HC5" s="48" t="str">
        <f t="shared" si="81"/>
        <v>["cl_BLA","cl_BLU","cl_GRE","cl_RED","cl_WHI"]</v>
      </c>
      <c r="HE5" s="71"/>
      <c r="HF5" s="72" t="str">
        <f t="shared" si="82"/>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links: "https://en.m.wikipedia.org/wiki/South_Province,_New_Caledonia"},</v>
      </c>
      <c r="HG5" s="73" t="str">
        <f t="shared" si="83"/>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links: "https://en.m.wikipedia.org/wiki/South_Province,_New_Caledonia"},</v>
      </c>
      <c r="HH5" s="48" t="str">
        <f t="shared" si="84"/>
        <v>"\nA white field with the province's logo, made of a blue sail with a white-blue-white-red face, placed over two blue waves"</v>
      </c>
      <c r="HI5" s="48" t="str">
        <f t="shared" si="85"/>
        <v>"\nA white field with the province's logo, made of a blue sail with a white-blue-white-red face, placed over two blue waves"</v>
      </c>
      <c r="HJ5" s="48" t="str">
        <f t="shared" si="86"/>
        <v>"???"</v>
      </c>
      <c r="HL5" s="48" t="str">
        <f t="shared" si="87"/>
        <v>"https://en.m.wikipedia.org/wiki/South_Province,_New_Caledonia"</v>
      </c>
      <c r="HM5" s="72" t="str">
        <f t="shared" si="88"/>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 "links": "https://en.m.wikipedia.org/wiki/South_Province,_New_Caledonia"},</v>
      </c>
      <c r="HN5" s="74" t="str">
        <f t="shared" si="89"/>
        <v>{"couname":"[NCL] South Province","year":"???","region":"rgn_Oceania","Colors":["cl_BLA","cl_BLU","cl_GRE","cl_RED","cl_WHI"],"Items":["5+Colo","words2","lets13","startS","with_v","NoBand","Unequa","Center","Humans","Ships!","NO_YEL","001WHI","002RED","003BLU","myrRED","NoStar"],"Flag":"https://upload.wikimedia.org/wikipedia/commons/thumb/9/94/Bandera_Province_Sud.svg/640px-Bandera_Province_Sud.svg.png","HDFlag":"https://upload.wikimedia.org/wikipedia/commons/thumb/9/94/Bandera_Province_Sud.svg/1280px-Bandera_Province_Sud.svg.png","type":"Province", "describe": "\nA white field with the province's logo, made of a blue sail with a white-blue-white-red face, placed over two blue waves", "isnew": ".", "links": "https://en.m.wikipedia.org/wiki/South_Province,_New_Caledonia"},</v>
      </c>
      <c r="HO5" s="75">
        <v>45610</v>
      </c>
      <c r="HP5" s="48" t="str" cm="1">
        <f t="array" ref="HP5">IF(_xlfn.TEXTJOIN(", ", TRUE, IF(ISNUMBER(SEARCH("BLA", BL5:BT5)), COLUMN(BL5:BT5) - COLUMN(BL5) + 1, ""))&lt;&gt;"","BLA","")</f>
        <v>BLA</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RED</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 t="shared" si="91"/>
        <v>-5</v>
      </c>
      <c r="IN5" s="78" t="str">
        <f t="shared" si="92"/>
        <v>http://mkweb.bcgsc.ca/color-summarizer/?url=https://upload.wikimedia.org/wikipedia/commons/thumb/9/94/Bandera_Province_Sud.svg/640px-Bandera_Province_Sud.svg.png&amp;precision=low&amp;num_clusters=5&amp;text=1</v>
      </c>
      <c r="IO5" s="48" t="str">
        <f t="shared" si="93"/>
        <v>"black"</v>
      </c>
      <c r="IP5" s="48" t="str">
        <f t="shared" si="94"/>
        <v>"blue"</v>
      </c>
      <c r="IQ5" s="48" t="str">
        <f t="shared" si="95"/>
        <v>"green"</v>
      </c>
      <c r="IR5" s="48" t="str">
        <f t="shared" si="96"/>
        <v>"red"</v>
      </c>
      <c r="IS5" s="48" t="str">
        <f t="shared" si="97"/>
        <v/>
      </c>
      <c r="IT5" s="48" t="str">
        <f t="shared" si="98"/>
        <v/>
      </c>
      <c r="IU5" s="48" t="str">
        <f t="shared" si="99"/>
        <v/>
      </c>
      <c r="IV5" s="48" t="str">
        <f t="shared" si="100"/>
        <v/>
      </c>
      <c r="IW5" s="48" t="str">
        <f t="shared" si="101"/>
        <v>"white"</v>
      </c>
      <c r="IX5" s="48" t="str">
        <f t="shared" si="102"/>
        <v>{"url":"http://mkweb.bcgsc.ca/color-summarizer/?url=https://upload.wikimedia.org/wikipedia/commons/thumb/9/94/Bandera_Province_Sud.svg/640px-Bandera_Province_Sud.svg.png&amp;precision=low&amp;num_clusters=5&amp;text=1","name":"[NCL] South Province"},</v>
      </c>
      <c r="IY5" s="48">
        <v>1239</v>
      </c>
    </row>
  </sheetData>
  <conditionalFormatting sqref="H1 CW1:GS1 IA1:IB1">
    <cfRule type="cellIs" dxfId="4012" priority="179" operator="greaterThan">
      <formula>0</formula>
    </cfRule>
  </conditionalFormatting>
  <conditionalFormatting sqref="H1">
    <cfRule type="cellIs" dxfId="4011" priority="145" stopIfTrue="1" operator="notEqual">
      <formula>""</formula>
    </cfRule>
  </conditionalFormatting>
  <conditionalFormatting sqref="T1:BK1">
    <cfRule type="cellIs" dxfId="4010" priority="182" operator="greaterThan">
      <formula>0</formula>
    </cfRule>
  </conditionalFormatting>
  <conditionalFormatting sqref="BV1:BW1">
    <cfRule type="cellIs" dxfId="4009" priority="181" operator="equal">
      <formula>"nc"</formula>
    </cfRule>
  </conditionalFormatting>
  <conditionalFormatting sqref="HF1:HG1">
    <cfRule type="cellIs" dxfId="4008" priority="183" operator="greaterThan">
      <formula>0</formula>
    </cfRule>
  </conditionalFormatting>
  <conditionalFormatting sqref="HK1">
    <cfRule type="cellIs" dxfId="4007" priority="180" operator="greaterThan">
      <formula>0</formula>
    </cfRule>
  </conditionalFormatting>
  <conditionalFormatting sqref="HP1:HX1">
    <cfRule type="cellIs" dxfId="4006" priority="157" operator="equal">
      <formula>"PIN"</formula>
    </cfRule>
    <cfRule type="cellIs" dxfId="4005" priority="158" operator="equal">
      <formula>"ORA"</formula>
    </cfRule>
    <cfRule type="cellIs" dxfId="4004" priority="159" operator="equal">
      <formula>"GRA"</formula>
    </cfRule>
    <cfRule type="cellIs" dxfId="4003" priority="160" operator="equal">
      <formula>"PUR"</formula>
    </cfRule>
    <cfRule type="cellIs" dxfId="4002" priority="161" operator="equal">
      <formula>"BRO"</formula>
    </cfRule>
    <cfRule type="cellIs" dxfId="4001" priority="162" operator="equal">
      <formula>"YEL"</formula>
    </cfRule>
    <cfRule type="cellIs" dxfId="4000" priority="163" operator="equal">
      <formula>"BLU"</formula>
    </cfRule>
    <cfRule type="cellIs" dxfId="3999" priority="164" operator="equal">
      <formula>"WHI"</formula>
    </cfRule>
    <cfRule type="cellIs" dxfId="3998" priority="165" operator="equal">
      <formula>"GRE"</formula>
    </cfRule>
    <cfRule type="cellIs" dxfId="3997" priority="166" operator="equal">
      <formula>"RED"</formula>
    </cfRule>
    <cfRule type="cellIs" dxfId="3996" priority="167" operator="equal">
      <formula>"BLA"</formula>
    </cfRule>
  </conditionalFormatting>
  <conditionalFormatting sqref="IC1:IK1">
    <cfRule type="cellIs" dxfId="3995" priority="168" operator="equal">
      <formula>"PIN"</formula>
    </cfRule>
    <cfRule type="cellIs" dxfId="3994" priority="169" operator="equal">
      <formula>"ORA"</formula>
    </cfRule>
    <cfRule type="cellIs" dxfId="3993" priority="170" operator="equal">
      <formula>"GRA"</formula>
    </cfRule>
    <cfRule type="cellIs" dxfId="3992" priority="171" operator="equal">
      <formula>"PUR"</formula>
    </cfRule>
    <cfRule type="cellIs" dxfId="3991" priority="172" operator="equal">
      <formula>"BRO"</formula>
    </cfRule>
    <cfRule type="cellIs" dxfId="3990" priority="173" operator="equal">
      <formula>"YEL"</formula>
    </cfRule>
    <cfRule type="cellIs" dxfId="3989" priority="174" operator="equal">
      <formula>"BLU"</formula>
    </cfRule>
    <cfRule type="cellIs" dxfId="3988" priority="175" operator="equal">
      <formula>"WHI"</formula>
    </cfRule>
    <cfRule type="cellIs" dxfId="3987" priority="176" operator="equal">
      <formula>"GRE"</formula>
    </cfRule>
    <cfRule type="cellIs" dxfId="3986" priority="177" operator="equal">
      <formula>"RED"</formula>
    </cfRule>
    <cfRule type="cellIs" dxfId="3985" priority="178" operator="equal">
      <formula>"BLA"</formula>
    </cfRule>
  </conditionalFormatting>
  <conditionalFormatting sqref="IO1:IW1">
    <cfRule type="cellIs" dxfId="3984" priority="146" operator="equal">
      <formula>"PIN"</formula>
    </cfRule>
    <cfRule type="cellIs" dxfId="3983" priority="147" operator="equal">
      <formula>"ORA"</formula>
    </cfRule>
    <cfRule type="cellIs" dxfId="3982" priority="148" operator="equal">
      <formula>"GRA"</formula>
    </cfRule>
    <cfRule type="cellIs" dxfId="3981" priority="149" operator="equal">
      <formula>"PUR"</formula>
    </cfRule>
    <cfRule type="cellIs" dxfId="3980" priority="150" operator="equal">
      <formula>"BRO"</formula>
    </cfRule>
    <cfRule type="cellIs" dxfId="3979" priority="151" operator="equal">
      <formula>"YEL"</formula>
    </cfRule>
    <cfRule type="cellIs" dxfId="3978" priority="152" operator="equal">
      <formula>"BLU"</formula>
    </cfRule>
    <cfRule type="cellIs" dxfId="3977" priority="153" operator="equal">
      <formula>"WHI"</formula>
    </cfRule>
    <cfRule type="cellIs" dxfId="3976" priority="154" operator="equal">
      <formula>"GRE"</formula>
    </cfRule>
    <cfRule type="cellIs" dxfId="3975" priority="155" operator="equal">
      <formula>"RED"</formula>
    </cfRule>
    <cfRule type="cellIs" dxfId="3974" priority="156" operator="equal">
      <formula>"BLA"</formula>
    </cfRule>
  </conditionalFormatting>
  <conditionalFormatting sqref="H2">
    <cfRule type="cellIs" dxfId="3973" priority="114" stopIfTrue="1" operator="notEqual">
      <formula>""</formula>
    </cfRule>
  </conditionalFormatting>
  <conditionalFormatting sqref="R2 CU2">
    <cfRule type="cellIs" dxfId="3972" priority="116" operator="greaterThan">
      <formula>0</formula>
    </cfRule>
  </conditionalFormatting>
  <conditionalFormatting sqref="T2:AS2 CH2:CS2">
    <cfRule type="cellIs" dxfId="3971" priority="111" stopIfTrue="1" operator="equal">
      <formula>"n"</formula>
    </cfRule>
    <cfRule type="cellIs" dxfId="3970" priority="112" stopIfTrue="1" operator="equal">
      <formula>"y"</formula>
    </cfRule>
    <cfRule type="cellIs" dxfId="3969" priority="113" operator="greaterThan">
      <formula>0</formula>
    </cfRule>
  </conditionalFormatting>
  <conditionalFormatting sqref="AZ2:BB2">
    <cfRule type="expression" dxfId="3968" priority="110">
      <formula>$AT2=0</formula>
    </cfRule>
  </conditionalFormatting>
  <conditionalFormatting sqref="AZ2:BU2">
    <cfRule type="cellIs" dxfId="3967" priority="119" operator="equal">
      <formula>"PIN"</formula>
    </cfRule>
    <cfRule type="cellIs" dxfId="3966" priority="120" operator="equal">
      <formula>"ORA"</formula>
    </cfRule>
    <cfRule type="cellIs" dxfId="3965" priority="121" operator="equal">
      <formula>"GRA"</formula>
    </cfRule>
    <cfRule type="cellIs" dxfId="3964" priority="122" operator="equal">
      <formula>"PUR"</formula>
    </cfRule>
    <cfRule type="cellIs" dxfId="3963" priority="123" operator="equal">
      <formula>"BRO"</formula>
    </cfRule>
    <cfRule type="cellIs" dxfId="3962" priority="124" operator="equal">
      <formula>"YEL"</formula>
    </cfRule>
    <cfRule type="cellIs" dxfId="3961" priority="125" operator="equal">
      <formula>"BLU"</formula>
    </cfRule>
    <cfRule type="cellIs" dxfId="3960" priority="126" operator="equal">
      <formula>"WHI"</formula>
    </cfRule>
    <cfRule type="cellIs" dxfId="3959" priority="127" operator="equal">
      <formula>"GRE"</formula>
    </cfRule>
    <cfRule type="cellIs" dxfId="3958" priority="128" operator="equal">
      <formula>"RED"</formula>
    </cfRule>
    <cfRule type="cellIs" dxfId="3957" priority="129" operator="equal">
      <formula>"BLA"</formula>
    </cfRule>
  </conditionalFormatting>
  <conditionalFormatting sqref="BV2:BW2">
    <cfRule type="cellIs" dxfId="3956" priority="141" operator="equal">
      <formula>"nc"</formula>
    </cfRule>
  </conditionalFormatting>
  <conditionalFormatting sqref="BX2:CA2 CD2:CF2">
    <cfRule type="cellIs" dxfId="3955" priority="115" operator="equal">
      <formula>"y"</formula>
    </cfRule>
    <cfRule type="cellIs" dxfId="3954" priority="130" operator="equal">
      <formula>"PIN"</formula>
    </cfRule>
    <cfRule type="cellIs" dxfId="3953" priority="131" operator="equal">
      <formula>"ORA"</formula>
    </cfRule>
    <cfRule type="cellIs" dxfId="3952" priority="132" operator="equal">
      <formula>"GRA"</formula>
    </cfRule>
    <cfRule type="cellIs" dxfId="3951" priority="133" operator="equal">
      <formula>"PUR"</formula>
    </cfRule>
    <cfRule type="cellIs" dxfId="3950" priority="134" operator="equal">
      <formula>"BRO"</formula>
    </cfRule>
    <cfRule type="cellIs" dxfId="3949" priority="135" operator="equal">
      <formula>"YEL"</formula>
    </cfRule>
    <cfRule type="cellIs" dxfId="3948" priority="136" operator="equal">
      <formula>"BLU"</formula>
    </cfRule>
    <cfRule type="cellIs" dxfId="3947" priority="137" operator="equal">
      <formula>"WHI"</formula>
    </cfRule>
    <cfRule type="cellIs" dxfId="3946" priority="138" operator="equal">
      <formula>"GRE"</formula>
    </cfRule>
    <cfRule type="cellIs" dxfId="3945" priority="139" operator="equal">
      <formula>"RED"</formula>
    </cfRule>
    <cfRule type="cellIs" dxfId="3944" priority="140" operator="equal">
      <formula>"BLA"</formula>
    </cfRule>
  </conditionalFormatting>
  <conditionalFormatting sqref="BZ2:CA2 CD2:CF2">
    <cfRule type="cellIs" dxfId="3943" priority="117" operator="greaterThan">
      <formula>0</formula>
    </cfRule>
  </conditionalFormatting>
  <conditionalFormatting sqref="IC2:IK2">
    <cfRule type="expression" dxfId="3942" priority="118">
      <formula>$IL2&gt;0</formula>
    </cfRule>
  </conditionalFormatting>
  <conditionalFormatting sqref="S2">
    <cfRule type="colorScale" priority="142">
      <colorScale>
        <cfvo type="min"/>
        <cfvo type="max"/>
        <color rgb="FFFCFCFF"/>
        <color rgb="FF754BFB"/>
      </colorScale>
    </cfRule>
  </conditionalFormatting>
  <conditionalFormatting sqref="AT2">
    <cfRule type="colorScale" priority="143">
      <colorScale>
        <cfvo type="min"/>
        <cfvo type="max"/>
        <color rgb="FFFCFCFF"/>
        <color theme="8" tint="0.39997558519241921"/>
      </colorScale>
    </cfRule>
  </conditionalFormatting>
  <conditionalFormatting sqref="CG2">
    <cfRule type="colorScale" priority="144">
      <colorScale>
        <cfvo type="min"/>
        <cfvo type="max"/>
        <color rgb="FFFCFCFF"/>
        <color rgb="FF63BE7B"/>
      </colorScale>
    </cfRule>
  </conditionalFormatting>
  <conditionalFormatting sqref="J2">
    <cfRule type="colorScale" priority="109">
      <colorScale>
        <cfvo type="min"/>
        <cfvo type="percentile" val="50"/>
        <cfvo type="max"/>
        <color rgb="FFF8696B"/>
        <color rgb="FFFFEB84"/>
        <color rgb="FF63BE7B"/>
      </colorScale>
    </cfRule>
  </conditionalFormatting>
  <conditionalFormatting sqref="H3">
    <cfRule type="cellIs" dxfId="2346" priority="77" stopIfTrue="1" operator="notEqual">
      <formula>""</formula>
    </cfRule>
  </conditionalFormatting>
  <conditionalFormatting sqref="R3 CU3">
    <cfRule type="cellIs" dxfId="2345" priority="79" operator="greaterThan">
      <formula>0</formula>
    </cfRule>
  </conditionalFormatting>
  <conditionalFormatting sqref="T3:AS3 CH3:CS3">
    <cfRule type="cellIs" dxfId="2344" priority="74" stopIfTrue="1" operator="equal">
      <formula>"n"</formula>
    </cfRule>
    <cfRule type="cellIs" dxfId="2343" priority="75" stopIfTrue="1" operator="equal">
      <formula>"y"</formula>
    </cfRule>
    <cfRule type="cellIs" dxfId="2342" priority="76" operator="greaterThan">
      <formula>0</formula>
    </cfRule>
  </conditionalFormatting>
  <conditionalFormatting sqref="AZ3:BB3">
    <cfRule type="expression" dxfId="2341" priority="73">
      <formula>$AT3=0</formula>
    </cfRule>
  </conditionalFormatting>
  <conditionalFormatting sqref="AZ3:BU3">
    <cfRule type="cellIs" dxfId="2340" priority="82" operator="equal">
      <formula>"PIN"</formula>
    </cfRule>
    <cfRule type="cellIs" dxfId="2339" priority="83" operator="equal">
      <formula>"ORA"</formula>
    </cfRule>
    <cfRule type="cellIs" dxfId="2338" priority="84" operator="equal">
      <formula>"GRA"</formula>
    </cfRule>
    <cfRule type="cellIs" dxfId="2337" priority="85" operator="equal">
      <formula>"PUR"</formula>
    </cfRule>
    <cfRule type="cellIs" dxfId="2336" priority="86" operator="equal">
      <formula>"BRO"</formula>
    </cfRule>
    <cfRule type="cellIs" dxfId="2335" priority="87" operator="equal">
      <formula>"YEL"</formula>
    </cfRule>
    <cfRule type="cellIs" dxfId="2334" priority="88" operator="equal">
      <formula>"BLU"</formula>
    </cfRule>
    <cfRule type="cellIs" dxfId="2333" priority="89" operator="equal">
      <formula>"WHI"</formula>
    </cfRule>
    <cfRule type="cellIs" dxfId="2332" priority="90" operator="equal">
      <formula>"GRE"</formula>
    </cfRule>
    <cfRule type="cellIs" dxfId="2331" priority="91" operator="equal">
      <formula>"RED"</formula>
    </cfRule>
    <cfRule type="cellIs" dxfId="2330" priority="92" operator="equal">
      <formula>"BLA"</formula>
    </cfRule>
  </conditionalFormatting>
  <conditionalFormatting sqref="BV3">
    <cfRule type="cellIs" dxfId="2329" priority="104" operator="equal">
      <formula>"nc"</formula>
    </cfRule>
  </conditionalFormatting>
  <conditionalFormatting sqref="BX3:CA3 CD3:CF3">
    <cfRule type="cellIs" dxfId="2328" priority="78" operator="equal">
      <formula>"y"</formula>
    </cfRule>
    <cfRule type="cellIs" dxfId="2327" priority="93" operator="equal">
      <formula>"PIN"</formula>
    </cfRule>
    <cfRule type="cellIs" dxfId="2326" priority="94" operator="equal">
      <formula>"ORA"</formula>
    </cfRule>
    <cfRule type="cellIs" dxfId="2325" priority="95" operator="equal">
      <formula>"GRA"</formula>
    </cfRule>
    <cfRule type="cellIs" dxfId="2324" priority="96" operator="equal">
      <formula>"PUR"</formula>
    </cfRule>
    <cfRule type="cellIs" dxfId="2323" priority="97" operator="equal">
      <formula>"BRO"</formula>
    </cfRule>
    <cfRule type="cellIs" dxfId="2322" priority="98" operator="equal">
      <formula>"YEL"</formula>
    </cfRule>
    <cfRule type="cellIs" dxfId="2321" priority="99" operator="equal">
      <formula>"BLU"</formula>
    </cfRule>
    <cfRule type="cellIs" dxfId="2320" priority="100" operator="equal">
      <formula>"WHI"</formula>
    </cfRule>
    <cfRule type="cellIs" dxfId="2319" priority="101" operator="equal">
      <formula>"GRE"</formula>
    </cfRule>
    <cfRule type="cellIs" dxfId="2318" priority="102" operator="equal">
      <formula>"RED"</formula>
    </cfRule>
    <cfRule type="cellIs" dxfId="2317" priority="103" operator="equal">
      <formula>"BLA"</formula>
    </cfRule>
  </conditionalFormatting>
  <conditionalFormatting sqref="BZ3:CA3 CD3:CF3">
    <cfRule type="cellIs" dxfId="2316" priority="80" operator="greaterThan">
      <formula>0</formula>
    </cfRule>
  </conditionalFormatting>
  <conditionalFormatting sqref="IC3:IK3">
    <cfRule type="expression" dxfId="2315" priority="81">
      <formula>$IL3&gt;0</formula>
    </cfRule>
  </conditionalFormatting>
  <conditionalFormatting sqref="J3">
    <cfRule type="colorScale" priority="105">
      <colorScale>
        <cfvo type="min"/>
        <cfvo type="percentile" val="50"/>
        <cfvo type="max"/>
        <color rgb="FFF8696B"/>
        <color rgb="FFFFEB84"/>
        <color rgb="FF63BE7B"/>
      </colorScale>
    </cfRule>
  </conditionalFormatting>
  <conditionalFormatting sqref="S3">
    <cfRule type="colorScale" priority="106">
      <colorScale>
        <cfvo type="min"/>
        <cfvo type="max"/>
        <color rgb="FFFCFCFF"/>
        <color rgb="FF754BFB"/>
      </colorScale>
    </cfRule>
  </conditionalFormatting>
  <conditionalFormatting sqref="AT3">
    <cfRule type="colorScale" priority="107">
      <colorScale>
        <cfvo type="min"/>
        <cfvo type="max"/>
        <color rgb="FFFCFCFF"/>
        <color theme="8" tint="0.39997558519241921"/>
      </colorScale>
    </cfRule>
  </conditionalFormatting>
  <conditionalFormatting sqref="CG3">
    <cfRule type="colorScale" priority="108">
      <colorScale>
        <cfvo type="min"/>
        <cfvo type="max"/>
        <color rgb="FFFCFCFF"/>
        <color rgb="FF63BE7B"/>
      </colorScale>
    </cfRule>
  </conditionalFormatting>
  <conditionalFormatting sqref="H4">
    <cfRule type="cellIs" dxfId="2314" priority="41" stopIfTrue="1" operator="notEqual">
      <formula>""</formula>
    </cfRule>
  </conditionalFormatting>
  <conditionalFormatting sqref="R4 CU4">
    <cfRule type="cellIs" dxfId="2313" priority="43" operator="greaterThan">
      <formula>0</formula>
    </cfRule>
  </conditionalFormatting>
  <conditionalFormatting sqref="T4:AS4 CH4:CS4">
    <cfRule type="cellIs" dxfId="2312" priority="38" stopIfTrue="1" operator="equal">
      <formula>"n"</formula>
    </cfRule>
    <cfRule type="cellIs" dxfId="2311" priority="39" stopIfTrue="1" operator="equal">
      <formula>"y"</formula>
    </cfRule>
    <cfRule type="cellIs" dxfId="2310" priority="40" operator="greaterThan">
      <formula>0</formula>
    </cfRule>
  </conditionalFormatting>
  <conditionalFormatting sqref="AZ4:BB4">
    <cfRule type="expression" dxfId="2309" priority="37">
      <formula>$AT4=0</formula>
    </cfRule>
  </conditionalFormatting>
  <conditionalFormatting sqref="AZ4:BU4">
    <cfRule type="cellIs" dxfId="2308" priority="46" operator="equal">
      <formula>"PIN"</formula>
    </cfRule>
    <cfRule type="cellIs" dxfId="2307" priority="47" operator="equal">
      <formula>"ORA"</formula>
    </cfRule>
    <cfRule type="cellIs" dxfId="2306" priority="48" operator="equal">
      <formula>"GRA"</formula>
    </cfRule>
    <cfRule type="cellIs" dxfId="2305" priority="49" operator="equal">
      <formula>"PUR"</formula>
    </cfRule>
    <cfRule type="cellIs" dxfId="2304" priority="50" operator="equal">
      <formula>"BRO"</formula>
    </cfRule>
    <cfRule type="cellIs" dxfId="2303" priority="51" operator="equal">
      <formula>"YEL"</formula>
    </cfRule>
    <cfRule type="cellIs" dxfId="2302" priority="52" operator="equal">
      <formula>"BLU"</formula>
    </cfRule>
    <cfRule type="cellIs" dxfId="2301" priority="53" operator="equal">
      <formula>"WHI"</formula>
    </cfRule>
    <cfRule type="cellIs" dxfId="2300" priority="54" operator="equal">
      <formula>"GRE"</formula>
    </cfRule>
    <cfRule type="cellIs" dxfId="2299" priority="55" operator="equal">
      <formula>"RED"</formula>
    </cfRule>
    <cfRule type="cellIs" dxfId="2298" priority="56" operator="equal">
      <formula>"BLA"</formula>
    </cfRule>
  </conditionalFormatting>
  <conditionalFormatting sqref="BV4">
    <cfRule type="cellIs" dxfId="2297" priority="68" operator="equal">
      <formula>"nc"</formula>
    </cfRule>
  </conditionalFormatting>
  <conditionalFormatting sqref="BX4:CA4 CD4:CF4">
    <cfRule type="cellIs" dxfId="2296" priority="42" operator="equal">
      <formula>"y"</formula>
    </cfRule>
    <cfRule type="cellIs" dxfId="2295" priority="57" operator="equal">
      <formula>"PIN"</formula>
    </cfRule>
    <cfRule type="cellIs" dxfId="2294" priority="58" operator="equal">
      <formula>"ORA"</formula>
    </cfRule>
    <cfRule type="cellIs" dxfId="2293" priority="59" operator="equal">
      <formula>"GRA"</formula>
    </cfRule>
    <cfRule type="cellIs" dxfId="2292" priority="60" operator="equal">
      <formula>"PUR"</formula>
    </cfRule>
    <cfRule type="cellIs" dxfId="2291" priority="61" operator="equal">
      <formula>"BRO"</formula>
    </cfRule>
    <cfRule type="cellIs" dxfId="2290" priority="62" operator="equal">
      <formula>"YEL"</formula>
    </cfRule>
    <cfRule type="cellIs" dxfId="2289" priority="63" operator="equal">
      <formula>"BLU"</formula>
    </cfRule>
    <cfRule type="cellIs" dxfId="2288" priority="64" operator="equal">
      <formula>"WHI"</formula>
    </cfRule>
    <cfRule type="cellIs" dxfId="2287" priority="65" operator="equal">
      <formula>"GRE"</formula>
    </cfRule>
    <cfRule type="cellIs" dxfId="2286" priority="66" operator="equal">
      <formula>"RED"</formula>
    </cfRule>
    <cfRule type="cellIs" dxfId="2285" priority="67" operator="equal">
      <formula>"BLA"</formula>
    </cfRule>
  </conditionalFormatting>
  <conditionalFormatting sqref="BZ4:CA4 CD4:CF4">
    <cfRule type="cellIs" dxfId="2284" priority="44" operator="greaterThan">
      <formula>0</formula>
    </cfRule>
  </conditionalFormatting>
  <conditionalFormatting sqref="IC4:IK4">
    <cfRule type="expression" dxfId="2283" priority="45">
      <formula>$IL4&gt;0</formula>
    </cfRule>
  </conditionalFormatting>
  <conditionalFormatting sqref="J4">
    <cfRule type="colorScale" priority="69">
      <colorScale>
        <cfvo type="min"/>
        <cfvo type="percentile" val="50"/>
        <cfvo type="max"/>
        <color rgb="FFF8696B"/>
        <color rgb="FFFFEB84"/>
        <color rgb="FF63BE7B"/>
      </colorScale>
    </cfRule>
  </conditionalFormatting>
  <conditionalFormatting sqref="S4">
    <cfRule type="colorScale" priority="70">
      <colorScale>
        <cfvo type="min"/>
        <cfvo type="max"/>
        <color rgb="FFFCFCFF"/>
        <color rgb="FF754BFB"/>
      </colorScale>
    </cfRule>
  </conditionalFormatting>
  <conditionalFormatting sqref="AT4">
    <cfRule type="colorScale" priority="71">
      <colorScale>
        <cfvo type="min"/>
        <cfvo type="max"/>
        <color rgb="FFFCFCFF"/>
        <color theme="8" tint="0.39997558519241921"/>
      </colorScale>
    </cfRule>
  </conditionalFormatting>
  <conditionalFormatting sqref="CG4">
    <cfRule type="colorScale" priority="72">
      <colorScale>
        <cfvo type="min"/>
        <cfvo type="max"/>
        <color rgb="FFFCFCFF"/>
        <color rgb="FF63BE7B"/>
      </colorScale>
    </cfRule>
  </conditionalFormatting>
  <conditionalFormatting sqref="H5">
    <cfRule type="cellIs" dxfId="2282" priority="5" stopIfTrue="1" operator="notEqual">
      <formula>""</formula>
    </cfRule>
  </conditionalFormatting>
  <conditionalFormatting sqref="R5 CU5">
    <cfRule type="cellIs" dxfId="2281" priority="7" operator="greaterThan">
      <formula>0</formula>
    </cfRule>
  </conditionalFormatting>
  <conditionalFormatting sqref="T5:AS5 CH5:CS5">
    <cfRule type="cellIs" dxfId="2280" priority="2" stopIfTrue="1" operator="equal">
      <formula>"n"</formula>
    </cfRule>
    <cfRule type="cellIs" dxfId="2279" priority="3" stopIfTrue="1" operator="equal">
      <formula>"y"</formula>
    </cfRule>
    <cfRule type="cellIs" dxfId="2278" priority="4" operator="greaterThan">
      <formula>0</formula>
    </cfRule>
  </conditionalFormatting>
  <conditionalFormatting sqref="AZ5:BB5">
    <cfRule type="expression" dxfId="2277" priority="1">
      <formula>$AT5=0</formula>
    </cfRule>
  </conditionalFormatting>
  <conditionalFormatting sqref="AZ5:BU5">
    <cfRule type="cellIs" dxfId="2276" priority="10" operator="equal">
      <formula>"PIN"</formula>
    </cfRule>
    <cfRule type="cellIs" dxfId="2275" priority="11" operator="equal">
      <formula>"ORA"</formula>
    </cfRule>
    <cfRule type="cellIs" dxfId="2274" priority="12" operator="equal">
      <formula>"GRA"</formula>
    </cfRule>
    <cfRule type="cellIs" dxfId="2273" priority="13" operator="equal">
      <formula>"PUR"</formula>
    </cfRule>
    <cfRule type="cellIs" dxfId="2272" priority="14" operator="equal">
      <formula>"BRO"</formula>
    </cfRule>
    <cfRule type="cellIs" dxfId="2271" priority="15" operator="equal">
      <formula>"YEL"</formula>
    </cfRule>
    <cfRule type="cellIs" dxfId="2270" priority="16" operator="equal">
      <formula>"BLU"</formula>
    </cfRule>
    <cfRule type="cellIs" dxfId="2269" priority="17" operator="equal">
      <formula>"WHI"</formula>
    </cfRule>
    <cfRule type="cellIs" dxfId="2268" priority="18" operator="equal">
      <formula>"GRE"</formula>
    </cfRule>
    <cfRule type="cellIs" dxfId="2267" priority="19" operator="equal">
      <formula>"RED"</formula>
    </cfRule>
    <cfRule type="cellIs" dxfId="2266" priority="20" operator="equal">
      <formula>"BLA"</formula>
    </cfRule>
  </conditionalFormatting>
  <conditionalFormatting sqref="BV5">
    <cfRule type="cellIs" dxfId="2265" priority="32" operator="equal">
      <formula>"nc"</formula>
    </cfRule>
  </conditionalFormatting>
  <conditionalFormatting sqref="BX5:CA5 CD5:CF5">
    <cfRule type="cellIs" dxfId="2264" priority="6" operator="equal">
      <formula>"y"</formula>
    </cfRule>
    <cfRule type="cellIs" dxfId="2263" priority="21" operator="equal">
      <formula>"PIN"</formula>
    </cfRule>
    <cfRule type="cellIs" dxfId="2262" priority="22" operator="equal">
      <formula>"ORA"</formula>
    </cfRule>
    <cfRule type="cellIs" dxfId="2261" priority="23" operator="equal">
      <formula>"GRA"</formula>
    </cfRule>
    <cfRule type="cellIs" dxfId="2260" priority="24" operator="equal">
      <formula>"PUR"</formula>
    </cfRule>
    <cfRule type="cellIs" dxfId="2259" priority="25" operator="equal">
      <formula>"BRO"</formula>
    </cfRule>
    <cfRule type="cellIs" dxfId="2258" priority="26" operator="equal">
      <formula>"YEL"</formula>
    </cfRule>
    <cfRule type="cellIs" dxfId="2257" priority="27" operator="equal">
      <formula>"BLU"</formula>
    </cfRule>
    <cfRule type="cellIs" dxfId="2256" priority="28" operator="equal">
      <formula>"WHI"</formula>
    </cfRule>
    <cfRule type="cellIs" dxfId="2255" priority="29" operator="equal">
      <formula>"GRE"</formula>
    </cfRule>
    <cfRule type="cellIs" dxfId="2254" priority="30" operator="equal">
      <formula>"RED"</formula>
    </cfRule>
    <cfRule type="cellIs" dxfId="2253" priority="31" operator="equal">
      <formula>"BLA"</formula>
    </cfRule>
  </conditionalFormatting>
  <conditionalFormatting sqref="BZ5:CA5 CD5:CF5">
    <cfRule type="cellIs" dxfId="2252" priority="8" operator="greaterThan">
      <formula>0</formula>
    </cfRule>
  </conditionalFormatting>
  <conditionalFormatting sqref="IC5:IK5">
    <cfRule type="expression" dxfId="2251" priority="9">
      <formula>$IL5&gt;0</formula>
    </cfRule>
  </conditionalFormatting>
  <conditionalFormatting sqref="J5">
    <cfRule type="colorScale" priority="33">
      <colorScale>
        <cfvo type="min"/>
        <cfvo type="percentile" val="50"/>
        <cfvo type="max"/>
        <color rgb="FFF8696B"/>
        <color rgb="FFFFEB84"/>
        <color rgb="FF63BE7B"/>
      </colorScale>
    </cfRule>
  </conditionalFormatting>
  <conditionalFormatting sqref="S5">
    <cfRule type="colorScale" priority="34">
      <colorScale>
        <cfvo type="min"/>
        <cfvo type="max"/>
        <color rgb="FFFCFCFF"/>
        <color rgb="FF754BFB"/>
      </colorScale>
    </cfRule>
  </conditionalFormatting>
  <conditionalFormatting sqref="AT5">
    <cfRule type="colorScale" priority="35">
      <colorScale>
        <cfvo type="min"/>
        <cfvo type="max"/>
        <color rgb="FFFCFCFF"/>
        <color theme="8" tint="0.39997558519241921"/>
      </colorScale>
    </cfRule>
  </conditionalFormatting>
  <conditionalFormatting sqref="CG5">
    <cfRule type="colorScale" priority="36">
      <colorScale>
        <cfvo type="min"/>
        <cfvo type="max"/>
        <color rgb="FFFCFCFF"/>
        <color rgb="FF63BE7B"/>
      </colorScale>
    </cfRule>
  </conditionalFormatting>
  <hyperlinks>
    <hyperlink ref="A2" r:id="rId1" display="https://fbref.com/en/country/NCL/New-Caledonia-Football" xr:uid="{4FF36EB0-E11D-44A4-A600-6FA1A8FBDCB6}"/>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EDFD4-E3E5-4347-9B71-405A757179DA}">
  <dimension ref="A1:IY16"/>
  <sheetViews>
    <sheetView zoomScale="70" zoomScaleNormal="70" workbookViewId="0">
      <selection activeCell="A16" sqref="A16:XFD16"/>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261</v>
      </c>
      <c r="B2" s="40" t="e" vm="68">
        <v>#VALUE!</v>
      </c>
      <c r="C2" s="41">
        <v>1</v>
      </c>
      <c r="D2" s="42" t="s">
        <v>262</v>
      </c>
      <c r="E2" s="43" t="s">
        <v>263</v>
      </c>
      <c r="F2" s="44" t="s">
        <v>166</v>
      </c>
      <c r="G2" s="45">
        <f>COUNTIF($A$1:$A$8354,A2)</f>
        <v>1</v>
      </c>
      <c r="H2" s="46"/>
      <c r="I2" s="47" t="s">
        <v>264</v>
      </c>
      <c r="J2" s="48" t="str">
        <f>""</f>
        <v/>
      </c>
      <c r="K2" s="49">
        <v>5305000</v>
      </c>
      <c r="L2" s="50">
        <v>4900000</v>
      </c>
      <c r="M2" s="50" t="s">
        <v>265</v>
      </c>
      <c r="N2" s="51" t="s">
        <v>169</v>
      </c>
      <c r="O2" s="52" t="s">
        <v>266</v>
      </c>
      <c r="P2" s="53" t="s">
        <v>267</v>
      </c>
      <c r="Q2" s="54">
        <v>2</v>
      </c>
      <c r="R2" s="55" t="s">
        <v>169</v>
      </c>
      <c r="S2" s="56">
        <v>0</v>
      </c>
      <c r="T2" s="57" t="s">
        <v>173</v>
      </c>
      <c r="U2" s="58" t="s">
        <v>172</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4</v>
      </c>
      <c r="AU2" s="59"/>
      <c r="AV2" s="59" t="str">
        <f>IF(LEFT(A2,1)="[",LEFT(A2,5)&amp;AU2&amp;A2,"")</f>
        <v/>
      </c>
      <c r="AW2" s="59" t="str">
        <f>C2&amp;H2&amp;A2</f>
        <v>1New Zealand</v>
      </c>
      <c r="AX2" s="61"/>
      <c r="AY2" s="61"/>
      <c r="AZ2" s="62" t="s">
        <v>192</v>
      </c>
      <c r="BA2" s="62"/>
      <c r="BB2" s="62"/>
      <c r="BC2" s="63"/>
      <c r="BD2" s="64" t="s">
        <v>159</v>
      </c>
      <c r="BE2" s="47"/>
      <c r="BF2" s="64" t="s">
        <v>192</v>
      </c>
      <c r="BG2" s="64" t="s">
        <v>192</v>
      </c>
      <c r="BH2" s="64" t="s">
        <v>192</v>
      </c>
      <c r="BI2" s="64"/>
      <c r="BJ2" s="64"/>
      <c r="BK2" s="47"/>
      <c r="BL2" s="64" t="s">
        <v>151</v>
      </c>
      <c r="BM2" s="64" t="s">
        <v>152</v>
      </c>
      <c r="BN2" s="64" t="s">
        <v>192</v>
      </c>
      <c r="BO2" s="64" t="s">
        <v>154</v>
      </c>
      <c r="BP2" s="64" t="s">
        <v>155</v>
      </c>
      <c r="BQ2" s="64" t="s">
        <v>192</v>
      </c>
      <c r="BR2" s="64" t="s">
        <v>192</v>
      </c>
      <c r="BS2" s="64" t="s">
        <v>192</v>
      </c>
      <c r="BT2" s="64" t="s">
        <v>159</v>
      </c>
      <c r="BU2" s="65"/>
      <c r="BV2" s="66"/>
      <c r="BW2" s="66">
        <v>0</v>
      </c>
      <c r="BX2" s="47"/>
      <c r="CB2" s="6"/>
      <c r="CC2" s="6"/>
      <c r="CD2" s="67">
        <v>0</v>
      </c>
      <c r="CE2" s="67">
        <v>0</v>
      </c>
      <c r="CF2" s="67" t="e">
        <v>#REF!</v>
      </c>
      <c r="CG2" s="68" cm="1">
        <f t="array" ref="CG2">SUMPRODUCT(--(LEN(TRIM(BL2:BT2))&gt;0))</f>
        <v>5</v>
      </c>
      <c r="CH2" s="59" t="str">
        <f t="shared" ref="CH2:CH6" si="0">IF(CG2=2,"y","n")</f>
        <v>n</v>
      </c>
      <c r="CI2" s="59" t="str">
        <f t="shared" ref="CI2:CI6" si="1">IF(CG2=3,"y","n")</f>
        <v>n</v>
      </c>
      <c r="CJ2" s="59" t="str">
        <f t="shared" ref="CJ2:CJ6" si="2">IF(CG2=4,"y","n")</f>
        <v>n</v>
      </c>
      <c r="CK2" s="59" t="str">
        <f t="shared" ref="CK2:CK6" si="3">IF(CG2&gt;4,"y","n")</f>
        <v>y</v>
      </c>
      <c r="CL2" s="59" t="str">
        <f t="shared" ref="CL2:CL6" si="4">IF(S2=0,"y","n")</f>
        <v>y</v>
      </c>
      <c r="CM2" s="59" t="str">
        <f t="shared" ref="CM2:CM6" si="5">IF(S2=2,"y","n")</f>
        <v>n</v>
      </c>
      <c r="CN2" s="59" t="str">
        <f t="shared" ref="CN2:CN6" si="6">IF(S2=3,"y","n")</f>
        <v>n</v>
      </c>
      <c r="CO2" s="59" t="str">
        <f t="shared" ref="CO2:CO6" si="7">IF(S2&gt;=4,"y","n")</f>
        <v>n</v>
      </c>
      <c r="CP2" s="59" t="str">
        <f t="shared" ref="CP2:CP6" si="8">IF(AT2=0,"y","n")</f>
        <v>n</v>
      </c>
      <c r="CQ2" s="59" t="str">
        <f t="shared" ref="CQ2:CQ6" si="9">IF(AT2=1,"y","n")</f>
        <v>n</v>
      </c>
      <c r="CR2" s="59" t="str">
        <f t="shared" ref="CR2:CR6" si="10">IF(AT2=2,"y","n")</f>
        <v>n</v>
      </c>
      <c r="CS2" s="59" t="str">
        <f t="shared" ref="CS2:CS6" si="11">IF(AT2&gt;=3,"y","n")</f>
        <v>y</v>
      </c>
      <c r="CT2" s="69" t="str">
        <f t="shared" ref="CT2:CT6" si="12">CHAR(34)&amp;A2&amp;CHAR(34)</f>
        <v>"New Zealand"</v>
      </c>
      <c r="CU2" s="70" t="str">
        <f t="shared" ref="CU2:CU6" si="13">CHAR(34)&amp;"rgn_"&amp;R2&amp;CHAR(34)</f>
        <v>"rgn_Oceania"</v>
      </c>
      <c r="CV2" s="48" t="str">
        <f t="shared" ref="CV2:CV6" si="14">CHAR(34)&amp;D2&amp;CHAR(34)</f>
        <v>"https://i.ibb.co/Y8G5GLw/New-Zealand-Flag.png"</v>
      </c>
      <c r="CW2" s="48" t="str">
        <f t="shared" ref="CW2:CZ16" si="15">IF(CH2="y",CHAR(34)&amp;CH$1&amp;CHAR(34)&amp;",","")</f>
        <v/>
      </c>
      <c r="CX2" s="48" t="str">
        <f t="shared" si="15"/>
        <v/>
      </c>
      <c r="CY2" s="48" t="str">
        <f t="shared" si="15"/>
        <v/>
      </c>
      <c r="CZ2" s="48" t="str">
        <f t="shared" si="15"/>
        <v>"5+Colo",</v>
      </c>
      <c r="DA2" s="48" t="str">
        <f t="shared" ref="DA2:DA6" si="16">IF(Q2&gt;1,CHAR(34)&amp;"words2"&amp;CHAR(34)&amp;",","")</f>
        <v>"words2",</v>
      </c>
      <c r="DB2" s="48" t="str">
        <f t="shared" ref="DB2:DB6" si="17">IF(Q2&gt;2,CHAR(34)&amp;"words3"&amp;CHAR(34)&amp;",","")</f>
        <v/>
      </c>
      <c r="DC2" s="48" t="str">
        <f t="shared" ref="DC2" si="18">IF(Q2=2,CHAR(34)&amp;"exact2"&amp;CHAR(34)&amp;",","")</f>
        <v>"exact2",</v>
      </c>
      <c r="DD2" s="48" t="str">
        <f t="shared" ref="DD2" si="19">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"lets10",</v>
      </c>
      <c r="DE2" s="48" t="str">
        <f t="shared" ref="DE2" si="20">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 t="shared" ref="DF2:DF6" si="21">IFERROR(IF(SEARCH("tan",A2)&gt;0,CHAR(34)&amp;"withtn"&amp;CHAR(34)&amp;",",""),"")</f>
        <v/>
      </c>
      <c r="DG2" s="48" t="str">
        <f t="shared" ref="DG2:DG6" si="22">IFERROR(IF(SEARCH("q",A2)&gt;0,CHAR(34)&amp;"with_q"&amp;CHAR(34)&amp;",",""),"")</f>
        <v/>
      </c>
      <c r="DH2" s="48" t="str">
        <f t="shared" ref="DH2:DH6" si="23">IFERROR(IF(SEARCH("v",A2)&gt;0,CHAR(34)&amp;"with_v"&amp;CHAR(34)&amp;",",""),"")</f>
        <v/>
      </c>
      <c r="DI2" s="48" t="str">
        <f t="shared" ref="DI2:DI6" si="24">IFERROR(IF(SEARCH("w",A2)&gt;0,CHAR(34)&amp;"with_w"&amp;CHAR(34)&amp;",",""),"")</f>
        <v>"with_w",</v>
      </c>
      <c r="DJ2" s="48" t="str">
        <f t="shared" ref="DJ2:DJ6" si="25">IFERROR(IF(SEARCH("y",A2)&gt;0,CHAR(34)&amp;"with_y"&amp;CHAR(34)&amp;",",""),"")</f>
        <v/>
      </c>
      <c r="DK2" s="48" t="str">
        <f t="shared" ref="DK2:DK6" si="26">IFERROR(IF(SEARCH("z",A2)&gt;0,CHAR(34)&amp;"with_z"&amp;CHAR(34)&amp;",",""),"")</f>
        <v>"with_z",</v>
      </c>
      <c r="DL2" s="48" t="str">
        <f t="shared" ref="DL2:DL6" si="27">IF(CG2=2, CHAR(34) &amp; _xlfn.TEXTJOIN("", TRUE, _xlfn._xlws.SORT(HP2:HX2)) &amp; CHAR(34) &amp; ",", "")</f>
        <v/>
      </c>
      <c r="DM2" s="48" t="str" cm="1">
        <f t="array" ref="DM2">IF(CG2=3,CHAR(34) &amp; _xlfn.TEXTJOIN("", TRUE, RIGHT(HP2:HX2, 2)) &amp; CHAR(34) &amp; ",", "")</f>
        <v/>
      </c>
      <c r="DN2" s="48" t="str">
        <f t="shared" ref="DN2:DN6" si="28">IF(AND(ISNUMBER(SEARCH("18", O2)), ISERROR(SEARCH("1918", O2)), ISERROR(SEARCH("2018", O2))), CHAR(34) &amp; "year18" &amp; CHAR(34) &amp; ",", "")</f>
        <v/>
      </c>
      <c r="DO2" s="48" t="str">
        <f t="shared" ref="DO2:DO6" si="29">IF(AND(ISNUMBER(SEARCH("19", O2)), ISERROR(SEARCH("1819", O2)),  ISERROR(SEARCH("1219", O2)),ISERROR(SEARCH("1119", O2)),ISERROR(SEARCH("1190", O2)),ISERROR(SEARCH("2019", O2))), CHAR(34) &amp; "year19" &amp; CHAR(34) &amp; ",", "")</f>
        <v>"year19",</v>
      </c>
      <c r="DP2" s="6" t="str">
        <f t="shared" ref="DP2:DP6" si="30">IF(AND(ISNUMBER(SEARCH("20", O2)), ISERROR(SEARCH("1920", O2))), CHAR(34)&amp;"year00"&amp;CHAR(34)&amp;",", "")</f>
        <v/>
      </c>
      <c r="DQ2" s="6" t="str">
        <f t="shared" ref="DQ2:DQ6" si="31">IF(CC2="y",CHAR(34)&amp;"soviet"&amp;CHAR(34)&amp;",","")</f>
        <v/>
      </c>
      <c r="DR2" s="6" t="str">
        <f t="shared" ref="DR2:DR6" si="32">IF(BY2="y",CHAR(34)&amp;"dgband"&amp;CHAR(34)&amp;",","")</f>
        <v/>
      </c>
      <c r="DS2" s="6" t="str">
        <f t="shared" ref="DS2:DS6" si="33">IF(W2="y",IF(AND(V2="n",BY2&lt;&gt;"y"),CHAR(34)&amp;"allver"&amp;CHAR(34)&amp;",",""),"")</f>
        <v/>
      </c>
      <c r="DT2" s="6" t="str">
        <f t="shared" ref="DT2:DT6" si="34">IF(V2="y",IF(AND(W2="n",BY2&lt;&gt;"y"),CHAR(34)&amp;"allhor"&amp;CHAR(34)&amp;",",""),"")</f>
        <v/>
      </c>
      <c r="DU2" s="6" t="str">
        <f t="shared" ref="DU2:DU6" si="35">IF(BY2="y",IF(AND(W2="n",V2="n"),CHAR(34)&amp;"alldia"&amp;CHAR(34)&amp;",",""),"")</f>
        <v/>
      </c>
      <c r="DV2" s="48" t="str">
        <f t="shared" ref="DV2" si="36">IF(IA2&lt;&gt;"",(IF(IA2="y",CHAR(34)&amp;"largec"&amp;CHAR(34)&amp;",",CHAR(34)&amp;"smallc"&amp;CHAR(34)&amp;",")),"")</f>
        <v>"largec",</v>
      </c>
      <c r="DW2" s="48" t="str">
        <f t="shared" ref="DW2:DZ16" si="37">IF(CL2="y",CHAR(34)&amp;CL$1&amp;CHAR(34)&amp;",","")</f>
        <v>"NoBand",</v>
      </c>
      <c r="DX2" s="48" t="str">
        <f t="shared" si="37"/>
        <v/>
      </c>
      <c r="DY2" s="48" t="str">
        <f t="shared" si="37"/>
        <v/>
      </c>
      <c r="DZ2" s="48" t="str">
        <f t="shared" si="37"/>
        <v/>
      </c>
      <c r="EA2" s="48" t="str">
        <f t="shared" ref="EA2:EE16" si="38">IF(T2="y",CHAR(34)&amp;T$1&amp;CHAR(34)&amp;",","")</f>
        <v/>
      </c>
      <c r="EB2" s="48" t="str">
        <f t="shared" si="38"/>
        <v>"Crosse",</v>
      </c>
      <c r="EC2" s="48" t="str">
        <f t="shared" si="38"/>
        <v/>
      </c>
      <c r="ED2" s="48" t="str">
        <f t="shared" si="38"/>
        <v/>
      </c>
      <c r="EE2" s="48" t="str">
        <f t="shared" si="38"/>
        <v/>
      </c>
      <c r="EF2" s="48" t="str">
        <f t="shared" ref="EF2:EF6" si="39">IF(AND(Y2&lt;&gt;"n",Y2&lt;&gt;""),CHAR(34)&amp;Y$1&amp;CHAR(34)&amp;",","")</f>
        <v/>
      </c>
      <c r="EG2" s="48" t="str">
        <f t="shared" ref="EG2:EZ14" si="40">IF(Z2="y",CHAR(34)&amp;Z$1&amp;CHAR(34)&amp;",","")</f>
        <v/>
      </c>
      <c r="EH2" s="48" t="str">
        <f t="shared" si="40"/>
        <v/>
      </c>
      <c r="EI2" s="48" t="str">
        <f t="shared" si="40"/>
        <v/>
      </c>
      <c r="EJ2" s="48" t="str">
        <f t="shared" si="40"/>
        <v/>
      </c>
      <c r="EK2" s="48" t="str">
        <f t="shared" si="40"/>
        <v/>
      </c>
      <c r="EL2" s="48" t="str">
        <f t="shared" si="40"/>
        <v/>
      </c>
      <c r="EM2" s="48" t="str">
        <f t="shared" si="40"/>
        <v/>
      </c>
      <c r="EN2" s="48" t="str">
        <f t="shared" si="40"/>
        <v/>
      </c>
      <c r="EO2" s="48" t="str">
        <f t="shared" si="40"/>
        <v/>
      </c>
      <c r="EP2" s="48" t="str">
        <f t="shared" si="40"/>
        <v>"Canton",</v>
      </c>
      <c r="EQ2" s="48" t="str">
        <f t="shared" si="40"/>
        <v/>
      </c>
      <c r="ER2" s="48" t="str">
        <f t="shared" si="40"/>
        <v/>
      </c>
      <c r="ES2" s="48" t="str">
        <f t="shared" si="40"/>
        <v/>
      </c>
      <c r="ET2" s="48" t="str">
        <f t="shared" si="40"/>
        <v/>
      </c>
      <c r="EU2" s="48" t="str">
        <f t="shared" si="40"/>
        <v/>
      </c>
      <c r="EV2" s="48" t="str">
        <f t="shared" si="40"/>
        <v/>
      </c>
      <c r="EW2" s="48" t="str">
        <f t="shared" si="40"/>
        <v/>
      </c>
      <c r="EX2" s="48" t="str">
        <f t="shared" si="40"/>
        <v/>
      </c>
      <c r="EY2" s="48" t="str">
        <f t="shared" si="40"/>
        <v/>
      </c>
      <c r="EZ2" s="48" t="str">
        <f t="shared" si="40"/>
        <v/>
      </c>
      <c r="FA2" s="48" t="str">
        <f t="shared" ref="FA2:FA6" si="41">IF(AT2&gt;0,CHAR(34)&amp;"sta"&amp;AZ2&amp;CHAR(34)&amp;",","")</f>
        <v>"sta",</v>
      </c>
      <c r="FB2" s="48" t="str">
        <f t="shared" ref="FB2:FB6" si="42">IF(AND(AT2&gt;0,BA2&lt;&gt;""),CHAR(34)&amp;"sta"&amp;BA2&amp;CHAR(34)&amp;",","")</f>
        <v/>
      </c>
      <c r="FC2" s="48" t="str">
        <f t="shared" ref="FC2" si="43">IF(AND(AT2&gt;0,BB2&lt;&gt;""),CHAR(34)&amp;"sta"&amp;BB2&amp;CHAR(34)&amp;",","")</f>
        <v/>
      </c>
      <c r="FD2" s="48" t="str">
        <f t="shared" ref="FD2:FD6" si="44">IF(BV2="n",CHAR(34)&amp;"tcWHYE"&amp;CHAR(34)&amp;",",IF(BV2="y",CHAR(34)&amp;FD$1&amp;CHAR(34)&amp;",",""))</f>
        <v/>
      </c>
      <c r="FE2" s="48" t="str">
        <f t="shared" ref="FE2:FE6" si="45">IF(COUNTIF(BL2:BT2,"BLU")=0,CHAR(34)&amp;"NO_BLU"&amp;CHAR(34)&amp;",", "")</f>
        <v/>
      </c>
      <c r="FF2" s="48" t="str">
        <f t="shared" ref="FF2:FF6" si="46">IF(COUNTIF(BL2:BT2,"WHI")=0,CHAR(34)&amp;"NO_WHI"&amp;CHAR(34)&amp;",", "")</f>
        <v/>
      </c>
      <c r="FG2" s="48" t="str">
        <f t="shared" ref="FG2:FG6" si="47">IF(COUNTIF(BL2:BT2,"RED")=0,CHAR(34)&amp;"NO_RED"&amp;CHAR(34)&amp;",", "")</f>
        <v/>
      </c>
      <c r="FH2" s="48" t="str">
        <f t="shared" ref="FH2:FH6" si="48">IF(COUNTIF(BL2:BS2,"GRE")=0,CHAR(34)&amp;"NO_GRE"&amp;CHAR(34)&amp;",", "")</f>
        <v>"NO_GRE",</v>
      </c>
      <c r="FI2" s="48" t="str">
        <f t="shared" ref="FI2:FI6" si="49">IF(COUNTIF(BL2:BT2,"YEL")=0,CHAR(34)&amp;"NO_YEL"&amp;CHAR(34)&amp;",", "")</f>
        <v/>
      </c>
      <c r="FJ2" s="48" t="str">
        <f t="shared" ref="FJ2:FJ6" si="50">IF(COUNTIF(BL2:BT2,"BLA")=0,CHAR(34)&amp;"NO_BLA"&amp;CHAR(34)&amp;",", "")</f>
        <v/>
      </c>
      <c r="FK2" s="48" t="str">
        <f t="shared" ref="FK2:FK6" si="51">IF(AND(FH2&lt;&gt;"",FF2&lt;&gt;""),CHAR(34)&amp;"WHGRNO"&amp;CHAR(34)&amp;",","")</f>
        <v/>
      </c>
      <c r="FL2" s="48" t="str">
        <f t="shared" ref="FL2:FL6" si="52">IF(AND(FI2&lt;&gt;"",FF2&lt;&gt;""),CHAR(34)&amp;"WHYENO"&amp;CHAR(34)&amp;",","")</f>
        <v/>
      </c>
      <c r="FM2" s="48" t="str">
        <f t="shared" ref="FM2:FM6" si="53">IF(AND(FJ2&lt;&gt;"",FF2&lt;&gt;""),CHAR(34)&amp;"BAWHNO"&amp;CHAR(34)&amp;",","")</f>
        <v/>
      </c>
      <c r="FN2" s="48" t="str">
        <f t="shared" ref="FN2:FN6" si="54">IF(AND(FE2&lt;&gt;"",FF2&lt;&gt;""),CHAR(34)&amp;"BLWHNO"&amp;CHAR(34)&amp;",","")</f>
        <v/>
      </c>
      <c r="FO2" s="48" t="str">
        <f t="shared" ref="FO2:FO6" si="55">IF(AND(FE2&lt;&gt;"",FG2&lt;&gt;""),CHAR(34)&amp;"BLRENO"&amp;CHAR(34)&amp;",","")</f>
        <v/>
      </c>
      <c r="FP2" s="48" t="str">
        <f t="shared" ref="FP2:FP6" si="56">IF(AND(FF2&lt;&gt;"",FF2&lt;&gt;""),CHAR(34)&amp;"WHRENO"&amp;CHAR(34)&amp;",","")</f>
        <v/>
      </c>
      <c r="FQ2" s="48" t="str">
        <f t="shared" ref="FQ2:FQ6" si="57">IF(LEN(BF2)=3,CHAR(34)&amp;"001"&amp;BF2&amp;CHAR(34)&amp;",","")</f>
        <v/>
      </c>
      <c r="FR2" s="48" t="str">
        <f t="shared" ref="FR2:FR6" si="58">IF(LEN(BG2)=3,CHAR(34)&amp;"002"&amp;BG2&amp;CHAR(34)&amp;",","")</f>
        <v/>
      </c>
      <c r="FS2" s="48" t="str">
        <f t="shared" ref="FS2:FS6" si="59">IF(LEN(BH2)=3,CHAR(34)&amp;"003"&amp;BH2&amp;CHAR(34)&amp;",","")</f>
        <v/>
      </c>
      <c r="FT2" s="48" t="str">
        <f t="shared" ref="FT2:FT6" si="60">CHAR(34)&amp;"myr"&amp;BD2&amp;CHAR(34)&amp;","</f>
        <v>"myrWHI",</v>
      </c>
      <c r="FU2" s="48" t="str">
        <f t="shared" ref="FU2:FU6" si="61">IF(AY2="y",CHAR(34)&amp;"island"&amp;CHAR(34)&amp;",","")</f>
        <v/>
      </c>
      <c r="FV2" s="48" t="str">
        <f t="shared" ref="FV2:FV6" si="62">IF(BZ2="y",CHAR(34)&amp;"landlo"&amp;CHAR(34)&amp;",","")</f>
        <v/>
      </c>
      <c r="FW2" s="48" t="str">
        <f t="shared" ref="FW2:FW6" si="63">IF(CA2="y",CHAR(34)&amp;"eunion"&amp;CHAR(34)&amp;",","")</f>
        <v/>
      </c>
      <c r="FX2" s="48" t="str">
        <f t="shared" ref="FX2" si="64">SUBSTITUTE(IFERROR(SEARCH("[",A2),IFERROR(IF(AND(CA2&lt;&gt;"y",SEARCH("Europe",R2)&gt;0),CHAR(34)&amp;"noeuni"&amp;CHAR(34)&amp;",",""),"")),"1","")</f>
        <v/>
      </c>
      <c r="FY2" s="48" t="str">
        <f t="shared" ref="FY2:FY6" si="65">IFERROR(IF(SEARCH("Arabic",CB2)&gt;0,CHAR(34)&amp;"arabic"&amp;CHAR(34)&amp;",",""),"")</f>
        <v/>
      </c>
      <c r="FZ2" s="48" t="str">
        <f t="shared" ref="FZ2:FZ6" si="66">IFERROR(IF(SEARCH("English",CB2)&gt;0,CHAR(34)&amp;"englis"&amp;CHAR(34)&amp;",",""),"")</f>
        <v/>
      </c>
      <c r="GA2" s="48" t="str">
        <f t="shared" ref="GA2:GA6" si="67">IFERROR(IF(SEARCH("French",CB2)&gt;0,CHAR(34)&amp;"french"&amp;CHAR(34)&amp;",",""),"")</f>
        <v/>
      </c>
      <c r="GB2" s="48" t="str">
        <f t="shared" ref="GB2:GB6" si="68">IFERROR(IF(SEARCH("Spanish",CB2)&gt;0,CHAR(34)&amp;"spanis"&amp;CHAR(34)&amp;",",""),"")</f>
        <v/>
      </c>
      <c r="GC2" s="48" t="str">
        <f t="shared" ref="GC2" si="69">IFERROR(IF(SEARCH("Portuguese",CB2)&gt;0,CHAR(34)&amp;"portug"&amp;CHAR(34)&amp;",",""),"")</f>
        <v/>
      </c>
      <c r="GD2" s="48" t="str">
        <f t="shared" ref="GD2" si="70">IFERROR(IF(SEARCH("German",CB2)&gt;0,CHAR(34)&amp;"german"&amp;CHAR(34)&amp;",",""),"")</f>
        <v/>
      </c>
      <c r="GE2" s="48" t="str">
        <f t="shared" ref="GE2:GE6" si="71">IFERROR(IF(SEARCH("Dutch",CB2)&gt;0,CHAR(34)&amp;"dutchs"&amp;CHAR(34)&amp;",",""),"")</f>
        <v/>
      </c>
      <c r="GF2" s="48" t="str">
        <f>IFERROR(IF(SEARCH("Historical",AU2)&gt;0,CHAR(34)&amp;"histor"&amp;CHAR(34)&amp;",",""),"")</f>
        <v/>
      </c>
      <c r="GG2" s="48" t="str">
        <f t="shared" ref="GG2:GG6" si="72">IF(BU2="y",CHAR(34)&amp;"unjack"&amp;CHAR(34)&amp;",","")</f>
        <v/>
      </c>
      <c r="GH2" s="48" t="str">
        <f t="shared" ref="GH2:GH6" si="73">IF(CD2=1,CHAR(34)&amp;"southc"&amp;CHAR(34)&amp;",","")</f>
        <v/>
      </c>
      <c r="GI2" s="48" t="str">
        <f t="shared" ref="GI2:GI6" si="74">IF(CE2=1,CHAR(34)&amp;"hasmap"&amp;CHAR(34)&amp;",","")</f>
        <v/>
      </c>
      <c r="GJ2" s="48" t="str">
        <f t="shared" ref="GJ2:GJ6" si="75">IF(CP2="y",CHAR(34)&amp;CP$1&amp;CHAR(34)&amp;",","")</f>
        <v/>
      </c>
      <c r="GK2" s="48" t="str">
        <f t="shared" ref="GK2:GK6" si="76">IF(GJ2="",CHAR(34)&amp;"HasSta"&amp;CHAR(34)&amp;",","")</f>
        <v>"HasSta",</v>
      </c>
      <c r="GL2" s="48" t="str">
        <f t="shared" ref="GL2:GN16" si="77">IF(CQ2="y",CHAR(34)&amp;CQ$1&amp;CHAR(34)&amp;",","")</f>
        <v/>
      </c>
      <c r="GM2" s="48" t="str">
        <f t="shared" si="77"/>
        <v/>
      </c>
      <c r="GN2" s="48" t="str">
        <f t="shared" si="77"/>
        <v>"3+Star",</v>
      </c>
      <c r="GP2" s="48" t="str">
        <f t="shared" ref="GP2:GP6" si="78">CHAR(34)&amp;AU2&amp;CHAR(34)</f>
        <v>""</v>
      </c>
      <c r="GS2" s="48" t="str">
        <f t="shared" ref="GS2:GS6" si="79">SUBSTITUTE("["&amp;_xlfn.CONCAT(CW2:GN2)&amp;"]",",]","]")</f>
        <v>["5+Colo","words2","exact2","lets10","startN","with_w","with_z","year19","largec","NoBand","Crosse","Canton","sta","NO_GRE","myrWHI","HasSta","3+Star"]</v>
      </c>
      <c r="GT2" s="48" t="str">
        <f t="shared" ref="GT2:HB16" si="80">IF(BL2&lt;&gt;"",CHAR(34)&amp;"cl_"&amp;BL2&amp;CHAR(34)&amp;",","")</f>
        <v>"cl_BLA",</v>
      </c>
      <c r="GU2" s="48" t="str">
        <f t="shared" si="80"/>
        <v>"cl_BLU",</v>
      </c>
      <c r="GV2" s="48" t="str">
        <f t="shared" si="80"/>
        <v/>
      </c>
      <c r="GW2" s="48" t="str">
        <f t="shared" si="80"/>
        <v>"cl_RED",</v>
      </c>
      <c r="GX2" s="48" t="str">
        <f t="shared" si="80"/>
        <v>"cl_YEL",</v>
      </c>
      <c r="GY2" s="48" t="str">
        <f t="shared" si="80"/>
        <v/>
      </c>
      <c r="GZ2" s="48" t="str">
        <f t="shared" si="80"/>
        <v/>
      </c>
      <c r="HA2" s="48" t="str">
        <f t="shared" si="80"/>
        <v/>
      </c>
      <c r="HB2" s="48" t="str">
        <f t="shared" si="80"/>
        <v>"cl_WHI",</v>
      </c>
      <c r="HC2" s="48" t="str">
        <f t="shared" ref="HC2:HC6" si="81">SUBSTITUTE("["&amp;_xlfn.CONCAT(GT2:HB2)&amp;"]",",]","]")</f>
        <v>["cl_BLA","cl_BLU","cl_RED","cl_YEL","cl_WHI"]</v>
      </c>
      <c r="HE2" s="71"/>
      <c r="HF2" s="72" t="str">
        <f t="shared" ref="HF2:HF6" si="82">"{couname:"&amp;CT2&amp;(IF(HK2&lt;&gt;"",",subtype:"&amp;CHAR(34)&amp;HK2&amp;CHAR(34),""))&amp;",year:"&amp;HJ2&amp;",region:"&amp;CU2&amp;",Colors:"&amp;HC2&amp;",Items:"&amp;GS2&amp;",Flag:"&amp;CV2&amp;",HDFlag:"&amp;CHAR(34)&amp;E2&amp;CHAR(34)&amp;",type:"&amp;GP2&amp;", describe: "&amp;HH2&amp;", isnew:"&amp;CHAR(34)&amp;F2&amp;CHAR(34)&amp;", links: "&amp;HL2&amp;"},"</f>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links: "https://en.wikipedia.org/wiki/Flag_of_New_Zealand"},</v>
      </c>
      <c r="HG2" s="73" t="str">
        <f t="shared" ref="HG2:HG6" si="83">"{couname:"&amp;CT2&amp;(IF(HK2&lt;&gt;"",",subtype:"&amp;CHAR(34)&amp;HK2&amp;CHAR(34),""))&amp;",year:"&amp;HJ2&amp;",region:"&amp;CU2&amp;",Colors:"&amp;HC2&amp;",Items:"&amp;GS2&amp;",Flag:"&amp;CV2&amp;",HDFlag:"&amp;CHAR(34)&amp;E2&amp;CHAR(34)&amp;",type:"&amp;GP2&amp;", describe: "&amp;HI2&amp;", links: "&amp;HL2&amp;"},"</f>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links: "https://en.wikipedia.org/wiki/Flag_of_New_Zealand"},</v>
      </c>
      <c r="HH2" s="48" t="str">
        <f t="shared" ref="HH2:HH6" si="84">IF(P2&lt;&gt;"",CHAR(34)&amp;"\n"&amp;P2&amp;CHAR(34),CHAR(34)&amp;CHAR(34))</f>
        <v>"\nThe blue of the background is reminiscent of the blue sea and sky surrounding , and the stars of the Southern Cross signify the place in the South Pacific Ocean."</v>
      </c>
      <c r="HI2" s="48" t="str">
        <f t="shared" ref="HI2:HI6" si="85">IF(J2=0,CHAR(34)&amp;CHAR(34),HH2)</f>
        <v>"\nThe blue of the background is reminiscent of the blue sea and sky surrounding , and the stars of the Southern Cross signify the place in the South Pacific Ocean."</v>
      </c>
      <c r="HJ2" s="48" t="str">
        <f t="shared" ref="HJ2:HJ6" si="86">CHAR(34)&amp;O2&amp;CHAR(34)</f>
        <v>"1902 "</v>
      </c>
      <c r="HL2" s="48" t="str">
        <f t="shared" ref="HL2:HL6" si="87">CHAR(34)&amp;I2&amp;CHAR(34)</f>
        <v>"https://en.wikipedia.org/wiki/Flag_of_New_Zealand"</v>
      </c>
      <c r="HM2" s="72" t="str">
        <f t="shared" ref="HM2:HM6" si="88">"{"&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 "links": "https://en.wikipedia.org/wiki/Flag_of_New_Zealand"},</v>
      </c>
      <c r="HN2" s="74" t="str">
        <f t="shared" ref="HN2:HN6" si="89">"{"&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{"couname":"New Zealand","year":"1902 ","region":"rgn_Oceania","Colors":["cl_BLA","cl_BLU","cl_RED","cl_YEL","cl_WHI"],"Items":["5+Colo","words2","exact2","lets10","startN","with_w","with_z","year19","largec","NoBand","Crosse","Canton","sta","NO_GRE","myrWHI","HasSta","3+Star"],"Flag":"https://i.ibb.co/Y8G5GLw/New-Zealand-Flag.png","HDFlag":"https://upload.wikimedia.org/wikipedia/commons/thumb/3/3e/Flag_of_New_Zealand.svg/2560px-Flag_of_New_Zealand.svg.png","type":"", "describe": "\nThe blue of the background is reminiscent of the blue sea and sky surrounding , and the stars of the Southern Cross signify the place in the South Pacific Ocean.", "isnew": ".", "links": "https://en.wikipedia.org/wiki/Flag_of_New_Zealand"},</v>
      </c>
      <c r="HO2" s="75">
        <v>45576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172</v>
      </c>
      <c r="IB2" s="6"/>
      <c r="IC2" s="77"/>
      <c r="ID2" s="77"/>
      <c r="IE2" s="77"/>
      <c r="IF2" s="77"/>
      <c r="IG2" s="77"/>
      <c r="IH2" s="77"/>
      <c r="II2" s="77"/>
      <c r="IJ2" s="77"/>
      <c r="IK2" s="77"/>
      <c r="IL2" s="48">
        <f t="shared" ref="IL2" si="90">SUM(IC2:IK2)</f>
        <v>0</v>
      </c>
      <c r="IM2" s="45">
        <f t="shared" ref="IM2:IM6" si="91">COUNTIF(IC2:IK2,"&gt;0")-CG2</f>
        <v>-5</v>
      </c>
      <c r="IN2" s="78" t="str">
        <f t="shared" ref="IN2:IN6" si="92">"http://mkweb.bcgsc.ca/color-summarizer/?url="&amp;D2&amp;"&amp;precision=low&amp;num_clusters="&amp;CG2&amp;"&amp;text=1"</f>
        <v>http://mkweb.bcgsc.ca/color-summarizer/?url=https://i.ibb.co/Y8G5GLw/New-Zealand-Flag.png&amp;precision=low&amp;num_clusters=5&amp;text=1</v>
      </c>
      <c r="IO2" s="48" t="str">
        <f t="shared" ref="IO2:IO6" si="93">IF(HP2&lt;&gt;"",CHAR(34)&amp;"black"&amp;CHAR(34),"")</f>
        <v>"black"</v>
      </c>
      <c r="IP2" s="48" t="str">
        <f t="shared" ref="IP2:IP6" si="94">IF(HQ2&lt;&gt;"",CHAR(34)&amp;"blue"&amp;CHAR(34),"")</f>
        <v>"blue"</v>
      </c>
      <c r="IQ2" s="48" t="str">
        <f t="shared" ref="IQ2:IQ6" si="95">IF(HR2&lt;&gt;"",CHAR(34)&amp;"green"&amp;CHAR(34),"")</f>
        <v/>
      </c>
      <c r="IR2" s="48" t="str">
        <f t="shared" ref="IR2:IR6" si="96">IF(HS2&lt;&gt;"",CHAR(34)&amp;"red"&amp;CHAR(34),"")</f>
        <v>"red"</v>
      </c>
      <c r="IS2" s="48" t="str">
        <f t="shared" ref="IS2:IS6" si="97">IF(HT2&lt;&gt;"",CHAR(34)&amp;"yellow"&amp;CHAR(34),"")</f>
        <v>"yellow"</v>
      </c>
      <c r="IT2" s="48" t="str">
        <f t="shared" ref="IT2:IT6" si="98">IF(HU2&lt;&gt;"",CHAR(34)&amp;"orange"&amp;CHAR(34),"")</f>
        <v/>
      </c>
      <c r="IU2" s="48" t="str">
        <f t="shared" ref="IU2:IU6" si="99">IF(HV2&lt;&gt;"",CHAR(34)&amp;"brown"&amp;CHAR(34),"")</f>
        <v/>
      </c>
      <c r="IV2" s="48" t="str">
        <f t="shared" ref="IV2:IV6" si="100">IF(HW2&lt;&gt;"",CHAR(34)&amp;"purple"&amp;CHAR(34),"")</f>
        <v/>
      </c>
      <c r="IW2" s="48" t="str">
        <f t="shared" ref="IW2:IW6" si="101">IF(HX2&lt;&gt;"",CHAR(34)&amp;"white"&amp;CHAR(34),"")</f>
        <v>"white"</v>
      </c>
      <c r="IX2" s="48" t="str">
        <f t="shared" ref="IX2:IX6" si="102">"{"&amp;CHAR(34)&amp;"url"&amp;CHAR(34)&amp;":"&amp;CHAR(34)&amp;IN2&amp;CHAR(34)&amp;","&amp;CHAR(34)&amp;"name"&amp;CHAR(34)&amp;":"&amp;CHAR(34)&amp;A2&amp;CHAR(34)&amp;"},"</f>
        <v>{"url":"http://mkweb.bcgsc.ca/color-summarizer/?url=https://i.ibb.co/Y8G5GLw/New-Zealand-Flag.png&amp;precision=low&amp;num_clusters=5&amp;text=1","name":"New Zealand"},</v>
      </c>
      <c r="IY2" s="48">
        <v>947</v>
      </c>
    </row>
    <row r="3" spans="1:259" s="48" customFormat="1" ht="38.4" customHeight="1" thickBot="1" x14ac:dyDescent="0.35">
      <c r="A3" s="79" t="s">
        <v>488</v>
      </c>
      <c r="B3" s="40" t="e" vm="69">
        <v>#VALUE!</v>
      </c>
      <c r="C3" s="41">
        <v>2</v>
      </c>
      <c r="D3" s="42" t="s">
        <v>489</v>
      </c>
      <c r="E3" s="43" t="s">
        <v>490</v>
      </c>
      <c r="F3" s="44" t="s">
        <v>166</v>
      </c>
      <c r="G3" s="45">
        <f>COUNTIF($A$1:$A$8354,A3)</f>
        <v>1</v>
      </c>
      <c r="H3" s="46"/>
      <c r="I3" s="47" t="s">
        <v>491</v>
      </c>
      <c r="J3" s="48" t="str">
        <f>""</f>
        <v/>
      </c>
      <c r="K3" s="49"/>
      <c r="L3" s="50"/>
      <c r="M3" s="50"/>
      <c r="N3" s="51" t="s">
        <v>169</v>
      </c>
      <c r="O3" s="52">
        <v>1980</v>
      </c>
      <c r="P3" s="53" t="s">
        <v>492</v>
      </c>
      <c r="Q3" s="54">
        <v>1</v>
      </c>
      <c r="R3" s="55" t="s">
        <v>169</v>
      </c>
      <c r="S3" s="56">
        <v>0</v>
      </c>
      <c r="T3" s="57" t="s">
        <v>173</v>
      </c>
      <c r="U3" s="58" t="s">
        <v>173</v>
      </c>
      <c r="V3" s="58" t="s">
        <v>172</v>
      </c>
      <c r="W3" s="58" t="s">
        <v>172</v>
      </c>
      <c r="X3" s="58" t="s">
        <v>173</v>
      </c>
      <c r="Y3" s="58" t="s">
        <v>173</v>
      </c>
      <c r="Z3" s="58" t="s">
        <v>173</v>
      </c>
      <c r="AA3" s="58" t="s">
        <v>172</v>
      </c>
      <c r="AB3" s="58" t="s">
        <v>173</v>
      </c>
      <c r="AC3" s="58" t="s">
        <v>172</v>
      </c>
      <c r="AD3" s="58" t="s">
        <v>173</v>
      </c>
      <c r="AE3" s="58" t="s">
        <v>173</v>
      </c>
      <c r="AF3" s="59" t="s">
        <v>173</v>
      </c>
      <c r="AG3" s="59" t="s">
        <v>173</v>
      </c>
      <c r="AH3" s="59" t="s">
        <v>173</v>
      </c>
      <c r="AI3" s="59" t="s">
        <v>173</v>
      </c>
      <c r="AJ3" s="59" t="s">
        <v>173</v>
      </c>
      <c r="AK3" s="59" t="s">
        <v>173</v>
      </c>
      <c r="AL3" s="59" t="s">
        <v>173</v>
      </c>
      <c r="AM3" s="59" t="s">
        <v>173</v>
      </c>
      <c r="AN3" s="59" t="s">
        <v>173</v>
      </c>
      <c r="AO3" s="59" t="s">
        <v>173</v>
      </c>
      <c r="AP3" s="59" t="s">
        <v>172</v>
      </c>
      <c r="AQ3" s="59" t="s">
        <v>173</v>
      </c>
      <c r="AR3" s="59" t="s">
        <v>173</v>
      </c>
      <c r="AS3" s="59" t="s">
        <v>173</v>
      </c>
      <c r="AT3" s="60">
        <v>0</v>
      </c>
      <c r="AU3" s="59" t="s">
        <v>493</v>
      </c>
      <c r="AV3" s="59" t="str">
        <f>IF(LEFT(A3,1)="[",LEFT(A3,5)&amp;AU3&amp;A3,"")</f>
        <v>[NZE]Region, City[NZE] Auckland</v>
      </c>
      <c r="AW3" s="59" t="str">
        <f>C3&amp;H3&amp;A3</f>
        <v>2[NZE] Auckland</v>
      </c>
      <c r="AX3" s="61"/>
      <c r="AY3" s="61"/>
      <c r="AZ3" s="62" t="s">
        <v>159</v>
      </c>
      <c r="BA3" s="62"/>
      <c r="BB3" s="62"/>
      <c r="BC3" s="63"/>
      <c r="BD3" s="64" t="s">
        <v>159</v>
      </c>
      <c r="BE3" s="47"/>
      <c r="BF3" s="64" t="s">
        <v>152</v>
      </c>
      <c r="BG3" s="64" t="s">
        <v>159</v>
      </c>
      <c r="BH3" s="64" t="s">
        <v>153</v>
      </c>
      <c r="BI3" s="64"/>
      <c r="BJ3" s="64"/>
      <c r="BK3" s="47"/>
      <c r="BL3" s="64" t="s">
        <v>151</v>
      </c>
      <c r="BM3" s="64" t="s">
        <v>152</v>
      </c>
      <c r="BN3" s="64" t="s">
        <v>159</v>
      </c>
      <c r="BO3" s="64" t="s">
        <v>153</v>
      </c>
      <c r="BP3" s="64"/>
      <c r="BQ3" s="64"/>
      <c r="BR3" s="64"/>
      <c r="BS3" s="64"/>
      <c r="BT3" s="64"/>
      <c r="BU3" s="65" t="s">
        <v>173</v>
      </c>
      <c r="BV3" s="66"/>
      <c r="BW3" s="66">
        <v>0</v>
      </c>
      <c r="BX3" s="47"/>
      <c r="CB3" s="6"/>
      <c r="CC3" s="6"/>
      <c r="CD3" s="67">
        <v>0</v>
      </c>
      <c r="CE3" s="67">
        <v>0</v>
      </c>
      <c r="CF3" s="67" t="e">
        <v>#REF!</v>
      </c>
      <c r="CG3" s="68" cm="1">
        <f t="array" ref="CG3">SUMPRODUCT(--(LEN(TRIM(BL3:BT3))&gt;0))</f>
        <v>4</v>
      </c>
      <c r="CH3" s="59" t="str">
        <f t="shared" si="0"/>
        <v>n</v>
      </c>
      <c r="CI3" s="59" t="str">
        <f t="shared" si="1"/>
        <v>n</v>
      </c>
      <c r="CJ3" s="59" t="str">
        <f t="shared" si="2"/>
        <v>y</v>
      </c>
      <c r="CK3" s="59" t="str">
        <f t="shared" si="3"/>
        <v>n</v>
      </c>
      <c r="CL3" s="59" t="str">
        <f t="shared" si="4"/>
        <v>y</v>
      </c>
      <c r="CM3" s="59" t="str">
        <f t="shared" si="5"/>
        <v>n</v>
      </c>
      <c r="CN3" s="59" t="str">
        <f t="shared" si="6"/>
        <v>n</v>
      </c>
      <c r="CO3" s="59" t="str">
        <f t="shared" si="7"/>
        <v>n</v>
      </c>
      <c r="CP3" s="59" t="str">
        <f t="shared" si="8"/>
        <v>y</v>
      </c>
      <c r="CQ3" s="59" t="str">
        <f t="shared" si="9"/>
        <v>n</v>
      </c>
      <c r="CR3" s="59" t="str">
        <f t="shared" si="10"/>
        <v>n</v>
      </c>
      <c r="CS3" s="59" t="str">
        <f t="shared" si="11"/>
        <v>n</v>
      </c>
      <c r="CT3" s="69" t="str">
        <f t="shared" si="12"/>
        <v>"[NZE] Auckland"</v>
      </c>
      <c r="CU3" s="70" t="str">
        <f t="shared" si="13"/>
        <v>"rgn_Oceania"</v>
      </c>
      <c r="CV3" s="48" t="str">
        <f t="shared" si="14"/>
        <v>"https://upload.wikimedia.org/wikipedia/commons/thumb/1/1a/Flag_of_Auckland.svg/640px-Flag_of_Auckland.svg.png"</v>
      </c>
      <c r="CW3" s="48" t="str">
        <f t="shared" si="15"/>
        <v/>
      </c>
      <c r="CX3" s="48" t="str">
        <f t="shared" si="15"/>
        <v/>
      </c>
      <c r="CY3" s="48" t="str">
        <f t="shared" si="15"/>
        <v>"4Color",</v>
      </c>
      <c r="CZ3" s="48" t="str">
        <f t="shared" si="15"/>
        <v/>
      </c>
      <c r="DA3" s="48" t="str">
        <f t="shared" si="16"/>
        <v/>
      </c>
      <c r="DB3" s="48" t="str">
        <f t="shared" si="17"/>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"lets08",</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"startA",</v>
      </c>
      <c r="DF3" s="48" t="str">
        <f t="shared" si="21"/>
        <v/>
      </c>
      <c r="DG3" s="48" t="str">
        <f t="shared" si="22"/>
        <v/>
      </c>
      <c r="DH3" s="48" t="str">
        <f t="shared" si="23"/>
        <v/>
      </c>
      <c r="DI3" s="48" t="str">
        <f t="shared" si="24"/>
        <v/>
      </c>
      <c r="DJ3" s="48" t="str">
        <f t="shared" si="25"/>
        <v/>
      </c>
      <c r="DK3" s="48" t="str">
        <f t="shared" si="26"/>
        <v>"with_z",</v>
      </c>
      <c r="DL3" s="48" t="str">
        <f t="shared" si="27"/>
        <v/>
      </c>
      <c r="DM3" s="48" t="str" cm="1">
        <f t="array" ref="DM3">IF(CG3=3,CHAR(34) &amp; _xlfn.TEXTJOIN("", TRUE, RIGHT(HP3:HX3, 2)) &amp; CHAR(34) &amp; ",", "")</f>
        <v/>
      </c>
      <c r="DN3" s="48" t="str">
        <f t="shared" si="28"/>
        <v/>
      </c>
      <c r="DO3" s="48" t="str">
        <f t="shared" si="29"/>
        <v>"year19",</v>
      </c>
      <c r="DP3" s="6" t="str">
        <f t="shared" si="30"/>
        <v/>
      </c>
      <c r="DQ3" s="6" t="str">
        <f t="shared" si="31"/>
        <v/>
      </c>
      <c r="DR3" s="6" t="str">
        <f t="shared" si="32"/>
        <v/>
      </c>
      <c r="DS3" s="6" t="str">
        <f t="shared" si="33"/>
        <v/>
      </c>
      <c r="DT3" s="6" t="str">
        <f t="shared" si="34"/>
        <v/>
      </c>
      <c r="DU3" s="6" t="str">
        <f t="shared" si="35"/>
        <v/>
      </c>
      <c r="DV3" s="48" t="str">
        <f>IF(IA3&lt;&gt;"",(IF(IA3="y",CHAR(34)&amp;"largec"&amp;CHAR(34)&amp;",",CHAR(34)&amp;"smallc"&amp;CHAR(34)&amp;",")),"")</f>
        <v/>
      </c>
      <c r="DW3" s="48" t="str">
        <f t="shared" si="37"/>
        <v>"NoBand",</v>
      </c>
      <c r="DX3" s="48" t="str">
        <f t="shared" si="37"/>
        <v/>
      </c>
      <c r="DY3" s="48" t="str">
        <f t="shared" si="37"/>
        <v/>
      </c>
      <c r="DZ3" s="48" t="str">
        <f t="shared" si="37"/>
        <v/>
      </c>
      <c r="EA3" s="48" t="str">
        <f t="shared" si="38"/>
        <v/>
      </c>
      <c r="EB3" s="48" t="str">
        <f t="shared" si="38"/>
        <v/>
      </c>
      <c r="EC3" s="48" t="str">
        <f t="shared" si="38"/>
        <v>"Horizo",</v>
      </c>
      <c r="ED3" s="48" t="str">
        <f t="shared" si="38"/>
        <v>"Vertic",</v>
      </c>
      <c r="EE3" s="48" t="str">
        <f t="shared" si="38"/>
        <v/>
      </c>
      <c r="EF3" s="48" t="str">
        <f t="shared" si="39"/>
        <v/>
      </c>
      <c r="EG3" s="48" t="str">
        <f t="shared" si="40"/>
        <v/>
      </c>
      <c r="EH3" s="48" t="str">
        <f t="shared" si="40"/>
        <v>"Plants",</v>
      </c>
      <c r="EI3" s="48" t="str">
        <f t="shared" si="40"/>
        <v/>
      </c>
      <c r="EJ3" s="48" t="str">
        <f t="shared" si="40"/>
        <v>"Weapon",</v>
      </c>
      <c r="EK3" s="48" t="str">
        <f t="shared" si="40"/>
        <v/>
      </c>
      <c r="EL3" s="48" t="str">
        <f t="shared" si="40"/>
        <v/>
      </c>
      <c r="EM3" s="48" t="str">
        <f t="shared" si="40"/>
        <v/>
      </c>
      <c r="EN3" s="48" t="str">
        <f t="shared" si="40"/>
        <v/>
      </c>
      <c r="EO3" s="48" t="str">
        <f t="shared" si="40"/>
        <v/>
      </c>
      <c r="EP3" s="48" t="str">
        <f t="shared" si="40"/>
        <v/>
      </c>
      <c r="EQ3" s="48" t="str">
        <f t="shared" si="40"/>
        <v/>
      </c>
      <c r="ER3" s="48" t="str">
        <f t="shared" si="40"/>
        <v/>
      </c>
      <c r="ES3" s="48" t="str">
        <f t="shared" si="40"/>
        <v/>
      </c>
      <c r="ET3" s="48" t="str">
        <f t="shared" si="40"/>
        <v/>
      </c>
      <c r="EU3" s="48" t="str">
        <f t="shared" si="40"/>
        <v/>
      </c>
      <c r="EV3" s="48" t="str">
        <f t="shared" si="40"/>
        <v/>
      </c>
      <c r="EW3" s="48" t="str">
        <f t="shared" si="40"/>
        <v>"Ships!",</v>
      </c>
      <c r="EX3" s="48" t="str">
        <f t="shared" si="40"/>
        <v/>
      </c>
      <c r="EY3" s="48" t="str">
        <f t="shared" si="40"/>
        <v/>
      </c>
      <c r="EZ3" s="48" t="str">
        <f t="shared" si="40"/>
        <v/>
      </c>
      <c r="FA3" s="48" t="str">
        <f t="shared" si="41"/>
        <v/>
      </c>
      <c r="FB3" s="48" t="str">
        <f t="shared" si="42"/>
        <v/>
      </c>
      <c r="FC3" s="48" t="str">
        <f>IF(AND(AT3&gt;0,BB3&lt;&gt;""),CHAR(34)&amp;"sta"&amp;BB3&amp;CHAR(34)&amp;",","")</f>
        <v/>
      </c>
      <c r="FD3" s="48" t="str">
        <f t="shared" si="44"/>
        <v/>
      </c>
      <c r="FE3" s="48" t="str">
        <f t="shared" si="45"/>
        <v/>
      </c>
      <c r="FF3" s="48" t="str">
        <f t="shared" si="46"/>
        <v/>
      </c>
      <c r="FG3" s="48" t="str">
        <f t="shared" si="47"/>
        <v>"NO_RED",</v>
      </c>
      <c r="FH3" s="48" t="str">
        <f t="shared" si="48"/>
        <v/>
      </c>
      <c r="FI3" s="48" t="str">
        <f t="shared" si="49"/>
        <v>"NO_YEL",</v>
      </c>
      <c r="FJ3" s="48" t="str">
        <f t="shared" si="50"/>
        <v/>
      </c>
      <c r="FK3" s="48" t="str">
        <f t="shared" si="51"/>
        <v/>
      </c>
      <c r="FL3" s="48" t="str">
        <f t="shared" si="52"/>
        <v/>
      </c>
      <c r="FM3" s="48" t="str">
        <f t="shared" si="53"/>
        <v/>
      </c>
      <c r="FN3" s="48" t="str">
        <f t="shared" si="54"/>
        <v/>
      </c>
      <c r="FO3" s="48" t="str">
        <f t="shared" si="55"/>
        <v/>
      </c>
      <c r="FP3" s="48" t="str">
        <f t="shared" si="56"/>
        <v/>
      </c>
      <c r="FQ3" s="48" t="str">
        <f t="shared" si="57"/>
        <v>"001BLU",</v>
      </c>
      <c r="FR3" s="48" t="str">
        <f t="shared" si="58"/>
        <v>"002WHI",</v>
      </c>
      <c r="FS3" s="48" t="str">
        <f t="shared" si="59"/>
        <v>"003GRE",</v>
      </c>
      <c r="FT3" s="48" t="str">
        <f t="shared" si="60"/>
        <v>"myrWHI",</v>
      </c>
      <c r="FU3" s="48" t="str">
        <f t="shared" si="61"/>
        <v/>
      </c>
      <c r="FV3" s="48" t="str">
        <f t="shared" si="62"/>
        <v/>
      </c>
      <c r="FW3" s="48" t="str">
        <f t="shared" si="63"/>
        <v/>
      </c>
      <c r="FX3" s="48" t="str">
        <f>SUBSTITUTE(IFERROR(SEARCH("[",A3),IFERROR(IF(AND(CA3&lt;&gt;"y",SEARCH("Europe",R3)&gt;0),CHAR(34)&amp;"noeuni"&amp;CHAR(34)&amp;",",""),"")),"1","")</f>
        <v/>
      </c>
      <c r="FY3" s="48" t="str">
        <f t="shared" si="65"/>
        <v/>
      </c>
      <c r="FZ3" s="48" t="str">
        <f t="shared" si="66"/>
        <v/>
      </c>
      <c r="GA3" s="48" t="str">
        <f t="shared" si="67"/>
        <v/>
      </c>
      <c r="GB3" s="48" t="str">
        <f t="shared" si="68"/>
        <v/>
      </c>
      <c r="GC3" s="48" t="str">
        <f>IFERROR(IF(SEARCH("Portuguese",CB3)&gt;0,CHAR(34)&amp;"portug"&amp;CHAR(34)&amp;",",""),"")</f>
        <v/>
      </c>
      <c r="GD3" s="48" t="str">
        <f>IFERROR(IF(SEARCH("German",CB3)&gt;0,CHAR(34)&amp;"german"&amp;CHAR(34)&amp;",",""),"")</f>
        <v/>
      </c>
      <c r="GE3" s="48" t="str">
        <f t="shared" si="71"/>
        <v/>
      </c>
      <c r="GF3" s="48" t="str">
        <f>IFERROR(IF(SEARCH("Histor",AU3)&gt;0,CHAR(34)&amp;"histor"&amp;CHAR(34)&amp;",",""),"")</f>
        <v/>
      </c>
      <c r="GG3" s="48" t="str">
        <f t="shared" si="72"/>
        <v/>
      </c>
      <c r="GH3" s="48" t="str">
        <f t="shared" si="73"/>
        <v/>
      </c>
      <c r="GI3" s="48" t="str">
        <f t="shared" si="74"/>
        <v/>
      </c>
      <c r="GJ3" s="48" t="str">
        <f t="shared" si="75"/>
        <v>"NoStar",</v>
      </c>
      <c r="GK3" s="48" t="str">
        <f t="shared" si="76"/>
        <v/>
      </c>
      <c r="GL3" s="48" t="str">
        <f t="shared" si="77"/>
        <v/>
      </c>
      <c r="GM3" s="48" t="str">
        <f t="shared" si="77"/>
        <v/>
      </c>
      <c r="GN3" s="48" t="str">
        <f t="shared" si="77"/>
        <v/>
      </c>
      <c r="GP3" s="48" t="str">
        <f t="shared" si="78"/>
        <v>"Region, City"</v>
      </c>
      <c r="GS3" s="48" t="str">
        <f t="shared" si="79"/>
        <v>["4Color","lets08","startA","with_z","year19","NoBand","Horizo","Vertic","Plants","Weapon","Ships!","NO_RED","NO_YEL","001BLU","002WHI","003GRE","myrWHI","NoStar"]</v>
      </c>
      <c r="GT3" s="48" t="str">
        <f t="shared" si="80"/>
        <v>"cl_BLA",</v>
      </c>
      <c r="GU3" s="48" t="str">
        <f t="shared" si="80"/>
        <v>"cl_BLU",</v>
      </c>
      <c r="GV3" s="48" t="str">
        <f t="shared" si="80"/>
        <v>"cl_WHI",</v>
      </c>
      <c r="GW3" s="48" t="str">
        <f t="shared" si="80"/>
        <v>"cl_GRE",</v>
      </c>
      <c r="GX3" s="48" t="str">
        <f t="shared" si="80"/>
        <v/>
      </c>
      <c r="GY3" s="48" t="str">
        <f t="shared" si="80"/>
        <v/>
      </c>
      <c r="GZ3" s="48" t="str">
        <f t="shared" si="80"/>
        <v/>
      </c>
      <c r="HA3" s="48" t="str">
        <f t="shared" si="80"/>
        <v/>
      </c>
      <c r="HB3" s="48" t="str">
        <f t="shared" si="80"/>
        <v/>
      </c>
      <c r="HC3" s="48" t="str">
        <f t="shared" si="81"/>
        <v>["cl_BLA","cl_BLU","cl_WHI","cl_GRE"]</v>
      </c>
      <c r="HE3" s="71"/>
      <c r="HF3" s="72" t="str">
        <f t="shared" si="82"/>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links: "https://en.wikipedia.org/wiki/Flag_of_Auckland_City"},</v>
      </c>
      <c r="HG3" s="73" t="str">
        <f t="shared" si="83"/>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links: "https://en.wikipedia.org/wiki/Flag_of_Auckland_City"},</v>
      </c>
      <c r="HH3" s="48" t="str">
        <f t="shared" si="84"/>
        <v>"\nIt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v>
      </c>
      <c r="HI3" s="48" t="str">
        <f t="shared" si="85"/>
        <v>"\nIt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v>
      </c>
      <c r="HJ3" s="48" t="str">
        <f t="shared" si="86"/>
        <v>"1980"</v>
      </c>
      <c r="HL3" s="48" t="str">
        <f t="shared" si="87"/>
        <v>"https://en.wikipedia.org/wiki/Flag_of_Auckland_City"</v>
      </c>
      <c r="HM3" s="72" t="str">
        <f t="shared" si="88"/>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 "links": "https://en.wikipedia.org/wiki/Flag_of_Auckland_City"},</v>
      </c>
      <c r="HN3" s="74" t="str">
        <f t="shared" si="89"/>
        <v>{"couname":"[NZE] Auckland","year":"1980","region":"rgn_Oceania","Colors":["cl_BLA","cl_BLU","cl_WHI","cl_GRE"],"Items":["4Color","lets08","startA","with_z","year19","NoBand","Horizo","Vertic","Plants","Weapon","Ships!","NO_RED","NO_YEL","001BLU","002WHI","003GRE","myrWHI","NoStar"],"Flag":"https://upload.wikimedia.org/wikipedia/commons/thumb/1/1a/Flag_of_Auckland.svg/640px-Flag_of_Auckland.svg.png","HDFlag":"https://upload.wikimedia.org/wikipedia/commons/thumb/1/1a/Flag_of_Auckland.svg/2560px-Flag_of_Auckland.svg.png","type":"Region, City", "describe": "\nIt has a cornucopia in the top left canton representative Auckland's wealth, a pick and shovel in the top right canton to represent the areas mining past and a horizontal stripe underneath with a sailing ship. It has been around since the early 1950s, but was only officially adopted in 1980.", "isnew": ".", "links": "https://en.wikipedia.org/wiki/Flag_of_Auckland_City"},</v>
      </c>
      <c r="HO3" s="75"/>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 t="shared" si="91"/>
        <v>-4</v>
      </c>
      <c r="IN3" s="78" t="str">
        <f t="shared" si="92"/>
        <v>http://mkweb.bcgsc.ca/color-summarizer/?url=https://upload.wikimedia.org/wikipedia/commons/thumb/1/1a/Flag_of_Auckland.svg/640px-Flag_of_Auckland.svg.png&amp;precision=low&amp;num_clusters=4&amp;text=1</v>
      </c>
      <c r="IO3" s="48" t="str">
        <f t="shared" si="93"/>
        <v>"black"</v>
      </c>
      <c r="IP3" s="48" t="str">
        <f t="shared" si="94"/>
        <v>"blue"</v>
      </c>
      <c r="IQ3" s="48" t="str">
        <f t="shared" si="95"/>
        <v>"green"</v>
      </c>
      <c r="IR3" s="48" t="str">
        <f t="shared" si="96"/>
        <v/>
      </c>
      <c r="IS3" s="48" t="str">
        <f t="shared" si="97"/>
        <v/>
      </c>
      <c r="IT3" s="48" t="str">
        <f t="shared" si="98"/>
        <v/>
      </c>
      <c r="IU3" s="48" t="str">
        <f t="shared" si="99"/>
        <v/>
      </c>
      <c r="IV3" s="48" t="str">
        <f t="shared" si="100"/>
        <v/>
      </c>
      <c r="IW3" s="48" t="str">
        <f t="shared" si="101"/>
        <v>"white"</v>
      </c>
      <c r="IX3" s="48" t="str">
        <f t="shared" si="102"/>
        <v>{"url":"http://mkweb.bcgsc.ca/color-summarizer/?url=https://upload.wikimedia.org/wikipedia/commons/thumb/1/1a/Flag_of_Auckland.svg/640px-Flag_of_Auckland.svg.png&amp;precision=low&amp;num_clusters=4&amp;text=1","name":"[NZE] Auckland"},</v>
      </c>
      <c r="IY3" s="48">
        <v>286</v>
      </c>
    </row>
    <row r="4" spans="1:259" s="48" customFormat="1" ht="38.4" customHeight="1" thickBot="1" x14ac:dyDescent="0.35">
      <c r="A4" s="79" t="s">
        <v>494</v>
      </c>
      <c r="B4" s="40" t="e" vm="70">
        <v>#VALUE!</v>
      </c>
      <c r="C4" s="41">
        <v>2</v>
      </c>
      <c r="D4" s="42" t="s">
        <v>495</v>
      </c>
      <c r="E4" s="43" t="s">
        <v>496</v>
      </c>
      <c r="F4" s="44" t="s">
        <v>166</v>
      </c>
      <c r="G4" s="45">
        <f>COUNTIF($A$1:$A$8354,A4)</f>
        <v>1</v>
      </c>
      <c r="H4" s="46"/>
      <c r="I4" s="47" t="s">
        <v>497</v>
      </c>
      <c r="J4" s="48" t="str">
        <f>""</f>
        <v/>
      </c>
      <c r="K4" s="49"/>
      <c r="L4" s="50"/>
      <c r="M4" s="50"/>
      <c r="N4" s="51" t="s">
        <v>169</v>
      </c>
      <c r="O4" s="52">
        <v>1987</v>
      </c>
      <c r="P4" s="53" t="s">
        <v>498</v>
      </c>
      <c r="Q4" s="54">
        <v>1</v>
      </c>
      <c r="R4" s="55" t="s">
        <v>169</v>
      </c>
      <c r="S4" s="56">
        <v>9</v>
      </c>
      <c r="T4" s="57" t="s">
        <v>173</v>
      </c>
      <c r="U4" s="58" t="s">
        <v>172</v>
      </c>
      <c r="V4" s="58" t="s">
        <v>172</v>
      </c>
      <c r="W4" s="58" t="s">
        <v>172</v>
      </c>
      <c r="X4" s="58" t="s">
        <v>173</v>
      </c>
      <c r="Y4" s="58" t="s">
        <v>173</v>
      </c>
      <c r="Z4" s="58" t="s">
        <v>172</v>
      </c>
      <c r="AA4" s="58" t="s">
        <v>173</v>
      </c>
      <c r="AB4" s="58" t="s">
        <v>173</v>
      </c>
      <c r="AC4" s="58" t="s">
        <v>173</v>
      </c>
      <c r="AD4" s="58" t="s">
        <v>173</v>
      </c>
      <c r="AE4" s="58" t="s">
        <v>173</v>
      </c>
      <c r="AF4" s="59" t="s">
        <v>173</v>
      </c>
      <c r="AG4" s="59" t="s">
        <v>173</v>
      </c>
      <c r="AH4" s="59" t="s">
        <v>173</v>
      </c>
      <c r="AI4" s="59" t="s">
        <v>173</v>
      </c>
      <c r="AJ4" s="59" t="s">
        <v>173</v>
      </c>
      <c r="AK4" s="59" t="s">
        <v>173</v>
      </c>
      <c r="AL4" s="59" t="s">
        <v>173</v>
      </c>
      <c r="AM4" s="59" t="s">
        <v>173</v>
      </c>
      <c r="AN4" s="59" t="s">
        <v>173</v>
      </c>
      <c r="AO4" s="59" t="s">
        <v>173</v>
      </c>
      <c r="AP4" s="59" t="s">
        <v>173</v>
      </c>
      <c r="AQ4" s="59" t="s">
        <v>172</v>
      </c>
      <c r="AR4" s="59" t="s">
        <v>173</v>
      </c>
      <c r="AS4" s="59" t="s">
        <v>173</v>
      </c>
      <c r="AT4" s="60">
        <v>0</v>
      </c>
      <c r="AU4" s="59" t="s">
        <v>493</v>
      </c>
      <c r="AV4" s="59" t="str">
        <f>IF(LEFT(A4,1)="[",LEFT(A4,5)&amp;AU4&amp;A4,"")</f>
        <v>[NZE]Region, City[NZE] Nelson</v>
      </c>
      <c r="AW4" s="59" t="str">
        <f>C4&amp;H4&amp;A4</f>
        <v>2[NZE] Nelson</v>
      </c>
      <c r="AX4" s="61"/>
      <c r="AY4" s="61"/>
      <c r="AZ4" s="62" t="s">
        <v>155</v>
      </c>
      <c r="BA4" s="62" t="s">
        <v>155</v>
      </c>
      <c r="BB4" s="62"/>
      <c r="BC4" s="63"/>
      <c r="BD4" s="64" t="s">
        <v>154</v>
      </c>
      <c r="BE4" s="47"/>
      <c r="BF4" s="64" t="s">
        <v>154</v>
      </c>
      <c r="BG4" s="64" t="s">
        <v>154</v>
      </c>
      <c r="BH4" s="64" t="s">
        <v>154</v>
      </c>
      <c r="BI4" s="64"/>
      <c r="BJ4" s="64"/>
      <c r="BK4" s="47"/>
      <c r="BL4" s="64" t="s">
        <v>151</v>
      </c>
      <c r="BM4" s="64" t="s">
        <v>152</v>
      </c>
      <c r="BN4" s="64" t="s">
        <v>192</v>
      </c>
      <c r="BO4" s="64" t="s">
        <v>154</v>
      </c>
      <c r="BP4" s="64" t="s">
        <v>155</v>
      </c>
      <c r="BQ4" s="64" t="s">
        <v>192</v>
      </c>
      <c r="BR4" s="64" t="s">
        <v>192</v>
      </c>
      <c r="BS4" s="64" t="s">
        <v>192</v>
      </c>
      <c r="BT4" s="64" t="s">
        <v>159</v>
      </c>
      <c r="BU4" s="65"/>
      <c r="BV4" s="66"/>
      <c r="BW4" s="66">
        <v>0</v>
      </c>
      <c r="BX4" s="47"/>
      <c r="CB4" s="6"/>
      <c r="CC4" s="6"/>
      <c r="CD4" s="67">
        <v>0</v>
      </c>
      <c r="CE4" s="67">
        <v>0</v>
      </c>
      <c r="CF4" s="67" t="e">
        <v>#REF!</v>
      </c>
      <c r="CG4" s="68" cm="1">
        <f t="array" ref="CG4">SUMPRODUCT(--(LEN(TRIM(BL4:BT4))&gt;0))</f>
        <v>5</v>
      </c>
      <c r="CH4" s="59" t="str">
        <f t="shared" si="0"/>
        <v>n</v>
      </c>
      <c r="CI4" s="59" t="str">
        <f t="shared" si="1"/>
        <v>n</v>
      </c>
      <c r="CJ4" s="59" t="str">
        <f t="shared" si="2"/>
        <v>n</v>
      </c>
      <c r="CK4" s="59" t="str">
        <f t="shared" si="3"/>
        <v>y</v>
      </c>
      <c r="CL4" s="59" t="str">
        <f t="shared" si="4"/>
        <v>n</v>
      </c>
      <c r="CM4" s="59" t="str">
        <f t="shared" si="5"/>
        <v>n</v>
      </c>
      <c r="CN4" s="59" t="str">
        <f t="shared" si="6"/>
        <v>n</v>
      </c>
      <c r="CO4" s="59" t="str">
        <f t="shared" si="7"/>
        <v>y</v>
      </c>
      <c r="CP4" s="59" t="str">
        <f t="shared" si="8"/>
        <v>y</v>
      </c>
      <c r="CQ4" s="59" t="str">
        <f t="shared" si="9"/>
        <v>n</v>
      </c>
      <c r="CR4" s="59" t="str">
        <f t="shared" si="10"/>
        <v>n</v>
      </c>
      <c r="CS4" s="59" t="str">
        <f t="shared" si="11"/>
        <v>n</v>
      </c>
      <c r="CT4" s="69" t="str">
        <f t="shared" si="12"/>
        <v>"[NZE] Nelson"</v>
      </c>
      <c r="CU4" s="70" t="str">
        <f t="shared" si="13"/>
        <v>"rgn_Oceania"</v>
      </c>
      <c r="CV4" s="48" t="str">
        <f t="shared" si="14"/>
        <v>"https://upload.wikimedia.org/wikipedia/commons/thumb/0/09/Nelson_flag.svg/640px-Nelson_flag.svg.png"</v>
      </c>
      <c r="CW4" s="48" t="str">
        <f t="shared" si="15"/>
        <v/>
      </c>
      <c r="CX4" s="48" t="str">
        <f t="shared" si="15"/>
        <v/>
      </c>
      <c r="CY4" s="48" t="str">
        <f t="shared" si="15"/>
        <v/>
      </c>
      <c r="CZ4" s="48" t="str">
        <f t="shared" si="15"/>
        <v>"5+Colo",</v>
      </c>
      <c r="DA4" s="48" t="str">
        <f t="shared" si="16"/>
        <v/>
      </c>
      <c r="DB4" s="48" t="str">
        <f t="shared" si="17"/>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"lets06",</v>
      </c>
      <c r="DE4" s="48" t="str">
        <f>CHAR(34)&amp;"start"&amp;IFERROR(LEFT(SUBSTITUTE(A4,"["&amp;MID(A4,FIND("[",A4)+1,FIND("]",A4)-FIND("[",A4)-1)&amp;"] ",""),1),LEFT(A4,1))&amp;CHAR(34)&amp;","</f>
        <v>"startN",</v>
      </c>
      <c r="DF4" s="48" t="str">
        <f t="shared" si="21"/>
        <v/>
      </c>
      <c r="DG4" s="48" t="str">
        <f t="shared" si="22"/>
        <v/>
      </c>
      <c r="DH4" s="48" t="str">
        <f t="shared" si="23"/>
        <v/>
      </c>
      <c r="DI4" s="48" t="str">
        <f t="shared" si="24"/>
        <v/>
      </c>
      <c r="DJ4" s="48" t="str">
        <f t="shared" si="25"/>
        <v/>
      </c>
      <c r="DK4" s="48" t="str">
        <f t="shared" si="26"/>
        <v>"with_z",</v>
      </c>
      <c r="DL4" s="48" t="str">
        <f t="shared" si="27"/>
        <v/>
      </c>
      <c r="DM4" s="48" t="str" cm="1">
        <f t="array" ref="DM4">IF(CG4=3,CHAR(34) &amp; _xlfn.TEXTJOIN("", TRUE, RIGHT(HP4:HX4, 2)) &amp; CHAR(34) &amp; ",", "")</f>
        <v/>
      </c>
      <c r="DN4" s="48" t="str">
        <f t="shared" si="28"/>
        <v/>
      </c>
      <c r="DO4" s="48" t="str">
        <f t="shared" si="29"/>
        <v>"year19",</v>
      </c>
      <c r="DP4" s="6" t="str">
        <f t="shared" si="30"/>
        <v/>
      </c>
      <c r="DQ4" s="6" t="str">
        <f t="shared" si="31"/>
        <v/>
      </c>
      <c r="DR4" s="6" t="str">
        <f t="shared" si="32"/>
        <v/>
      </c>
      <c r="DS4" s="6" t="str">
        <f t="shared" si="33"/>
        <v/>
      </c>
      <c r="DT4" s="6" t="str">
        <f t="shared" si="34"/>
        <v/>
      </c>
      <c r="DU4" s="6" t="str">
        <f t="shared" si="35"/>
        <v/>
      </c>
      <c r="DW4" s="48" t="str">
        <f t="shared" si="37"/>
        <v/>
      </c>
      <c r="DX4" s="48" t="str">
        <f t="shared" si="37"/>
        <v/>
      </c>
      <c r="DY4" s="48" t="str">
        <f t="shared" si="37"/>
        <v/>
      </c>
      <c r="DZ4" s="48" t="str">
        <f t="shared" si="37"/>
        <v>"4+Band",</v>
      </c>
      <c r="EA4" s="48" t="str">
        <f t="shared" si="38"/>
        <v/>
      </c>
      <c r="EB4" s="48" t="str">
        <f t="shared" si="38"/>
        <v>"Crosse",</v>
      </c>
      <c r="EC4" s="48" t="str">
        <f t="shared" si="38"/>
        <v>"Horizo",</v>
      </c>
      <c r="ED4" s="48" t="str">
        <f t="shared" si="38"/>
        <v>"Vertic",</v>
      </c>
      <c r="EE4" s="48" t="str">
        <f t="shared" si="38"/>
        <v/>
      </c>
      <c r="EF4" s="48" t="str">
        <f t="shared" si="39"/>
        <v/>
      </c>
      <c r="EG4" s="48" t="str">
        <f t="shared" si="40"/>
        <v>"Bird",</v>
      </c>
      <c r="EH4" s="48" t="str">
        <f t="shared" si="40"/>
        <v/>
      </c>
      <c r="EI4" s="48" t="str">
        <f t="shared" si="40"/>
        <v/>
      </c>
      <c r="EJ4" s="48" t="str">
        <f t="shared" si="40"/>
        <v/>
      </c>
      <c r="EK4" s="48" t="str">
        <f t="shared" si="40"/>
        <v/>
      </c>
      <c r="EL4" s="48" t="str">
        <f t="shared" si="40"/>
        <v/>
      </c>
      <c r="EM4" s="48" t="str">
        <f t="shared" si="40"/>
        <v/>
      </c>
      <c r="EN4" s="48" t="str">
        <f t="shared" si="40"/>
        <v/>
      </c>
      <c r="EO4" s="48" t="str">
        <f t="shared" si="40"/>
        <v/>
      </c>
      <c r="EP4" s="48" t="str">
        <f t="shared" si="40"/>
        <v/>
      </c>
      <c r="EQ4" s="48" t="str">
        <f t="shared" si="40"/>
        <v/>
      </c>
      <c r="ER4" s="48" t="str">
        <f t="shared" si="40"/>
        <v/>
      </c>
      <c r="ES4" s="48" t="str">
        <f t="shared" si="40"/>
        <v/>
      </c>
      <c r="ET4" s="48" t="str">
        <f t="shared" si="40"/>
        <v/>
      </c>
      <c r="EU4" s="48" t="str">
        <f t="shared" si="40"/>
        <v/>
      </c>
      <c r="EV4" s="48" t="str">
        <f t="shared" si="40"/>
        <v/>
      </c>
      <c r="EW4" s="48" t="str">
        <f t="shared" si="40"/>
        <v/>
      </c>
      <c r="EX4" s="48" t="str">
        <f t="shared" si="40"/>
        <v>"Crowns",</v>
      </c>
      <c r="EY4" s="48" t="str">
        <f t="shared" si="40"/>
        <v/>
      </c>
      <c r="EZ4" s="48" t="str">
        <f t="shared" si="40"/>
        <v/>
      </c>
      <c r="FA4" s="48" t="str">
        <f t="shared" si="41"/>
        <v/>
      </c>
      <c r="FB4" s="48" t="str">
        <f t="shared" si="42"/>
        <v/>
      </c>
      <c r="FD4" s="48" t="str">
        <f t="shared" si="44"/>
        <v/>
      </c>
      <c r="FE4" s="48" t="str">
        <f t="shared" si="45"/>
        <v/>
      </c>
      <c r="FF4" s="48" t="str">
        <f t="shared" si="46"/>
        <v/>
      </c>
      <c r="FG4" s="48" t="str">
        <f t="shared" si="47"/>
        <v/>
      </c>
      <c r="FH4" s="48" t="str">
        <f t="shared" si="48"/>
        <v>"NO_GRE",</v>
      </c>
      <c r="FI4" s="48" t="str">
        <f t="shared" si="49"/>
        <v/>
      </c>
      <c r="FJ4" s="48" t="str">
        <f t="shared" si="50"/>
        <v/>
      </c>
      <c r="FK4" s="48" t="str">
        <f t="shared" si="51"/>
        <v/>
      </c>
      <c r="FL4" s="48" t="str">
        <f t="shared" si="52"/>
        <v/>
      </c>
      <c r="FM4" s="48" t="str">
        <f t="shared" si="53"/>
        <v/>
      </c>
      <c r="FN4" s="48" t="str">
        <f t="shared" si="54"/>
        <v/>
      </c>
      <c r="FO4" s="48" t="str">
        <f t="shared" si="55"/>
        <v/>
      </c>
      <c r="FP4" s="48" t="str">
        <f t="shared" si="56"/>
        <v/>
      </c>
      <c r="FQ4" s="48" t="str">
        <f t="shared" si="57"/>
        <v>"001RED",</v>
      </c>
      <c r="FR4" s="48" t="str">
        <f t="shared" si="58"/>
        <v>"002RED",</v>
      </c>
      <c r="FS4" s="48" t="str">
        <f t="shared" si="59"/>
        <v>"003RED",</v>
      </c>
      <c r="FT4" s="48" t="str">
        <f t="shared" si="60"/>
        <v>"myrRED",</v>
      </c>
      <c r="FU4" s="48" t="str">
        <f t="shared" si="61"/>
        <v/>
      </c>
      <c r="FV4" s="48" t="str">
        <f t="shared" si="62"/>
        <v/>
      </c>
      <c r="FW4" s="48" t="str">
        <f t="shared" si="63"/>
        <v/>
      </c>
      <c r="FY4" s="48" t="str">
        <f t="shared" si="65"/>
        <v/>
      </c>
      <c r="FZ4" s="48" t="str">
        <f t="shared" si="66"/>
        <v/>
      </c>
      <c r="GA4" s="48" t="str">
        <f t="shared" si="67"/>
        <v/>
      </c>
      <c r="GB4" s="48" t="str">
        <f t="shared" si="68"/>
        <v/>
      </c>
      <c r="GE4" s="48" t="str">
        <f t="shared" si="71"/>
        <v/>
      </c>
      <c r="GF4" s="48" t="str">
        <f>IFERROR(IF(SEARCH("Historical",AU4)&gt;0,CHAR(34)&amp;"histor"&amp;CHAR(34)&amp;",",""),"")</f>
        <v/>
      </c>
      <c r="GG4" s="48" t="str">
        <f t="shared" si="72"/>
        <v/>
      </c>
      <c r="GH4" s="48" t="str">
        <f t="shared" si="73"/>
        <v/>
      </c>
      <c r="GI4" s="48" t="str">
        <f t="shared" si="74"/>
        <v/>
      </c>
      <c r="GJ4" s="48" t="str">
        <f t="shared" si="75"/>
        <v>"NoStar",</v>
      </c>
      <c r="GK4" s="48" t="str">
        <f t="shared" si="76"/>
        <v/>
      </c>
      <c r="GL4" s="48" t="str">
        <f t="shared" si="77"/>
        <v/>
      </c>
      <c r="GM4" s="48" t="str">
        <f t="shared" si="77"/>
        <v/>
      </c>
      <c r="GN4" s="48" t="str">
        <f t="shared" si="77"/>
        <v/>
      </c>
      <c r="GP4" s="48" t="str">
        <f t="shared" si="78"/>
        <v>"Region, City"</v>
      </c>
      <c r="GS4" s="48" t="str">
        <f t="shared" si="79"/>
        <v>["5+Colo","lets06","startN","with_z","year19","4+Band","Crosse","Horizo","Vertic","Bird","Crowns","NO_GRE","001RED","002RED","003RED","myrRED","NoStar"]</v>
      </c>
      <c r="GT4" s="48" t="str">
        <f t="shared" si="80"/>
        <v>"cl_BLA",</v>
      </c>
      <c r="GU4" s="48" t="str">
        <f t="shared" si="80"/>
        <v>"cl_BLU",</v>
      </c>
      <c r="GV4" s="48" t="str">
        <f t="shared" si="80"/>
        <v/>
      </c>
      <c r="GW4" s="48" t="str">
        <f t="shared" si="80"/>
        <v>"cl_RED",</v>
      </c>
      <c r="GX4" s="48" t="str">
        <f t="shared" si="80"/>
        <v>"cl_YEL",</v>
      </c>
      <c r="GY4" s="48" t="str">
        <f t="shared" si="80"/>
        <v/>
      </c>
      <c r="GZ4" s="48" t="str">
        <f t="shared" si="80"/>
        <v/>
      </c>
      <c r="HA4" s="48" t="str">
        <f t="shared" si="80"/>
        <v/>
      </c>
      <c r="HB4" s="48" t="str">
        <f t="shared" si="80"/>
        <v>"cl_WHI",</v>
      </c>
      <c r="HC4" s="48" t="str">
        <f t="shared" si="81"/>
        <v>["cl_BLA","cl_BLU","cl_RED","cl_YEL","cl_WHI"]</v>
      </c>
      <c r="HE4" s="71"/>
      <c r="HF4" s="72" t="str">
        <f t="shared" si="82"/>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links: "https://en.wikipedia.org/wiki/Flag_of_the_City_of_Nelson"},</v>
      </c>
      <c r="HG4" s="73" t="str">
        <f t="shared" si="83"/>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links: "https://en.wikipedia.org/wiki/Flag_of_the_City_of_Nelson"},</v>
      </c>
      <c r="HH4" s="48" t="str">
        <f t="shared" si="84"/>
        <v>"\nThe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v>
      </c>
      <c r="HI4" s="48" t="str">
        <f t="shared" si="85"/>
        <v>"\nThe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v>
      </c>
      <c r="HJ4" s="48" t="str">
        <f t="shared" si="86"/>
        <v>"1987"</v>
      </c>
      <c r="HL4" s="48" t="str">
        <f t="shared" si="87"/>
        <v>"https://en.wikipedia.org/wiki/Flag_of_the_City_of_Nelson"</v>
      </c>
      <c r="HM4" s="72" t="str">
        <f t="shared" si="88"/>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 "links": "https://en.wikipedia.org/wiki/Flag_of_the_City_of_Nelson"},</v>
      </c>
      <c r="HN4" s="74" t="str">
        <f t="shared" si="89"/>
        <v>{"couname":"[NZE] Nelson","year":"1987","region":"rgn_Oceania","Colors":["cl_BLA","cl_BLU","cl_RED","cl_YEL","cl_WHI"],"Items":["5+Colo","lets06","startN","with_z","year19","4+Band","Crosse","Horizo","Vertic","Bird","Crowns","NO_GRE","001RED","002RED","003RED","myrRED","NoStar"],"Flag":"https://upload.wikimedia.org/wikipedia/commons/thumb/0/09/Nelson_flag.svg/640px-Nelson_flag.svg.png","HDFlag":"https://upload.wikimedia.org/wikipedia/commons/thumb/0/09/Nelson_flag.svg/2560px-Nelson_flag.svg.png","type":"Region, City", "describe": "\nThe flag is based on the City of Nelson's coat of arms. The top third of the flag is blue, a colour strongly associated with Nelson including use by many sports teams. The bottom two thirds consist of alternating blue and white horizontal wavy stripes, which represent Nelson's relationship to the sea. Emblazoned upon the striped section is a black cross flory, taken from the arms of Lord Nelson. Above the cross, upon the blue section is a mitre with fringed lappets flowing from either side, for Nelson has been the seat of the bishop of Nelson since 1858. ", "isnew": ".", "links": "https://en.wikipedia.org/wiki/Flag_of_the_City_of_Nelson"},</v>
      </c>
      <c r="HO4" s="75">
        <v>45618</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91"/>
        <v>-5</v>
      </c>
      <c r="IN4" s="78" t="str">
        <f t="shared" si="92"/>
        <v>http://mkweb.bcgsc.ca/color-summarizer/?url=https://upload.wikimedia.org/wikipedia/commons/thumb/0/09/Nelson_flag.svg/640px-Nelson_flag.svg.png&amp;precision=low&amp;num_clusters=5&amp;text=1</v>
      </c>
      <c r="IO4" s="48" t="str">
        <f t="shared" si="93"/>
        <v>"black"</v>
      </c>
      <c r="IP4" s="48" t="str">
        <f t="shared" si="94"/>
        <v>"blue"</v>
      </c>
      <c r="IQ4" s="48" t="str">
        <f t="shared" si="95"/>
        <v/>
      </c>
      <c r="IR4" s="48" t="str">
        <f t="shared" si="96"/>
        <v>"red"</v>
      </c>
      <c r="IS4" s="48" t="str">
        <f t="shared" si="97"/>
        <v>"yellow"</v>
      </c>
      <c r="IT4" s="48" t="str">
        <f t="shared" si="98"/>
        <v/>
      </c>
      <c r="IU4" s="48" t="str">
        <f t="shared" si="99"/>
        <v/>
      </c>
      <c r="IV4" s="48" t="str">
        <f t="shared" si="100"/>
        <v/>
      </c>
      <c r="IW4" s="48" t="str">
        <f t="shared" si="101"/>
        <v>"white"</v>
      </c>
      <c r="IX4" s="48" t="str">
        <f t="shared" si="102"/>
        <v>{"url":"http://mkweb.bcgsc.ca/color-summarizer/?url=https://upload.wikimedia.org/wikipedia/commons/thumb/0/09/Nelson_flag.svg/640px-Nelson_flag.svg.png&amp;precision=low&amp;num_clusters=5&amp;text=1","name":"[NZE] Nelson"},</v>
      </c>
      <c r="IY4" s="48">
        <v>937</v>
      </c>
    </row>
    <row r="5" spans="1:259" s="48" customFormat="1" ht="38.4" customHeight="1" thickBot="1" x14ac:dyDescent="0.35">
      <c r="A5" s="79" t="s">
        <v>499</v>
      </c>
      <c r="B5" s="40" t="e" vm="71">
        <v>#VALUE!</v>
      </c>
      <c r="C5" s="41">
        <v>2</v>
      </c>
      <c r="D5" s="42" t="s">
        <v>500</v>
      </c>
      <c r="E5" s="43" t="s">
        <v>501</v>
      </c>
      <c r="F5" s="44" t="s">
        <v>166</v>
      </c>
      <c r="G5" s="45">
        <f>COUNTIF($A$1:$A$8354,A5)</f>
        <v>1</v>
      </c>
      <c r="H5" s="46"/>
      <c r="I5" s="47" t="s">
        <v>502</v>
      </c>
      <c r="J5" s="48" t="str">
        <f>""</f>
        <v/>
      </c>
      <c r="K5" s="49"/>
      <c r="L5" s="50"/>
      <c r="M5" s="50"/>
      <c r="N5" s="51" t="s">
        <v>169</v>
      </c>
      <c r="O5" s="52">
        <v>2004</v>
      </c>
      <c r="P5" s="53" t="s">
        <v>503</v>
      </c>
      <c r="Q5" s="54">
        <v>1</v>
      </c>
      <c r="R5" s="55" t="s">
        <v>169</v>
      </c>
      <c r="S5" s="56">
        <v>2</v>
      </c>
      <c r="T5" s="57" t="s">
        <v>172</v>
      </c>
      <c r="U5" s="58" t="s">
        <v>173</v>
      </c>
      <c r="V5" s="58" t="s">
        <v>173</v>
      </c>
      <c r="W5" s="58" t="s">
        <v>173</v>
      </c>
      <c r="X5" s="58" t="s">
        <v>173</v>
      </c>
      <c r="Y5" s="58" t="s">
        <v>173</v>
      </c>
      <c r="Z5" s="58" t="s">
        <v>173</v>
      </c>
      <c r="AA5" s="58" t="s">
        <v>173</v>
      </c>
      <c r="AB5" s="58" t="s">
        <v>173</v>
      </c>
      <c r="AC5" s="58" t="s">
        <v>173</v>
      </c>
      <c r="AD5" s="58" t="s">
        <v>173</v>
      </c>
      <c r="AE5" s="58" t="s">
        <v>173</v>
      </c>
      <c r="AF5" s="59" t="s">
        <v>173</v>
      </c>
      <c r="AG5" s="59" t="s">
        <v>172</v>
      </c>
      <c r="AH5" s="59" t="s">
        <v>173</v>
      </c>
      <c r="AI5" s="59" t="s">
        <v>173</v>
      </c>
      <c r="AJ5" s="59" t="s">
        <v>173</v>
      </c>
      <c r="AK5" s="59" t="s">
        <v>173</v>
      </c>
      <c r="AL5" s="59" t="s">
        <v>173</v>
      </c>
      <c r="AM5" s="59" t="s">
        <v>172</v>
      </c>
      <c r="AN5" s="59" t="s">
        <v>173</v>
      </c>
      <c r="AO5" s="59" t="s">
        <v>173</v>
      </c>
      <c r="AP5" s="59" t="s">
        <v>173</v>
      </c>
      <c r="AQ5" s="59" t="s">
        <v>173</v>
      </c>
      <c r="AR5" s="59" t="s">
        <v>173</v>
      </c>
      <c r="AS5" s="59" t="s">
        <v>173</v>
      </c>
      <c r="AT5" s="60">
        <v>2</v>
      </c>
      <c r="AU5" s="59" t="s">
        <v>504</v>
      </c>
      <c r="AV5" s="59" t="str">
        <f>IF(LEFT(A5,1)="[",LEFT(A5,5)&amp;AU5&amp;A5,"")</f>
        <v>[NZE]Region[NZE] Otago</v>
      </c>
      <c r="AW5" s="59" t="str">
        <f>C5&amp;H5&amp;A5</f>
        <v>2[NZE] Otago</v>
      </c>
      <c r="AX5" s="61"/>
      <c r="AY5" s="61"/>
      <c r="AZ5" s="62" t="s">
        <v>192</v>
      </c>
      <c r="BA5" s="62" t="s">
        <v>192</v>
      </c>
      <c r="BB5" s="62"/>
      <c r="BC5" s="63"/>
      <c r="BD5" s="64" t="s">
        <v>159</v>
      </c>
      <c r="BE5" s="47"/>
      <c r="BF5" s="64" t="s">
        <v>192</v>
      </c>
      <c r="BG5" s="64" t="s">
        <v>192</v>
      </c>
      <c r="BH5" s="64" t="s">
        <v>192</v>
      </c>
      <c r="BI5" s="64"/>
      <c r="BJ5" s="64"/>
      <c r="BK5" s="47"/>
      <c r="BL5" s="64" t="s">
        <v>192</v>
      </c>
      <c r="BM5" s="64" t="s">
        <v>152</v>
      </c>
      <c r="BN5" s="64" t="s">
        <v>153</v>
      </c>
      <c r="BO5" s="64" t="s">
        <v>192</v>
      </c>
      <c r="BP5" s="64" t="s">
        <v>155</v>
      </c>
      <c r="BQ5" s="64" t="s">
        <v>156</v>
      </c>
      <c r="BR5" s="64" t="s">
        <v>157</v>
      </c>
      <c r="BS5" s="64" t="s">
        <v>192</v>
      </c>
      <c r="BT5" s="64" t="s">
        <v>159</v>
      </c>
      <c r="BU5" s="65"/>
      <c r="BV5" s="66"/>
      <c r="BW5" s="66">
        <v>0</v>
      </c>
      <c r="BX5" s="47"/>
      <c r="CB5" s="6"/>
      <c r="CC5" s="6"/>
      <c r="CD5" s="67">
        <v>0</v>
      </c>
      <c r="CE5" s="67">
        <v>0</v>
      </c>
      <c r="CF5" s="67" t="e">
        <v>#REF!</v>
      </c>
      <c r="CG5" s="68" cm="1">
        <f t="array" ref="CG5">SUMPRODUCT(--(LEN(TRIM(BL5:BT5))&gt;0))</f>
        <v>6</v>
      </c>
      <c r="CH5" s="59" t="str">
        <f t="shared" si="0"/>
        <v>n</v>
      </c>
      <c r="CI5" s="59" t="str">
        <f t="shared" si="1"/>
        <v>n</v>
      </c>
      <c r="CJ5" s="59" t="str">
        <f t="shared" si="2"/>
        <v>n</v>
      </c>
      <c r="CK5" s="59" t="str">
        <f t="shared" si="3"/>
        <v>y</v>
      </c>
      <c r="CL5" s="59" t="str">
        <f t="shared" si="4"/>
        <v>n</v>
      </c>
      <c r="CM5" s="59" t="str">
        <f t="shared" si="5"/>
        <v>y</v>
      </c>
      <c r="CN5" s="59" t="str">
        <f t="shared" si="6"/>
        <v>n</v>
      </c>
      <c r="CO5" s="59" t="str">
        <f t="shared" si="7"/>
        <v>n</v>
      </c>
      <c r="CP5" s="59" t="str">
        <f t="shared" si="8"/>
        <v>n</v>
      </c>
      <c r="CQ5" s="59" t="str">
        <f t="shared" si="9"/>
        <v>n</v>
      </c>
      <c r="CR5" s="59" t="str">
        <f t="shared" si="10"/>
        <v>y</v>
      </c>
      <c r="CS5" s="59" t="str">
        <f t="shared" si="11"/>
        <v>n</v>
      </c>
      <c r="CT5" s="69" t="str">
        <f t="shared" si="12"/>
        <v>"[NZE] Otago"</v>
      </c>
      <c r="CU5" s="70" t="str">
        <f t="shared" si="13"/>
        <v>"rgn_Oceania"</v>
      </c>
      <c r="CV5" s="48" t="str">
        <f t="shared" si="14"/>
        <v>"https://upload.wikimedia.org/wikipedia/commons/thumb/4/4c/Flag_of_Otago.svg/640px-Flag_of_Otago.svg.png"</v>
      </c>
      <c r="CW5" s="48" t="str">
        <f t="shared" si="15"/>
        <v/>
      </c>
      <c r="CX5" s="48" t="str">
        <f t="shared" si="15"/>
        <v/>
      </c>
      <c r="CY5" s="48" t="str">
        <f t="shared" si="15"/>
        <v/>
      </c>
      <c r="CZ5" s="48" t="str">
        <f t="shared" si="15"/>
        <v>"5+Colo",</v>
      </c>
      <c r="DA5" s="48" t="str">
        <f t="shared" si="16"/>
        <v/>
      </c>
      <c r="DB5" s="48" t="str">
        <f t="shared" si="17"/>
        <v/>
      </c>
      <c r="DD5" s="48" t="str">
        <f>IF(LEN(CHAR(34)&amp;"lets"&amp;LEN(SUBSTITUTE(SUBSTITUTE(IFERROR(TRIM(SUBSTITUTE(A5,MID(A5,FIND("[",A5),FIND("]",A5)-FIND("[",A5)+1),"")),A5)," ",""),"-",""))&amp;CHAR(34)&amp;",")=9,CHAR(34)&amp;"lets"&amp;LEN(SUBSTITUTE(SUBSTITUTE(IFERROR(TRIM(SUBSTITUTE(A5,MID(A5,FIND("[",A5),FIND("]",A5)-FIND("[",A5)+1),"")),A5)," ",""),"-",""))&amp;CHAR(34)&amp;",",CHAR(34)&amp;"lets0"&amp;LEN(SUBSTITUTE(SUBSTITUTE(IFERROR(TRIM(SUBSTITUTE(A5,MID(A5,FIND("[",A5),FIND("]",A5)-FIND("[",A5)+1),"")),A5)," ",""),"-",""))&amp;CHAR(34)&amp;",")</f>
        <v>"lets05",</v>
      </c>
      <c r="DE5" s="48" t="str">
        <f>CHAR(34)&amp;"start"&amp;IFERROR(LEFT(SUBSTITUTE(A5,"["&amp;MID(A5,FIND("[",A5)+1,FIND("]",A5)-FIND("[",A5)-1)&amp;"] ",""),1),LEFT(A5,1))&amp;CHAR(34)&amp;","</f>
        <v>"startO",</v>
      </c>
      <c r="DF5" s="48" t="str">
        <f t="shared" si="21"/>
        <v/>
      </c>
      <c r="DG5" s="48" t="str">
        <f t="shared" si="22"/>
        <v/>
      </c>
      <c r="DH5" s="48" t="str">
        <f t="shared" si="23"/>
        <v/>
      </c>
      <c r="DI5" s="48" t="str">
        <f t="shared" si="24"/>
        <v/>
      </c>
      <c r="DJ5" s="48" t="str">
        <f t="shared" si="25"/>
        <v/>
      </c>
      <c r="DK5" s="48" t="str">
        <f t="shared" si="26"/>
        <v>"with_z",</v>
      </c>
      <c r="DL5" s="48" t="str">
        <f t="shared" si="27"/>
        <v/>
      </c>
      <c r="DM5" s="48" t="str" cm="1">
        <f t="array" ref="DM5">IF(CG5=3,CHAR(34) &amp; _xlfn.TEXTJOIN("", TRUE, RIGHT(HP5:HX5, 2)) &amp; CHAR(34) &amp; ",", "")</f>
        <v/>
      </c>
      <c r="DN5" s="48" t="str">
        <f t="shared" si="28"/>
        <v/>
      </c>
      <c r="DO5" s="48" t="str">
        <f t="shared" si="29"/>
        <v/>
      </c>
      <c r="DP5" s="6" t="str">
        <f t="shared" si="30"/>
        <v>"year00",</v>
      </c>
      <c r="DQ5" s="6" t="str">
        <f t="shared" si="31"/>
        <v/>
      </c>
      <c r="DR5" s="6" t="str">
        <f t="shared" si="32"/>
        <v/>
      </c>
      <c r="DS5" s="6" t="str">
        <f t="shared" si="33"/>
        <v/>
      </c>
      <c r="DT5" s="6" t="str">
        <f t="shared" si="34"/>
        <v/>
      </c>
      <c r="DU5" s="6" t="str">
        <f t="shared" si="35"/>
        <v/>
      </c>
      <c r="DW5" s="48" t="str">
        <f t="shared" si="37"/>
        <v/>
      </c>
      <c r="DX5" s="48" t="str">
        <f t="shared" si="37"/>
        <v>"2Bands",</v>
      </c>
      <c r="DY5" s="48" t="str">
        <f t="shared" si="37"/>
        <v/>
      </c>
      <c r="DZ5" s="48" t="str">
        <f t="shared" si="37"/>
        <v/>
      </c>
      <c r="EA5" s="48" t="str">
        <f t="shared" si="38"/>
        <v>"Diagon",</v>
      </c>
      <c r="EB5" s="48" t="str">
        <f t="shared" si="38"/>
        <v/>
      </c>
      <c r="EC5" s="48" t="str">
        <f t="shared" si="38"/>
        <v/>
      </c>
      <c r="ED5" s="48" t="str">
        <f t="shared" si="38"/>
        <v/>
      </c>
      <c r="EE5" s="48" t="str">
        <f t="shared" si="38"/>
        <v/>
      </c>
      <c r="EF5" s="48" t="str">
        <f t="shared" si="39"/>
        <v/>
      </c>
      <c r="EG5" s="48" t="str">
        <f t="shared" si="40"/>
        <v/>
      </c>
      <c r="EH5" s="48" t="str">
        <f t="shared" si="40"/>
        <v/>
      </c>
      <c r="EI5" s="48" t="str">
        <f t="shared" si="40"/>
        <v/>
      </c>
      <c r="EJ5" s="48" t="str">
        <f t="shared" si="40"/>
        <v/>
      </c>
      <c r="EK5" s="48" t="str">
        <f t="shared" si="40"/>
        <v/>
      </c>
      <c r="EL5" s="48" t="str">
        <f t="shared" si="40"/>
        <v/>
      </c>
      <c r="EM5" s="48" t="str">
        <f t="shared" si="40"/>
        <v/>
      </c>
      <c r="EN5" s="48" t="str">
        <f t="shared" si="40"/>
        <v>"Unequa",</v>
      </c>
      <c r="EO5" s="48" t="str">
        <f t="shared" si="40"/>
        <v/>
      </c>
      <c r="EP5" s="48" t="str">
        <f t="shared" si="40"/>
        <v/>
      </c>
      <c r="EQ5" s="48" t="str">
        <f t="shared" si="40"/>
        <v/>
      </c>
      <c r="ER5" s="48" t="str">
        <f t="shared" si="40"/>
        <v/>
      </c>
      <c r="ES5" s="48" t="str">
        <f t="shared" si="40"/>
        <v/>
      </c>
      <c r="ET5" s="48" t="str">
        <f t="shared" si="40"/>
        <v>"Geogrh",</v>
      </c>
      <c r="EU5" s="48" t="str">
        <f t="shared" si="40"/>
        <v/>
      </c>
      <c r="EV5" s="48" t="str">
        <f t="shared" si="40"/>
        <v/>
      </c>
      <c r="EW5" s="48" t="str">
        <f t="shared" si="40"/>
        <v/>
      </c>
      <c r="EX5" s="48" t="str">
        <f t="shared" si="40"/>
        <v/>
      </c>
      <c r="EY5" s="48" t="str">
        <f t="shared" si="40"/>
        <v/>
      </c>
      <c r="EZ5" s="48" t="str">
        <f t="shared" si="40"/>
        <v/>
      </c>
      <c r="FA5" s="48" t="str">
        <f t="shared" si="41"/>
        <v>"sta",</v>
      </c>
      <c r="FB5" s="48" t="str">
        <f t="shared" si="42"/>
        <v/>
      </c>
      <c r="FD5" s="48" t="str">
        <f t="shared" si="44"/>
        <v/>
      </c>
      <c r="FE5" s="48" t="str">
        <f t="shared" si="45"/>
        <v/>
      </c>
      <c r="FF5" s="48" t="str">
        <f t="shared" si="46"/>
        <v/>
      </c>
      <c r="FG5" s="48" t="str">
        <f t="shared" si="47"/>
        <v>"NO_RED",</v>
      </c>
      <c r="FH5" s="48" t="str">
        <f t="shared" si="48"/>
        <v/>
      </c>
      <c r="FI5" s="48" t="str">
        <f t="shared" si="49"/>
        <v/>
      </c>
      <c r="FJ5" s="48" t="str">
        <f t="shared" si="50"/>
        <v>"NO_BLA",</v>
      </c>
      <c r="FK5" s="48" t="str">
        <f t="shared" si="51"/>
        <v/>
      </c>
      <c r="FL5" s="48" t="str">
        <f t="shared" si="52"/>
        <v/>
      </c>
      <c r="FM5" s="48" t="str">
        <f t="shared" si="53"/>
        <v/>
      </c>
      <c r="FN5" s="48" t="str">
        <f t="shared" si="54"/>
        <v/>
      </c>
      <c r="FO5" s="48" t="str">
        <f t="shared" si="55"/>
        <v/>
      </c>
      <c r="FP5" s="48" t="str">
        <f t="shared" si="56"/>
        <v/>
      </c>
      <c r="FQ5" s="48" t="str">
        <f t="shared" si="57"/>
        <v/>
      </c>
      <c r="FR5" s="48" t="str">
        <f t="shared" si="58"/>
        <v/>
      </c>
      <c r="FS5" s="48" t="str">
        <f t="shared" si="59"/>
        <v/>
      </c>
      <c r="FT5" s="48" t="str">
        <f t="shared" si="60"/>
        <v>"myrWHI",</v>
      </c>
      <c r="FU5" s="48" t="str">
        <f t="shared" si="61"/>
        <v/>
      </c>
      <c r="FV5" s="48" t="str">
        <f t="shared" si="62"/>
        <v/>
      </c>
      <c r="FW5" s="48" t="str">
        <f t="shared" si="63"/>
        <v/>
      </c>
      <c r="FY5" s="48" t="str">
        <f t="shared" si="65"/>
        <v/>
      </c>
      <c r="FZ5" s="48" t="str">
        <f t="shared" si="66"/>
        <v/>
      </c>
      <c r="GA5" s="48" t="str">
        <f t="shared" si="67"/>
        <v/>
      </c>
      <c r="GB5" s="48" t="str">
        <f t="shared" si="68"/>
        <v/>
      </c>
      <c r="GE5" s="48" t="str">
        <f t="shared" si="71"/>
        <v/>
      </c>
      <c r="GF5" s="48" t="str">
        <f>IFERROR(IF(SEARCH("Historical",AU5)&gt;0,CHAR(34)&amp;"histor"&amp;CHAR(34)&amp;",",""),"")</f>
        <v/>
      </c>
      <c r="GG5" s="48" t="str">
        <f t="shared" si="72"/>
        <v/>
      </c>
      <c r="GH5" s="48" t="str">
        <f t="shared" si="73"/>
        <v/>
      </c>
      <c r="GI5" s="48" t="str">
        <f t="shared" si="74"/>
        <v/>
      </c>
      <c r="GJ5" s="48" t="str">
        <f t="shared" si="75"/>
        <v/>
      </c>
      <c r="GK5" s="48" t="str">
        <f t="shared" si="76"/>
        <v>"HasSta",</v>
      </c>
      <c r="GL5" s="48" t="str">
        <f t="shared" si="77"/>
        <v/>
      </c>
      <c r="GM5" s="48" t="str">
        <f t="shared" si="77"/>
        <v>"2Stars",</v>
      </c>
      <c r="GN5" s="48" t="str">
        <f t="shared" si="77"/>
        <v/>
      </c>
      <c r="GP5" s="48" t="str">
        <f t="shared" si="78"/>
        <v>"Region"</v>
      </c>
      <c r="GS5" s="48" t="str">
        <f t="shared" si="79"/>
        <v>["5+Colo","lets05","startO","with_z","year00","2Bands","Diagon","Unequa","Geogrh","sta","NO_RED","NO_BLA","myrWHI","HasSta","2Stars"]</v>
      </c>
      <c r="GT5" s="48" t="str">
        <f t="shared" si="80"/>
        <v/>
      </c>
      <c r="GU5" s="48" t="str">
        <f t="shared" si="80"/>
        <v>"cl_BLU",</v>
      </c>
      <c r="GV5" s="48" t="str">
        <f t="shared" si="80"/>
        <v>"cl_GRE",</v>
      </c>
      <c r="GW5" s="48" t="str">
        <f t="shared" si="80"/>
        <v/>
      </c>
      <c r="GX5" s="48" t="str">
        <f t="shared" si="80"/>
        <v>"cl_YEL",</v>
      </c>
      <c r="GY5" s="48" t="str">
        <f t="shared" si="80"/>
        <v>"cl_ORA",</v>
      </c>
      <c r="GZ5" s="48" t="str">
        <f t="shared" si="80"/>
        <v>"cl_BRO",</v>
      </c>
      <c r="HA5" s="48" t="str">
        <f t="shared" si="80"/>
        <v/>
      </c>
      <c r="HB5" s="48" t="str">
        <f t="shared" si="80"/>
        <v>"cl_WHI",</v>
      </c>
      <c r="HC5" s="48" t="str">
        <f t="shared" si="81"/>
        <v>["cl_BLU","cl_GRE","cl_YEL","cl_ORA","cl_BRO","cl_WHI"]</v>
      </c>
      <c r="HE5" s="71"/>
      <c r="HF5" s="72" t="str">
        <f t="shared" si="82"/>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links: "https://en.wikipedia.org/wiki/Otago"},</v>
      </c>
      <c r="HG5" s="73" t="str">
        <f t="shared" si="83"/>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links: "https://en.wikipedia.org/wiki/Otago"},</v>
      </c>
      <c r="HH5" s="48" t="str">
        <f t="shared" si="84"/>
        <v>"\nBlue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v>
      </c>
      <c r="HI5" s="48" t="str">
        <f t="shared" si="85"/>
        <v>"\nBlue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v>
      </c>
      <c r="HJ5" s="48" t="str">
        <f t="shared" si="86"/>
        <v>"2004"</v>
      </c>
      <c r="HL5" s="48" t="str">
        <f t="shared" si="87"/>
        <v>"https://en.wikipedia.org/wiki/Otago"</v>
      </c>
      <c r="HM5" s="72" t="str">
        <f t="shared" si="88"/>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 "links": "https://en.wikipedia.org/wiki/Otago"},</v>
      </c>
      <c r="HN5" s="74" t="str">
        <f t="shared" si="89"/>
        <v>{"couname":"[NZE] Otago","year":"2004","region":"rgn_Oceania","Colors":["cl_BLU","cl_GRE","cl_YEL","cl_ORA","cl_BRO","cl_WHI"],"Items":["5+Colo","lets05","startO","with_z","year00","2Bands","Diagon","Unequa","Geogrh","sta","NO_RED","NO_BLA","myrWHI","HasSta","2Stars"],"Flag":"https://upload.wikimedia.org/wikipedia/commons/thumb/4/4c/Flag_of_Otago.svg/640px-Flag_of_Otago.svg.png","HDFlag":"https://upload.wikimedia.org/wikipedia/commons/thumb/4/4c/Flag_of_Otago.svg/2560px-Flag_of_Otago.svg.png","type":"Region", "describe": "\nBlue and gold, horizontally divided by a zigzag line, with counterchanged eight-pointed stars. Used by the Otago Regional Council, and widely by the general public in the Otago region. The colours are widely used in the region. The gold representing the region's hills and gold-mining origins, while the blue represents the sky and the region's historical ties to Scotland.", "isnew": ".", "links": "https://en.wikipedia.org/wiki/Otago"},</v>
      </c>
      <c r="HO5" s="75">
        <v>45610</v>
      </c>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YEL</v>
      </c>
      <c r="HU5" s="48" t="str" cm="1">
        <f t="array" ref="HU5">IF(_xlfn.TEXTJOIN(", ", TRUE, IF(ISNUMBER(SEARCH("ORA", BL5:BT5)), COLUMN(BL5:BT5) - COLUMN(BL5) + 1, ""))&lt;&gt;"","ORA","")</f>
        <v>ORA</v>
      </c>
      <c r="HV5" s="48" t="str" cm="1">
        <f t="array" ref="HV5">IF(_xlfn.TEXTJOIN(", ", TRUE, IF(ISNUMBER(SEARCH("BRO", BL5:BT5)), COLUMN(BL5:BT5) - COLUMN(BL5) + 1, ""))&lt;&gt;"","BRO","")</f>
        <v>BRO</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M5" s="45">
        <f t="shared" si="91"/>
        <v>-6</v>
      </c>
      <c r="IN5" s="78" t="str">
        <f t="shared" si="92"/>
        <v>http://mkweb.bcgsc.ca/color-summarizer/?url=https://upload.wikimedia.org/wikipedia/commons/thumb/4/4c/Flag_of_Otago.svg/640px-Flag_of_Otago.svg.png&amp;precision=low&amp;num_clusters=6&amp;text=1</v>
      </c>
      <c r="IO5" s="48" t="str">
        <f t="shared" si="93"/>
        <v/>
      </c>
      <c r="IP5" s="48" t="str">
        <f t="shared" si="94"/>
        <v>"blue"</v>
      </c>
      <c r="IQ5" s="48" t="str">
        <f t="shared" si="95"/>
        <v>"green"</v>
      </c>
      <c r="IR5" s="48" t="str">
        <f t="shared" si="96"/>
        <v/>
      </c>
      <c r="IS5" s="48" t="str">
        <f t="shared" si="97"/>
        <v>"yellow"</v>
      </c>
      <c r="IT5" s="48" t="str">
        <f t="shared" si="98"/>
        <v>"orange"</v>
      </c>
      <c r="IU5" s="48" t="str">
        <f t="shared" si="99"/>
        <v>"brown"</v>
      </c>
      <c r="IV5" s="48" t="str">
        <f t="shared" si="100"/>
        <v/>
      </c>
      <c r="IW5" s="48" t="str">
        <f t="shared" si="101"/>
        <v>"white"</v>
      </c>
      <c r="IX5" s="48" t="str">
        <f t="shared" si="102"/>
        <v>{"url":"http://mkweb.bcgsc.ca/color-summarizer/?url=https://upload.wikimedia.org/wikipedia/commons/thumb/4/4c/Flag_of_Otago.svg/640px-Flag_of_Otago.svg.png&amp;precision=low&amp;num_clusters=6&amp;text=1","name":"[NZE] Otago"},</v>
      </c>
      <c r="IY5" s="48">
        <v>1241</v>
      </c>
    </row>
    <row r="6" spans="1:259" s="48" customFormat="1" ht="38.4" customHeight="1" thickBot="1" x14ac:dyDescent="0.35">
      <c r="A6" s="79" t="s">
        <v>505</v>
      </c>
      <c r="B6" s="40" t="e" vm="72">
        <v>#VALUE!</v>
      </c>
      <c r="C6" s="41">
        <v>2</v>
      </c>
      <c r="D6" s="42" t="s">
        <v>506</v>
      </c>
      <c r="E6" s="43" t="s">
        <v>507</v>
      </c>
      <c r="F6" s="44" t="s">
        <v>166</v>
      </c>
      <c r="G6" s="45">
        <f>COUNTIF($A$1:$A$8354,A6)</f>
        <v>1</v>
      </c>
      <c r="H6" s="46"/>
      <c r="I6" s="47" t="s">
        <v>508</v>
      </c>
      <c r="J6" s="48" t="str">
        <f>""</f>
        <v/>
      </c>
      <c r="K6" s="49"/>
      <c r="L6" s="50"/>
      <c r="M6" s="50"/>
      <c r="N6" s="51" t="s">
        <v>169</v>
      </c>
      <c r="O6" s="52">
        <v>1962</v>
      </c>
      <c r="P6" s="53" t="s">
        <v>509</v>
      </c>
      <c r="Q6" s="54">
        <v>1</v>
      </c>
      <c r="R6" s="55" t="s">
        <v>169</v>
      </c>
      <c r="S6" s="56">
        <v>2</v>
      </c>
      <c r="T6" s="57" t="s">
        <v>173</v>
      </c>
      <c r="U6" s="58" t="s">
        <v>172</v>
      </c>
      <c r="V6" s="58" t="s">
        <v>172</v>
      </c>
      <c r="W6" s="58" t="s">
        <v>172</v>
      </c>
      <c r="X6" s="58" t="s">
        <v>172</v>
      </c>
      <c r="Y6" s="58" t="s">
        <v>172</v>
      </c>
      <c r="Z6" s="58" t="s">
        <v>173</v>
      </c>
      <c r="AA6" s="58" t="s">
        <v>173</v>
      </c>
      <c r="AB6" s="58" t="s">
        <v>173</v>
      </c>
      <c r="AC6" s="58" t="s">
        <v>173</v>
      </c>
      <c r="AD6" s="58" t="s">
        <v>173</v>
      </c>
      <c r="AE6" s="58" t="s">
        <v>173</v>
      </c>
      <c r="AF6" s="59" t="s">
        <v>173</v>
      </c>
      <c r="AG6" s="59" t="s">
        <v>173</v>
      </c>
      <c r="AH6" s="59" t="s">
        <v>172</v>
      </c>
      <c r="AI6" s="59" t="s">
        <v>173</v>
      </c>
      <c r="AJ6" s="59" t="s">
        <v>173</v>
      </c>
      <c r="AK6" s="59" t="s">
        <v>173</v>
      </c>
      <c r="AL6" s="59" t="s">
        <v>173</v>
      </c>
      <c r="AM6" s="59" t="s">
        <v>173</v>
      </c>
      <c r="AN6" s="59" t="s">
        <v>173</v>
      </c>
      <c r="AO6" s="59" t="s">
        <v>173</v>
      </c>
      <c r="AP6" s="59" t="s">
        <v>172</v>
      </c>
      <c r="AQ6" s="59" t="s">
        <v>173</v>
      </c>
      <c r="AR6" s="59" t="s">
        <v>173</v>
      </c>
      <c r="AS6" s="59" t="s">
        <v>173</v>
      </c>
      <c r="AT6" s="60">
        <v>0</v>
      </c>
      <c r="AU6" s="59" t="s">
        <v>493</v>
      </c>
      <c r="AV6" s="59" t="str">
        <f>IF(LEFT(A6,1)="[",LEFT(A6,5)&amp;AU6&amp;A6,"")</f>
        <v>[NZE]Region, City[NZE] Wellington</v>
      </c>
      <c r="AW6" s="59" t="str">
        <f>C6&amp;H6&amp;A6</f>
        <v>2[NZE] Wellington</v>
      </c>
      <c r="AX6" s="61"/>
      <c r="AY6" s="61"/>
      <c r="AZ6" s="62" t="s">
        <v>159</v>
      </c>
      <c r="BA6" s="62" t="s">
        <v>192</v>
      </c>
      <c r="BB6" s="62"/>
      <c r="BC6" s="63"/>
      <c r="BD6" s="64" t="s">
        <v>152</v>
      </c>
      <c r="BE6" s="47"/>
      <c r="BF6" s="64" t="s">
        <v>152</v>
      </c>
      <c r="BG6" s="64" t="s">
        <v>152</v>
      </c>
      <c r="BH6" s="64" t="s">
        <v>152</v>
      </c>
      <c r="BI6" s="64"/>
      <c r="BJ6" s="64"/>
      <c r="BK6" s="47"/>
      <c r="BL6" s="64" t="s">
        <v>192</v>
      </c>
      <c r="BM6" s="64" t="s">
        <v>152</v>
      </c>
      <c r="BN6" s="64" t="s">
        <v>192</v>
      </c>
      <c r="BO6" s="64" t="s">
        <v>192</v>
      </c>
      <c r="BP6" s="64" t="s">
        <v>155</v>
      </c>
      <c r="BQ6" s="64" t="s">
        <v>192</v>
      </c>
      <c r="BR6" s="64" t="s">
        <v>157</v>
      </c>
      <c r="BS6" s="64" t="s">
        <v>192</v>
      </c>
      <c r="BT6" s="64" t="s">
        <v>159</v>
      </c>
      <c r="BU6" s="65"/>
      <c r="BV6" s="66"/>
      <c r="BW6" s="66">
        <v>0</v>
      </c>
      <c r="BX6" s="47"/>
      <c r="CB6" s="6"/>
      <c r="CC6" s="6"/>
      <c r="CD6" s="67">
        <v>1</v>
      </c>
      <c r="CE6" s="67">
        <v>0</v>
      </c>
      <c r="CF6" s="67" t="e">
        <v>#REF!</v>
      </c>
      <c r="CG6" s="68" cm="1">
        <f t="array" ref="CG6">SUMPRODUCT(--(LEN(TRIM(BL6:BT6))&gt;0))</f>
        <v>4</v>
      </c>
      <c r="CH6" s="59" t="str">
        <f t="shared" si="0"/>
        <v>n</v>
      </c>
      <c r="CI6" s="59" t="str">
        <f t="shared" si="1"/>
        <v>n</v>
      </c>
      <c r="CJ6" s="59" t="str">
        <f t="shared" si="2"/>
        <v>y</v>
      </c>
      <c r="CK6" s="59" t="str">
        <f t="shared" si="3"/>
        <v>n</v>
      </c>
      <c r="CL6" s="59" t="str">
        <f t="shared" si="4"/>
        <v>n</v>
      </c>
      <c r="CM6" s="59" t="str">
        <f t="shared" si="5"/>
        <v>y</v>
      </c>
      <c r="CN6" s="59" t="str">
        <f t="shared" si="6"/>
        <v>n</v>
      </c>
      <c r="CO6" s="59" t="str">
        <f t="shared" si="7"/>
        <v>n</v>
      </c>
      <c r="CP6" s="59" t="str">
        <f t="shared" si="8"/>
        <v>y</v>
      </c>
      <c r="CQ6" s="59" t="str">
        <f t="shared" si="9"/>
        <v>n</v>
      </c>
      <c r="CR6" s="59" t="str">
        <f t="shared" si="10"/>
        <v>n</v>
      </c>
      <c r="CS6" s="59" t="str">
        <f t="shared" si="11"/>
        <v>n</v>
      </c>
      <c r="CT6" s="69" t="str">
        <f t="shared" si="12"/>
        <v>"[NZE] Wellington"</v>
      </c>
      <c r="CU6" s="70" t="str">
        <f t="shared" si="13"/>
        <v>"rgn_Oceania"</v>
      </c>
      <c r="CV6" s="48" t="str">
        <f t="shared" si="14"/>
        <v>"https://upload.wikimedia.org/wikipedia/commons/thumb/0/0d/Flag_of_Wellington_City%2C_New_Zealand.svg/640px-Flag_of_Wellington_City%2C_New_Zealand.svg.png"</v>
      </c>
      <c r="CW6" s="48" t="str">
        <f t="shared" si="15"/>
        <v/>
      </c>
      <c r="CX6" s="48" t="str">
        <f t="shared" si="15"/>
        <v/>
      </c>
      <c r="CY6" s="48" t="str">
        <f t="shared" si="15"/>
        <v>"4Color",</v>
      </c>
      <c r="CZ6" s="48" t="str">
        <f t="shared" si="15"/>
        <v/>
      </c>
      <c r="DA6" s="48" t="str">
        <f t="shared" si="16"/>
        <v/>
      </c>
      <c r="DB6" s="48" t="str">
        <f t="shared" si="17"/>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"lets10",</v>
      </c>
      <c r="DE6" s="48" t="str">
        <f>CHAR(34)&amp;"start"&amp;IFERROR(LEFT(SUBSTITUTE(A6,"["&amp;MID(A6,FIND("[",A6)+1,FIND("]",A6)-FIND("[",A6)-1)&amp;"] ",""),1),LEFT(A6,1))&amp;CHAR(34)&amp;","</f>
        <v>"startW",</v>
      </c>
      <c r="DF6" s="48" t="str">
        <f t="shared" si="21"/>
        <v/>
      </c>
      <c r="DG6" s="48" t="str">
        <f t="shared" si="22"/>
        <v/>
      </c>
      <c r="DH6" s="48" t="str">
        <f t="shared" si="23"/>
        <v/>
      </c>
      <c r="DI6" s="48" t="str">
        <f t="shared" si="24"/>
        <v>"with_w",</v>
      </c>
      <c r="DJ6" s="48" t="str">
        <f t="shared" si="25"/>
        <v/>
      </c>
      <c r="DK6" s="48" t="str">
        <f t="shared" si="26"/>
        <v>"with_z",</v>
      </c>
      <c r="DL6" s="48" t="str">
        <f t="shared" si="27"/>
        <v/>
      </c>
      <c r="DM6" s="48" t="str" cm="1">
        <f t="array" ref="DM6">IF(CG6=3,CHAR(34) &amp; _xlfn.TEXTJOIN("", TRUE, RIGHT(HP6:HX6, 2)) &amp; CHAR(34) &amp; ",", "")</f>
        <v/>
      </c>
      <c r="DN6" s="48" t="str">
        <f t="shared" si="28"/>
        <v/>
      </c>
      <c r="DO6" s="48" t="str">
        <f t="shared" si="29"/>
        <v>"year19",</v>
      </c>
      <c r="DP6" s="6" t="str">
        <f t="shared" si="30"/>
        <v/>
      </c>
      <c r="DQ6" s="6" t="str">
        <f t="shared" si="31"/>
        <v/>
      </c>
      <c r="DR6" s="6" t="str">
        <f t="shared" si="32"/>
        <v/>
      </c>
      <c r="DS6" s="6" t="str">
        <f t="shared" si="33"/>
        <v/>
      </c>
      <c r="DT6" s="6" t="str">
        <f t="shared" si="34"/>
        <v/>
      </c>
      <c r="DU6" s="6" t="str">
        <f t="shared" si="35"/>
        <v/>
      </c>
      <c r="DW6" s="48" t="str">
        <f t="shared" si="37"/>
        <v/>
      </c>
      <c r="DX6" s="48" t="str">
        <f t="shared" si="37"/>
        <v>"2Bands",</v>
      </c>
      <c r="DY6" s="48" t="str">
        <f t="shared" si="37"/>
        <v/>
      </c>
      <c r="DZ6" s="48" t="str">
        <f t="shared" si="37"/>
        <v/>
      </c>
      <c r="EA6" s="48" t="str">
        <f t="shared" si="38"/>
        <v/>
      </c>
      <c r="EB6" s="48" t="str">
        <f t="shared" si="38"/>
        <v>"Crosse",</v>
      </c>
      <c r="EC6" s="48" t="str">
        <f t="shared" si="38"/>
        <v>"Horizo",</v>
      </c>
      <c r="ED6" s="48" t="str">
        <f t="shared" si="38"/>
        <v>"Vertic",</v>
      </c>
      <c r="EE6" s="48" t="str">
        <f t="shared" si="38"/>
        <v>"Circle",</v>
      </c>
      <c r="EF6" s="48" t="str">
        <f t="shared" si="39"/>
        <v>"Animal",</v>
      </c>
      <c r="EG6" s="48" t="str">
        <f t="shared" si="40"/>
        <v/>
      </c>
      <c r="EH6" s="48" t="str">
        <f t="shared" si="40"/>
        <v/>
      </c>
      <c r="EI6" s="48" t="str">
        <f t="shared" si="40"/>
        <v/>
      </c>
      <c r="EJ6" s="48" t="str">
        <f t="shared" si="40"/>
        <v/>
      </c>
      <c r="EK6" s="48" t="str">
        <f t="shared" si="40"/>
        <v/>
      </c>
      <c r="EL6" s="48" t="str">
        <f t="shared" si="40"/>
        <v/>
      </c>
      <c r="EM6" s="48" t="str">
        <f t="shared" si="40"/>
        <v/>
      </c>
      <c r="EN6" s="48" t="str">
        <f t="shared" si="40"/>
        <v/>
      </c>
      <c r="EO6" s="48" t="str">
        <f t="shared" si="40"/>
        <v>"Center",</v>
      </c>
      <c r="EP6" s="48" t="str">
        <f t="shared" si="40"/>
        <v/>
      </c>
      <c r="EQ6" s="48" t="str">
        <f t="shared" si="40"/>
        <v/>
      </c>
      <c r="ER6" s="48" t="str">
        <f t="shared" si="40"/>
        <v/>
      </c>
      <c r="ES6" s="48" t="str">
        <f t="shared" si="40"/>
        <v/>
      </c>
      <c r="ET6" s="48" t="str">
        <f t="shared" si="40"/>
        <v/>
      </c>
      <c r="EU6" s="48" t="str">
        <f t="shared" si="40"/>
        <v/>
      </c>
      <c r="EV6" s="48" t="str">
        <f t="shared" si="40"/>
        <v/>
      </c>
      <c r="EW6" s="48" t="str">
        <f t="shared" si="40"/>
        <v>"Ships!",</v>
      </c>
      <c r="EX6" s="48" t="str">
        <f t="shared" si="40"/>
        <v/>
      </c>
      <c r="EY6" s="48" t="str">
        <f t="shared" si="40"/>
        <v/>
      </c>
      <c r="EZ6" s="48" t="str">
        <f t="shared" si="40"/>
        <v/>
      </c>
      <c r="FA6" s="48" t="str">
        <f t="shared" si="41"/>
        <v/>
      </c>
      <c r="FB6" s="48" t="str">
        <f t="shared" si="42"/>
        <v/>
      </c>
      <c r="FD6" s="48" t="str">
        <f t="shared" si="44"/>
        <v/>
      </c>
      <c r="FE6" s="48" t="str">
        <f t="shared" si="45"/>
        <v/>
      </c>
      <c r="FF6" s="48" t="str">
        <f t="shared" si="46"/>
        <v/>
      </c>
      <c r="FG6" s="48" t="str">
        <f t="shared" si="47"/>
        <v>"NO_RED",</v>
      </c>
      <c r="FH6" s="48" t="str">
        <f t="shared" si="48"/>
        <v>"NO_GRE",</v>
      </c>
      <c r="FI6" s="48" t="str">
        <f t="shared" si="49"/>
        <v/>
      </c>
      <c r="FJ6" s="48" t="str">
        <f t="shared" si="50"/>
        <v>"NO_BLA",</v>
      </c>
      <c r="FK6" s="48" t="str">
        <f t="shared" si="51"/>
        <v/>
      </c>
      <c r="FL6" s="48" t="str">
        <f t="shared" si="52"/>
        <v/>
      </c>
      <c r="FM6" s="48" t="str">
        <f t="shared" si="53"/>
        <v/>
      </c>
      <c r="FN6" s="48" t="str">
        <f t="shared" si="54"/>
        <v/>
      </c>
      <c r="FO6" s="48" t="str">
        <f t="shared" si="55"/>
        <v/>
      </c>
      <c r="FP6" s="48" t="str">
        <f t="shared" si="56"/>
        <v/>
      </c>
      <c r="FQ6" s="48" t="str">
        <f t="shared" si="57"/>
        <v>"001BLU",</v>
      </c>
      <c r="FR6" s="48" t="str">
        <f t="shared" si="58"/>
        <v>"002BLU",</v>
      </c>
      <c r="FS6" s="48" t="str">
        <f t="shared" si="59"/>
        <v>"003BLU",</v>
      </c>
      <c r="FT6" s="48" t="str">
        <f t="shared" si="60"/>
        <v>"myrBLU",</v>
      </c>
      <c r="FU6" s="48" t="str">
        <f t="shared" si="61"/>
        <v/>
      </c>
      <c r="FV6" s="48" t="str">
        <f t="shared" si="62"/>
        <v/>
      </c>
      <c r="FW6" s="48" t="str">
        <f t="shared" si="63"/>
        <v/>
      </c>
      <c r="FY6" s="48" t="str">
        <f t="shared" si="65"/>
        <v/>
      </c>
      <c r="FZ6" s="48" t="str">
        <f t="shared" si="66"/>
        <v/>
      </c>
      <c r="GA6" s="48" t="str">
        <f t="shared" si="67"/>
        <v/>
      </c>
      <c r="GB6" s="48" t="str">
        <f t="shared" si="68"/>
        <v/>
      </c>
      <c r="GE6" s="48" t="str">
        <f t="shared" si="71"/>
        <v/>
      </c>
      <c r="GF6" s="48" t="str">
        <f>IFERROR(IF(SEARCH("Historical",AU6)&gt;0,CHAR(34)&amp;"histor"&amp;CHAR(34)&amp;",",""),"")</f>
        <v/>
      </c>
      <c r="GG6" s="48" t="str">
        <f t="shared" si="72"/>
        <v/>
      </c>
      <c r="GH6" s="48" t="str">
        <f t="shared" si="73"/>
        <v>"southc",</v>
      </c>
      <c r="GI6" s="48" t="str">
        <f t="shared" si="74"/>
        <v/>
      </c>
      <c r="GJ6" s="48" t="str">
        <f t="shared" si="75"/>
        <v>"NoStar",</v>
      </c>
      <c r="GK6" s="48" t="str">
        <f t="shared" si="76"/>
        <v/>
      </c>
      <c r="GL6" s="48" t="str">
        <f t="shared" si="77"/>
        <v/>
      </c>
      <c r="GM6" s="48" t="str">
        <f t="shared" si="77"/>
        <v/>
      </c>
      <c r="GN6" s="48" t="str">
        <f t="shared" si="77"/>
        <v/>
      </c>
      <c r="GP6" s="48" t="str">
        <f t="shared" si="78"/>
        <v>"Region, City"</v>
      </c>
      <c r="GS6" s="48" t="str">
        <f t="shared" si="79"/>
        <v>["4Color","lets10","startW","with_w","with_z","year19","2Bands","Crosse","Horizo","Vertic","Circle","Animal","Center","Ships!","NO_RED","NO_GRE","NO_BLA","001BLU","002BLU","003BLU","myrBLU","southc","NoStar"]</v>
      </c>
      <c r="GT6" s="48" t="str">
        <f t="shared" si="80"/>
        <v/>
      </c>
      <c r="GU6" s="48" t="str">
        <f t="shared" si="80"/>
        <v>"cl_BLU",</v>
      </c>
      <c r="GV6" s="48" t="str">
        <f t="shared" si="80"/>
        <v/>
      </c>
      <c r="GW6" s="48" t="str">
        <f t="shared" si="80"/>
        <v/>
      </c>
      <c r="GX6" s="48" t="str">
        <f t="shared" si="80"/>
        <v>"cl_YEL",</v>
      </c>
      <c r="GY6" s="48" t="str">
        <f t="shared" si="80"/>
        <v/>
      </c>
      <c r="GZ6" s="48" t="str">
        <f t="shared" si="80"/>
        <v>"cl_BRO",</v>
      </c>
      <c r="HA6" s="48" t="str">
        <f t="shared" si="80"/>
        <v/>
      </c>
      <c r="HB6" s="48" t="str">
        <f t="shared" si="80"/>
        <v>"cl_WHI",</v>
      </c>
      <c r="HC6" s="48" t="str">
        <f t="shared" si="81"/>
        <v>["cl_BLU","cl_YEL","cl_BRO","cl_WHI"]</v>
      </c>
      <c r="HE6" s="71"/>
      <c r="HF6" s="72" t="str">
        <f t="shared" si="82"/>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links: "https://en.wikipedia.org/wiki/Flag_of_Wellington"},</v>
      </c>
      <c r="HG6" s="73" t="str">
        <f t="shared" si="83"/>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links: "https://en.wikipedia.org/wiki/Flag_of_Wellington"},</v>
      </c>
      <c r="HH6" s="48" t="str">
        <f t="shared" si="84"/>
        <v>"\nBlack symmetric cross on a yellow background with a central circular design of a ship with a dolphin on its sail. The ship is flying three St George's Crosses, representative of the city's English origins"</v>
      </c>
      <c r="HI6" s="48" t="str">
        <f t="shared" si="85"/>
        <v>"\nBlack symmetric cross on a yellow background with a central circular design of a ship with a dolphin on its sail. The ship is flying three St George's Crosses, representative of the city's English origins"</v>
      </c>
      <c r="HJ6" s="48" t="str">
        <f t="shared" si="86"/>
        <v>"1962"</v>
      </c>
      <c r="HL6" s="48" t="str">
        <f t="shared" si="87"/>
        <v>"https://en.wikipedia.org/wiki/Flag_of_Wellington"</v>
      </c>
      <c r="HM6" s="72" t="str">
        <f t="shared" si="88"/>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 "links": "https://en.wikipedia.org/wiki/Flag_of_Wellington"},</v>
      </c>
      <c r="HN6" s="74" t="str">
        <f t="shared" si="89"/>
        <v>{"couname":"[NZE] Wellington","year":"1962","region":"rgn_Oceania","Colors":["cl_BLU","cl_YEL","cl_BRO","cl_WHI"],"Items":["4Color","lets10","startW","with_w","with_z","year19","2Bands","Crosse","Horizo","Vertic","Circle","Animal","Center","Ships!","NO_RED","NO_GRE","NO_BLA","001BLU","002BLU","003BLU","myrBLU","southc","NoStar"],"Flag":"https://upload.wikimedia.org/wikipedia/commons/thumb/0/0d/Flag_of_Wellington_City%2C_New_Zealand.svg/640px-Flag_of_Wellington_City%2C_New_Zealand.svg.png","HDFlag":"https://upload.wikimedia.org/wikipedia/commons/thumb/0/0d/Flag_of_Wellington_City%2C_New_Zealand.svg/2560px-Flag_of_Wellington_City%2C_New_Zealand.svg.png","type":"Region, City", "describe": "\nBlack symmetric cross on a yellow background with a central circular design of a ship with a dolphin on its sail. The ship is flying three St George's Crosses, representative of the city's English origins", "isnew": ".", "links": "https://en.wikipedia.org/wiki/Flag_of_Wellington"},</v>
      </c>
      <c r="HO6" s="75">
        <v>45610</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
      </c>
      <c r="HT6" s="48" t="str" cm="1">
        <f t="array" ref="HT6">IF(_xlfn.TEXTJOIN(", ", TRUE, IF(ISNUMBER(SEARCH("YEL", BL6:BT6)), COLUMN(BL6:BT6) - COLUMN(BL6) + 1, ""))&lt;&gt;"","YEL","")</f>
        <v>YEL</v>
      </c>
      <c r="HU6" s="48" t="str" cm="1">
        <f t="array" ref="HU6">IF(_xlfn.TEXTJOIN(", ", TRUE, IF(ISNUMBER(SEARCH("ORA", BL6:BT6)), COLUMN(BL6:BT6) - COLUMN(BL6) + 1, ""))&lt;&gt;"","ORA","")</f>
        <v/>
      </c>
      <c r="HV6" s="48" t="str" cm="1">
        <f t="array" ref="HV6">IF(_xlfn.TEXTJOIN(", ", TRUE, IF(ISNUMBER(SEARCH("BRO", BL6:BT6)), COLUMN(BL6:BT6) - COLUMN(BL6) + 1, ""))&lt;&gt;"","BRO","")</f>
        <v>BRO</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 t="shared" si="91"/>
        <v>-4</v>
      </c>
      <c r="IN6" s="78" t="str">
        <f t="shared" si="92"/>
        <v>http://mkweb.bcgsc.ca/color-summarizer/?url=https://upload.wikimedia.org/wikipedia/commons/thumb/0/0d/Flag_of_Wellington_City%2C_New_Zealand.svg/640px-Flag_of_Wellington_City%2C_New_Zealand.svg.png&amp;precision=low&amp;num_clusters=4&amp;text=1</v>
      </c>
      <c r="IO6" s="48" t="str">
        <f t="shared" si="93"/>
        <v/>
      </c>
      <c r="IP6" s="48" t="str">
        <f t="shared" si="94"/>
        <v>"blue"</v>
      </c>
      <c r="IQ6" s="48" t="str">
        <f t="shared" si="95"/>
        <v/>
      </c>
      <c r="IR6" s="48" t="str">
        <f t="shared" si="96"/>
        <v/>
      </c>
      <c r="IS6" s="48" t="str">
        <f t="shared" si="97"/>
        <v>"yellow"</v>
      </c>
      <c r="IT6" s="48" t="str">
        <f t="shared" si="98"/>
        <v/>
      </c>
      <c r="IU6" s="48" t="str">
        <f t="shared" si="99"/>
        <v>"brown"</v>
      </c>
      <c r="IV6" s="48" t="str">
        <f t="shared" si="100"/>
        <v/>
      </c>
      <c r="IW6" s="48" t="str">
        <f t="shared" si="101"/>
        <v>"white"</v>
      </c>
      <c r="IX6" s="48" t="str">
        <f t="shared" si="102"/>
        <v>{"url":"http://mkweb.bcgsc.ca/color-summarizer/?url=https://upload.wikimedia.org/wikipedia/commons/thumb/0/0d/Flag_of_Wellington_City%2C_New_Zealand.svg/640px-Flag_of_Wellington_City%2C_New_Zealand.svg.png&amp;precision=low&amp;num_clusters=4&amp;text=1","name":"[NZE] Wellington"},</v>
      </c>
      <c r="IY6" s="48">
        <v>1242</v>
      </c>
    </row>
    <row r="7" spans="1:259" s="48" customFormat="1" ht="38.4" customHeight="1" thickBot="1" x14ac:dyDescent="0.35">
      <c r="A7" s="80" t="s">
        <v>637</v>
      </c>
      <c r="B7" s="40" t="e" vm="73">
        <v>#VALUE!</v>
      </c>
      <c r="C7" s="41" t="s">
        <v>625</v>
      </c>
      <c r="D7" s="42" t="s">
        <v>638</v>
      </c>
      <c r="E7" s="43" t="s">
        <v>639</v>
      </c>
      <c r="F7" s="44" t="s">
        <v>166</v>
      </c>
      <c r="G7" s="45">
        <f>COUNTIF($A$1:$A$8354,A7)</f>
        <v>1</v>
      </c>
      <c r="H7" s="46"/>
      <c r="I7" s="47" t="s">
        <v>640</v>
      </c>
      <c r="J7" s="48" t="str">
        <f>""</f>
        <v/>
      </c>
      <c r="K7" s="49"/>
      <c r="L7" s="50"/>
      <c r="M7" s="50"/>
      <c r="N7" s="51" t="s">
        <v>169</v>
      </c>
      <c r="O7" s="52">
        <v>1989</v>
      </c>
      <c r="P7" s="53" t="s">
        <v>641</v>
      </c>
      <c r="Q7" s="54">
        <v>2</v>
      </c>
      <c r="R7" s="55" t="s">
        <v>169</v>
      </c>
      <c r="S7" s="56">
        <v>0</v>
      </c>
      <c r="T7" s="57" t="s">
        <v>173</v>
      </c>
      <c r="U7" s="58" t="s">
        <v>173</v>
      </c>
      <c r="V7" s="58" t="s">
        <v>173</v>
      </c>
      <c r="W7" s="58" t="s">
        <v>173</v>
      </c>
      <c r="X7" s="58" t="s">
        <v>172</v>
      </c>
      <c r="Y7" s="58" t="s">
        <v>173</v>
      </c>
      <c r="Z7" s="58" t="s">
        <v>173</v>
      </c>
      <c r="AA7" s="58" t="s">
        <v>173</v>
      </c>
      <c r="AB7" s="58" t="s">
        <v>173</v>
      </c>
      <c r="AC7" s="58" t="s">
        <v>173</v>
      </c>
      <c r="AD7" s="58" t="s">
        <v>172</v>
      </c>
      <c r="AE7" s="58" t="s">
        <v>173</v>
      </c>
      <c r="AF7" s="59" t="s">
        <v>173</v>
      </c>
      <c r="AG7" s="59" t="s">
        <v>173</v>
      </c>
      <c r="AH7" s="59" t="s">
        <v>172</v>
      </c>
      <c r="AI7" s="59" t="s">
        <v>173</v>
      </c>
      <c r="AJ7" s="59" t="s">
        <v>173</v>
      </c>
      <c r="AK7" s="59" t="s">
        <v>173</v>
      </c>
      <c r="AL7" s="59" t="s">
        <v>173</v>
      </c>
      <c r="AM7" s="59" t="s">
        <v>172</v>
      </c>
      <c r="AN7" s="59" t="s">
        <v>173</v>
      </c>
      <c r="AO7" s="59" t="s">
        <v>173</v>
      </c>
      <c r="AP7" s="59" t="s">
        <v>173</v>
      </c>
      <c r="AQ7" s="59" t="s">
        <v>173</v>
      </c>
      <c r="AR7" s="59" t="s">
        <v>173</v>
      </c>
      <c r="AS7" s="59" t="s">
        <v>173</v>
      </c>
      <c r="AT7" s="60">
        <v>0</v>
      </c>
      <c r="AU7" s="59" t="s">
        <v>642</v>
      </c>
      <c r="AV7" s="59" t="str">
        <f>IF(LEFT(A7,1)="[",LEFT(A7,5)&amp;AU7&amp;A7,"")</f>
        <v>[NZE]Territory[NZE] Chatham Islands</v>
      </c>
      <c r="AW7" s="59" t="str">
        <f>C7&amp;H7&amp;A7</f>
        <v>2b[NZE] Chatham Islands</v>
      </c>
      <c r="AX7" s="61"/>
      <c r="AY7" s="61"/>
      <c r="AZ7" s="62" t="s">
        <v>192</v>
      </c>
      <c r="BA7" s="62" t="s">
        <v>192</v>
      </c>
      <c r="BB7" s="62"/>
      <c r="BC7" s="63"/>
      <c r="BD7" s="64" t="s">
        <v>408</v>
      </c>
      <c r="BE7" s="47"/>
      <c r="BF7" s="64" t="s">
        <v>154</v>
      </c>
      <c r="BG7" s="64" t="s">
        <v>192</v>
      </c>
      <c r="BH7" s="64" t="s">
        <v>153</v>
      </c>
      <c r="BI7" s="64"/>
      <c r="BJ7" s="64"/>
      <c r="BK7" s="47"/>
      <c r="BL7" s="64" t="s">
        <v>192</v>
      </c>
      <c r="BM7" s="64" t="s">
        <v>192</v>
      </c>
      <c r="BN7" s="64" t="s">
        <v>153</v>
      </c>
      <c r="BO7" s="64" t="s">
        <v>154</v>
      </c>
      <c r="BP7" s="64" t="s">
        <v>192</v>
      </c>
      <c r="BQ7" s="64" t="s">
        <v>192</v>
      </c>
      <c r="BR7" s="64" t="s">
        <v>192</v>
      </c>
      <c r="BS7" s="64" t="s">
        <v>192</v>
      </c>
      <c r="BT7" s="64" t="s">
        <v>192</v>
      </c>
      <c r="BU7" s="65"/>
      <c r="BV7" s="66"/>
      <c r="BW7" s="66">
        <v>0</v>
      </c>
      <c r="BX7" s="47"/>
      <c r="CB7" s="6"/>
      <c r="CC7" s="6"/>
      <c r="CD7" s="67">
        <v>0</v>
      </c>
      <c r="CE7" s="67">
        <v>0</v>
      </c>
      <c r="CF7" s="67" t="e">
        <v>#REF!</v>
      </c>
      <c r="CG7" s="68" cm="1">
        <f t="array" ref="CG7">SUMPRODUCT(--(LEN(TRIM(BL7:BT7))&gt;0))</f>
        <v>2</v>
      </c>
      <c r="CH7" s="59" t="str">
        <f>IF(CG7=2,"y","n")</f>
        <v>y</v>
      </c>
      <c r="CI7" s="59" t="str">
        <f>IF(CG7=3,"y","n")</f>
        <v>n</v>
      </c>
      <c r="CJ7" s="59" t="str">
        <f>IF(CG7=4,"y","n")</f>
        <v>n</v>
      </c>
      <c r="CK7" s="59" t="str">
        <f>IF(CG7&gt;4,"y","n")</f>
        <v>n</v>
      </c>
      <c r="CL7" s="59" t="str">
        <f>IF(S7=0,"y","n")</f>
        <v>y</v>
      </c>
      <c r="CM7" s="59" t="str">
        <f>IF(S7=2,"y","n")</f>
        <v>n</v>
      </c>
      <c r="CN7" s="59" t="str">
        <f>IF(S7=3,"y","n")</f>
        <v>n</v>
      </c>
      <c r="CO7" s="59" t="str">
        <f>IF(S7&gt;=4,"y","n")</f>
        <v>n</v>
      </c>
      <c r="CP7" s="59" t="str">
        <f>IF(AT7=0,"y","n")</f>
        <v>y</v>
      </c>
      <c r="CQ7" s="59" t="str">
        <f>IF(AT7=1,"y","n")</f>
        <v>n</v>
      </c>
      <c r="CR7" s="59" t="str">
        <f>IF(AT7=2,"y","n")</f>
        <v>n</v>
      </c>
      <c r="CS7" s="59" t="str">
        <f>IF(AT7&gt;=3,"y","n")</f>
        <v>n</v>
      </c>
      <c r="CT7" s="69" t="str">
        <f>CHAR(34)&amp;A7&amp;CHAR(34)</f>
        <v>"[NZE] Chatham Islands"</v>
      </c>
      <c r="CU7" s="70" t="str">
        <f>CHAR(34)&amp;"rgn_"&amp;R7&amp;CHAR(34)</f>
        <v>"rgn_Oceania"</v>
      </c>
      <c r="CV7" s="48" t="str">
        <f>CHAR(34)&amp;D7&amp;CHAR(34)</f>
        <v>"https://upload.wikimedia.org/wikipedia/commons/thumb/2/2e/Flag_of_Chatham_Islands.svg/640px-Flag_of_Chatham_Islands.svg.png"</v>
      </c>
      <c r="CW7" s="48" t="str">
        <f t="shared" si="15"/>
        <v>"2Color",</v>
      </c>
      <c r="CX7" s="48" t="str">
        <f t="shared" si="15"/>
        <v/>
      </c>
      <c r="CY7" s="48" t="str">
        <f t="shared" si="15"/>
        <v/>
      </c>
      <c r="CZ7" s="48" t="str">
        <f t="shared" si="15"/>
        <v/>
      </c>
      <c r="DA7" s="48" t="str">
        <f>IF(Q7&gt;1,CHAR(34)&amp;"words2"&amp;CHAR(34)&amp;",","")</f>
        <v>"words2",</v>
      </c>
      <c r="DB7" s="48" t="str">
        <f>IF(Q7&gt;2,CHAR(34)&amp;"words3"&amp;CHAR(34)&amp;",","")</f>
        <v/>
      </c>
      <c r="DD7" s="48" t="str">
        <f>IF(LEN(CHAR(34)&amp;"lets"&amp;LEN(SUBSTITUTE(SUBSTITUTE(IFERROR(TRIM(SUBSTITUTE(A7,MID(A7,FIND("[",A7),FIND("]",A7)-FIND("[",A7)+1),"")),A7)," ",""),"-",""))&amp;CHAR(34)&amp;",")=9,CHAR(34)&amp;"lets"&amp;LEN(SUBSTITUTE(SUBSTITUTE(IFERROR(TRIM(SUBSTITUTE(A7,MID(A7,FIND("[",A7),FIND("]",A7)-FIND("[",A7)+1),"")),A7)," ",""),"-",""))&amp;CHAR(34)&amp;",",CHAR(34)&amp;"lets0"&amp;LEN(SUBSTITUTE(SUBSTITUTE(IFERROR(TRIM(SUBSTITUTE(A7,MID(A7,FIND("[",A7),FIND("]",A7)-FIND("[",A7)+1),"")),A7)," ",""),"-",""))&amp;CHAR(34)&amp;",")</f>
        <v>"lets14",</v>
      </c>
      <c r="DE7" s="48" t="str">
        <f>CHAR(34)&amp;"start"&amp;IFERROR(LEFT(SUBSTITUTE(A7,"["&amp;MID(A7,FIND("[",A7)+1,FIND("]",A7)-FIND("[",A7)-1)&amp;"] ",""),1),LEFT(A7,1))&amp;CHAR(34)&amp;","</f>
        <v>"startC",</v>
      </c>
      <c r="DF7" s="48" t="str">
        <f>IFERROR(IF(SEARCH("tan",A7)&gt;0,CHAR(34)&amp;"withtn"&amp;CHAR(34)&amp;",",""),"")</f>
        <v/>
      </c>
      <c r="DG7" s="48" t="str">
        <f>IFERROR(IF(SEARCH("q",A7)&gt;0,CHAR(34)&amp;"with_q"&amp;CHAR(34)&amp;",",""),"")</f>
        <v/>
      </c>
      <c r="DH7" s="48" t="str">
        <f>IFERROR(IF(SEARCH("v",A7)&gt;0,CHAR(34)&amp;"with_v"&amp;CHAR(34)&amp;",",""),"")</f>
        <v/>
      </c>
      <c r="DI7" s="48" t="str">
        <f>IFERROR(IF(SEARCH("w",A7)&gt;0,CHAR(34)&amp;"with_w"&amp;CHAR(34)&amp;",",""),"")</f>
        <v/>
      </c>
      <c r="DJ7" s="48" t="str">
        <f>IFERROR(IF(SEARCH("y",A7)&gt;0,CHAR(34)&amp;"with_y"&amp;CHAR(34)&amp;",",""),"")</f>
        <v/>
      </c>
      <c r="DK7" s="48" t="str">
        <f>IFERROR(IF(SEARCH("z",A7)&gt;0,CHAR(34)&amp;"with_z"&amp;CHAR(34)&amp;",",""),"")</f>
        <v>"with_z",</v>
      </c>
      <c r="DL7" s="48" t="str">
        <f>IF(CG7=2, CHAR(34) &amp; _xlfn.TEXTJOIN("", TRUE, _xlfn._xlws.SORT(HP7:HX7)) &amp; CHAR(34) &amp; ",", "")</f>
        <v>"GRERED",</v>
      </c>
      <c r="DM7" s="48" t="str" cm="1">
        <f t="array" ref="DM7">IF(CG7=3,CHAR(34) &amp; _xlfn.TEXTJOIN("", TRUE, RIGHT(HP7:HX7, 2)) &amp; CHAR(34) &amp; ",", "")</f>
        <v/>
      </c>
      <c r="DN7" s="48" t="str">
        <f>IF(AND(ISNUMBER(SEARCH("18", O7)), ISERROR(SEARCH("1918", O7)), ISERROR(SEARCH("2018", O7))), CHAR(34) &amp; "year18" &amp; CHAR(34) &amp; ",", "")</f>
        <v/>
      </c>
      <c r="DO7" s="48" t="str">
        <f>IF(AND(ISNUMBER(SEARCH("19", O7)), ISERROR(SEARCH("1819", O7)),  ISERROR(SEARCH("1219", O7)),ISERROR(SEARCH("1119", O7)),ISERROR(SEARCH("1190", O7)),ISERROR(SEARCH("2019", O7))), CHAR(34) &amp; "year19" &amp; CHAR(34) &amp; ",", "")</f>
        <v>"year19",</v>
      </c>
      <c r="DP7" s="6" t="str">
        <f>IF(AND(ISNUMBER(SEARCH("20", O7)), ISERROR(SEARCH("1920", O7))), CHAR(34)&amp;"year00"&amp;CHAR(34)&amp;",", "")</f>
        <v/>
      </c>
      <c r="DQ7" s="6" t="str">
        <f>IF(CC7="y",CHAR(34)&amp;"soviet"&amp;CHAR(34)&amp;",","")</f>
        <v/>
      </c>
      <c r="DR7" s="6" t="str">
        <f>IF(BY7="y",CHAR(34)&amp;"dgband"&amp;CHAR(34)&amp;",","")</f>
        <v/>
      </c>
      <c r="DS7" s="6" t="str">
        <f>IF(W7="y",IF(AND(V7="n",BY7&lt;&gt;"y"),CHAR(34)&amp;"allver"&amp;CHAR(34)&amp;",",""),"")</f>
        <v/>
      </c>
      <c r="DT7" s="6" t="str">
        <f>IF(V7="y",IF(AND(W7="n",BY7&lt;&gt;"y"),CHAR(34)&amp;"allhor"&amp;CHAR(34)&amp;",",""),"")</f>
        <v/>
      </c>
      <c r="DU7" s="6" t="str">
        <f>IF(BY7="y",IF(AND(W7="n",V7="n"),CHAR(34)&amp;"alldia"&amp;CHAR(34)&amp;",",""),"")</f>
        <v/>
      </c>
      <c r="DW7" s="48" t="str">
        <f t="shared" si="37"/>
        <v>"NoBand",</v>
      </c>
      <c r="DX7" s="48" t="str">
        <f t="shared" si="37"/>
        <v/>
      </c>
      <c r="DY7" s="48" t="str">
        <f t="shared" si="37"/>
        <v/>
      </c>
      <c r="DZ7" s="48" t="str">
        <f t="shared" si="37"/>
        <v/>
      </c>
      <c r="EA7" s="48" t="str">
        <f t="shared" si="38"/>
        <v/>
      </c>
      <c r="EB7" s="48" t="str">
        <f t="shared" si="38"/>
        <v/>
      </c>
      <c r="EC7" s="48" t="str">
        <f t="shared" si="38"/>
        <v/>
      </c>
      <c r="ED7" s="48" t="str">
        <f t="shared" si="38"/>
        <v/>
      </c>
      <c r="EE7" s="48" t="str">
        <f t="shared" si="38"/>
        <v>"Circle",</v>
      </c>
      <c r="EF7" s="48" t="str">
        <f>IF(AND(Y7&lt;&gt;"n",Y7&lt;&gt;""),CHAR(34)&amp;Y$1&amp;CHAR(34)&amp;",","")</f>
        <v/>
      </c>
      <c r="EG7" s="48" t="str">
        <f t="shared" si="40"/>
        <v/>
      </c>
      <c r="EH7" s="48" t="str">
        <f t="shared" si="40"/>
        <v/>
      </c>
      <c r="EI7" s="48" t="str">
        <f t="shared" si="40"/>
        <v/>
      </c>
      <c r="EJ7" s="48" t="str">
        <f t="shared" si="40"/>
        <v/>
      </c>
      <c r="EK7" s="48" t="str">
        <f t="shared" si="40"/>
        <v>"HasSun",</v>
      </c>
      <c r="EL7" s="48" t="str">
        <f t="shared" si="40"/>
        <v/>
      </c>
      <c r="EM7" s="48" t="str">
        <f t="shared" si="40"/>
        <v/>
      </c>
      <c r="EN7" s="48" t="str">
        <f t="shared" si="40"/>
        <v/>
      </c>
      <c r="EO7" s="48" t="str">
        <f t="shared" si="40"/>
        <v>"Center",</v>
      </c>
      <c r="EP7" s="48" t="str">
        <f t="shared" si="40"/>
        <v/>
      </c>
      <c r="EQ7" s="48" t="str">
        <f t="shared" si="40"/>
        <v/>
      </c>
      <c r="ER7" s="48" t="str">
        <f t="shared" si="40"/>
        <v/>
      </c>
      <c r="ES7" s="48" t="str">
        <f t="shared" si="40"/>
        <v/>
      </c>
      <c r="ET7" s="48" t="str">
        <f t="shared" si="40"/>
        <v>"Geogrh",</v>
      </c>
      <c r="EU7" s="48" t="str">
        <f t="shared" si="40"/>
        <v/>
      </c>
      <c r="EV7" s="48" t="str">
        <f t="shared" si="40"/>
        <v/>
      </c>
      <c r="EW7" s="48" t="str">
        <f t="shared" si="40"/>
        <v/>
      </c>
      <c r="EX7" s="48" t="str">
        <f t="shared" si="40"/>
        <v/>
      </c>
      <c r="EY7" s="48" t="str">
        <f t="shared" si="40"/>
        <v/>
      </c>
      <c r="EZ7" s="48" t="str">
        <f t="shared" si="40"/>
        <v/>
      </c>
      <c r="FA7" s="48" t="str">
        <f>IF(AT7&gt;0,CHAR(34)&amp;"sta"&amp;AZ7&amp;CHAR(34)&amp;",","")</f>
        <v/>
      </c>
      <c r="FB7" s="48" t="str">
        <f>IF(AND(AT7&gt;0,BA7&lt;&gt;""),CHAR(34)&amp;"sta"&amp;BA7&amp;CHAR(34)&amp;",","")</f>
        <v/>
      </c>
      <c r="FD7" s="48" t="str">
        <f>IF(BV7="n",CHAR(34)&amp;"tcWHYE"&amp;CHAR(34)&amp;",",IF(BV7="y",CHAR(34)&amp;FD$1&amp;CHAR(34)&amp;",",""))</f>
        <v/>
      </c>
      <c r="FE7" s="48" t="str">
        <f>IF(COUNTIF(BL7:BT7,"BLU")=0,CHAR(34)&amp;"NO_BLU"&amp;CHAR(34)&amp;",", "")</f>
        <v>"NO_BLU",</v>
      </c>
      <c r="FF7" s="48" t="str">
        <f>IF(COUNTIF(BL7:BT7,"WHI")=0,CHAR(34)&amp;"NO_WHI"&amp;CHAR(34)&amp;",", "")</f>
        <v>"NO_WHI",</v>
      </c>
      <c r="FG7" s="48" t="str">
        <f>IF(COUNTIF(BL7:BT7,"RED")=0,CHAR(34)&amp;"NO_RED"&amp;CHAR(34)&amp;",", "")</f>
        <v/>
      </c>
      <c r="FH7" s="48" t="str">
        <f>IF(COUNTIF(BL7:BS7,"GRE")=0,CHAR(34)&amp;"NO_GRE"&amp;CHAR(34)&amp;",", "")</f>
        <v/>
      </c>
      <c r="FI7" s="48" t="str">
        <f>IF(COUNTIF(BL7:BT7,"YEL")=0,CHAR(34)&amp;"NO_YEL"&amp;CHAR(34)&amp;",", "")</f>
        <v>"NO_YEL",</v>
      </c>
      <c r="FJ7" s="48" t="str">
        <f>IF(COUNTIF(BL7:BT7,"BLA")=0,CHAR(34)&amp;"NO_BLA"&amp;CHAR(34)&amp;",", "")</f>
        <v>"NO_BLA",</v>
      </c>
      <c r="FK7" s="48" t="str">
        <f>IF(AND(FH7&lt;&gt;"",FF7&lt;&gt;""),CHAR(34)&amp;"WHGRNO"&amp;CHAR(34)&amp;",","")</f>
        <v/>
      </c>
      <c r="FL7" s="48" t="str">
        <f>IF(AND(FI7&lt;&gt;"",FF7&lt;&gt;""),CHAR(34)&amp;"WHYENO"&amp;CHAR(34)&amp;",","")</f>
        <v>"WHYENO",</v>
      </c>
      <c r="FM7" s="48" t="str">
        <f>IF(AND(FJ7&lt;&gt;"",FF7&lt;&gt;""),CHAR(34)&amp;"BAWHNO"&amp;CHAR(34)&amp;",","")</f>
        <v>"BAWHNO",</v>
      </c>
      <c r="FN7" s="48" t="str">
        <f>IF(AND(FE7&lt;&gt;"",FF7&lt;&gt;""),CHAR(34)&amp;"BLWHNO"&amp;CHAR(34)&amp;",","")</f>
        <v>"BLWHNO",</v>
      </c>
      <c r="FO7" s="48" t="str">
        <f>IF(AND(FE7&lt;&gt;"",FG7&lt;&gt;""),CHAR(34)&amp;"BLRENO"&amp;CHAR(34)&amp;",","")</f>
        <v/>
      </c>
      <c r="FP7" s="48" t="str">
        <f>IF(AND(FF7&lt;&gt;"",FF7&lt;&gt;""),CHAR(34)&amp;"WHRENO"&amp;CHAR(34)&amp;",","")</f>
        <v>"WHRENO",</v>
      </c>
      <c r="FQ7" s="48" t="str">
        <f>IF(LEN(BF7)=3,CHAR(34)&amp;"001"&amp;BF7&amp;CHAR(34)&amp;",","")</f>
        <v>"001RED",</v>
      </c>
      <c r="FR7" s="48" t="str">
        <f>IF(LEN(BG7)=3,CHAR(34)&amp;"002"&amp;BG7&amp;CHAR(34)&amp;",","")</f>
        <v/>
      </c>
      <c r="FS7" s="48" t="str">
        <f>IF(LEN(BH7)=3,CHAR(34)&amp;"003"&amp;BH7&amp;CHAR(34)&amp;",","")</f>
        <v>"003GRE",</v>
      </c>
      <c r="FT7" s="48" t="str">
        <f>CHAR(34)&amp;"myr"&amp;BD7&amp;CHAR(34)&amp;","</f>
        <v>"myrEQ",</v>
      </c>
      <c r="FU7" s="48" t="str">
        <f>IF(AY7="y",CHAR(34)&amp;"island"&amp;CHAR(34)&amp;",","")</f>
        <v/>
      </c>
      <c r="FV7" s="48" t="str">
        <f>IF(BZ7="y",CHAR(34)&amp;"landlo"&amp;CHAR(34)&amp;",","")</f>
        <v/>
      </c>
      <c r="FW7" s="48" t="str">
        <f>IF(CA7="y",CHAR(34)&amp;"eunion"&amp;CHAR(34)&amp;",","")</f>
        <v/>
      </c>
      <c r="FY7" s="48" t="str">
        <f>IFERROR(IF(SEARCH("Arabic",CB7)&gt;0,CHAR(34)&amp;"arabic"&amp;CHAR(34)&amp;",",""),"")</f>
        <v/>
      </c>
      <c r="FZ7" s="48" t="str">
        <f>IFERROR(IF(SEARCH("English",CB7)&gt;0,CHAR(34)&amp;"englis"&amp;CHAR(34)&amp;",",""),"")</f>
        <v/>
      </c>
      <c r="GA7" s="48" t="str">
        <f>IFERROR(IF(SEARCH("French",CB7)&gt;0,CHAR(34)&amp;"french"&amp;CHAR(34)&amp;",",""),"")</f>
        <v/>
      </c>
      <c r="GB7" s="48" t="str">
        <f>IFERROR(IF(SEARCH("Spanish",CB7)&gt;0,CHAR(34)&amp;"spanis"&amp;CHAR(34)&amp;",",""),"")</f>
        <v/>
      </c>
      <c r="GE7" s="48" t="str">
        <f>IFERROR(IF(SEARCH("Dutch",CB7)&gt;0,CHAR(34)&amp;"dutchs"&amp;CHAR(34)&amp;",",""),"")</f>
        <v/>
      </c>
      <c r="GF7" s="48" t="str">
        <f>IFERROR(IF(SEARCH("Historical",AU7)&gt;0,CHAR(34)&amp;"histor"&amp;CHAR(34)&amp;",",""),"")</f>
        <v/>
      </c>
      <c r="GG7" s="48" t="str">
        <f>IF(BU7="y",CHAR(34)&amp;"unjack"&amp;CHAR(34)&amp;",","")</f>
        <v/>
      </c>
      <c r="GH7" s="48" t="str">
        <f>IF(CD7=1,CHAR(34)&amp;"southc"&amp;CHAR(34)&amp;",","")</f>
        <v/>
      </c>
      <c r="GI7" s="48" t="str">
        <f>IF(CE7=1,CHAR(34)&amp;"hasmap"&amp;CHAR(34)&amp;",","")</f>
        <v/>
      </c>
      <c r="GJ7" s="48" t="str">
        <f>IF(CP7="y",CHAR(34)&amp;CP$1&amp;CHAR(34)&amp;",","")</f>
        <v>"NoStar",</v>
      </c>
      <c r="GK7" s="48" t="str">
        <f>IF(GJ7="",CHAR(34)&amp;"HasSta"&amp;CHAR(34)&amp;",","")</f>
        <v/>
      </c>
      <c r="GL7" s="48" t="str">
        <f t="shared" si="77"/>
        <v/>
      </c>
      <c r="GM7" s="48" t="str">
        <f t="shared" si="77"/>
        <v/>
      </c>
      <c r="GN7" s="48" t="str">
        <f t="shared" si="77"/>
        <v/>
      </c>
      <c r="GP7" s="48" t="str">
        <f>CHAR(34)&amp;AU7&amp;CHAR(34)</f>
        <v>"Territory"</v>
      </c>
      <c r="GS7" s="48" t="str">
        <f>SUBSTITUTE("["&amp;_xlfn.CONCAT(CW7:GN7)&amp;"]",",]","]")</f>
        <v>["2Color","words2","lets14","startC","with_z","GRERED","year19","NoBand","Circle","HasSun","Center","Geogrh","NO_BLU","NO_WHI","NO_YEL","NO_BLA","WHYENO","BAWHNO","BLWHNO","WHRENO","001RED","003GRE","myrEQ","NoStar"]</v>
      </c>
      <c r="GT7" s="48" t="str">
        <f t="shared" si="80"/>
        <v/>
      </c>
      <c r="GU7" s="48" t="str">
        <f t="shared" si="80"/>
        <v/>
      </c>
      <c r="GV7" s="48" t="str">
        <f t="shared" si="80"/>
        <v>"cl_GRE",</v>
      </c>
      <c r="GW7" s="48" t="str">
        <f t="shared" si="80"/>
        <v>"cl_RED",</v>
      </c>
      <c r="GX7" s="48" t="str">
        <f t="shared" si="80"/>
        <v/>
      </c>
      <c r="GY7" s="48" t="str">
        <f t="shared" si="80"/>
        <v/>
      </c>
      <c r="GZ7" s="48" t="str">
        <f t="shared" si="80"/>
        <v/>
      </c>
      <c r="HA7" s="48" t="str">
        <f t="shared" si="80"/>
        <v/>
      </c>
      <c r="HB7" s="48" t="str">
        <f t="shared" si="80"/>
        <v/>
      </c>
      <c r="HC7" s="48" t="str">
        <f>SUBSTITUTE("["&amp;_xlfn.CONCAT(GT7:HB7)&amp;"]",",]","]")</f>
        <v>["cl_GRE","cl_RED"]</v>
      </c>
      <c r="HE7" s="71"/>
      <c r="HF7" s="72" t="str">
        <f>"{couname:"&amp;CT7&amp;(IF(HK7&lt;&gt;"",",subtype:"&amp;CHAR(34)&amp;HK7&amp;CHAR(34),""))&amp;",year:"&amp;HJ7&amp;",region:"&amp;CU7&amp;",Colors:"&amp;HC7&amp;",Items:"&amp;GS7&amp;",Flag:"&amp;CV7&amp;",HDFlag:"&amp;CHAR(34)&amp;E7&amp;CHAR(34)&amp;",type:"&amp;GP7&amp;", describe: "&amp;HH7&amp;", isnew:"&amp;CHAR(34)&amp;F7&amp;CHAR(34)&amp;", links: "&amp;HL7&amp;"},"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links: "https://en.wikipedia.org/wiki/Flag_of_the_Chatham_Islands"},</v>
      </c>
      <c r="HG7" s="73" t="str">
        <f>"{couname:"&amp;CT7&amp;(IF(HK7&lt;&gt;"",",subtype:"&amp;CHAR(34)&amp;HK7&amp;CHAR(34),""))&amp;",year:"&amp;HJ7&amp;",region:"&amp;CU7&amp;",Colors:"&amp;HC7&amp;",Items:"&amp;GS7&amp;",Flag:"&amp;CV7&amp;",HDFlag:"&amp;CHAR(34)&amp;E7&amp;CHAR(34)&amp;",type:"&amp;GP7&amp;", describe: "&amp;HI7&amp;", links: "&amp;HL7&amp;"},"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links: "https://en.wikipedia.org/wiki/Flag_of_the_Chatham_Islands"},</v>
      </c>
      <c r="HH7" s="48" t="str">
        <f>IF(P7&lt;&gt;"",CHAR(34)&amp;"\n"&amp;P7&amp;CHAR(34),CHAR(34)&amp;CHAR(34))</f>
        <v>"\nUnofficial. A light blue field showing Chatham Island (main island) in green, party silhouetted against a yellow sun, half risen. On the green island is Te Whanga Lagoon in white, which occupies about 20 percent of the island."</v>
      </c>
      <c r="HI7" s="48" t="str">
        <f>IF(J7=0,CHAR(34)&amp;CHAR(34),HH7)</f>
        <v>"\nUnofficial. A light blue field showing Chatham Island (main island) in green, party silhouetted against a yellow sun, half risen. On the green island is Te Whanga Lagoon in white, which occupies about 20 percent of the island."</v>
      </c>
      <c r="HJ7" s="48" t="str">
        <f>CHAR(34)&amp;O7&amp;CHAR(34)</f>
        <v>"1989"</v>
      </c>
      <c r="HL7" s="48" t="str">
        <f>CHAR(34)&amp;I7&amp;CHAR(34)</f>
        <v>"https://en.wikipedia.org/wiki/Flag_of_the_Chatham_Islands"</v>
      </c>
      <c r="HM7" s="72"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"&amp;HH7&amp;", "&amp;CHAR(34)&amp;"isnew"&amp;CHAR(34)&amp;": "&amp;CHAR(34)&amp;F7&amp;CHAR(34)&amp;", "&amp;CHAR(34)&amp;"links"&amp;CHAR(34)&amp;": "&amp;HL7&amp;"},"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 "links": "https://en.wikipedia.org/wiki/Flag_of_the_Chatham_Islands"},</v>
      </c>
      <c r="HN7" s="74" t="str">
        <f>"{"&amp;CHAR(34)&amp;"couname"&amp;CHAR(34)&amp;":"&amp;CT7&amp;(IF(H7&lt;&gt;"",","&amp;CHAR(34)&amp;"subtype"&amp;CHAR(34)&amp;":"&amp;CHAR(34)&amp;H7&amp;CHAR(34),""))&amp;","&amp;CHAR(34)&amp;"year"&amp;CHAR(34)&amp;":"&amp;HJ7&amp;","&amp;CHAR(34)&amp;"region"&amp;CHAR(34)&amp;":"&amp;CU7&amp;","&amp;CHAR(34)&amp;"Colors"&amp;CHAR(34)&amp;":"&amp;HC7&amp;","&amp;CHAR(34)&amp;"Items"&amp;CHAR(34)&amp;":"&amp;GS7&amp;","&amp;CHAR(34)&amp;"Flag"&amp;CHAR(34)&amp;":"&amp;CV7&amp;","&amp;CHAR(34)&amp;"HDFlag"&amp;CHAR(34)&amp;":"&amp;CHAR(34)&amp;E7&amp;CHAR(34)&amp;","&amp;CHAR(34)&amp;"type"&amp;CHAR(34)&amp;":"&amp;GP7&amp;", "&amp;CHAR(34)&amp;"describe"&amp;CHAR(34)&amp;": "&amp;HI7&amp;", "&amp;CHAR(34)&amp;"isnew"&amp;CHAR(34)&amp;": "&amp;CHAR(34)&amp;F7&amp;CHAR(34)&amp;", "&amp;CHAR(34)&amp;"links"&amp;CHAR(34)&amp;": "&amp;HL7&amp;"},"</f>
        <v>{"couname":"[NZE] Chatham Islands","year":"1989","region":"rgn_Oceania","Colors":["cl_GRE","cl_RED"],"Items":["2Color","words2","lets14","startC","with_z","GRERED","year19","NoBand","Circle","HasSun","Center","Geogrh","NO_BLU","NO_WHI","NO_YEL","NO_BLA","WHYENO","BAWHNO","BLWHNO","WHRENO","001RED","003GRE","myrEQ","NoStar"],"Flag":"https://upload.wikimedia.org/wikipedia/commons/thumb/2/2e/Flag_of_Chatham_Islands.svg/640px-Flag_of_Chatham_Islands.svg.png","HDFlag":"https://upload.wikimedia.org/wikipedia/commons/thumb/2/2e/Flag_of_Chatham_Islands.svg/2560px-Flag_of_Chatham_Islands.svg.png","type":"Territory", "describe": "\nUnofficial. A light blue field showing Chatham Island (main island) in green, party silhouetted against a yellow sun, half risen. On the green island is Te Whanga Lagoon in white, which occupies about 20 percent of the island.", "isnew": ".", "links": "https://en.wikipedia.org/wiki/Flag_of_the_Chatham_Islands"},</v>
      </c>
      <c r="HO7" s="75">
        <v>45644</v>
      </c>
      <c r="HP7" s="48" t="str" cm="1">
        <f t="array" ref="HP7">IF(_xlfn.TEXTJOIN(", ", TRUE, IF(ISNUMBER(SEARCH("BLA", BL7:BT7)), COLUMN(BL7:BT7) - COLUMN(BL7) + 1, ""))&lt;&gt;"","BLA","")</f>
        <v/>
      </c>
      <c r="HQ7" s="48" t="str" cm="1">
        <f t="array" ref="HQ7">IF(_xlfn.TEXTJOIN(", ", TRUE, IF(ISNUMBER(SEARCH("BLU", BL7:BT7)), COLUMN(BL7:BT7) - COLUMN(BL7) + 1, ""))&lt;&gt;"","BLU","")</f>
        <v/>
      </c>
      <c r="HR7" s="48" t="str" cm="1">
        <f t="array" ref="HR7">IF(_xlfn.TEXTJOIN(", ", TRUE, IF(ISNUMBER(SEARCH("GRE", BL7:BT7)), COLUMN(BL7:BT7) - COLUMN(BL7) + 1, ""))&lt;&gt;"","GRE","")</f>
        <v>GRE</v>
      </c>
      <c r="HS7" s="48" t="str" cm="1">
        <f t="array" ref="HS7">IF(_xlfn.TEXTJOIN(", ", TRUE, IF(ISNUMBER(SEARCH("RED", BL7:BT7)), COLUMN(BL7:BT7) - COLUMN(BL7) + 1, ""))&lt;&gt;"","RED","")</f>
        <v>RED</v>
      </c>
      <c r="HT7" s="48" t="str" cm="1">
        <f t="array" ref="HT7">IF(_xlfn.TEXTJOIN(", ", TRUE, IF(ISNUMBER(SEARCH("YEL", BL7:BT7)), COLUMN(BL7:BT7) - COLUMN(BL7) + 1, ""))&lt;&gt;"","YEL","")</f>
        <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
      </c>
      <c r="HY7" s="76"/>
      <c r="HZ7" s="76"/>
      <c r="IA7" s="6"/>
      <c r="IB7" s="6"/>
      <c r="IC7" s="77"/>
      <c r="ID7" s="77"/>
      <c r="IE7" s="77"/>
      <c r="IF7" s="77"/>
      <c r="IG7" s="77"/>
      <c r="IH7" s="77"/>
      <c r="II7" s="77"/>
      <c r="IJ7" s="77"/>
      <c r="IK7" s="77"/>
      <c r="IM7" s="45">
        <f>COUNTIF(IC7:IK7,"&gt;0")-CG7</f>
        <v>-2</v>
      </c>
      <c r="IN7" s="78" t="str">
        <f>"http://mkweb.bcgsc.ca/color-summarizer/?url="&amp;D7&amp;"&amp;precision=low&amp;num_clusters="&amp;CG7&amp;"&amp;text=1"</f>
        <v>http://mkweb.bcgsc.ca/color-summarizer/?url=https://upload.wikimedia.org/wikipedia/commons/thumb/2/2e/Flag_of_Chatham_Islands.svg/640px-Flag_of_Chatham_Islands.svg.png&amp;precision=low&amp;num_clusters=2&amp;text=1</v>
      </c>
      <c r="IO7" s="48" t="str">
        <f>IF(HP7&lt;&gt;"",CHAR(34)&amp;"black"&amp;CHAR(34),"")</f>
        <v/>
      </c>
      <c r="IP7" s="48" t="str">
        <f>IF(HQ7&lt;&gt;"",CHAR(34)&amp;"blue"&amp;CHAR(34),"")</f>
        <v/>
      </c>
      <c r="IQ7" s="48" t="str">
        <f>IF(HR7&lt;&gt;"",CHAR(34)&amp;"green"&amp;CHAR(34),"")</f>
        <v>"green"</v>
      </c>
      <c r="IR7" s="48" t="str">
        <f>IF(HS7&lt;&gt;"",CHAR(34)&amp;"red"&amp;CHAR(34),"")</f>
        <v>"red"</v>
      </c>
      <c r="IS7" s="48" t="str">
        <f>IF(HT7&lt;&gt;"",CHAR(34)&amp;"yellow"&amp;CHAR(34),"")</f>
        <v/>
      </c>
      <c r="IT7" s="48" t="str">
        <f>IF(HU7&lt;&gt;"",CHAR(34)&amp;"orange"&amp;CHAR(34),"")</f>
        <v/>
      </c>
      <c r="IU7" s="48" t="str">
        <f>IF(HV7&lt;&gt;"",CHAR(34)&amp;"brown"&amp;CHAR(34),"")</f>
        <v/>
      </c>
      <c r="IV7" s="48" t="str">
        <f>IF(HW7&lt;&gt;"",CHAR(34)&amp;"purple"&amp;CHAR(34),"")</f>
        <v/>
      </c>
      <c r="IW7" s="48" t="str">
        <f>IF(HX7&lt;&gt;"",CHAR(34)&amp;"white"&amp;CHAR(34),"")</f>
        <v/>
      </c>
      <c r="IX7" s="48" t="str">
        <f>"{"&amp;CHAR(34)&amp;"url"&amp;CHAR(34)&amp;":"&amp;CHAR(34)&amp;IN7&amp;CHAR(34)&amp;","&amp;CHAR(34)&amp;"name"&amp;CHAR(34)&amp;":"&amp;CHAR(34)&amp;A7&amp;CHAR(34)&amp;"},"</f>
        <v>{"url":"http://mkweb.bcgsc.ca/color-summarizer/?url=https://upload.wikimedia.org/wikipedia/commons/thumb/2/2e/Flag_of_Chatham_Islands.svg/640px-Flag_of_Chatham_Islands.svg.png&amp;precision=low&amp;num_clusters=2&amp;text=1","name":"[NZE] Chatham Islands"},</v>
      </c>
      <c r="IY7" s="48">
        <v>1503</v>
      </c>
    </row>
    <row r="8" spans="1:259" s="48" customFormat="1" ht="38.4" customHeight="1" thickBot="1" x14ac:dyDescent="0.35">
      <c r="A8" s="80" t="s">
        <v>643</v>
      </c>
      <c r="B8" s="40" t="e" vm="74">
        <v>#VALUE!</v>
      </c>
      <c r="C8" s="41" t="s">
        <v>625</v>
      </c>
      <c r="D8" s="42" t="s">
        <v>644</v>
      </c>
      <c r="E8" s="43" t="s">
        <v>644</v>
      </c>
      <c r="F8" s="44" t="s">
        <v>166</v>
      </c>
      <c r="G8" s="45">
        <f>COUNTIF($A$1:$A$8354,A8)</f>
        <v>1</v>
      </c>
      <c r="H8" s="46"/>
      <c r="I8" s="47" t="s">
        <v>645</v>
      </c>
      <c r="J8" s="48" t="str">
        <f>""</f>
        <v/>
      </c>
      <c r="K8" s="49"/>
      <c r="L8" s="50"/>
      <c r="M8" s="50"/>
      <c r="N8" s="51" t="s">
        <v>169</v>
      </c>
      <c r="O8" s="52">
        <v>1970</v>
      </c>
      <c r="P8" s="53" t="s">
        <v>646</v>
      </c>
      <c r="Q8" s="54">
        <v>2</v>
      </c>
      <c r="R8" s="55" t="s">
        <v>169</v>
      </c>
      <c r="S8" s="56">
        <v>4</v>
      </c>
      <c r="T8" s="57" t="s">
        <v>173</v>
      </c>
      <c r="U8" s="58" t="s">
        <v>173</v>
      </c>
      <c r="V8" s="58" t="s">
        <v>172</v>
      </c>
      <c r="W8" s="58" t="s">
        <v>173</v>
      </c>
      <c r="X8" s="58" t="s">
        <v>172</v>
      </c>
      <c r="Y8" s="58" t="s">
        <v>173</v>
      </c>
      <c r="Z8" s="58" t="s">
        <v>173</v>
      </c>
      <c r="AA8" s="58" t="s">
        <v>173</v>
      </c>
      <c r="AB8" s="58" t="s">
        <v>173</v>
      </c>
      <c r="AC8" s="58" t="s">
        <v>173</v>
      </c>
      <c r="AD8" s="58" t="s">
        <v>172</v>
      </c>
      <c r="AE8" s="58" t="s">
        <v>173</v>
      </c>
      <c r="AF8" s="59" t="s">
        <v>173</v>
      </c>
      <c r="AG8" s="59" t="s">
        <v>172</v>
      </c>
      <c r="AH8" s="59" t="s">
        <v>172</v>
      </c>
      <c r="AI8" s="59" t="s">
        <v>173</v>
      </c>
      <c r="AJ8" s="59" t="s">
        <v>173</v>
      </c>
      <c r="AK8" s="59" t="s">
        <v>173</v>
      </c>
      <c r="AL8" s="59" t="s">
        <v>173</v>
      </c>
      <c r="AM8" s="59" t="s">
        <v>172</v>
      </c>
      <c r="AN8" s="59" t="s">
        <v>173</v>
      </c>
      <c r="AO8" s="59" t="s">
        <v>173</v>
      </c>
      <c r="AP8" s="59" t="s">
        <v>173</v>
      </c>
      <c r="AQ8" s="59" t="s">
        <v>173</v>
      </c>
      <c r="AR8" s="59" t="s">
        <v>173</v>
      </c>
      <c r="AS8" s="59" t="s">
        <v>173</v>
      </c>
      <c r="AT8" s="60">
        <v>0</v>
      </c>
      <c r="AU8" s="59" t="s">
        <v>642</v>
      </c>
      <c r="AV8" s="59" t="str">
        <f>IF(LEFT(A8,1)="[",LEFT(A8,5)&amp;AU8&amp;A8,"")</f>
        <v>[NZE]Territory[NZE] Stewart Island</v>
      </c>
      <c r="AW8" s="59" t="str">
        <f>C8&amp;H8&amp;A8</f>
        <v>2b[NZE] Stewart Island</v>
      </c>
      <c r="AX8" s="61"/>
      <c r="AY8" s="61"/>
      <c r="AZ8" s="62" t="s">
        <v>192</v>
      </c>
      <c r="BA8" s="62" t="s">
        <v>192</v>
      </c>
      <c r="BB8" s="62"/>
      <c r="BC8" s="63"/>
      <c r="BD8" s="64" t="s">
        <v>408</v>
      </c>
      <c r="BE8" s="47"/>
      <c r="BF8" s="64" t="s">
        <v>152</v>
      </c>
      <c r="BG8" s="64" t="s">
        <v>155</v>
      </c>
      <c r="BH8" s="64" t="s">
        <v>154</v>
      </c>
      <c r="BI8" s="64"/>
      <c r="BJ8" s="64"/>
      <c r="BK8" s="47"/>
      <c r="BL8" s="64" t="s">
        <v>192</v>
      </c>
      <c r="BM8" s="64" t="s">
        <v>152</v>
      </c>
      <c r="BN8" s="64" t="s">
        <v>192</v>
      </c>
      <c r="BO8" s="64" t="s">
        <v>154</v>
      </c>
      <c r="BP8" s="64" t="s">
        <v>155</v>
      </c>
      <c r="BQ8" s="64" t="s">
        <v>192</v>
      </c>
      <c r="BR8" s="64" t="s">
        <v>192</v>
      </c>
      <c r="BS8" s="64" t="s">
        <v>192</v>
      </c>
      <c r="BT8" s="64" t="s">
        <v>192</v>
      </c>
      <c r="BU8" s="65"/>
      <c r="BV8" s="66"/>
      <c r="BW8" s="66">
        <v>0</v>
      </c>
      <c r="BX8" s="47"/>
      <c r="CB8" s="6"/>
      <c r="CC8" s="6"/>
      <c r="CD8" s="67">
        <v>0</v>
      </c>
      <c r="CE8" s="67">
        <v>0</v>
      </c>
      <c r="CF8" s="67" t="e">
        <v>#REF!</v>
      </c>
      <c r="CG8" s="68" cm="1">
        <f t="array" ref="CG8">SUMPRODUCT(--(LEN(TRIM(BL8:BT8))&gt;0))</f>
        <v>3</v>
      </c>
      <c r="CH8" s="59" t="str">
        <f>IF(CG8=2,"y","n")</f>
        <v>n</v>
      </c>
      <c r="CI8" s="59" t="str">
        <f>IF(CG8=3,"y","n")</f>
        <v>y</v>
      </c>
      <c r="CJ8" s="59" t="str">
        <f>IF(CG8=4,"y","n")</f>
        <v>n</v>
      </c>
      <c r="CK8" s="59" t="str">
        <f>IF(CG8&gt;4,"y","n")</f>
        <v>n</v>
      </c>
      <c r="CL8" s="59" t="str">
        <f>IF(S8=0,"y","n")</f>
        <v>n</v>
      </c>
      <c r="CM8" s="59" t="str">
        <f>IF(S8=2,"y","n")</f>
        <v>n</v>
      </c>
      <c r="CN8" s="59" t="str">
        <f>IF(S8=3,"y","n")</f>
        <v>n</v>
      </c>
      <c r="CO8" s="59" t="str">
        <f>IF(S8&gt;=4,"y","n")</f>
        <v>y</v>
      </c>
      <c r="CP8" s="59" t="str">
        <f>IF(AT8=0,"y","n")</f>
        <v>y</v>
      </c>
      <c r="CQ8" s="59" t="str">
        <f>IF(AT8=1,"y","n")</f>
        <v>n</v>
      </c>
      <c r="CR8" s="59" t="str">
        <f>IF(AT8=2,"y","n")</f>
        <v>n</v>
      </c>
      <c r="CS8" s="59" t="str">
        <f>IF(AT8&gt;=3,"y","n")</f>
        <v>n</v>
      </c>
      <c r="CT8" s="69" t="str">
        <f>CHAR(34)&amp;A8&amp;CHAR(34)</f>
        <v>"[NZE] Stewart Island"</v>
      </c>
      <c r="CU8" s="70" t="str">
        <f>CHAR(34)&amp;"rgn_"&amp;R8&amp;CHAR(34)</f>
        <v>"rgn_Oceania"</v>
      </c>
      <c r="CV8" s="48" t="str">
        <f>CHAR(34)&amp;D8&amp;CHAR(34)</f>
        <v>"https://www.crwflags.com/fotw/images/n/nz-sti.gif"</v>
      </c>
      <c r="CW8" s="48" t="str">
        <f t="shared" si="15"/>
        <v/>
      </c>
      <c r="CX8" s="48" t="str">
        <f t="shared" si="15"/>
        <v>"3Color",</v>
      </c>
      <c r="CY8" s="48" t="str">
        <f t="shared" si="15"/>
        <v/>
      </c>
      <c r="CZ8" s="48" t="str">
        <f t="shared" si="15"/>
        <v/>
      </c>
      <c r="DA8" s="48" t="str">
        <f>IF(Q8&gt;1,CHAR(34)&amp;"words2"&amp;CHAR(34)&amp;",","")</f>
        <v>"words2",</v>
      </c>
      <c r="DB8" s="48" t="str">
        <f>IF(Q8&gt;2,CHAR(34)&amp;"words3"&amp;CHAR(34)&amp;",","")</f>
        <v/>
      </c>
      <c r="DD8" s="48" t="str">
        <f>IF(LEN(CHAR(34)&amp;"lets"&amp;LEN(SUBSTITUTE(SUBSTITUTE(IFERROR(TRIM(SUBSTITUTE(A8,MID(A8,FIND("[",A8),FIND("]",A8)-FIND("[",A8)+1),"")),A8)," ",""),"-",""))&amp;CHAR(34)&amp;",")=9,CHAR(34)&amp;"lets"&amp;LEN(SUBSTITUTE(SUBSTITUTE(IFERROR(TRIM(SUBSTITUTE(A8,MID(A8,FIND("[",A8),FIND("]",A8)-FIND("[",A8)+1),"")),A8)," ",""),"-",""))&amp;CHAR(34)&amp;",",CHAR(34)&amp;"lets0"&amp;LEN(SUBSTITUTE(SUBSTITUTE(IFERROR(TRIM(SUBSTITUTE(A8,MID(A8,FIND("[",A8),FIND("]",A8)-FIND("[",A8)+1),"")),A8)," ",""),"-",""))&amp;CHAR(34)&amp;",")</f>
        <v>"lets13",</v>
      </c>
      <c r="DE8" s="48" t="str">
        <f>CHAR(34)&amp;"start"&amp;IFERROR(LEFT(SUBSTITUTE(A8,"["&amp;MID(A8,FIND("[",A8)+1,FIND("]",A8)-FIND("[",A8)-1)&amp;"] ",""),1),LEFT(A8,1))&amp;CHAR(34)&amp;","</f>
        <v>"startS",</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"with_w",</v>
      </c>
      <c r="DJ8" s="48" t="str">
        <f>IFERROR(IF(SEARCH("y",A8)&gt;0,CHAR(34)&amp;"with_y"&amp;CHAR(34)&amp;",",""),"")</f>
        <v/>
      </c>
      <c r="DK8" s="48" t="str">
        <f>IFERROR(IF(SEARCH("z",A8)&gt;0,CHAR(34)&amp;"with_z"&amp;CHAR(34)&amp;",",""),"")</f>
        <v>"with_z",</v>
      </c>
      <c r="DL8" s="48" t="str">
        <f>IF(CG8=2, CHAR(34) &amp; _xlfn.TEXTJOIN("", TRUE, _xlfn._xlws.SORT(HP8:HX8)) &amp; CHAR(34) &amp; ",", "")</f>
        <v/>
      </c>
      <c r="DM8" s="48" t="str" cm="1">
        <f t="array" ref="DM8">IF(CG8=3,CHAR(34) &amp; _xlfn.TEXTJOIN("", TRUE, RIGHT(HP8:HX8, 2)) &amp; CHAR(34) &amp; ",", "")</f>
        <v>"LUEDEL",</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"allhor",</v>
      </c>
      <c r="DU8" s="6" t="str">
        <f>IF(BY8="y",IF(AND(W8="n",V8="n"),CHAR(34)&amp;"alldia"&amp;CHAR(34)&amp;",",""),"")</f>
        <v/>
      </c>
      <c r="DW8" s="48" t="str">
        <f t="shared" si="37"/>
        <v/>
      </c>
      <c r="DX8" s="48" t="str">
        <f t="shared" si="37"/>
        <v/>
      </c>
      <c r="DY8" s="48" t="str">
        <f t="shared" si="37"/>
        <v/>
      </c>
      <c r="DZ8" s="48" t="str">
        <f t="shared" si="37"/>
        <v>"4+Band",</v>
      </c>
      <c r="EA8" s="48" t="str">
        <f t="shared" si="38"/>
        <v/>
      </c>
      <c r="EB8" s="48" t="str">
        <f t="shared" si="38"/>
        <v/>
      </c>
      <c r="EC8" s="48" t="str">
        <f t="shared" si="38"/>
        <v>"Horizo",</v>
      </c>
      <c r="ED8" s="48" t="str">
        <f t="shared" si="38"/>
        <v/>
      </c>
      <c r="EE8" s="48" t="str">
        <f t="shared" si="38"/>
        <v>"Circle",</v>
      </c>
      <c r="EF8" s="48" t="str">
        <f>IF(AND(Y8&lt;&gt;"n",Y8&lt;&gt;""),CHAR(34)&amp;Y$1&amp;CHAR(34)&amp;",","")</f>
        <v/>
      </c>
      <c r="EG8" s="48" t="str">
        <f t="shared" si="40"/>
        <v/>
      </c>
      <c r="EH8" s="48" t="str">
        <f t="shared" si="40"/>
        <v/>
      </c>
      <c r="EI8" s="48" t="str">
        <f t="shared" si="40"/>
        <v/>
      </c>
      <c r="EJ8" s="48" t="str">
        <f t="shared" si="40"/>
        <v/>
      </c>
      <c r="EK8" s="48" t="str">
        <f t="shared" si="40"/>
        <v>"HasSun",</v>
      </c>
      <c r="EL8" s="48" t="str">
        <f t="shared" si="40"/>
        <v/>
      </c>
      <c r="EM8" s="48" t="str">
        <f t="shared" si="40"/>
        <v/>
      </c>
      <c r="EN8" s="48" t="str">
        <f t="shared" si="40"/>
        <v>"Unequa",</v>
      </c>
      <c r="EO8" s="48" t="str">
        <f t="shared" si="40"/>
        <v>"Center",</v>
      </c>
      <c r="EP8" s="48" t="str">
        <f t="shared" si="40"/>
        <v/>
      </c>
      <c r="EQ8" s="48" t="str">
        <f t="shared" si="40"/>
        <v/>
      </c>
      <c r="ER8" s="48" t="str">
        <f t="shared" si="40"/>
        <v/>
      </c>
      <c r="ES8" s="48" t="str">
        <f t="shared" si="40"/>
        <v/>
      </c>
      <c r="ET8" s="48" t="str">
        <f t="shared" si="40"/>
        <v>"Geogrh",</v>
      </c>
      <c r="EU8" s="48" t="str">
        <f t="shared" si="40"/>
        <v/>
      </c>
      <c r="EV8" s="48" t="str">
        <f t="shared" si="40"/>
        <v/>
      </c>
      <c r="EW8" s="48" t="str">
        <f t="shared" si="40"/>
        <v/>
      </c>
      <c r="EX8" s="48" t="str">
        <f t="shared" si="40"/>
        <v/>
      </c>
      <c r="EY8" s="48" t="str">
        <f t="shared" si="40"/>
        <v/>
      </c>
      <c r="EZ8" s="48" t="str">
        <f t="shared" si="40"/>
        <v/>
      </c>
      <c r="FA8" s="48" t="str">
        <f>IF(AT8&gt;0,CHAR(34)&amp;"sta"&amp;AZ8&amp;CHAR(34)&amp;",","")</f>
        <v/>
      </c>
      <c r="FB8" s="48" t="str">
        <f>IF(AND(AT8&gt;0,BA8&lt;&gt;""),CHAR(34)&amp;"sta"&amp;BA8&amp;CHAR(34)&amp;",","")</f>
        <v/>
      </c>
      <c r="FD8" s="48" t="str">
        <f>IF(BV8="n",CHAR(34)&amp;"tcWHYE"&amp;CHAR(34)&amp;",",IF(BV8="y",CHAR(34)&amp;FD$1&amp;CHAR(34)&amp;",",""))</f>
        <v/>
      </c>
      <c r="FE8" s="48" t="str">
        <f>IF(COUNTIF(BL8:BT8,"BLU")=0,CHAR(34)&amp;"NO_BLU"&amp;CHAR(34)&amp;",", "")</f>
        <v/>
      </c>
      <c r="FF8" s="48" t="str">
        <f>IF(COUNTIF(BL8:BT8,"WHI")=0,CHAR(34)&amp;"NO_WHI"&amp;CHAR(34)&amp;",", "")</f>
        <v>"NO_WHI",</v>
      </c>
      <c r="FG8" s="48" t="str">
        <f>IF(COUNTIF(BL8:BT8,"RED")=0,CHAR(34)&amp;"NO_RED"&amp;CHAR(34)&amp;",", "")</f>
        <v/>
      </c>
      <c r="FH8" s="48" t="str">
        <f>IF(COUNTIF(BL8:BS8,"GRE")=0,CHAR(34)&amp;"NO_GRE"&amp;CHAR(34)&amp;",", "")</f>
        <v>"NO_GRE",</v>
      </c>
      <c r="FI8" s="48" t="str">
        <f>IF(COUNTIF(BL8:BT8,"YEL")=0,CHAR(34)&amp;"NO_YEL"&amp;CHAR(34)&amp;",", "")</f>
        <v/>
      </c>
      <c r="FJ8" s="48" t="str">
        <f>IF(COUNTIF(BL8:BT8,"BLA")=0,CHAR(34)&amp;"NO_BLA"&amp;CHAR(34)&amp;",", "")</f>
        <v>"NO_BLA",</v>
      </c>
      <c r="FK8" s="48" t="str">
        <f>IF(AND(FH8&lt;&gt;"",FF8&lt;&gt;""),CHAR(34)&amp;"WHGRNO"&amp;CHAR(34)&amp;",","")</f>
        <v>"WHGRNO",</v>
      </c>
      <c r="FL8" s="48" t="str">
        <f>IF(AND(FI8&lt;&gt;"",FF8&lt;&gt;""),CHAR(34)&amp;"WHYENO"&amp;CHAR(34)&amp;",","")</f>
        <v/>
      </c>
      <c r="FM8" s="48" t="str">
        <f>IF(AND(FJ8&lt;&gt;"",FF8&lt;&gt;""),CHAR(34)&amp;"BAWHNO"&amp;CHAR(34)&amp;",","")</f>
        <v>"BAWHNO",</v>
      </c>
      <c r="FN8" s="48" t="str">
        <f>IF(AND(FE8&lt;&gt;"",FF8&lt;&gt;""),CHAR(34)&amp;"BLWHNO"&amp;CHAR(34)&amp;",","")</f>
        <v/>
      </c>
      <c r="FO8" s="48" t="str">
        <f>IF(AND(FE8&lt;&gt;"",FG8&lt;&gt;""),CHAR(34)&amp;"BLRENO"&amp;CHAR(34)&amp;",","")</f>
        <v/>
      </c>
      <c r="FP8" s="48" t="str">
        <f>IF(AND(FF8&lt;&gt;"",FF8&lt;&gt;""),CHAR(34)&amp;"WHRENO"&amp;CHAR(34)&amp;",","")</f>
        <v>"WHRENO",</v>
      </c>
      <c r="FQ8" s="48" t="str">
        <f>IF(LEN(BF8)=3,CHAR(34)&amp;"001"&amp;BF8&amp;CHAR(34)&amp;",","")</f>
        <v>"001BLU",</v>
      </c>
      <c r="FR8" s="48" t="str">
        <f>IF(LEN(BG8)=3,CHAR(34)&amp;"002"&amp;BG8&amp;CHAR(34)&amp;",","")</f>
        <v>"002YEL",</v>
      </c>
      <c r="FS8" s="48" t="str">
        <f>IF(LEN(BH8)=3,CHAR(34)&amp;"003"&amp;BH8&amp;CHAR(34)&amp;",","")</f>
        <v>"003RED",</v>
      </c>
      <c r="FT8" s="48" t="str">
        <f>CHAR(34)&amp;"myr"&amp;BD8&amp;CHAR(34)&amp;","</f>
        <v>"myrEQ",</v>
      </c>
      <c r="FU8" s="48" t="str">
        <f>IF(AY8="y",CHAR(34)&amp;"island"&amp;CHAR(34)&amp;",","")</f>
        <v/>
      </c>
      <c r="FV8" s="48" t="str">
        <f>IF(BZ8="y",CHAR(34)&amp;"landlo"&amp;CHAR(34)&amp;",","")</f>
        <v/>
      </c>
      <c r="FW8" s="48" t="str">
        <f>IF(CA8="y",CHAR(34)&amp;"eunion"&amp;CHAR(34)&amp;",","")</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
      </c>
      <c r="GE8" s="48" t="str">
        <f>IFERROR(IF(SEARCH("Dutch",CB8)&gt;0,CHAR(34)&amp;"dutchs"&amp;CHAR(34)&amp;",",""),"")</f>
        <v/>
      </c>
      <c r="GF8" s="48" t="str">
        <f>IFERROR(IF(SEARCH("Historical",AU8)&gt;0,CHAR(34)&amp;"histor"&amp;CHAR(34)&amp;",",""),"")</f>
        <v/>
      </c>
      <c r="GG8" s="48" t="str">
        <f>IF(BU8="y",CHAR(34)&amp;"unjack"&amp;CHAR(34)&amp;",","")</f>
        <v/>
      </c>
      <c r="GH8" s="48" t="str">
        <f>IF(CD8=1,CHAR(34)&amp;"southc"&amp;CHAR(34)&amp;",","")</f>
        <v/>
      </c>
      <c r="GI8" s="48" t="str">
        <f>IF(CE8=1,CHAR(34)&amp;"hasmap"&amp;CHAR(34)&amp;",","")</f>
        <v/>
      </c>
      <c r="GJ8" s="48" t="str">
        <f>IF(CP8="y",CHAR(34)&amp;CP$1&amp;CHAR(34)&amp;",","")</f>
        <v>"NoStar",</v>
      </c>
      <c r="GK8" s="48" t="str">
        <f>IF(GJ8="",CHAR(34)&amp;"HasSta"&amp;CHAR(34)&amp;",","")</f>
        <v/>
      </c>
      <c r="GL8" s="48" t="str">
        <f t="shared" si="77"/>
        <v/>
      </c>
      <c r="GM8" s="48" t="str">
        <f t="shared" si="77"/>
        <v/>
      </c>
      <c r="GN8" s="48" t="str">
        <f t="shared" si="77"/>
        <v/>
      </c>
      <c r="GP8" s="48" t="str">
        <f>CHAR(34)&amp;AU8&amp;CHAR(34)</f>
        <v>"Territory"</v>
      </c>
      <c r="GS8" s="48" t="str">
        <f>SUBSTITUTE("["&amp;_xlfn.CONCAT(CW8:GN8)&amp;"]",",]","]")</f>
        <v>["3Color","words2","lets13","startS","with_w","with_z","LUEDEL","year19","allhor","4+Band","Horizo","Circle","HasSun","Unequa","Center","Geogrh","NO_WHI","NO_GRE","NO_BLA","WHGRNO","BAWHNO","WHRENO","001BLU","002YEL","003RED","myrEQ","NoStar"]</v>
      </c>
      <c r="GT8" s="48" t="str">
        <f t="shared" si="80"/>
        <v/>
      </c>
      <c r="GU8" s="48" t="str">
        <f t="shared" si="80"/>
        <v>"cl_BLU",</v>
      </c>
      <c r="GV8" s="48" t="str">
        <f t="shared" si="80"/>
        <v/>
      </c>
      <c r="GW8" s="48" t="str">
        <f t="shared" si="80"/>
        <v>"cl_RED",</v>
      </c>
      <c r="GX8" s="48" t="str">
        <f t="shared" si="80"/>
        <v>"cl_YEL",</v>
      </c>
      <c r="GY8" s="48" t="str">
        <f t="shared" si="80"/>
        <v/>
      </c>
      <c r="GZ8" s="48" t="str">
        <f t="shared" si="80"/>
        <v/>
      </c>
      <c r="HA8" s="48" t="str">
        <f t="shared" si="80"/>
        <v/>
      </c>
      <c r="HB8" s="48" t="str">
        <f t="shared" si="80"/>
        <v/>
      </c>
      <c r="HC8" s="48" t="str">
        <f>SUBSTITUTE("["&amp;_xlfn.CONCAT(GT8:HB8)&amp;"]",",]","]")</f>
        <v>["cl_BLU","cl_RED","cl_YEL"]</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links: "https://www.crwflags.com/fotw/flags/nz-sti.html"},</v>
      </c>
      <c r="HG8" s="73" t="str">
        <f>"{couname:"&amp;CT8&amp;(IF(HK8&lt;&gt;"",",subtype:"&amp;CHAR(34)&amp;HK8&amp;CHAR(34),""))&amp;",year:"&amp;HJ8&amp;",region:"&amp;CU8&amp;",Colors:"&amp;HC8&amp;",Items:"&amp;GS8&amp;",Flag:"&amp;CV8&amp;",HDFlag:"&amp;CHAR(34)&amp;E8&amp;CHAR(34)&amp;",type:"&amp;GP8&amp;", describe: "&amp;HI8&amp;", links: "&amp;HL8&amp;"},"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links: "https://www.crwflags.com/fotw/flags/nz-sti.html"},</v>
      </c>
      <c r="HH8" s="48" t="str">
        <f>IF(P8&lt;&gt;"",CHAR(34)&amp;"\n"&amp;P8&amp;CHAR(34),CHAR(34)&amp;CHAR(34))</f>
        <v>"\nThe flag is described as being blue, green, red and yellow. It is not very clear in the photo, but would seem to be a semicircular 'rising sun' in the top 2 quarters, red and yellow, over a green island in a blue sea in the lower 2 quarters. The shape of the island and sea is not clear."</v>
      </c>
      <c r="HI8" s="48" t="str">
        <f>IF(J8=0,CHAR(34)&amp;CHAR(34),HH8)</f>
        <v>"\nThe flag is described as being blue, green, red and yellow. It is not very clear in the photo, but would seem to be a semicircular 'rising sun' in the top 2 quarters, red and yellow, over a green island in a blue sea in the lower 2 quarters. The shape of the island and sea is not clear."</v>
      </c>
      <c r="HJ8" s="48" t="str">
        <f>CHAR(34)&amp;O8&amp;CHAR(34)</f>
        <v>"1970"</v>
      </c>
      <c r="HL8" s="48" t="str">
        <f>CHAR(34)&amp;I8&amp;CHAR(34)</f>
        <v>"https://www.crwflags.com/fotw/flags/nz-sti.html"</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 "links": "https://www.crwflags.com/fotw/flags/nz-sti.html"},</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{"couname":"[NZE] Stewart Island","year":"1970","region":"rgn_Oceania","Colors":["cl_BLU","cl_RED","cl_YEL"],"Items":["3Color","words2","lets13","startS","with_w","with_z","LUEDEL","year19","allhor","4+Band","Horizo","Circle","HasSun","Unequa","Center","Geogrh","NO_WHI","NO_GRE","NO_BLA","WHGRNO","BAWHNO","WHRENO","001BLU","002YEL","003RED","myrEQ","NoStar"],"Flag":"https://www.crwflags.com/fotw/images/n/nz-sti.gif","HDFlag":"https://www.crwflags.com/fotw/images/n/nz-sti.gif","type":"Territory", "describe": "\nThe flag is described as being blue, green, red and yellow. It is not very clear in the photo, but would seem to be a semicircular 'rising sun' in the top 2 quarters, red and yellow, over a green island in a blue sea in the lower 2 quarters. The shape of the island and sea is not clear.", "isnew": ".", "links": "https://www.crwflags.com/fotw/flags/nz-sti.html"},</v>
      </c>
      <c r="HO8" s="75">
        <v>45644</v>
      </c>
      <c r="HP8" s="48" t="str" cm="1">
        <f t="array" ref="HP8">IF(_xlfn.TEXTJOIN(", ", TRUE, IF(ISNUMBER(SEARCH("BLA", BL8:BT8)), COLUMN(BL8:BT8) - COLUMN(BL8) + 1, ""))&lt;&gt;"","BLA","")</f>
        <v/>
      </c>
      <c r="HQ8" s="48" t="str" cm="1">
        <f t="array" ref="HQ8">IF(_xlfn.TEXTJOIN(", ", TRUE, IF(ISNUMBER(SEARCH("BLU", BL8:BT8)), COLUMN(BL8:BT8) - COLUMN(BL8) + 1, ""))&lt;&gt;"","BLU","")</f>
        <v>BLU</v>
      </c>
      <c r="HR8" s="48" t="str" cm="1">
        <f t="array" ref="HR8">IF(_xlfn.TEXTJOIN(", ", TRUE, IF(ISNUMBER(SEARCH("GRE", BL8:BT8)), COLUMN(BL8:BT8) - COLUMN(BL8) + 1, ""))&lt;&gt;"","GRE","")</f>
        <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
      </c>
      <c r="HY8" s="76"/>
      <c r="HZ8" s="76"/>
      <c r="IA8" s="6"/>
      <c r="IB8" s="6"/>
      <c r="IC8" s="77"/>
      <c r="ID8" s="77"/>
      <c r="IE8" s="77"/>
      <c r="IF8" s="77"/>
      <c r="IG8" s="77"/>
      <c r="IH8" s="77"/>
      <c r="II8" s="77"/>
      <c r="IJ8" s="77"/>
      <c r="IK8" s="77"/>
      <c r="IM8" s="45">
        <f>COUNTIF(IC8:IK8,"&gt;0")-CG8</f>
        <v>-3</v>
      </c>
      <c r="IN8" s="78" t="str">
        <f>"http://mkweb.bcgsc.ca/color-summarizer/?url="&amp;D8&amp;"&amp;precision=low&amp;num_clusters="&amp;CG8&amp;"&amp;text=1"</f>
        <v>http://mkweb.bcgsc.ca/color-summarizer/?url=https://www.crwflags.com/fotw/images/n/nz-sti.gif&amp;precision=low&amp;num_clusters=3&amp;text=1</v>
      </c>
      <c r="IO8" s="48" t="str">
        <f>IF(HP8&lt;&gt;"",CHAR(34)&amp;"black"&amp;CHAR(34),"")</f>
        <v/>
      </c>
      <c r="IP8" s="48" t="str">
        <f>IF(HQ8&lt;&gt;"",CHAR(34)&amp;"blue"&amp;CHAR(34),"")</f>
        <v>"blue"</v>
      </c>
      <c r="IQ8" s="48" t="str">
        <f>IF(HR8&lt;&gt;"",CHAR(34)&amp;"green"&amp;CHAR(34),"")</f>
        <v/>
      </c>
      <c r="IR8" s="48" t="str">
        <f>IF(HS8&lt;&gt;"",CHAR(34)&amp;"red"&amp;CHAR(34),"")</f>
        <v>"red"</v>
      </c>
      <c r="IS8" s="48" t="str">
        <f>IF(HT8&lt;&gt;"",CHAR(34)&amp;"yellow"&amp;CHAR(34),"")</f>
        <v>"yellow"</v>
      </c>
      <c r="IT8" s="48" t="str">
        <f>IF(HU8&lt;&gt;"",CHAR(34)&amp;"orange"&amp;CHAR(34),"")</f>
        <v/>
      </c>
      <c r="IU8" s="48" t="str">
        <f>IF(HV8&lt;&gt;"",CHAR(34)&amp;"brown"&amp;CHAR(34),"")</f>
        <v/>
      </c>
      <c r="IV8" s="48" t="str">
        <f>IF(HW8&lt;&gt;"",CHAR(34)&amp;"purple"&amp;CHAR(34),"")</f>
        <v/>
      </c>
      <c r="IW8" s="48" t="str">
        <f>IF(HX8&lt;&gt;"",CHAR(34)&amp;"white"&amp;CHAR(34),"")</f>
        <v/>
      </c>
      <c r="IX8" s="48" t="str">
        <f>"{"&amp;CHAR(34)&amp;"url"&amp;CHAR(34)&amp;":"&amp;CHAR(34)&amp;IN8&amp;CHAR(34)&amp;","&amp;CHAR(34)&amp;"name"&amp;CHAR(34)&amp;":"&amp;CHAR(34)&amp;A8&amp;CHAR(34)&amp;"},"</f>
        <v>{"url":"http://mkweb.bcgsc.ca/color-summarizer/?url=https://www.crwflags.com/fotw/images/n/nz-sti.gif&amp;precision=low&amp;num_clusters=3&amp;text=1","name":"[NZE] Stewart Island"},</v>
      </c>
      <c r="IY8" s="48">
        <v>1503</v>
      </c>
    </row>
    <row r="9" spans="1:259" s="48" customFormat="1" ht="38.4" customHeight="1" thickBot="1" x14ac:dyDescent="0.35">
      <c r="A9" s="80" t="s">
        <v>647</v>
      </c>
      <c r="B9" s="40" t="e" vm="75">
        <v>#VALUE!</v>
      </c>
      <c r="C9" s="41" t="s">
        <v>625</v>
      </c>
      <c r="D9" s="42" t="s">
        <v>648</v>
      </c>
      <c r="E9" s="43" t="s">
        <v>649</v>
      </c>
      <c r="F9" s="44" t="s">
        <v>166</v>
      </c>
      <c r="G9" s="45">
        <f>COUNTIF($A$1:$A$8354,A9)</f>
        <v>1</v>
      </c>
      <c r="H9" s="46"/>
      <c r="I9" s="47" t="s">
        <v>650</v>
      </c>
      <c r="J9" s="48" t="str">
        <f>""</f>
        <v/>
      </c>
      <c r="K9" s="49"/>
      <c r="L9" s="50"/>
      <c r="M9" s="50"/>
      <c r="N9" s="51" t="s">
        <v>169</v>
      </c>
      <c r="O9" s="52" t="s">
        <v>651</v>
      </c>
      <c r="P9" s="53" t="s">
        <v>652</v>
      </c>
      <c r="Q9" s="54">
        <v>1</v>
      </c>
      <c r="R9" s="55" t="s">
        <v>169</v>
      </c>
      <c r="S9" s="56">
        <v>0</v>
      </c>
      <c r="T9" s="57" t="s">
        <v>173</v>
      </c>
      <c r="U9" s="58" t="s">
        <v>173</v>
      </c>
      <c r="V9" s="58" t="s">
        <v>173</v>
      </c>
      <c r="W9" s="58" t="s">
        <v>173</v>
      </c>
      <c r="X9" s="58" t="s">
        <v>173</v>
      </c>
      <c r="Y9" s="58" t="s">
        <v>173</v>
      </c>
      <c r="Z9" s="58" t="s">
        <v>173</v>
      </c>
      <c r="AA9" s="58" t="s">
        <v>173</v>
      </c>
      <c r="AB9" s="58" t="s">
        <v>173</v>
      </c>
      <c r="AC9" s="58" t="s">
        <v>173</v>
      </c>
      <c r="AD9" s="58" t="s">
        <v>173</v>
      </c>
      <c r="AE9" s="58" t="s">
        <v>173</v>
      </c>
      <c r="AF9" s="59" t="s">
        <v>173</v>
      </c>
      <c r="AG9" s="59" t="s">
        <v>173</v>
      </c>
      <c r="AH9" s="59" t="s">
        <v>173</v>
      </c>
      <c r="AI9" s="59" t="s">
        <v>173</v>
      </c>
      <c r="AJ9" s="59" t="s">
        <v>173</v>
      </c>
      <c r="AK9" s="59" t="s">
        <v>173</v>
      </c>
      <c r="AL9" s="59" t="s">
        <v>172</v>
      </c>
      <c r="AM9" s="59" t="s">
        <v>173</v>
      </c>
      <c r="AN9" s="59" t="s">
        <v>173</v>
      </c>
      <c r="AO9" s="59" t="s">
        <v>173</v>
      </c>
      <c r="AP9" s="59" t="s">
        <v>172</v>
      </c>
      <c r="AQ9" s="59" t="s">
        <v>173</v>
      </c>
      <c r="AR9" s="59" t="s">
        <v>173</v>
      </c>
      <c r="AS9" s="59" t="s">
        <v>173</v>
      </c>
      <c r="AT9" s="60">
        <v>4</v>
      </c>
      <c r="AU9" s="59" t="s">
        <v>642</v>
      </c>
      <c r="AV9" s="59" t="str">
        <f>IF(LEFT(A9,1)="[",LEFT(A9,5)&amp;AU9&amp;A9,"")</f>
        <v>[NZE]Territory[NZE] Tokelau</v>
      </c>
      <c r="AW9" s="59" t="str">
        <f>C9&amp;H9&amp;A9</f>
        <v>2b[NZE] Tokelau</v>
      </c>
      <c r="AX9" s="61"/>
      <c r="AY9" s="61"/>
      <c r="AZ9" s="62" t="s">
        <v>192</v>
      </c>
      <c r="BA9" s="62"/>
      <c r="BB9" s="62"/>
      <c r="BC9" s="63"/>
      <c r="BD9" s="64" t="s">
        <v>408</v>
      </c>
      <c r="BE9" s="47"/>
      <c r="BF9" s="64" t="s">
        <v>153</v>
      </c>
      <c r="BG9" s="64" t="s">
        <v>159</v>
      </c>
      <c r="BH9" s="64" t="s">
        <v>152</v>
      </c>
      <c r="BI9" s="64"/>
      <c r="BJ9" s="64"/>
      <c r="BK9" s="47"/>
      <c r="BL9" s="64" t="s">
        <v>192</v>
      </c>
      <c r="BM9" s="64" t="s">
        <v>152</v>
      </c>
      <c r="BN9" s="64" t="s">
        <v>153</v>
      </c>
      <c r="BO9" s="64" t="s">
        <v>192</v>
      </c>
      <c r="BP9" s="64" t="s">
        <v>192</v>
      </c>
      <c r="BQ9" s="64" t="s">
        <v>192</v>
      </c>
      <c r="BR9" s="64" t="s">
        <v>192</v>
      </c>
      <c r="BS9" s="64" t="s">
        <v>192</v>
      </c>
      <c r="BT9" s="64" t="s">
        <v>159</v>
      </c>
      <c r="BU9" s="65"/>
      <c r="BV9" s="66"/>
      <c r="BW9" s="66">
        <v>0</v>
      </c>
      <c r="BX9" s="47"/>
      <c r="CB9" s="6"/>
      <c r="CC9" s="6"/>
      <c r="CD9" s="67">
        <v>0</v>
      </c>
      <c r="CE9" s="67">
        <v>0</v>
      </c>
      <c r="CF9" s="67" t="e">
        <v>#REF!</v>
      </c>
      <c r="CG9" s="68" cm="1">
        <f t="array" ref="CG9">SUMPRODUCT(--(LEN(TRIM(BL9:BT9))&gt;0))</f>
        <v>3</v>
      </c>
      <c r="CH9" s="59" t="str">
        <f>IF(CG9=2,"y","n")</f>
        <v>n</v>
      </c>
      <c r="CI9" s="59" t="str">
        <f>IF(CG9=3,"y","n")</f>
        <v>y</v>
      </c>
      <c r="CJ9" s="59" t="str">
        <f>IF(CG9=4,"y","n")</f>
        <v>n</v>
      </c>
      <c r="CK9" s="59" t="str">
        <f>IF(CG9&gt;4,"y","n")</f>
        <v>n</v>
      </c>
      <c r="CL9" s="59" t="str">
        <f>IF(S9=0,"y","n")</f>
        <v>y</v>
      </c>
      <c r="CM9" s="59" t="str">
        <f>IF(S9=2,"y","n")</f>
        <v>n</v>
      </c>
      <c r="CN9" s="59" t="str">
        <f>IF(S9=3,"y","n")</f>
        <v>n</v>
      </c>
      <c r="CO9" s="59" t="str">
        <f>IF(S9&gt;=4,"y","n")</f>
        <v>n</v>
      </c>
      <c r="CP9" s="59" t="str">
        <f>IF(AT9=0,"y","n")</f>
        <v>n</v>
      </c>
      <c r="CQ9" s="59" t="str">
        <f>IF(AT9=1,"y","n")</f>
        <v>n</v>
      </c>
      <c r="CR9" s="59" t="str">
        <f>IF(AT9=2,"y","n")</f>
        <v>n</v>
      </c>
      <c r="CS9" s="59" t="str">
        <f>IF(AT9&gt;=3,"y","n")</f>
        <v>y</v>
      </c>
      <c r="CT9" s="69" t="str">
        <f>CHAR(34)&amp;A9&amp;CHAR(34)</f>
        <v>"[NZE] Tokelau"</v>
      </c>
      <c r="CU9" s="70" t="str">
        <f>CHAR(34)&amp;"rgn_"&amp;R9&amp;CHAR(34)</f>
        <v>"rgn_Oceania"</v>
      </c>
      <c r="CV9" s="48" t="str">
        <f>CHAR(34)&amp;D9&amp;CHAR(34)</f>
        <v>"https://upload.wikimedia.org/wikipedia/commons/thumb/8/8e/Flag_of_Tokelau.svg/383px-Flag_of_Tokelau.svg.png"</v>
      </c>
      <c r="CW9" s="48" t="str">
        <f t="shared" si="15"/>
        <v/>
      </c>
      <c r="CX9" s="48" t="str">
        <f t="shared" si="15"/>
        <v>"3Color",</v>
      </c>
      <c r="CY9" s="48" t="str">
        <f t="shared" si="15"/>
        <v/>
      </c>
      <c r="CZ9" s="48" t="str">
        <f t="shared" si="15"/>
        <v/>
      </c>
      <c r="DA9" s="48" t="str">
        <f>IF(Q9&gt;1,CHAR(34)&amp;"words2"&amp;CHAR(34)&amp;",","")</f>
        <v/>
      </c>
      <c r="DB9" s="48" t="str">
        <f>IF(Q9&gt;2,CHAR(34)&amp;"words3"&amp;CHAR(34)&amp;",","")</f>
        <v/>
      </c>
      <c r="DC9" s="48" t="str">
        <f>IF(Q9=2,CHAR(34)&amp;"exact2"&amp;CHAR(34)&amp;",","")</f>
        <v/>
      </c>
      <c r="DD9" s="48" t="str">
        <f>IF(LEN(CHAR(34)&amp;"lets"&amp;LEN(SUBSTITUTE(SUBSTITUTE(IFERROR(TRIM(SUBSTITUTE(SUBSTITUTE(SUBSTITUTE(IFERROR(TRIM(SUBSTITUTE(A9,MID(A9,FIND("(",A9),FIND(")",A9)-FIND("(",A9)+1),"")),A9),"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",""),"-",""))&amp;CHAR(34)&amp;",")=9,CHAR(34)&amp;"lets"&amp;LEN(SUBSTITUTE(SUBSTITUTE(IFERROR(TRIM(SUBSTITUTE(SUBSTITUTE(SUBSTITUTE(IFERROR(TRIM(SUBSTITUTE(A9,MID(A9,FIND("(",A9),FIND(")",A9)-FIND("(",A9)+1),"")),A9),"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",""),"-",""))&amp;CHAR(34)&amp;",",CHAR(34)&amp;"lets0"&amp;LEN(SUBSTITUTE(SUBSTITUTE(IFERROR(TRIM(SUBSTITUTE(SUBSTITUTE(SUBSTITUTE(IFERROR(TRIM(SUBSTITUTE(A9,MID(A9,FIND("(",A9),FIND(")",A9)-FIND("(",A9)+1),"")),A9)," ",""),"-",""),MID(SUBSTITUTE(SUBSTITUTE(IFERROR(TRIM(SUBSTITUTE(A9,MID(A9,FIND("(",A9),FIND(")",A9)-FIND("(",A9)+1),"")),A9)," ",""),"-",""),FIND("[",SUBSTITUTE(SUBSTITUTE(IFERROR(TRIM(SUBSTITUTE(A9,MID(A9,FIND("(",A9),FIND(")",A9)-FIND("(",A9)+1),"")),A9)," ",""),"-","")),FIND("]",SUBSTITUTE(SUBSTITUTE(IFERROR(TRIM(SUBSTITUTE(A9,MID(A9,FIND("(",A9),FIND(")",A9)-FIND("(",A9)+1),"")),A9)," ",""),"-",""))-FIND("[",SUBSTITUTE(SUBSTITUTE(IFERROR(TRIM(SUBSTITUTE(A9,MID(A9,FIND("(",A9),FIND(")",A9)-FIND("(",A9)+1),"")),A9)," ",""),"-",""))+1),"")),SUBSTITUTE(SUBSTITUTE(IFERROR(TRIM(SUBSTITUTE(A9,MID(A9,FIND("(",A9),FIND(")",A9)-FIND("(",A9)+1),"")),A9)," ",""),"-",""))," ",""),"-",""))&amp;CHAR(34)&amp;",")</f>
        <v>"lets07",</v>
      </c>
      <c r="DE9" s="48" t="str">
        <f>IFERROR(CHAR(34)&amp;"start"&amp;LEFT(TRIM(SUBSTITUTE(SUBSTITUTE(TRIM(SUBSTITUTE(SUBSTITUTE(A9, MID(A9, FIND("[", A9), FIND("]", A9) - FIND("[", A9) + 1), ""), "  ", " ")), MID(TRIM(SUBSTITUTE(SUBSTITUTE(A9, MID(A9, FIND("[", A9), FIND("]", A9) - FIND("[", A9) + 1), ""), "  ", " ")), FIND("[", TRIM(SUBSTITUTE(SUBSTITUTE(A9, MID(A9, FIND("[", A9), FIND("]", A9) - FIND("[", A9) + 1), ""), "  ", " "))), FIND("]", TRIM(SUBSTITUTE(SUBSTITUTE(A9, MID(A9, FIND("[", A9), FIND("]", A9) - FIND("[", A9) + 1), ""), "  ", " "))) - FIND("[", TRIM(SUBSTITUTE(SUBSTITUTE(A9, MID(A9, FIND("[", A9), FIND("]", A9) - FIND("[", A9) + 1), ""), "  ", " "))) + 1), ""), "  ", " ")),1)&amp;CHAR(34)&amp;",",CHAR(34)&amp;"start"&amp;IFERROR(LEFT(SUBSTITUTE(A9,"["&amp;MID(A9,FIND("[",A9)+1,FIND("]",A9)-FIND("[",A9)-1)&amp;"] ",""),1),LEFT(A9,1))&amp;CHAR(34)&amp;",")</f>
        <v>"startT",</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
      </c>
      <c r="DJ9" s="48" t="str">
        <f>IFERROR(IF(SEARCH("y",A9)&gt;0,CHAR(34)&amp;"with_y"&amp;CHAR(34)&amp;",",""),"")</f>
        <v/>
      </c>
      <c r="DK9" s="48" t="str">
        <f>IFERROR(IF(SEARCH("z",A9)&gt;0,CHAR(34)&amp;"with_z"&amp;CHAR(34)&amp;",",""),"")</f>
        <v>"with_z",</v>
      </c>
      <c r="DL9" s="48" t="str">
        <f>IF(CG9=2, CHAR(34) &amp; _xlfn.TEXTJOIN("", TRUE, _xlfn._xlws.SORT(HP9:HX9)) &amp; CHAR(34) &amp; ",", "")</f>
        <v/>
      </c>
      <c r="DM9" s="48" t="str" cm="1">
        <f t="array" ref="DM9">IF(CG9=3,CHAR(34) &amp; _xlfn.TEXTJOIN("", TRUE, RIGHT(HP9:HX9, 2)) &amp; CHAR(34) &amp; ",", "")</f>
        <v>"LUREHI",</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"year19",</v>
      </c>
      <c r="DP9" s="6" t="str">
        <f>IF(AND(ISNUMBER(SEARCH("20", O9)), ISERROR(SEARCH("1920", O9))), CHAR(34)&amp;"year00"&amp;CHAR(34)&amp;",", "")</f>
        <v/>
      </c>
      <c r="DQ9" s="6" t="str">
        <f>IF(CC9="y",CHAR(34)&amp;"soviet"&amp;CHAR(34)&amp;",","")</f>
        <v/>
      </c>
      <c r="DR9" s="6" t="str">
        <f>IF(BY9="y",CHAR(34)&amp;"dgband"&amp;CHAR(34)&amp;",","")</f>
        <v/>
      </c>
      <c r="DS9" s="6" t="str">
        <f>IF(W9="y",IF(AND(V9="n",BY9&lt;&gt;"y"),CHAR(34)&amp;"allver"&amp;CHAR(34)&amp;",",""),"")</f>
        <v/>
      </c>
      <c r="DT9" s="6" t="str">
        <f>IF(V9="y",IF(AND(W9="n",BY9&lt;&gt;"y"),CHAR(34)&amp;"allhor"&amp;CHAR(34)&amp;",",""),"")</f>
        <v/>
      </c>
      <c r="DU9" s="6" t="str">
        <f>IF(BY9="y",IF(AND(W9="n",V9="n"),CHAR(34)&amp;"alldia"&amp;CHAR(34)&amp;",",""),"")</f>
        <v/>
      </c>
      <c r="DV9" s="48" t="str">
        <f>IF(IA9&lt;&gt;"",(IF(IA9="y",CHAR(34)&amp;"largec"&amp;CHAR(34)&amp;",",CHAR(34)&amp;"smallc"&amp;CHAR(34)&amp;",")),"")</f>
        <v/>
      </c>
      <c r="DW9" s="48" t="str">
        <f t="shared" si="37"/>
        <v>"NoBand",</v>
      </c>
      <c r="DX9" s="48" t="str">
        <f t="shared" si="37"/>
        <v/>
      </c>
      <c r="DY9" s="48" t="str">
        <f t="shared" si="37"/>
        <v/>
      </c>
      <c r="DZ9" s="48" t="str">
        <f t="shared" si="37"/>
        <v/>
      </c>
      <c r="EA9" s="48" t="str">
        <f t="shared" si="38"/>
        <v/>
      </c>
      <c r="EB9" s="48" t="str">
        <f t="shared" si="38"/>
        <v/>
      </c>
      <c r="EC9" s="48" t="str">
        <f t="shared" si="38"/>
        <v/>
      </c>
      <c r="ED9" s="48" t="str">
        <f t="shared" si="38"/>
        <v/>
      </c>
      <c r="EE9" s="48" t="str">
        <f t="shared" si="38"/>
        <v/>
      </c>
      <c r="EF9" s="48" t="str">
        <f>IF(AND(Y9&lt;&gt;"n",Y9&lt;&gt;""),CHAR(34)&amp;Y$1&amp;CHAR(34)&amp;",","")</f>
        <v/>
      </c>
      <c r="EG9" s="48" t="str">
        <f t="shared" si="40"/>
        <v/>
      </c>
      <c r="EH9" s="48" t="str">
        <f t="shared" si="40"/>
        <v/>
      </c>
      <c r="EI9" s="48" t="str">
        <f t="shared" si="40"/>
        <v/>
      </c>
      <c r="EJ9" s="48" t="str">
        <f t="shared" si="40"/>
        <v/>
      </c>
      <c r="EK9" s="48" t="str">
        <f t="shared" si="40"/>
        <v/>
      </c>
      <c r="EL9" s="48" t="str">
        <f t="shared" si="40"/>
        <v/>
      </c>
      <c r="EM9" s="48" t="str">
        <f t="shared" si="40"/>
        <v/>
      </c>
      <c r="EN9" s="48" t="str">
        <f t="shared" si="40"/>
        <v/>
      </c>
      <c r="EO9" s="48" t="str">
        <f t="shared" si="40"/>
        <v/>
      </c>
      <c r="EP9" s="48" t="str">
        <f t="shared" si="40"/>
        <v/>
      </c>
      <c r="EQ9" s="48" t="str">
        <f t="shared" si="40"/>
        <v/>
      </c>
      <c r="ER9" s="48" t="str">
        <f t="shared" si="40"/>
        <v/>
      </c>
      <c r="ES9" s="48" t="str">
        <f t="shared" si="40"/>
        <v>"Wavess",</v>
      </c>
      <c r="ET9" s="48" t="str">
        <f t="shared" si="40"/>
        <v/>
      </c>
      <c r="EU9" s="48" t="str">
        <f t="shared" si="40"/>
        <v/>
      </c>
      <c r="EV9" s="48" t="str">
        <f t="shared" si="40"/>
        <v/>
      </c>
      <c r="EW9" s="48" t="str">
        <f t="shared" si="40"/>
        <v>"Ships!",</v>
      </c>
      <c r="EX9" s="48" t="str">
        <f t="shared" si="40"/>
        <v/>
      </c>
      <c r="EY9" s="48" t="str">
        <f t="shared" si="40"/>
        <v/>
      </c>
      <c r="EZ9" s="48" t="str">
        <f t="shared" si="40"/>
        <v/>
      </c>
      <c r="FA9" s="48" t="str">
        <f>IF(AT9&gt;0,CHAR(34)&amp;"sta"&amp;AZ9&amp;CHAR(34)&amp;",","")</f>
        <v>"sta",</v>
      </c>
      <c r="FB9" s="48" t="str">
        <f>IF(AND(AT9&gt;0,BA9&lt;&gt;""),CHAR(34)&amp;"sta"&amp;BA9&amp;CHAR(34)&amp;",","")</f>
        <v/>
      </c>
      <c r="FC9" s="48" t="str">
        <f>IF(AND(AT9&gt;0,BB9&lt;&gt;""),CHAR(34)&amp;"sta"&amp;BB9&amp;CHAR(34)&amp;",","")</f>
        <v/>
      </c>
      <c r="FD9" s="48" t="str">
        <f>IF(BV9="n",CHAR(34)&amp;"tcWHYE"&amp;CHAR(34)&amp;",",IF(BV9="y",CHAR(34)&amp;FD$1&amp;CHAR(34)&amp;",",""))</f>
        <v/>
      </c>
      <c r="FE9" s="48" t="str">
        <f>IF(COUNTIF(BL9:BT9,"BLU")=0,CHAR(34)&amp;"NO_BLU"&amp;CHAR(34)&amp;",", "")</f>
        <v/>
      </c>
      <c r="FF9" s="48" t="str">
        <f>IF(COUNTIF(BL9:BT9,"WHI")=0,CHAR(34)&amp;"NO_WHI"&amp;CHAR(34)&amp;",", "")</f>
        <v/>
      </c>
      <c r="FG9" s="48" t="str">
        <f>IF(COUNTIF(BL9:BT9,"RED")=0,CHAR(34)&amp;"NO_RED"&amp;CHAR(34)&amp;",", "")</f>
        <v>"NO_RED",</v>
      </c>
      <c r="FH9" s="48" t="str">
        <f>IF(COUNTIF(BL9:BS9,"GRE")=0,CHAR(34)&amp;"NO_GRE"&amp;CHAR(34)&amp;",", "")</f>
        <v/>
      </c>
      <c r="FI9" s="48" t="str">
        <f>IF(COUNTIF(BL9:BT9,"YEL")=0,CHAR(34)&amp;"NO_YEL"&amp;CHAR(34)&amp;",", "")</f>
        <v>"NO_YEL",</v>
      </c>
      <c r="FJ9" s="48" t="str">
        <f>IF(COUNTIF(BL9:BT9,"BLA")=0,CHAR(34)&amp;"NO_BLA"&amp;CHAR(34)&amp;",", "")</f>
        <v>"NO_BLA",</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"001GRE",</v>
      </c>
      <c r="FR9" s="48" t="str">
        <f>IF(LEN(BG9)=3,CHAR(34)&amp;"002"&amp;BG9&amp;CHAR(34)&amp;",","")</f>
        <v>"002WHI",</v>
      </c>
      <c r="FS9" s="48" t="str">
        <f>IF(LEN(BH9)=3,CHAR(34)&amp;"003"&amp;BH9&amp;CHAR(34)&amp;",","")</f>
        <v>"003BLU",</v>
      </c>
      <c r="FT9" s="48" t="str">
        <f>CHAR(34)&amp;"myr"&amp;BD9&amp;CHAR(34)&amp;","</f>
        <v>"myrEQ",</v>
      </c>
      <c r="FU9" s="48" t="str">
        <f>IF(AY9="y",CHAR(34)&amp;"island"&amp;CHAR(34)&amp;",","")</f>
        <v/>
      </c>
      <c r="FV9" s="48" t="str">
        <f>IF(BZ9="y",CHAR(34)&amp;"landlo"&amp;CHAR(34)&amp;",","")</f>
        <v/>
      </c>
      <c r="FW9" s="48" t="str">
        <f>IF(CA9="y",CHAR(34)&amp;"eunion"&amp;CHAR(34)&amp;",","")</f>
        <v/>
      </c>
      <c r="FX9" s="48" t="str">
        <f>SUBSTITUTE(IFERROR(SEARCH("[",A9),IFERROR(IF(AND(CA9&lt;&gt;"y",SEARCH("Europe",R9)&gt;0),CHAR(34)&amp;"noeuni"&amp;CHAR(34)&amp;",",""),"")),"1","")</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
      </c>
      <c r="GC9" s="48" t="str">
        <f>IFERROR(IF(SEARCH("Portuguese",CB9)&gt;0,CHAR(34)&amp;"portug"&amp;CHAR(34)&amp;",",""),"")</f>
        <v/>
      </c>
      <c r="GD9" s="48" t="str">
        <f>IFERROR(IF(SEARCH("German",CB9)&gt;0,CHAR(34)&amp;"german"&amp;CHAR(34)&amp;",",""),"")</f>
        <v/>
      </c>
      <c r="GE9" s="48" t="str">
        <f>IFERROR(IF(SEARCH("Dutch",CB9)&gt;0,CHAR(34)&amp;"dutchs"&amp;CHAR(34)&amp;",",""),"")</f>
        <v/>
      </c>
      <c r="GF9" s="48" t="str">
        <f>IFERROR(IF(SEARCH("Historical",AU9)&gt;0,CHAR(34)&amp;"histor"&amp;CHAR(34)&amp;",",""),"")</f>
        <v/>
      </c>
      <c r="GG9" s="48" t="str">
        <f>IF(BU9="y",CHAR(34)&amp;"unjack"&amp;CHAR(34)&amp;",","")</f>
        <v/>
      </c>
      <c r="GH9" s="48" t="str">
        <f>IF(CD9=1,CHAR(34)&amp;"southc"&amp;CHAR(34)&amp;",","")</f>
        <v/>
      </c>
      <c r="GI9" s="48" t="str">
        <f>IF(CE9=1,CHAR(34)&amp;"hasmap"&amp;CHAR(34)&amp;",","")</f>
        <v/>
      </c>
      <c r="GJ9" s="48" t="str">
        <f>IF(CP9="y",CHAR(34)&amp;CP$1&amp;CHAR(34)&amp;",","")</f>
        <v/>
      </c>
      <c r="GK9" s="48" t="str">
        <f>IF(GJ9="",CHAR(34)&amp;"HasSta"&amp;CHAR(34)&amp;",","")</f>
        <v>"HasSta",</v>
      </c>
      <c r="GL9" s="48" t="str">
        <f t="shared" si="77"/>
        <v/>
      </c>
      <c r="GM9" s="48" t="str">
        <f t="shared" si="77"/>
        <v/>
      </c>
      <c r="GN9" s="48" t="str">
        <f t="shared" si="77"/>
        <v>"3+Star",</v>
      </c>
      <c r="GP9" s="48" t="str">
        <f>CHAR(34)&amp;AU9&amp;CHAR(34)</f>
        <v>"Territory"</v>
      </c>
      <c r="GS9" s="48" t="str">
        <f>SUBSTITUTE("["&amp;_xlfn.CONCAT(CW9:GN9)&amp;"]",",]","]")</f>
        <v>["3Color","lets07","startT","with_z","LUREHI","year19","NoBand","Wavess","Ships!","sta","NO_RED","NO_YEL","NO_BLA","001GRE","002WHI","003BLU","myrEQ","HasSta","3+Star"]</v>
      </c>
      <c r="GT9" s="48" t="str">
        <f t="shared" si="80"/>
        <v/>
      </c>
      <c r="GU9" s="48" t="str">
        <f t="shared" si="80"/>
        <v>"cl_BLU",</v>
      </c>
      <c r="GV9" s="48" t="str">
        <f t="shared" si="80"/>
        <v>"cl_GRE",</v>
      </c>
      <c r="GW9" s="48" t="str">
        <f t="shared" si="80"/>
        <v/>
      </c>
      <c r="GX9" s="48" t="str">
        <f t="shared" si="80"/>
        <v/>
      </c>
      <c r="GY9" s="48" t="str">
        <f t="shared" si="80"/>
        <v/>
      </c>
      <c r="GZ9" s="48" t="str">
        <f t="shared" si="80"/>
        <v/>
      </c>
      <c r="HA9" s="48" t="str">
        <f t="shared" si="80"/>
        <v/>
      </c>
      <c r="HB9" s="48" t="str">
        <f t="shared" si="80"/>
        <v>"cl_WHI",</v>
      </c>
      <c r="HC9" s="48" t="str">
        <f>SUBSTITUTE("["&amp;_xlfn.CONCAT(GT9:HB9)&amp;"]",",]","]")</f>
        <v>["cl_BLU","cl_GRE","cl_WHI"]</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links: "https://en.wikipedia.org/wiki/Flag_of_Tokelau"},</v>
      </c>
      <c r="HG9" s="73" t="str">
        <f>"{couname:"&amp;CT9&amp;(IF(HK9&lt;&gt;"",",subtype:"&amp;CHAR(34)&amp;HK9&amp;CHAR(34),""))&amp;",year:"&amp;HJ9&amp;",region:"&amp;CU9&amp;",Colors:"&amp;HC9&amp;",Items:"&amp;GS9&amp;",Flag:"&amp;CV9&amp;",HDFlag:"&amp;CHAR(34)&amp;E9&amp;CHAR(34)&amp;",type:"&amp;GP9&amp;", describe: "&amp;HI9&amp;", links: "&amp;HL9&amp;"},"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links: "https://en.wikipedia.org/wiki/Flag_of_Tokelau"},</v>
      </c>
      <c r="HH9" s="48" t="str">
        <f>IF(P9&lt;&gt;"",CHAR(34)&amp;"\n"&amp;P9&amp;CHAR(34),CHAR(34)&amp;CHAR(34))</f>
        <v>"\nA yellow Tokelauan canoe sailing towards the Southern Cross represented by four white stars on a blue field"</v>
      </c>
      <c r="HI9" s="48" t="str">
        <f>IF(J9=0,CHAR(34)&amp;CHAR(34),HH9)</f>
        <v>"\nA yellow Tokelauan canoe sailing towards the Southern Cross represented by four white stars on a blue field"</v>
      </c>
      <c r="HJ9" s="48" t="str">
        <f>CHAR(34)&amp;O9&amp;CHAR(34)</f>
        <v>"1995 "</v>
      </c>
      <c r="HL9" s="48" t="str">
        <f>CHAR(34)&amp;I9&amp;CHAR(34)</f>
        <v>"https://en.wikipedia.org/wiki/Flag_of_Tokelau"</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 "links": "https://en.wikipedia.org/wiki/Flag_of_Tokelau"},</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{"couname":"[NZE] Tokelau","year":"1995 ","region":"rgn_Oceania","Colors":["cl_BLU","cl_GRE","cl_WHI"],"Items":["3Color","lets07","startT","with_z","LUREHI","year19","NoBand","Wavess","Ships!","sta","NO_RED","NO_YEL","NO_BLA","001GRE","002WHI","003BLU","myrEQ","HasSta","3+Star"],"Flag":"https://upload.wikimedia.org/wikipedia/commons/thumb/8/8e/Flag_of_Tokelau.svg/383px-Flag_of_Tokelau.svg.png","HDFlag":"https://upload.wikimedia.org/wikipedia/commons/thumb/8/8e/Flag_of_Tokelau.svg/2560px-Flag_of_Tokelau.svg.png","type":"Territory", "describe": "\nA yellow Tokelauan canoe sailing towards the Southern Cross represented by four white stars on a blue field", "isnew": ".", "links": "https://en.wikipedia.org/wiki/Flag_of_Tokelau"},</v>
      </c>
      <c r="HO9" s="75">
        <v>45576</v>
      </c>
      <c r="HP9" s="48" t="str" cm="1">
        <f t="array" ref="HP9">IF(_xlfn.TEXTJOIN(", ", TRUE, IF(ISNUMBER(SEARCH("BLA", BL9:BT9)), COLUMN(BL9:BT9) - COLUMN(BL9) + 1, ""))&lt;&gt;"","BLA","")</f>
        <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
      </c>
      <c r="HT9" s="48" t="str" cm="1">
        <f t="array" ref="HT9">IF(_xlfn.TEXTJOIN(", ", TRUE, IF(ISNUMBER(SEARCH("YEL", BL9:BT9)), COLUMN(BL9:BT9) - COLUMN(BL9) + 1, ""))&lt;&gt;"","YEL","")</f>
        <v/>
      </c>
      <c r="HU9" s="48" t="str" cm="1">
        <f t="array" ref="HU9">IF(_xlfn.TEXTJOIN(", ", TRUE, IF(ISNUMBER(SEARCH("ORA", BL9:BT9)), COLUMN(BL9:BT9) - COLUMN(BL9) + 1, ""))&lt;&gt;"","ORA","")</f>
        <v/>
      </c>
      <c r="HV9" s="48" t="str" cm="1">
        <f t="array" ref="HV9">IF(_xlfn.TEXTJOIN(", ", TRUE, IF(ISNUMBER(SEARCH("BRO", BL9:BT9)), COLUMN(BL9:BT9) - COLUMN(BL9) + 1, ""))&lt;&gt;"","BRO","")</f>
        <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L9" s="48">
        <f>SUM(IC9:IK9)</f>
        <v>0</v>
      </c>
      <c r="IM9" s="45">
        <f>COUNTIF(IC9:IK9,"&gt;0")-CG9</f>
        <v>-3</v>
      </c>
      <c r="IN9" s="78" t="str">
        <f>"http://mkweb.bcgsc.ca/color-summarizer/?url="&amp;D9&amp;"&amp;precision=low&amp;num_clusters="&amp;CG9&amp;"&amp;text=1"</f>
        <v>http://mkweb.bcgsc.ca/color-summarizer/?url=https://upload.wikimedia.org/wikipedia/commons/thumb/8/8e/Flag_of_Tokelau.svg/383px-Flag_of_Tokelau.svg.png&amp;precision=low&amp;num_clusters=3&amp;text=1</v>
      </c>
      <c r="IO9" s="48" t="str">
        <f>IF(HP9&lt;&gt;"",CHAR(34)&amp;"black"&amp;CHAR(34),"")</f>
        <v/>
      </c>
      <c r="IP9" s="48" t="str">
        <f>IF(HQ9&lt;&gt;"",CHAR(34)&amp;"blue"&amp;CHAR(34),"")</f>
        <v>"blue"</v>
      </c>
      <c r="IQ9" s="48" t="str">
        <f>IF(HR9&lt;&gt;"",CHAR(34)&amp;"green"&amp;CHAR(34),"")</f>
        <v>"green"</v>
      </c>
      <c r="IR9" s="48" t="str">
        <f>IF(HS9&lt;&gt;"",CHAR(34)&amp;"red"&amp;CHAR(34),"")</f>
        <v/>
      </c>
      <c r="IS9" s="48" t="str">
        <f>IF(HT9&lt;&gt;"",CHAR(34)&amp;"yellow"&amp;CHAR(34),"")</f>
        <v/>
      </c>
      <c r="IT9" s="48" t="str">
        <f>IF(HU9&lt;&gt;"",CHAR(34)&amp;"orange"&amp;CHAR(34),"")</f>
        <v/>
      </c>
      <c r="IU9" s="48" t="str">
        <f>IF(HV9&lt;&gt;"",CHAR(34)&amp;"brown"&amp;CHAR(34),"")</f>
        <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{"url":"http://mkweb.bcgsc.ca/color-summarizer/?url=https://upload.wikimedia.org/wikipedia/commons/thumb/8/8e/Flag_of_Tokelau.svg/383px-Flag_of_Tokelau.svg.png&amp;precision=low&amp;num_clusters=3&amp;text=1","name":"[NZE] Tokelau"},</v>
      </c>
      <c r="IY9" s="48">
        <v>392</v>
      </c>
    </row>
    <row r="10" spans="1:259" s="48" customFormat="1" ht="38.4" customHeight="1" thickBot="1" x14ac:dyDescent="0.35">
      <c r="A10" s="81" t="s">
        <v>794</v>
      </c>
      <c r="B10" s="40" t="e" vm="76">
        <v>#VALUE!</v>
      </c>
      <c r="C10" s="41">
        <v>3</v>
      </c>
      <c r="D10" s="42" t="s">
        <v>795</v>
      </c>
      <c r="E10" s="43" t="s">
        <v>796</v>
      </c>
      <c r="F10" s="44" t="s">
        <v>166</v>
      </c>
      <c r="G10" s="45">
        <f>COUNTIF($A$1:$A$8354,A10)</f>
        <v>1</v>
      </c>
      <c r="H10" s="46" t="s">
        <v>797</v>
      </c>
      <c r="I10" s="47" t="s">
        <v>798</v>
      </c>
      <c r="J10" s="48" t="str">
        <f>""</f>
        <v/>
      </c>
      <c r="K10" s="49"/>
      <c r="L10" s="50"/>
      <c r="M10" s="50"/>
      <c r="N10" s="51" t="s">
        <v>169</v>
      </c>
      <c r="O10" s="52">
        <v>1976</v>
      </c>
      <c r="P10" s="53" t="s">
        <v>799</v>
      </c>
      <c r="Q10" s="54">
        <v>1</v>
      </c>
      <c r="R10" s="55" t="s">
        <v>169</v>
      </c>
      <c r="S10" s="56">
        <v>3</v>
      </c>
      <c r="T10" s="57" t="s">
        <v>172</v>
      </c>
      <c r="U10" s="58" t="s">
        <v>173</v>
      </c>
      <c r="V10" s="58" t="s">
        <v>172</v>
      </c>
      <c r="W10" s="58" t="s">
        <v>173</v>
      </c>
      <c r="X10" s="58" t="s">
        <v>173</v>
      </c>
      <c r="Y10" s="58" t="s">
        <v>172</v>
      </c>
      <c r="Z10" s="58" t="s">
        <v>172</v>
      </c>
      <c r="AA10" s="58" t="s">
        <v>172</v>
      </c>
      <c r="AB10" s="58" t="s">
        <v>173</v>
      </c>
      <c r="AC10" s="58" t="s">
        <v>173</v>
      </c>
      <c r="AD10" s="58" t="s">
        <v>173</v>
      </c>
      <c r="AE10" s="58" t="s">
        <v>173</v>
      </c>
      <c r="AF10" s="59" t="s">
        <v>173</v>
      </c>
      <c r="AG10" s="59" t="s">
        <v>173</v>
      </c>
      <c r="AH10" s="59" t="s">
        <v>173</v>
      </c>
      <c r="AI10" s="59" t="s">
        <v>173</v>
      </c>
      <c r="AJ10" s="59" t="s">
        <v>173</v>
      </c>
      <c r="AK10" s="59" t="s">
        <v>173</v>
      </c>
      <c r="AL10" s="59" t="s">
        <v>173</v>
      </c>
      <c r="AM10" s="59" t="s">
        <v>173</v>
      </c>
      <c r="AN10" s="59" t="s">
        <v>173</v>
      </c>
      <c r="AO10" s="59" t="s">
        <v>173</v>
      </c>
      <c r="AP10" s="59" t="s">
        <v>172</v>
      </c>
      <c r="AQ10" s="59" t="s">
        <v>172</v>
      </c>
      <c r="AR10" s="59" t="s">
        <v>173</v>
      </c>
      <c r="AS10" s="59" t="s">
        <v>173</v>
      </c>
      <c r="AT10" s="60">
        <v>0</v>
      </c>
      <c r="AU10" s="59" t="s">
        <v>357</v>
      </c>
      <c r="AV10" s="59" t="str">
        <f>IF(LEFT(A10,1)="[",LEFT(A10,5)&amp;AU10&amp;A10,"")</f>
        <v>[NZE]City[NZE] Christchurch</v>
      </c>
      <c r="AW10" s="59" t="str">
        <f>C10&amp;H10&amp;A10</f>
        <v>3[NZE] Canterbury[NZE] Christchurch</v>
      </c>
      <c r="AX10" s="61"/>
      <c r="AY10" s="61"/>
      <c r="AZ10" s="62" t="s">
        <v>159</v>
      </c>
      <c r="BA10" s="62" t="s">
        <v>192</v>
      </c>
      <c r="BB10" s="62"/>
      <c r="BC10" s="63"/>
      <c r="BD10" s="64" t="s">
        <v>159</v>
      </c>
      <c r="BE10" s="47"/>
      <c r="BF10" s="64" t="s">
        <v>159</v>
      </c>
      <c r="BG10" s="64" t="s">
        <v>154</v>
      </c>
      <c r="BH10" s="64" t="s">
        <v>152</v>
      </c>
      <c r="BI10" s="64"/>
      <c r="BJ10" s="64"/>
      <c r="BK10" s="47"/>
      <c r="BL10" s="64" t="s">
        <v>192</v>
      </c>
      <c r="BM10" s="64" t="s">
        <v>152</v>
      </c>
      <c r="BN10" s="64" t="s">
        <v>192</v>
      </c>
      <c r="BO10" s="64" t="s">
        <v>154</v>
      </c>
      <c r="BP10" s="64" t="s">
        <v>155</v>
      </c>
      <c r="BQ10" s="64" t="s">
        <v>192</v>
      </c>
      <c r="BR10" s="64" t="s">
        <v>192</v>
      </c>
      <c r="BS10" s="64" t="s">
        <v>192</v>
      </c>
      <c r="BT10" s="64" t="s">
        <v>159</v>
      </c>
      <c r="BU10" s="65"/>
      <c r="BV10" s="66"/>
      <c r="BW10" s="66">
        <v>0</v>
      </c>
      <c r="BX10" s="47"/>
      <c r="CB10" s="6"/>
      <c r="CC10" s="6"/>
      <c r="CD10" s="67">
        <v>0</v>
      </c>
      <c r="CE10" s="67">
        <v>0</v>
      </c>
      <c r="CF10" s="67" t="e">
        <v>#REF!</v>
      </c>
      <c r="CG10" s="68" cm="1">
        <f t="array" ref="CG10">SUMPRODUCT(--(LEN(TRIM(BL10:BT10))&gt;0))</f>
        <v>4</v>
      </c>
      <c r="CH10" s="59" t="str">
        <f t="shared" ref="CH10:CH16" si="103">IF(CG10=2,"y","n")</f>
        <v>n</v>
      </c>
      <c r="CI10" s="59" t="str">
        <f t="shared" ref="CI10:CI16" si="104">IF(CG10=3,"y","n")</f>
        <v>n</v>
      </c>
      <c r="CJ10" s="59" t="str">
        <f t="shared" ref="CJ10:CJ16" si="105">IF(CG10=4,"y","n")</f>
        <v>y</v>
      </c>
      <c r="CK10" s="59" t="str">
        <f t="shared" ref="CK10:CK16" si="106">IF(CG10&gt;4,"y","n")</f>
        <v>n</v>
      </c>
      <c r="CL10" s="59" t="str">
        <f t="shared" ref="CL10:CL16" si="107">IF(S10=0,"y","n")</f>
        <v>n</v>
      </c>
      <c r="CM10" s="59" t="str">
        <f t="shared" ref="CM10:CM16" si="108">IF(S10=2,"y","n")</f>
        <v>n</v>
      </c>
      <c r="CN10" s="59" t="str">
        <f t="shared" ref="CN10:CN16" si="109">IF(S10=3,"y","n")</f>
        <v>y</v>
      </c>
      <c r="CO10" s="59" t="str">
        <f t="shared" ref="CO10:CO16" si="110">IF(S10&gt;=4,"y","n")</f>
        <v>n</v>
      </c>
      <c r="CP10" s="59" t="str">
        <f t="shared" ref="CP10:CP16" si="111">IF(AT10=0,"y","n")</f>
        <v>y</v>
      </c>
      <c r="CQ10" s="59" t="str">
        <f t="shared" ref="CQ10:CQ16" si="112">IF(AT10=1,"y","n")</f>
        <v>n</v>
      </c>
      <c r="CR10" s="59" t="str">
        <f t="shared" ref="CR10:CR16" si="113">IF(AT10=2,"y","n")</f>
        <v>n</v>
      </c>
      <c r="CS10" s="59" t="str">
        <f t="shared" ref="CS10:CS16" si="114">IF(AT10&gt;=3,"y","n")</f>
        <v>n</v>
      </c>
      <c r="CT10" s="69" t="str">
        <f t="shared" ref="CT10:CT16" si="115">CHAR(34)&amp;A10&amp;CHAR(34)</f>
        <v>"[NZE] Christchurch"</v>
      </c>
      <c r="CU10" s="70" t="str">
        <f t="shared" ref="CU10:CU16" si="116">CHAR(34)&amp;"rgn_"&amp;R10&amp;CHAR(34)</f>
        <v>"rgn_Oceania"</v>
      </c>
      <c r="CV10" s="48" t="str">
        <f t="shared" ref="CV10:CV16" si="117">CHAR(34)&amp;D10&amp;CHAR(34)</f>
        <v>"https://upload.wikimedia.org/wikipedia/commons/thumb/6/62/Christchurch_heraldic_flag.svg/640px-Christchurch_heraldic_flag.svg.png"</v>
      </c>
      <c r="CW10" s="48" t="str">
        <f t="shared" si="15"/>
        <v/>
      </c>
      <c r="CX10" s="48" t="str">
        <f t="shared" si="15"/>
        <v/>
      </c>
      <c r="CY10" s="48" t="str">
        <f t="shared" si="15"/>
        <v>"4Color",</v>
      </c>
      <c r="CZ10" s="48" t="str">
        <f t="shared" si="15"/>
        <v/>
      </c>
      <c r="DA10" s="48" t="str">
        <f t="shared" ref="DA10:DA16" si="118">IF(Q10&gt;1,CHAR(34)&amp;"words2"&amp;CHAR(34)&amp;",","")</f>
        <v/>
      </c>
      <c r="DB10" s="48" t="str">
        <f t="shared" ref="DB10:DB16" si="119">IF(Q10&gt;2,CHAR(34)&amp;"words3"&amp;CHAR(34)&amp;",","")</f>
        <v/>
      </c>
      <c r="DD10" s="48" t="str">
        <f t="shared" ref="DD10:DD16" si="120">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"lets12",</v>
      </c>
      <c r="DE10" s="48" t="str">
        <f t="shared" ref="DE10:DE16" si="121">CHAR(34)&amp;"start"&amp;IFERROR(LEFT(SUBSTITUTE(A10,"["&amp;MID(A10,FIND("[",A10)+1,FIND("]",A10)-FIND("[",A10)-1)&amp;"] ",""),1),LEFT(A10,1))&amp;CHAR(34)&amp;","</f>
        <v>"startC",</v>
      </c>
      <c r="DF10" s="48" t="str">
        <f t="shared" ref="DF10:DF16" si="122">IFERROR(IF(SEARCH("tan",A10)&gt;0,CHAR(34)&amp;"withtn"&amp;CHAR(34)&amp;",",""),"")</f>
        <v/>
      </c>
      <c r="DG10" s="48" t="str">
        <f t="shared" ref="DG10:DG16" si="123">IFERROR(IF(SEARCH("q",A10)&gt;0,CHAR(34)&amp;"with_q"&amp;CHAR(34)&amp;",",""),"")</f>
        <v/>
      </c>
      <c r="DH10" s="48" t="str">
        <f t="shared" ref="DH10:DH16" si="124">IFERROR(IF(SEARCH("v",A10)&gt;0,CHAR(34)&amp;"with_v"&amp;CHAR(34)&amp;",",""),"")</f>
        <v/>
      </c>
      <c r="DI10" s="48" t="str">
        <f t="shared" ref="DI10:DI16" si="125">IFERROR(IF(SEARCH("w",A10)&gt;0,CHAR(34)&amp;"with_w"&amp;CHAR(34)&amp;",",""),"")</f>
        <v/>
      </c>
      <c r="DJ10" s="48" t="str">
        <f t="shared" ref="DJ10:DJ16" si="126">IFERROR(IF(SEARCH("y",A10)&gt;0,CHAR(34)&amp;"with_y"&amp;CHAR(34)&amp;",",""),"")</f>
        <v/>
      </c>
      <c r="DK10" s="48" t="str">
        <f t="shared" ref="DK10:DK16" si="127">IFERROR(IF(SEARCH("z",A10)&gt;0,CHAR(34)&amp;"with_z"&amp;CHAR(34)&amp;",",""),"")</f>
        <v>"with_z",</v>
      </c>
      <c r="DL10" s="48" t="str">
        <f t="shared" ref="DL10:DL16" si="128">IF(CG10=2, CHAR(34) &amp; _xlfn.TEXTJOIN("", TRUE, _xlfn._xlws.SORT(HP10:HX10)) &amp; CHAR(34) &amp; ",", "")</f>
        <v/>
      </c>
      <c r="DM10" s="48" t="str" cm="1">
        <f t="array" ref="DM10">IF(CG10=3,CHAR(34) &amp; _xlfn.TEXTJOIN("", TRUE, RIGHT(HP10:HX10, 2)) &amp; CHAR(34) &amp; ",", "")</f>
        <v/>
      </c>
      <c r="DN10" s="48" t="str">
        <f t="shared" ref="DN10:DN16" si="129">IF(AND(ISNUMBER(SEARCH("18", O10)), ISERROR(SEARCH("1918", O10)), ISERROR(SEARCH("2018", O10))), CHAR(34) &amp; "year18" &amp; CHAR(34) &amp; ",", "")</f>
        <v/>
      </c>
      <c r="DO10" s="48" t="str">
        <f t="shared" ref="DO10:DO16" si="130">IF(AND(ISNUMBER(SEARCH("19", O10)), ISERROR(SEARCH("1819", O10)),  ISERROR(SEARCH("1219", O10)),ISERROR(SEARCH("1119", O10)),ISERROR(SEARCH("1190", O10)),ISERROR(SEARCH("2019", O10))), CHAR(34) &amp; "year19" &amp; CHAR(34) &amp; ",", "")</f>
        <v>"year19",</v>
      </c>
      <c r="DP10" s="6" t="str">
        <f t="shared" ref="DP10:DP16" si="131">IF(AND(ISNUMBER(SEARCH("20", O10)), ISERROR(SEARCH("1920", O10))), CHAR(34)&amp;"year00"&amp;CHAR(34)&amp;",", "")</f>
        <v/>
      </c>
      <c r="DQ10" s="6" t="str">
        <f t="shared" ref="DQ10:DQ16" si="132">IF(CC10="y",CHAR(34)&amp;"soviet"&amp;CHAR(34)&amp;",","")</f>
        <v/>
      </c>
      <c r="DR10" s="6" t="str">
        <f t="shared" ref="DR10:DR16" si="133">IF(BY10="y",CHAR(34)&amp;"dgband"&amp;CHAR(34)&amp;",","")</f>
        <v/>
      </c>
      <c r="DS10" s="6" t="str">
        <f t="shared" ref="DS10:DS16" si="134">IF(W10="y",IF(AND(V10="n",BY10&lt;&gt;"y"),CHAR(34)&amp;"allver"&amp;CHAR(34)&amp;",",""),"")</f>
        <v/>
      </c>
      <c r="DT10" s="6" t="str">
        <f t="shared" ref="DT10:DT16" si="135">IF(V10="y",IF(AND(W10="n",BY10&lt;&gt;"y"),CHAR(34)&amp;"allhor"&amp;CHAR(34)&amp;",",""),"")</f>
        <v>"allhor",</v>
      </c>
      <c r="DU10" s="6" t="str">
        <f t="shared" ref="DU10:DU16" si="136">IF(BY10="y",IF(AND(W10="n",V10="n"),CHAR(34)&amp;"alldia"&amp;CHAR(34)&amp;",",""),"")</f>
        <v/>
      </c>
      <c r="DW10" s="48" t="str">
        <f t="shared" si="37"/>
        <v/>
      </c>
      <c r="DX10" s="48" t="str">
        <f t="shared" si="37"/>
        <v/>
      </c>
      <c r="DY10" s="48" t="str">
        <f t="shared" si="37"/>
        <v>"3Bands",</v>
      </c>
      <c r="DZ10" s="48" t="str">
        <f t="shared" si="37"/>
        <v/>
      </c>
      <c r="EA10" s="48" t="str">
        <f t="shared" si="38"/>
        <v>"Diagon",</v>
      </c>
      <c r="EB10" s="48" t="str">
        <f t="shared" si="38"/>
        <v/>
      </c>
      <c r="EC10" s="48" t="str">
        <f t="shared" si="38"/>
        <v>"Horizo",</v>
      </c>
      <c r="ED10" s="48" t="str">
        <f t="shared" si="38"/>
        <v/>
      </c>
      <c r="EE10" s="48" t="str">
        <f t="shared" si="38"/>
        <v/>
      </c>
      <c r="EF10" s="48" t="str">
        <f t="shared" ref="EF10:EF16" si="137">IF(AND(Y10&lt;&gt;"n",Y10&lt;&gt;""),CHAR(34)&amp;Y$1&amp;CHAR(34)&amp;",","")</f>
        <v>"Animal",</v>
      </c>
      <c r="EG10" s="48" t="str">
        <f t="shared" si="40"/>
        <v>"Bird",</v>
      </c>
      <c r="EH10" s="48" t="str">
        <f t="shared" si="40"/>
        <v>"Plants",</v>
      </c>
      <c r="EI10" s="48" t="str">
        <f t="shared" si="40"/>
        <v/>
      </c>
      <c r="EJ10" s="48" t="str">
        <f t="shared" si="40"/>
        <v/>
      </c>
      <c r="EK10" s="48" t="str">
        <f t="shared" si="40"/>
        <v/>
      </c>
      <c r="EL10" s="48" t="str">
        <f t="shared" si="40"/>
        <v/>
      </c>
      <c r="EM10" s="48" t="str">
        <f t="shared" si="40"/>
        <v/>
      </c>
      <c r="EN10" s="48" t="str">
        <f t="shared" si="40"/>
        <v/>
      </c>
      <c r="EO10" s="48" t="str">
        <f t="shared" si="40"/>
        <v/>
      </c>
      <c r="EP10" s="48" t="str">
        <f t="shared" si="40"/>
        <v/>
      </c>
      <c r="EQ10" s="48" t="str">
        <f t="shared" si="40"/>
        <v/>
      </c>
      <c r="ER10" s="48" t="str">
        <f t="shared" si="40"/>
        <v/>
      </c>
      <c r="ES10" s="48" t="str">
        <f t="shared" si="40"/>
        <v/>
      </c>
      <c r="ET10" s="48" t="str">
        <f t="shared" si="40"/>
        <v/>
      </c>
      <c r="EU10" s="48" t="str">
        <f t="shared" si="40"/>
        <v/>
      </c>
      <c r="EV10" s="48" t="str">
        <f t="shared" si="40"/>
        <v/>
      </c>
      <c r="EW10" s="48" t="str">
        <f t="shared" si="40"/>
        <v>"Ships!",</v>
      </c>
      <c r="EX10" s="48" t="str">
        <f t="shared" si="40"/>
        <v>"Crowns",</v>
      </c>
      <c r="EY10" s="48" t="str">
        <f t="shared" si="40"/>
        <v/>
      </c>
      <c r="EZ10" s="48" t="str">
        <f t="shared" si="40"/>
        <v/>
      </c>
      <c r="FA10" s="48" t="str">
        <f t="shared" ref="FA10:FA16" si="138">IF(AT10&gt;0,CHAR(34)&amp;"sta"&amp;AZ10&amp;CHAR(34)&amp;",","")</f>
        <v/>
      </c>
      <c r="FB10" s="48" t="str">
        <f t="shared" ref="FB10:FB16" si="139">IF(AND(AT10&gt;0,BA10&lt;&gt;""),CHAR(34)&amp;"sta"&amp;BA10&amp;CHAR(34)&amp;",","")</f>
        <v/>
      </c>
      <c r="FD10" s="48" t="str">
        <f t="shared" ref="FD10:FD16" si="140">IF(BV10="n",CHAR(34)&amp;"tcWHYE"&amp;CHAR(34)&amp;",",IF(BV10="y",CHAR(34)&amp;FD$1&amp;CHAR(34)&amp;",",""))</f>
        <v/>
      </c>
      <c r="FE10" s="48" t="str">
        <f t="shared" ref="FE10:FE16" si="141">IF(COUNTIF(BL10:BT10,"BLU")=0,CHAR(34)&amp;"NO_BLU"&amp;CHAR(34)&amp;",", "")</f>
        <v/>
      </c>
      <c r="FF10" s="48" t="str">
        <f t="shared" ref="FF10:FF16" si="142">IF(COUNTIF(BL10:BT10,"WHI")=0,CHAR(34)&amp;"NO_WHI"&amp;CHAR(34)&amp;",", "")</f>
        <v/>
      </c>
      <c r="FG10" s="48" t="str">
        <f t="shared" ref="FG10:FG16" si="143">IF(COUNTIF(BL10:BT10,"RED")=0,CHAR(34)&amp;"NO_RED"&amp;CHAR(34)&amp;",", "")</f>
        <v/>
      </c>
      <c r="FH10" s="48" t="str">
        <f t="shared" ref="FH10:FH16" si="144">IF(COUNTIF(BL10:BS10,"GRE")=0,CHAR(34)&amp;"NO_GRE"&amp;CHAR(34)&amp;",", "")</f>
        <v>"NO_GRE",</v>
      </c>
      <c r="FI10" s="48" t="str">
        <f t="shared" ref="FI10:FI16" si="145">IF(COUNTIF(BL10:BT10,"YEL")=0,CHAR(34)&amp;"NO_YEL"&amp;CHAR(34)&amp;",", "")</f>
        <v/>
      </c>
      <c r="FJ10" s="48" t="str">
        <f t="shared" ref="FJ10:FJ16" si="146">IF(COUNTIF(BL10:BT10,"BLA")=0,CHAR(34)&amp;"NO_BLA"&amp;CHAR(34)&amp;",", "")</f>
        <v>"NO_BLA",</v>
      </c>
      <c r="FK10" s="48" t="str">
        <f t="shared" ref="FK10:FK16" si="147">IF(AND(FH10&lt;&gt;"",FF10&lt;&gt;""),CHAR(34)&amp;"WHGRNO"&amp;CHAR(34)&amp;",","")</f>
        <v/>
      </c>
      <c r="FL10" s="48" t="str">
        <f t="shared" ref="FL10:FL16" si="148">IF(AND(FI10&lt;&gt;"",FF10&lt;&gt;""),CHAR(34)&amp;"WHYENO"&amp;CHAR(34)&amp;",","")</f>
        <v/>
      </c>
      <c r="FM10" s="48" t="str">
        <f t="shared" ref="FM10:FM16" si="149">IF(AND(FJ10&lt;&gt;"",FF10&lt;&gt;""),CHAR(34)&amp;"BAWHNO"&amp;CHAR(34)&amp;",","")</f>
        <v/>
      </c>
      <c r="FN10" s="48" t="str">
        <f t="shared" ref="FN10:FN16" si="150">IF(AND(FE10&lt;&gt;"",FF10&lt;&gt;""),CHAR(34)&amp;"BLWHNO"&amp;CHAR(34)&amp;",","")</f>
        <v/>
      </c>
      <c r="FO10" s="48" t="str">
        <f t="shared" ref="FO10:FO16" si="151">IF(AND(FE10&lt;&gt;"",FG10&lt;&gt;""),CHAR(34)&amp;"BLRENO"&amp;CHAR(34)&amp;",","")</f>
        <v/>
      </c>
      <c r="FP10" s="48" t="str">
        <f t="shared" ref="FP10:FP16" si="152">IF(AND(FF10&lt;&gt;"",FF10&lt;&gt;""),CHAR(34)&amp;"WHRENO"&amp;CHAR(34)&amp;",","")</f>
        <v/>
      </c>
      <c r="FQ10" s="48" t="str">
        <f t="shared" ref="FQ10:FQ16" si="153">IF(LEN(BF10)=3,CHAR(34)&amp;"001"&amp;BF10&amp;CHAR(34)&amp;",","")</f>
        <v>"001WHI",</v>
      </c>
      <c r="FR10" s="48" t="str">
        <f t="shared" ref="FR10:FR16" si="154">IF(LEN(BG10)=3,CHAR(34)&amp;"002"&amp;BG10&amp;CHAR(34)&amp;",","")</f>
        <v>"002RED",</v>
      </c>
      <c r="FS10" s="48" t="str">
        <f t="shared" ref="FS10:FS16" si="155">IF(LEN(BH10)=3,CHAR(34)&amp;"003"&amp;BH10&amp;CHAR(34)&amp;",","")</f>
        <v>"003BLU",</v>
      </c>
      <c r="FT10" s="48" t="str">
        <f t="shared" ref="FT10:FT16" si="156">CHAR(34)&amp;"myr"&amp;BD10&amp;CHAR(34)&amp;","</f>
        <v>"myrWHI",</v>
      </c>
      <c r="FU10" s="48" t="str">
        <f t="shared" ref="FU10:FU16" si="157">IF(AY10="y",CHAR(34)&amp;"island"&amp;CHAR(34)&amp;",","")</f>
        <v/>
      </c>
      <c r="FV10" s="48" t="str">
        <f t="shared" ref="FV10:FV16" si="158">IF(BZ10="y",CHAR(34)&amp;"landlo"&amp;CHAR(34)&amp;",","")</f>
        <v/>
      </c>
      <c r="FW10" s="48" t="str">
        <f t="shared" ref="FW10:FW16" si="159">IF(CA10="y",CHAR(34)&amp;"eunion"&amp;CHAR(34)&amp;",","")</f>
        <v/>
      </c>
      <c r="FY10" s="48" t="str">
        <f t="shared" ref="FY10:FY16" si="160">IFERROR(IF(SEARCH("Arabic",CB10)&gt;0,CHAR(34)&amp;"arabic"&amp;CHAR(34)&amp;",",""),"")</f>
        <v/>
      </c>
      <c r="FZ10" s="48" t="str">
        <f t="shared" ref="FZ10:FZ16" si="161">IFERROR(IF(SEARCH("English",CB10)&gt;0,CHAR(34)&amp;"englis"&amp;CHAR(34)&amp;",",""),"")</f>
        <v/>
      </c>
      <c r="GA10" s="48" t="str">
        <f t="shared" ref="GA10:GA16" si="162">IFERROR(IF(SEARCH("French",CB10)&gt;0,CHAR(34)&amp;"french"&amp;CHAR(34)&amp;",",""),"")</f>
        <v/>
      </c>
      <c r="GB10" s="48" t="str">
        <f t="shared" ref="GB10:GB16" si="163">IFERROR(IF(SEARCH("Spanish",CB10)&gt;0,CHAR(34)&amp;"spanis"&amp;CHAR(34)&amp;",",""),"")</f>
        <v/>
      </c>
      <c r="GE10" s="48" t="str">
        <f t="shared" ref="GE10:GE16" si="164">IFERROR(IF(SEARCH("Dutch",CB10)&gt;0,CHAR(34)&amp;"dutchs"&amp;CHAR(34)&amp;",",""),"")</f>
        <v/>
      </c>
      <c r="GF10" s="48" t="str">
        <f t="shared" ref="GF10:GF16" si="165">IFERROR(IF(SEARCH("Historical",AU10)&gt;0,CHAR(34)&amp;"histor"&amp;CHAR(34)&amp;",",""),"")</f>
        <v/>
      </c>
      <c r="GG10" s="48" t="str">
        <f t="shared" ref="GG10:GG16" si="166">IF(BU10="y",CHAR(34)&amp;"unjack"&amp;CHAR(34)&amp;",","")</f>
        <v/>
      </c>
      <c r="GH10" s="48" t="str">
        <f t="shared" ref="GH10:GH16" si="167">IF(CD10=1,CHAR(34)&amp;"southc"&amp;CHAR(34)&amp;",","")</f>
        <v/>
      </c>
      <c r="GI10" s="48" t="str">
        <f t="shared" ref="GI10:GI16" si="168">IF(CE10=1,CHAR(34)&amp;"hasmap"&amp;CHAR(34)&amp;",","")</f>
        <v/>
      </c>
      <c r="GJ10" s="48" t="str">
        <f t="shared" ref="GJ10:GJ16" si="169">IF(CP10="y",CHAR(34)&amp;CP$1&amp;CHAR(34)&amp;",","")</f>
        <v>"NoStar",</v>
      </c>
      <c r="GK10" s="48" t="str">
        <f t="shared" ref="GK10:GK16" si="170">IF(GJ10="",CHAR(34)&amp;"HasSta"&amp;CHAR(34)&amp;",","")</f>
        <v/>
      </c>
      <c r="GL10" s="48" t="str">
        <f t="shared" si="77"/>
        <v/>
      </c>
      <c r="GM10" s="48" t="str">
        <f t="shared" si="77"/>
        <v/>
      </c>
      <c r="GN10" s="48" t="str">
        <f t="shared" si="77"/>
        <v/>
      </c>
      <c r="GP10" s="48" t="str">
        <f t="shared" ref="GP10:GP16" si="171">CHAR(34)&amp;AU10&amp;CHAR(34)</f>
        <v>"City"</v>
      </c>
      <c r="GS10" s="48" t="str">
        <f t="shared" ref="GS10:GS16" si="172">SUBSTITUTE("["&amp;_xlfn.CONCAT(CW10:GN10)&amp;"]",",]","]")</f>
        <v>["4Color","lets12","startC","with_z","year19","allhor","3Bands","Diagon","Horizo","Animal","Bird","Plants","Ships!","Crowns","NO_GRE","NO_BLA","001WHI","002RED","003BLU","myrWHI","NoStar"]</v>
      </c>
      <c r="GT10" s="48" t="str">
        <f t="shared" si="80"/>
        <v/>
      </c>
      <c r="GU10" s="48" t="str">
        <f t="shared" si="80"/>
        <v>"cl_BLU",</v>
      </c>
      <c r="GV10" s="48" t="str">
        <f t="shared" si="80"/>
        <v/>
      </c>
      <c r="GW10" s="48" t="str">
        <f t="shared" si="80"/>
        <v>"cl_RED",</v>
      </c>
      <c r="GX10" s="48" t="str">
        <f t="shared" si="80"/>
        <v>"cl_YEL",</v>
      </c>
      <c r="GY10" s="48" t="str">
        <f t="shared" si="80"/>
        <v/>
      </c>
      <c r="GZ10" s="48" t="str">
        <f t="shared" si="80"/>
        <v/>
      </c>
      <c r="HA10" s="48" t="str">
        <f t="shared" si="80"/>
        <v/>
      </c>
      <c r="HB10" s="48" t="str">
        <f t="shared" si="80"/>
        <v>"cl_WHI",</v>
      </c>
      <c r="HC10" s="48" t="str">
        <f t="shared" ref="HC10:HC16" si="173">SUBSTITUTE("["&amp;_xlfn.CONCAT(GT10:HB10)&amp;"]",",]","]")</f>
        <v>["cl_BLU","cl_RED","cl_YEL","cl_WHI"]</v>
      </c>
      <c r="HE10" s="71"/>
      <c r="HF10" s="72" t="str">
        <f t="shared" ref="HF10:HF16" si="174">"{couname:"&amp;CT10&amp;(IF(HK10&lt;&gt;"",",subtype:"&amp;CHAR(34)&amp;HK10&amp;CHAR(34),""))&amp;",year:"&amp;HJ10&amp;",region:"&amp;CU10&amp;",Colors:"&amp;HC10&amp;",Items:"&amp;GS10&amp;",Flag:"&amp;CV10&amp;",HDFlag:"&amp;CHAR(34)&amp;E10&amp;CHAR(34)&amp;",type:"&amp;GP10&amp;", describe: "&amp;HH10&amp;", isnew:"&amp;CHAR(34)&amp;F10&amp;CHAR(34)&amp;", links: "&amp;HL10&amp;"},"</f>
        <v>{couname:"[NZE] Christchurch",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links: "https://en.wikipedia.org/wiki/Christchurch"},</v>
      </c>
      <c r="HG10" s="73" t="str">
        <f t="shared" ref="HG10:HG16" si="175">"{couname:"&amp;CT10&amp;(IF(HK10&lt;&gt;"",",subtype:"&amp;CHAR(34)&amp;HK10&amp;CHAR(34),""))&amp;",year:"&amp;HJ10&amp;",region:"&amp;CU10&amp;",Colors:"&amp;HC10&amp;",Items:"&amp;GS10&amp;",Flag:"&amp;CV10&amp;",HDFlag:"&amp;CHAR(34)&amp;E10&amp;CHAR(34)&amp;",type:"&amp;GP10&amp;", describe: "&amp;HI10&amp;", links: "&amp;HL10&amp;"},"</f>
        <v>{couname:"[NZE] Christchurch",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links: "https://en.wikipedia.org/wiki/Christchurch"},</v>
      </c>
      <c r="HH10" s="48" t="str">
        <f t="shared" ref="HH10:HH16" si="176">IF(P10&lt;&gt;"",CHAR(34)&amp;"\n"&amp;P10&amp;CHAR(34),CHAR(34)&amp;CHAR(34))</f>
        <v>"\nA banner of arms of Christchurch's coat of arms. Chevron Gules a Mitre between a Fleece and a Garbe of the first in base two Bars wavy Azure on a Chief of the last four Lymphads sails furled, also of the first And for the Crest on a Wreath Or and Azure a Kiwi proper "</v>
      </c>
      <c r="HI10" s="48" t="str">
        <f t="shared" ref="HI10:HI16" si="177">IF(J10=0,CHAR(34)&amp;CHAR(34),HH10)</f>
        <v>"\nA banner of arms of Christchurch's coat of arms. Chevron Gules a Mitre between a Fleece and a Garbe of the first in base two Bars wavy Azure on a Chief of the last four Lymphads sails furled, also of the first And for the Crest on a Wreath Or and Azure a Kiwi proper "</v>
      </c>
      <c r="HJ10" s="48" t="str">
        <f t="shared" ref="HJ10:HJ16" si="178">CHAR(34)&amp;O10&amp;CHAR(34)</f>
        <v>"1976"</v>
      </c>
      <c r="HL10" s="48" t="str">
        <f t="shared" ref="HL10:HL16" si="179">CHAR(34)&amp;I10&amp;CHAR(34)</f>
        <v>"https://en.wikipedia.org/wiki/Christchurch"</v>
      </c>
      <c r="HM10" s="72" t="str">
        <f t="shared" ref="HM10:HM16" si="180">"{"&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{"couname":"[NZE] Christchurch","subtype":"[NZE] Canterbury","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 "links": "https://en.wikipedia.org/wiki/Christchurch"},</v>
      </c>
      <c r="HN10" s="74" t="str">
        <f t="shared" ref="HN10:HN16" si="181">"{"&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{"couname":"[NZE] Christchurch","subtype":"[NZE] Canterbury","year":"1976","region":"rgn_Oceania","Colors":["cl_BLU","cl_RED","cl_YEL","cl_WHI"],"Items":["4Color","lets12","startC","with_z","year19","allhor","3Bands","Diagon","Horizo","Animal","Bird","Plants","Ships!","Crowns","NO_GRE","NO_BLA","001WHI","002RED","003BLU","myrWHI","NoStar"],"Flag":"https://upload.wikimedia.org/wikipedia/commons/thumb/6/62/Christchurch_heraldic_flag.svg/640px-Christchurch_heraldic_flag.svg.png","HDFlag":"https://upload.wikimedia.org/wikipedia/commons/thumb/6/62/Christchurch_heraldic_flag.svg/2560px-Christchurch_heraldic_flag.svg.png","type":"City", "describe": "\nA banner of arms of Christchurch's coat of arms. Chevron Gules a Mitre between a Fleece and a Garbe of the first in base two Bars wavy Azure on a Chief of the last four Lymphads sails furled, also of the first And for the Crest on a Wreath Or and Azure a Kiwi proper ", "isnew": ".", "links": "https://en.wikipedia.org/wiki/Christchurch"},</v>
      </c>
      <c r="HO10" s="75">
        <v>45610</v>
      </c>
      <c r="HP10" s="48" t="str" cm="1">
        <f t="array" ref="HP10">IF(_xlfn.TEXTJOIN(", ", TRUE, IF(ISNUMBER(SEARCH("BLA", BL10:BT10)), COLUMN(BL10:BT10) - COLUMN(BL10) + 1, ""))&lt;&gt;"","BLA","")</f>
        <v/>
      </c>
      <c r="HQ10" s="48" t="str" cm="1">
        <f t="array" ref="HQ10">IF(_xlfn.TEXTJOIN(", ", TRUE, IF(ISNUMBER(SEARCH("BLU", BL10:BT10)), COLUMN(BL10:BT10) - COLUMN(BL10) + 1, ""))&lt;&gt;"","BLU","")</f>
        <v>BLU</v>
      </c>
      <c r="HR10" s="48" t="str" cm="1">
        <f t="array" ref="HR10">IF(_xlfn.TEXTJOIN(", ", TRUE, IF(ISNUMBER(SEARCH("GRE", BL10:BT10)), COLUMN(BL10:BT10) - COLUMN(BL10) + 1, ""))&lt;&gt;"","GRE","")</f>
        <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c r="IB10" s="6"/>
      <c r="IC10" s="77"/>
      <c r="ID10" s="77"/>
      <c r="IE10" s="77"/>
      <c r="IF10" s="77"/>
      <c r="IG10" s="77"/>
      <c r="IH10" s="77"/>
      <c r="II10" s="77"/>
      <c r="IJ10" s="77"/>
      <c r="IK10" s="77"/>
      <c r="IM10" s="45">
        <f t="shared" ref="IM10:IM16" si="182">COUNTIF(IC10:IK10,"&gt;0")-CG10</f>
        <v>-4</v>
      </c>
      <c r="IN10" s="78" t="str">
        <f t="shared" ref="IN10:IN16" si="183">"http://mkweb.bcgsc.ca/color-summarizer/?url="&amp;D10&amp;"&amp;precision=low&amp;num_clusters="&amp;CG10&amp;"&amp;text=1"</f>
        <v>http://mkweb.bcgsc.ca/color-summarizer/?url=https://upload.wikimedia.org/wikipedia/commons/thumb/6/62/Christchurch_heraldic_flag.svg/640px-Christchurch_heraldic_flag.svg.png&amp;precision=low&amp;num_clusters=4&amp;text=1</v>
      </c>
      <c r="IO10" s="48" t="str">
        <f t="shared" ref="IO10:IO16" si="184">IF(HP10&lt;&gt;"",CHAR(34)&amp;"black"&amp;CHAR(34),"")</f>
        <v/>
      </c>
      <c r="IP10" s="48" t="str">
        <f t="shared" ref="IP10:IP16" si="185">IF(HQ10&lt;&gt;"",CHAR(34)&amp;"blue"&amp;CHAR(34),"")</f>
        <v>"blue"</v>
      </c>
      <c r="IQ10" s="48" t="str">
        <f t="shared" ref="IQ10:IQ16" si="186">IF(HR10&lt;&gt;"",CHAR(34)&amp;"green"&amp;CHAR(34),"")</f>
        <v/>
      </c>
      <c r="IR10" s="48" t="str">
        <f t="shared" ref="IR10:IR16" si="187">IF(HS10&lt;&gt;"",CHAR(34)&amp;"red"&amp;CHAR(34),"")</f>
        <v>"red"</v>
      </c>
      <c r="IS10" s="48" t="str">
        <f t="shared" ref="IS10:IS16" si="188">IF(HT10&lt;&gt;"",CHAR(34)&amp;"yellow"&amp;CHAR(34),"")</f>
        <v>"yellow"</v>
      </c>
      <c r="IT10" s="48" t="str">
        <f t="shared" ref="IT10:IT16" si="189">IF(HU10&lt;&gt;"",CHAR(34)&amp;"orange"&amp;CHAR(34),"")</f>
        <v/>
      </c>
      <c r="IU10" s="48" t="str">
        <f t="shared" ref="IU10:IU16" si="190">IF(HV10&lt;&gt;"",CHAR(34)&amp;"brown"&amp;CHAR(34),"")</f>
        <v/>
      </c>
      <c r="IV10" s="48" t="str">
        <f t="shared" ref="IV10:IV16" si="191">IF(HW10&lt;&gt;"",CHAR(34)&amp;"purple"&amp;CHAR(34),"")</f>
        <v/>
      </c>
      <c r="IW10" s="48" t="str">
        <f t="shared" ref="IW10:IW16" si="192">IF(HX10&lt;&gt;"",CHAR(34)&amp;"white"&amp;CHAR(34),"")</f>
        <v>"white"</v>
      </c>
      <c r="IX10" s="48" t="str">
        <f t="shared" ref="IX10:IX16" si="193">"{"&amp;CHAR(34)&amp;"url"&amp;CHAR(34)&amp;":"&amp;CHAR(34)&amp;IN10&amp;CHAR(34)&amp;","&amp;CHAR(34)&amp;"name"&amp;CHAR(34)&amp;":"&amp;CHAR(34)&amp;A10&amp;CHAR(34)&amp;"},"</f>
        <v>{"url":"http://mkweb.bcgsc.ca/color-summarizer/?url=https://upload.wikimedia.org/wikipedia/commons/thumb/6/62/Christchurch_heraldic_flag.svg/640px-Christchurch_heraldic_flag.svg.png&amp;precision=low&amp;num_clusters=4&amp;text=1","name":"[NZE] Christchurch"},</v>
      </c>
      <c r="IY10" s="48">
        <v>1479</v>
      </c>
    </row>
    <row r="11" spans="1:259" s="48" customFormat="1" ht="38.4" customHeight="1" thickBot="1" x14ac:dyDescent="0.35">
      <c r="A11" s="81" t="s">
        <v>800</v>
      </c>
      <c r="B11" s="40" t="e" vm="77">
        <v>#VALUE!</v>
      </c>
      <c r="C11" s="41">
        <v>3</v>
      </c>
      <c r="D11" s="42" t="s">
        <v>801</v>
      </c>
      <c r="E11" s="43" t="s">
        <v>802</v>
      </c>
      <c r="F11" s="44" t="s">
        <v>166</v>
      </c>
      <c r="G11" s="45">
        <f>COUNTIF($A$1:$A$8354,A11)</f>
        <v>1</v>
      </c>
      <c r="H11" s="46" t="s">
        <v>803</v>
      </c>
      <c r="I11" s="47" t="s">
        <v>804</v>
      </c>
      <c r="J11" s="48" t="str">
        <f>""</f>
        <v/>
      </c>
      <c r="K11" s="49"/>
      <c r="L11" s="50"/>
      <c r="M11" s="50"/>
      <c r="N11" s="51" t="s">
        <v>169</v>
      </c>
      <c r="O11" s="52">
        <v>2020</v>
      </c>
      <c r="P11" s="53" t="s">
        <v>805</v>
      </c>
      <c r="Q11" s="54">
        <v>1</v>
      </c>
      <c r="R11" s="55" t="s">
        <v>169</v>
      </c>
      <c r="S11" s="56">
        <v>7</v>
      </c>
      <c r="T11" s="57" t="s">
        <v>173</v>
      </c>
      <c r="U11" s="58" t="s">
        <v>173</v>
      </c>
      <c r="V11" s="58" t="s">
        <v>172</v>
      </c>
      <c r="W11" s="58" t="s">
        <v>173</v>
      </c>
      <c r="X11" s="58" t="s">
        <v>172</v>
      </c>
      <c r="Y11" s="58" t="s">
        <v>172</v>
      </c>
      <c r="Z11" s="58" t="s">
        <v>173</v>
      </c>
      <c r="AA11" s="58" t="s">
        <v>172</v>
      </c>
      <c r="AB11" s="58" t="s">
        <v>173</v>
      </c>
      <c r="AC11" s="58" t="s">
        <v>173</v>
      </c>
      <c r="AD11" s="58" t="s">
        <v>173</v>
      </c>
      <c r="AE11" s="58" t="s">
        <v>173</v>
      </c>
      <c r="AF11" s="59" t="s">
        <v>173</v>
      </c>
      <c r="AG11" s="59" t="s">
        <v>173</v>
      </c>
      <c r="AH11" s="59" t="s">
        <v>173</v>
      </c>
      <c r="AI11" s="59" t="s">
        <v>173</v>
      </c>
      <c r="AJ11" s="59" t="s">
        <v>173</v>
      </c>
      <c r="AK11" s="59" t="s">
        <v>173</v>
      </c>
      <c r="AL11" s="59" t="s">
        <v>173</v>
      </c>
      <c r="AM11" s="59" t="s">
        <v>173</v>
      </c>
      <c r="AN11" s="59" t="s">
        <v>173</v>
      </c>
      <c r="AO11" s="59" t="s">
        <v>173</v>
      </c>
      <c r="AP11" s="59" t="s">
        <v>173</v>
      </c>
      <c r="AQ11" s="59" t="s">
        <v>173</v>
      </c>
      <c r="AR11" s="59" t="s">
        <v>173</v>
      </c>
      <c r="AS11" s="59" t="s">
        <v>173</v>
      </c>
      <c r="AT11" s="60">
        <v>0</v>
      </c>
      <c r="AU11" s="59" t="s">
        <v>357</v>
      </c>
      <c r="AV11" s="59" t="str">
        <f>IF(LEFT(A11,1)="[",LEFT(A11,5)&amp;AU11&amp;A11,"")</f>
        <v>[NZE]City[NZE] Napier</v>
      </c>
      <c r="AW11" s="59" t="str">
        <f>C11&amp;H11&amp;A11</f>
        <v>3[NZE] Hawke's Bay[NZE] Napier</v>
      </c>
      <c r="AX11" s="61"/>
      <c r="AY11" s="61"/>
      <c r="AZ11" s="62" t="s">
        <v>192</v>
      </c>
      <c r="BA11" s="62" t="s">
        <v>192</v>
      </c>
      <c r="BB11" s="62"/>
      <c r="BC11" s="63"/>
      <c r="BD11" s="64" t="s">
        <v>408</v>
      </c>
      <c r="BE11" s="47"/>
      <c r="BF11" s="64" t="s">
        <v>154</v>
      </c>
      <c r="BG11" s="64" t="s">
        <v>192</v>
      </c>
      <c r="BH11" s="64" t="s">
        <v>153</v>
      </c>
      <c r="BI11" s="64"/>
      <c r="BJ11" s="64"/>
      <c r="BK11" s="47"/>
      <c r="BL11" s="64" t="s">
        <v>192</v>
      </c>
      <c r="BM11" s="64" t="s">
        <v>192</v>
      </c>
      <c r="BN11" s="64" t="s">
        <v>153</v>
      </c>
      <c r="BO11" s="64" t="s">
        <v>154</v>
      </c>
      <c r="BP11" s="64" t="s">
        <v>155</v>
      </c>
      <c r="BQ11" s="64" t="s">
        <v>192</v>
      </c>
      <c r="BR11" s="64" t="s">
        <v>192</v>
      </c>
      <c r="BS11" s="64" t="s">
        <v>192</v>
      </c>
      <c r="BT11" s="64" t="s">
        <v>159</v>
      </c>
      <c r="BU11" s="65"/>
      <c r="BV11" s="66"/>
      <c r="BW11" s="66">
        <v>0</v>
      </c>
      <c r="BX11" s="47"/>
      <c r="BY11" s="48" t="s">
        <v>173</v>
      </c>
      <c r="CB11" s="6"/>
      <c r="CC11" s="6"/>
      <c r="CD11" s="67">
        <v>0</v>
      </c>
      <c r="CE11" s="67">
        <v>0</v>
      </c>
      <c r="CF11" s="67" t="e">
        <v>#REF!</v>
      </c>
      <c r="CG11" s="68" cm="1">
        <f t="array" ref="CG11">SUMPRODUCT(--(LEN(TRIM(BL11:BT11))&gt;0))</f>
        <v>4</v>
      </c>
      <c r="CH11" s="59" t="str">
        <f t="shared" si="103"/>
        <v>n</v>
      </c>
      <c r="CI11" s="59" t="str">
        <f t="shared" si="104"/>
        <v>n</v>
      </c>
      <c r="CJ11" s="59" t="str">
        <f t="shared" si="105"/>
        <v>y</v>
      </c>
      <c r="CK11" s="59" t="str">
        <f t="shared" si="106"/>
        <v>n</v>
      </c>
      <c r="CL11" s="59" t="str">
        <f t="shared" si="107"/>
        <v>n</v>
      </c>
      <c r="CM11" s="59" t="str">
        <f t="shared" si="108"/>
        <v>n</v>
      </c>
      <c r="CN11" s="59" t="str">
        <f t="shared" si="109"/>
        <v>n</v>
      </c>
      <c r="CO11" s="59" t="str">
        <f t="shared" si="110"/>
        <v>y</v>
      </c>
      <c r="CP11" s="59" t="str">
        <f t="shared" si="111"/>
        <v>y</v>
      </c>
      <c r="CQ11" s="59" t="str">
        <f t="shared" si="112"/>
        <v>n</v>
      </c>
      <c r="CR11" s="59" t="str">
        <f t="shared" si="113"/>
        <v>n</v>
      </c>
      <c r="CS11" s="59" t="str">
        <f t="shared" si="114"/>
        <v>n</v>
      </c>
      <c r="CT11" s="69" t="str">
        <f t="shared" si="115"/>
        <v>"[NZE] Napier"</v>
      </c>
      <c r="CU11" s="70" t="str">
        <f t="shared" si="116"/>
        <v>"rgn_Oceania"</v>
      </c>
      <c r="CV11" s="48" t="str">
        <f t="shared" si="117"/>
        <v>"https://upload.wikimedia.org/wikipedia/commons/thumb/f/f8/Flag_of_Napier_City.svg/640px-Flag_of_Napier_City.svg.png"</v>
      </c>
      <c r="CW11" s="48" t="str">
        <f t="shared" si="15"/>
        <v/>
      </c>
      <c r="CX11" s="48" t="str">
        <f t="shared" si="15"/>
        <v/>
      </c>
      <c r="CY11" s="48" t="str">
        <f t="shared" si="15"/>
        <v>"4Color",</v>
      </c>
      <c r="CZ11" s="48" t="str">
        <f t="shared" si="15"/>
        <v/>
      </c>
      <c r="DA11" s="48" t="str">
        <f t="shared" si="118"/>
        <v/>
      </c>
      <c r="DB11" s="48" t="str">
        <f t="shared" si="119"/>
        <v/>
      </c>
      <c r="DD11" s="48" t="str">
        <f t="shared" si="120"/>
        <v>"lets06",</v>
      </c>
      <c r="DE11" s="48" t="str">
        <f t="shared" si="121"/>
        <v>"startN",</v>
      </c>
      <c r="DF11" s="48" t="str">
        <f t="shared" si="122"/>
        <v/>
      </c>
      <c r="DG11" s="48" t="str">
        <f t="shared" si="123"/>
        <v/>
      </c>
      <c r="DH11" s="48" t="str">
        <f t="shared" si="124"/>
        <v/>
      </c>
      <c r="DI11" s="48" t="str">
        <f t="shared" si="125"/>
        <v/>
      </c>
      <c r="DJ11" s="48" t="str">
        <f t="shared" si="126"/>
        <v/>
      </c>
      <c r="DK11" s="48" t="str">
        <f t="shared" si="127"/>
        <v>"with_z",</v>
      </c>
      <c r="DL11" s="48" t="str">
        <f t="shared" si="128"/>
        <v/>
      </c>
      <c r="DM11" s="48" t="str" cm="1">
        <f t="array" ref="DM11">IF(CG11=3,CHAR(34) &amp; _xlfn.TEXTJOIN("", TRUE, RIGHT(HP11:HX11, 2)) &amp; CHAR(34) &amp; ",", "")</f>
        <v/>
      </c>
      <c r="DN11" s="48" t="str">
        <f t="shared" si="129"/>
        <v/>
      </c>
      <c r="DO11" s="48" t="str">
        <f t="shared" si="130"/>
        <v/>
      </c>
      <c r="DP11" s="6" t="str">
        <f t="shared" si="131"/>
        <v>"year00",</v>
      </c>
      <c r="DQ11" s="6" t="str">
        <f t="shared" si="132"/>
        <v/>
      </c>
      <c r="DR11" s="6" t="str">
        <f t="shared" si="133"/>
        <v/>
      </c>
      <c r="DS11" s="6" t="str">
        <f t="shared" si="134"/>
        <v/>
      </c>
      <c r="DT11" s="6" t="str">
        <f t="shared" si="135"/>
        <v>"allhor",</v>
      </c>
      <c r="DU11" s="6" t="str">
        <f t="shared" si="136"/>
        <v/>
      </c>
      <c r="DW11" s="48" t="str">
        <f t="shared" si="37"/>
        <v/>
      </c>
      <c r="DX11" s="48" t="str">
        <f t="shared" si="37"/>
        <v/>
      </c>
      <c r="DY11" s="48" t="str">
        <f t="shared" si="37"/>
        <v/>
      </c>
      <c r="DZ11" s="48" t="str">
        <f t="shared" si="37"/>
        <v>"4+Band",</v>
      </c>
      <c r="EA11" s="48" t="str">
        <f t="shared" si="38"/>
        <v/>
      </c>
      <c r="EB11" s="48" t="str">
        <f t="shared" si="38"/>
        <v/>
      </c>
      <c r="EC11" s="48" t="str">
        <f t="shared" si="38"/>
        <v>"Horizo",</v>
      </c>
      <c r="ED11" s="48" t="str">
        <f t="shared" si="38"/>
        <v/>
      </c>
      <c r="EE11" s="48" t="str">
        <f t="shared" si="38"/>
        <v>"Circle",</v>
      </c>
      <c r="EF11" s="48" t="str">
        <f t="shared" si="137"/>
        <v>"Animal",</v>
      </c>
      <c r="EG11" s="48" t="str">
        <f t="shared" si="40"/>
        <v/>
      </c>
      <c r="EH11" s="48" t="str">
        <f t="shared" si="40"/>
        <v>"Plants",</v>
      </c>
      <c r="EI11" s="48" t="str">
        <f t="shared" si="40"/>
        <v/>
      </c>
      <c r="EJ11" s="48" t="str">
        <f t="shared" si="40"/>
        <v/>
      </c>
      <c r="EK11" s="48" t="str">
        <f t="shared" si="40"/>
        <v/>
      </c>
      <c r="EL11" s="48" t="str">
        <f t="shared" si="40"/>
        <v/>
      </c>
      <c r="EM11" s="48" t="str">
        <f t="shared" si="40"/>
        <v/>
      </c>
      <c r="EN11" s="48" t="str">
        <f t="shared" si="40"/>
        <v/>
      </c>
      <c r="EO11" s="48" t="str">
        <f t="shared" si="40"/>
        <v/>
      </c>
      <c r="EP11" s="48" t="str">
        <f t="shared" si="40"/>
        <v/>
      </c>
      <c r="EQ11" s="48" t="str">
        <f t="shared" si="40"/>
        <v/>
      </c>
      <c r="ER11" s="48" t="str">
        <f t="shared" si="40"/>
        <v/>
      </c>
      <c r="ES11" s="48" t="str">
        <f t="shared" si="40"/>
        <v/>
      </c>
      <c r="ET11" s="48" t="str">
        <f t="shared" si="40"/>
        <v/>
      </c>
      <c r="EU11" s="48" t="str">
        <f t="shared" si="40"/>
        <v/>
      </c>
      <c r="EV11" s="48" t="str">
        <f t="shared" si="40"/>
        <v/>
      </c>
      <c r="EW11" s="48" t="str">
        <f t="shared" si="40"/>
        <v/>
      </c>
      <c r="EX11" s="48" t="str">
        <f t="shared" si="40"/>
        <v/>
      </c>
      <c r="EY11" s="48" t="str">
        <f t="shared" si="40"/>
        <v/>
      </c>
      <c r="EZ11" s="48" t="str">
        <f t="shared" si="40"/>
        <v/>
      </c>
      <c r="FA11" s="48" t="str">
        <f t="shared" si="138"/>
        <v/>
      </c>
      <c r="FB11" s="48" t="str">
        <f t="shared" si="139"/>
        <v/>
      </c>
      <c r="FD11" s="48" t="str">
        <f t="shared" si="140"/>
        <v/>
      </c>
      <c r="FE11" s="48" t="str">
        <f t="shared" si="141"/>
        <v>"NO_BLU",</v>
      </c>
      <c r="FF11" s="48" t="str">
        <f t="shared" si="142"/>
        <v/>
      </c>
      <c r="FG11" s="48" t="str">
        <f t="shared" si="143"/>
        <v/>
      </c>
      <c r="FH11" s="48" t="str">
        <f t="shared" si="144"/>
        <v/>
      </c>
      <c r="FI11" s="48" t="str">
        <f t="shared" si="145"/>
        <v/>
      </c>
      <c r="FJ11" s="48" t="str">
        <f t="shared" si="146"/>
        <v>"NO_BLA",</v>
      </c>
      <c r="FK11" s="48" t="str">
        <f t="shared" si="147"/>
        <v/>
      </c>
      <c r="FL11" s="48" t="str">
        <f t="shared" si="148"/>
        <v/>
      </c>
      <c r="FM11" s="48" t="str">
        <f t="shared" si="149"/>
        <v/>
      </c>
      <c r="FN11" s="48" t="str">
        <f t="shared" si="150"/>
        <v/>
      </c>
      <c r="FO11" s="48" t="str">
        <f t="shared" si="151"/>
        <v/>
      </c>
      <c r="FP11" s="48" t="str">
        <f t="shared" si="152"/>
        <v/>
      </c>
      <c r="FQ11" s="48" t="str">
        <f t="shared" si="153"/>
        <v>"001RED",</v>
      </c>
      <c r="FR11" s="48" t="str">
        <f t="shared" si="154"/>
        <v/>
      </c>
      <c r="FS11" s="48" t="str">
        <f t="shared" si="155"/>
        <v>"003GRE",</v>
      </c>
      <c r="FT11" s="48" t="str">
        <f t="shared" si="156"/>
        <v>"myrEQ",</v>
      </c>
      <c r="FU11" s="48" t="str">
        <f t="shared" si="157"/>
        <v/>
      </c>
      <c r="FV11" s="48" t="str">
        <f t="shared" si="158"/>
        <v/>
      </c>
      <c r="FW11" s="48" t="str">
        <f t="shared" si="159"/>
        <v/>
      </c>
      <c r="FY11" s="48" t="str">
        <f t="shared" si="160"/>
        <v/>
      </c>
      <c r="FZ11" s="48" t="str">
        <f t="shared" si="161"/>
        <v/>
      </c>
      <c r="GA11" s="48" t="str">
        <f t="shared" si="162"/>
        <v/>
      </c>
      <c r="GB11" s="48" t="str">
        <f t="shared" si="163"/>
        <v/>
      </c>
      <c r="GE11" s="48" t="str">
        <f t="shared" si="164"/>
        <v/>
      </c>
      <c r="GF11" s="48" t="str">
        <f t="shared" si="165"/>
        <v/>
      </c>
      <c r="GG11" s="48" t="str">
        <f t="shared" si="166"/>
        <v/>
      </c>
      <c r="GH11" s="48" t="str">
        <f t="shared" si="167"/>
        <v/>
      </c>
      <c r="GI11" s="48" t="str">
        <f t="shared" si="168"/>
        <v/>
      </c>
      <c r="GJ11" s="48" t="str">
        <f t="shared" si="169"/>
        <v>"NoStar",</v>
      </c>
      <c r="GK11" s="48" t="str">
        <f t="shared" si="170"/>
        <v/>
      </c>
      <c r="GL11" s="48" t="str">
        <f t="shared" si="77"/>
        <v/>
      </c>
      <c r="GM11" s="48" t="str">
        <f t="shared" si="77"/>
        <v/>
      </c>
      <c r="GN11" s="48" t="str">
        <f t="shared" si="77"/>
        <v/>
      </c>
      <c r="GP11" s="48" t="str">
        <f t="shared" si="171"/>
        <v>"City"</v>
      </c>
      <c r="GS11" s="48" t="str">
        <f t="shared" si="172"/>
        <v>["4Color","lets06","startN","with_z","year00","allhor","4+Band","Horizo","Circle","Animal","Plants","NO_BLU","NO_BLA","001RED","003GRE","myrEQ","NoStar"]</v>
      </c>
      <c r="GT11" s="48" t="str">
        <f t="shared" si="80"/>
        <v/>
      </c>
      <c r="GU11" s="48" t="str">
        <f t="shared" si="80"/>
        <v/>
      </c>
      <c r="GV11" s="48" t="str">
        <f t="shared" si="80"/>
        <v>"cl_GRE",</v>
      </c>
      <c r="GW11" s="48" t="str">
        <f t="shared" si="80"/>
        <v>"cl_RED",</v>
      </c>
      <c r="GX11" s="48" t="str">
        <f t="shared" si="80"/>
        <v>"cl_YEL",</v>
      </c>
      <c r="GY11" s="48" t="str">
        <f t="shared" si="80"/>
        <v/>
      </c>
      <c r="GZ11" s="48" t="str">
        <f t="shared" si="80"/>
        <v/>
      </c>
      <c r="HA11" s="48" t="str">
        <f t="shared" si="80"/>
        <v/>
      </c>
      <c r="HB11" s="48" t="str">
        <f t="shared" si="80"/>
        <v>"cl_WHI",</v>
      </c>
      <c r="HC11" s="48" t="str">
        <f t="shared" si="173"/>
        <v>["cl_GRE","cl_RED","cl_YEL","cl_WHI"]</v>
      </c>
      <c r="HE11" s="71"/>
      <c r="HF11" s="72" t="str">
        <f t="shared" si="174"/>
        <v>{couname:"[NZE] Napier",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links: "https://en.wikipedia.org/wiki/Napier,_New_Zealand"},</v>
      </c>
      <c r="HG11" s="73" t="str">
        <f t="shared" si="175"/>
        <v>{couname:"[NZE] Napier",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links: "https://en.wikipedia.org/wiki/Napier,_New_Zealand"},</v>
      </c>
      <c r="HH11" s="48" t="str">
        <f t="shared" si="176"/>
        <v>"\nA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v>
      </c>
      <c r="HI11" s="48" t="str">
        <f t="shared" si="177"/>
        <v>"\nA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v>
      </c>
      <c r="HJ11" s="48" t="str">
        <f t="shared" si="178"/>
        <v>"2020"</v>
      </c>
      <c r="HL11" s="48" t="str">
        <f t="shared" si="179"/>
        <v>"https://en.wikipedia.org/wiki/Napier,_New_Zealand"</v>
      </c>
      <c r="HM11" s="72" t="str">
        <f t="shared" si="180"/>
        <v>{"couname":"[NZE] Napier","subtype":"[NZE] Hawke's Bay","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 "links": "https://en.wikipedia.org/wiki/Napier,_New_Zealand"},</v>
      </c>
      <c r="HN11" s="74" t="str">
        <f t="shared" si="181"/>
        <v>{"couname":"[NZE] Napier","subtype":"[NZE] Hawke's Bay","year":"2020","region":"rgn_Oceania","Colors":["cl_GRE","cl_RED","cl_YEL","cl_WHI"],"Items":["4Color","lets06","startN","with_z","year00","allhor","4+Band","Horizo","Circle","Animal","Plants","NO_BLU","NO_BLA","001RED","003GRE","myrEQ","NoStar"],"Flag":"https://upload.wikimedia.org/wikipedia/commons/thumb/f/f8/Flag_of_Napier_City.svg/640px-Flag_of_Napier_City.svg.png","HDFlag":"https://upload.wikimedia.org/wikipedia/commons/thumb/f/f8/Flag_of_Napier_City.svg/2560px-Flag_of_Napier_City.svg.png","type":"City", "describe": "\nA banner of arms of Napier's coat of arms. Three red roses from the coat of arms of Lord Napier and Ettrick (a direct descendant of Sir Charles Napier after whom Napier was named). Blue wave bands symbolise status as a coastal city and the Golden Fleece is the heraldic symbol of the wool industry, which Napier was one of the largest wool centres in New Zealand. ", "isnew": ".", "links": "https://en.wikipedia.org/wiki/Napier,_New_Zealand"},</v>
      </c>
      <c r="HO11" s="75">
        <v>45610</v>
      </c>
      <c r="HP11" s="48" t="str" cm="1">
        <f t="array" ref="HP11">IF(_xlfn.TEXTJOIN(", ", TRUE, IF(ISNUMBER(SEARCH("BLA", BL11:BT11)), COLUMN(BL11:BT11) - COLUMN(BL11) + 1, ""))&lt;&gt;"","BLA","")</f>
        <v/>
      </c>
      <c r="HQ11" s="48" t="str" cm="1">
        <f t="array" ref="HQ11">IF(_xlfn.TEXTJOIN(", ", TRUE, IF(ISNUMBER(SEARCH("BLU", BL11:BT11)), COLUMN(BL11:BT11) - COLUMN(BL11) + 1, ""))&lt;&gt;"","BLU","")</f>
        <v/>
      </c>
      <c r="HR11" s="48" t="str" cm="1">
        <f t="array" ref="HR11">IF(_xlfn.TEXTJOIN(", ", TRUE, IF(ISNUMBER(SEARCH("GRE", BL11:BT11)), COLUMN(BL11:BT11) - COLUMN(BL11) + 1, ""))&lt;&gt;"","GRE","")</f>
        <v>GRE</v>
      </c>
      <c r="HS11" s="48" t="str" cm="1">
        <f t="array" ref="HS11">IF(_xlfn.TEXTJOIN(", ", TRUE, IF(ISNUMBER(SEARCH("RED", BL11:BT11)), COLUMN(BL11:BT11) - COLUMN(BL11) + 1, ""))&lt;&gt;"","RED","")</f>
        <v>RED</v>
      </c>
      <c r="HT11" s="48" t="str" cm="1">
        <f t="array" ref="HT11">IF(_xlfn.TEXTJOIN(", ", TRUE, IF(ISNUMBER(SEARCH("YEL", BL11:BT11)), COLUMN(BL11:BT11) - COLUMN(BL11) + 1, ""))&lt;&gt;"","YEL","")</f>
        <v>YEL</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M11" s="45">
        <f t="shared" si="182"/>
        <v>-4</v>
      </c>
      <c r="IN11" s="78" t="str">
        <f t="shared" si="183"/>
        <v>http://mkweb.bcgsc.ca/color-summarizer/?url=https://upload.wikimedia.org/wikipedia/commons/thumb/f/f8/Flag_of_Napier_City.svg/640px-Flag_of_Napier_City.svg.png&amp;precision=low&amp;num_clusters=4&amp;text=1</v>
      </c>
      <c r="IO11" s="48" t="str">
        <f t="shared" si="184"/>
        <v/>
      </c>
      <c r="IP11" s="48" t="str">
        <f t="shared" si="185"/>
        <v/>
      </c>
      <c r="IQ11" s="48" t="str">
        <f t="shared" si="186"/>
        <v>"green"</v>
      </c>
      <c r="IR11" s="48" t="str">
        <f t="shared" si="187"/>
        <v>"red"</v>
      </c>
      <c r="IS11" s="48" t="str">
        <f t="shared" si="188"/>
        <v>"yellow"</v>
      </c>
      <c r="IT11" s="48" t="str">
        <f t="shared" si="189"/>
        <v/>
      </c>
      <c r="IU11" s="48" t="str">
        <f t="shared" si="190"/>
        <v/>
      </c>
      <c r="IV11" s="48" t="str">
        <f t="shared" si="191"/>
        <v/>
      </c>
      <c r="IW11" s="48" t="str">
        <f t="shared" si="192"/>
        <v>"white"</v>
      </c>
      <c r="IX11" s="48" t="str">
        <f t="shared" si="193"/>
        <v>{"url":"http://mkweb.bcgsc.ca/color-summarizer/?url=https://upload.wikimedia.org/wikipedia/commons/thumb/f/f8/Flag_of_Napier_City.svg/640px-Flag_of_Napier_City.svg.png&amp;precision=low&amp;num_clusters=4&amp;text=1","name":"[NZE] Napier"},</v>
      </c>
      <c r="IY11" s="48">
        <v>1480</v>
      </c>
    </row>
    <row r="12" spans="1:259" s="48" customFormat="1" ht="38.4" customHeight="1" thickBot="1" x14ac:dyDescent="0.35">
      <c r="A12" s="81" t="s">
        <v>806</v>
      </c>
      <c r="B12" s="40" t="e" vm="78">
        <v>#VALUE!</v>
      </c>
      <c r="C12" s="41">
        <v>3</v>
      </c>
      <c r="D12" s="42" t="s">
        <v>807</v>
      </c>
      <c r="E12" s="43" t="s">
        <v>808</v>
      </c>
      <c r="F12" s="44" t="s">
        <v>166</v>
      </c>
      <c r="G12" s="45">
        <f>COUNTIF($A$1:$A$8354,A12)</f>
        <v>1</v>
      </c>
      <c r="H12" s="46" t="s">
        <v>809</v>
      </c>
      <c r="I12" s="47" t="s">
        <v>810</v>
      </c>
      <c r="J12" s="48" t="str">
        <f>""</f>
        <v/>
      </c>
      <c r="K12" s="49"/>
      <c r="L12" s="50"/>
      <c r="M12" s="50"/>
      <c r="N12" s="51" t="s">
        <v>169</v>
      </c>
      <c r="O12" s="52" t="s">
        <v>811</v>
      </c>
      <c r="P12" s="53" t="s">
        <v>812</v>
      </c>
      <c r="Q12" s="54">
        <v>2</v>
      </c>
      <c r="R12" s="55" t="s">
        <v>169</v>
      </c>
      <c r="S12" s="56">
        <v>0</v>
      </c>
      <c r="T12" s="57" t="s">
        <v>172</v>
      </c>
      <c r="U12" s="58" t="s">
        <v>173</v>
      </c>
      <c r="V12" s="58" t="s">
        <v>173</v>
      </c>
      <c r="W12" s="58" t="s">
        <v>173</v>
      </c>
      <c r="X12" s="58" t="s">
        <v>173</v>
      </c>
      <c r="Y12" s="58" t="s">
        <v>172</v>
      </c>
      <c r="Z12" s="58" t="s">
        <v>172</v>
      </c>
      <c r="AA12" s="58" t="s">
        <v>172</v>
      </c>
      <c r="AB12" s="58" t="s">
        <v>173</v>
      </c>
      <c r="AC12" s="58" t="s">
        <v>172</v>
      </c>
      <c r="AD12" s="58" t="s">
        <v>173</v>
      </c>
      <c r="AE12" s="58" t="s">
        <v>173</v>
      </c>
      <c r="AF12" s="59" t="s">
        <v>173</v>
      </c>
      <c r="AG12" s="59" t="s">
        <v>173</v>
      </c>
      <c r="AH12" s="59" t="s">
        <v>173</v>
      </c>
      <c r="AI12" s="59" t="s">
        <v>173</v>
      </c>
      <c r="AJ12" s="59" t="s">
        <v>173</v>
      </c>
      <c r="AK12" s="59" t="s">
        <v>173</v>
      </c>
      <c r="AL12" s="59" t="s">
        <v>173</v>
      </c>
      <c r="AM12" s="59" t="s">
        <v>173</v>
      </c>
      <c r="AN12" s="59" t="s">
        <v>173</v>
      </c>
      <c r="AO12" s="59" t="s">
        <v>173</v>
      </c>
      <c r="AP12" s="59" t="s">
        <v>173</v>
      </c>
      <c r="AQ12" s="59" t="s">
        <v>173</v>
      </c>
      <c r="AR12" s="59" t="s">
        <v>173</v>
      </c>
      <c r="AS12" s="59" t="s">
        <v>173</v>
      </c>
      <c r="AT12" s="60">
        <v>0</v>
      </c>
      <c r="AU12" s="59" t="s">
        <v>813</v>
      </c>
      <c r="AV12" s="59" t="str">
        <f>IF(LEFT(A12,1)="[",LEFT(A12,5)&amp;AU12&amp;A12,"")</f>
        <v>[NZE]Unofficial[NZE] Laser Kiwi</v>
      </c>
      <c r="AW12" s="59" t="str">
        <f>C12&amp;H12&amp;A12</f>
        <v>3[NZE] Other[NZE] Laser Kiwi</v>
      </c>
      <c r="AX12" s="61"/>
      <c r="AY12" s="61"/>
      <c r="AZ12" s="62" t="s">
        <v>154</v>
      </c>
      <c r="BA12" s="62" t="s">
        <v>192</v>
      </c>
      <c r="BB12" s="62"/>
      <c r="BC12" s="63"/>
      <c r="BD12" s="64" t="s">
        <v>408</v>
      </c>
      <c r="BE12" s="47"/>
      <c r="BF12" s="64" t="s">
        <v>153</v>
      </c>
      <c r="BG12" s="64" t="s">
        <v>159</v>
      </c>
      <c r="BH12" s="64" t="s">
        <v>152</v>
      </c>
      <c r="BI12" s="64"/>
      <c r="BJ12" s="64"/>
      <c r="BK12" s="47"/>
      <c r="BL12" s="64" t="s">
        <v>192</v>
      </c>
      <c r="BM12" s="64" t="s">
        <v>152</v>
      </c>
      <c r="BN12" s="64" t="s">
        <v>153</v>
      </c>
      <c r="BO12" s="64" t="s">
        <v>154</v>
      </c>
      <c r="BP12" s="64" t="s">
        <v>192</v>
      </c>
      <c r="BQ12" s="64" t="s">
        <v>192</v>
      </c>
      <c r="BR12" s="64" t="s">
        <v>192</v>
      </c>
      <c r="BS12" s="64" t="s">
        <v>192</v>
      </c>
      <c r="BT12" s="64" t="s">
        <v>159</v>
      </c>
      <c r="BU12" s="65"/>
      <c r="BV12" s="66"/>
      <c r="BW12" s="66">
        <v>0</v>
      </c>
      <c r="BX12" s="47"/>
      <c r="BY12" s="48" t="s">
        <v>173</v>
      </c>
      <c r="CB12" s="6"/>
      <c r="CC12" s="6"/>
      <c r="CD12" s="67">
        <v>0</v>
      </c>
      <c r="CE12" s="67">
        <v>0</v>
      </c>
      <c r="CF12" s="67" t="e">
        <v>#REF!</v>
      </c>
      <c r="CG12" s="68" cm="1">
        <f t="array" ref="CG12">SUMPRODUCT(--(LEN(TRIM(BL12:BT12))&gt;0))</f>
        <v>4</v>
      </c>
      <c r="CH12" s="59" t="str">
        <f t="shared" si="103"/>
        <v>n</v>
      </c>
      <c r="CI12" s="59" t="str">
        <f t="shared" si="104"/>
        <v>n</v>
      </c>
      <c r="CJ12" s="59" t="str">
        <f t="shared" si="105"/>
        <v>y</v>
      </c>
      <c r="CK12" s="59" t="str">
        <f t="shared" si="106"/>
        <v>n</v>
      </c>
      <c r="CL12" s="59" t="str">
        <f t="shared" si="107"/>
        <v>y</v>
      </c>
      <c r="CM12" s="59" t="str">
        <f t="shared" si="108"/>
        <v>n</v>
      </c>
      <c r="CN12" s="59" t="str">
        <f t="shared" si="109"/>
        <v>n</v>
      </c>
      <c r="CO12" s="59" t="str">
        <f t="shared" si="110"/>
        <v>n</v>
      </c>
      <c r="CP12" s="59" t="str">
        <f t="shared" si="111"/>
        <v>y</v>
      </c>
      <c r="CQ12" s="59" t="str">
        <f t="shared" si="112"/>
        <v>n</v>
      </c>
      <c r="CR12" s="59" t="str">
        <f t="shared" si="113"/>
        <v>n</v>
      </c>
      <c r="CS12" s="59" t="str">
        <f t="shared" si="114"/>
        <v>n</v>
      </c>
      <c r="CT12" s="69" t="str">
        <f t="shared" si="115"/>
        <v>"[NZE] Laser Kiwi"</v>
      </c>
      <c r="CU12" s="70" t="str">
        <f t="shared" si="116"/>
        <v>"rgn_Oceania"</v>
      </c>
      <c r="CV12" s="48" t="str">
        <f t="shared" si="117"/>
        <v>"https://upload.wikimedia.org/wikipedia/en/thumb/f/f5/Fire_the_Lazer.svg/640px-Fire_the_Lazer.svg.png"</v>
      </c>
      <c r="CW12" s="48" t="str">
        <f t="shared" si="15"/>
        <v/>
      </c>
      <c r="CX12" s="48" t="str">
        <f t="shared" si="15"/>
        <v/>
      </c>
      <c r="CY12" s="48" t="str">
        <f t="shared" si="15"/>
        <v>"4Color",</v>
      </c>
      <c r="CZ12" s="48" t="str">
        <f t="shared" si="15"/>
        <v/>
      </c>
      <c r="DA12" s="48" t="str">
        <f t="shared" si="118"/>
        <v>"words2",</v>
      </c>
      <c r="DB12" s="48" t="str">
        <f t="shared" si="119"/>
        <v/>
      </c>
      <c r="DD12" s="48" t="str">
        <f t="shared" si="120"/>
        <v>"lets09",</v>
      </c>
      <c r="DE12" s="48" t="str">
        <f t="shared" si="121"/>
        <v>"startL",</v>
      </c>
      <c r="DF12" s="48" t="str">
        <f t="shared" si="122"/>
        <v/>
      </c>
      <c r="DG12" s="48" t="str">
        <f t="shared" si="123"/>
        <v/>
      </c>
      <c r="DH12" s="48" t="str">
        <f t="shared" si="124"/>
        <v/>
      </c>
      <c r="DI12" s="48" t="str">
        <f t="shared" si="125"/>
        <v>"with_w",</v>
      </c>
      <c r="DJ12" s="48" t="str">
        <f t="shared" si="126"/>
        <v/>
      </c>
      <c r="DK12" s="48" t="str">
        <f t="shared" si="127"/>
        <v>"with_z",</v>
      </c>
      <c r="DL12" s="48" t="str">
        <f t="shared" si="128"/>
        <v/>
      </c>
      <c r="DM12" s="48" t="str" cm="1">
        <f t="array" ref="DM12">IF(CG12=3,CHAR(34) &amp; _xlfn.TEXTJOIN("", TRUE, RIGHT(HP12:HX12, 2)) &amp; CHAR(34) &amp; ",", "")</f>
        <v/>
      </c>
      <c r="DN12" s="48" t="str">
        <f t="shared" si="129"/>
        <v/>
      </c>
      <c r="DO12" s="48" t="str">
        <f t="shared" si="130"/>
        <v/>
      </c>
      <c r="DP12" s="6" t="str">
        <f t="shared" si="131"/>
        <v>"year00",</v>
      </c>
      <c r="DQ12" s="6" t="str">
        <f t="shared" si="132"/>
        <v/>
      </c>
      <c r="DR12" s="6" t="str">
        <f t="shared" si="133"/>
        <v/>
      </c>
      <c r="DS12" s="6" t="str">
        <f t="shared" si="134"/>
        <v/>
      </c>
      <c r="DT12" s="6" t="str">
        <f t="shared" si="135"/>
        <v/>
      </c>
      <c r="DU12" s="6" t="str">
        <f t="shared" si="136"/>
        <v/>
      </c>
      <c r="DW12" s="48" t="str">
        <f t="shared" si="37"/>
        <v>"NoBand",</v>
      </c>
      <c r="DX12" s="48" t="str">
        <f t="shared" si="37"/>
        <v/>
      </c>
      <c r="DY12" s="48" t="str">
        <f t="shared" si="37"/>
        <v/>
      </c>
      <c r="DZ12" s="48" t="str">
        <f t="shared" si="37"/>
        <v/>
      </c>
      <c r="EA12" s="48" t="str">
        <f t="shared" si="38"/>
        <v>"Diagon",</v>
      </c>
      <c r="EB12" s="48" t="str">
        <f t="shared" si="38"/>
        <v/>
      </c>
      <c r="EC12" s="48" t="str">
        <f t="shared" si="38"/>
        <v/>
      </c>
      <c r="ED12" s="48" t="str">
        <f t="shared" si="38"/>
        <v/>
      </c>
      <c r="EE12" s="48" t="str">
        <f t="shared" si="38"/>
        <v/>
      </c>
      <c r="EF12" s="48" t="str">
        <f t="shared" si="137"/>
        <v>"Animal",</v>
      </c>
      <c r="EG12" s="48" t="str">
        <f t="shared" si="40"/>
        <v>"Bird",</v>
      </c>
      <c r="EH12" s="48" t="str">
        <f t="shared" si="40"/>
        <v>"Plants",</v>
      </c>
      <c r="EI12" s="48" t="str">
        <f t="shared" si="40"/>
        <v/>
      </c>
      <c r="EJ12" s="48" t="str">
        <f t="shared" si="40"/>
        <v>"Weapon",</v>
      </c>
      <c r="EK12" s="48" t="str">
        <f t="shared" si="40"/>
        <v/>
      </c>
      <c r="EL12" s="48" t="str">
        <f t="shared" si="40"/>
        <v/>
      </c>
      <c r="EM12" s="48" t="str">
        <f t="shared" si="40"/>
        <v/>
      </c>
      <c r="EN12" s="48" t="str">
        <f t="shared" si="40"/>
        <v/>
      </c>
      <c r="EO12" s="48" t="str">
        <f t="shared" si="40"/>
        <v/>
      </c>
      <c r="EP12" s="48" t="str">
        <f t="shared" si="40"/>
        <v/>
      </c>
      <c r="EQ12" s="48" t="str">
        <f t="shared" si="40"/>
        <v/>
      </c>
      <c r="ER12" s="48" t="str">
        <f t="shared" si="40"/>
        <v/>
      </c>
      <c r="ES12" s="48" t="str">
        <f t="shared" si="40"/>
        <v/>
      </c>
      <c r="ET12" s="48" t="str">
        <f t="shared" si="40"/>
        <v/>
      </c>
      <c r="EU12" s="48" t="str">
        <f t="shared" si="40"/>
        <v/>
      </c>
      <c r="EV12" s="48" t="str">
        <f t="shared" si="40"/>
        <v/>
      </c>
      <c r="EW12" s="48" t="str">
        <f t="shared" si="40"/>
        <v/>
      </c>
      <c r="EX12" s="48" t="str">
        <f t="shared" si="40"/>
        <v/>
      </c>
      <c r="EY12" s="48" t="str">
        <f t="shared" si="40"/>
        <v/>
      </c>
      <c r="EZ12" s="48" t="str">
        <f t="shared" si="40"/>
        <v/>
      </c>
      <c r="FA12" s="48" t="str">
        <f t="shared" si="138"/>
        <v/>
      </c>
      <c r="FB12" s="48" t="str">
        <f t="shared" si="139"/>
        <v/>
      </c>
      <c r="FD12" s="48" t="str">
        <f t="shared" si="140"/>
        <v/>
      </c>
      <c r="FE12" s="48" t="str">
        <f t="shared" si="141"/>
        <v/>
      </c>
      <c r="FF12" s="48" t="str">
        <f t="shared" si="142"/>
        <v/>
      </c>
      <c r="FG12" s="48" t="str">
        <f t="shared" si="143"/>
        <v/>
      </c>
      <c r="FH12" s="48" t="str">
        <f t="shared" si="144"/>
        <v/>
      </c>
      <c r="FI12" s="48" t="str">
        <f t="shared" si="145"/>
        <v>"NO_YEL",</v>
      </c>
      <c r="FJ12" s="48" t="str">
        <f t="shared" si="146"/>
        <v>"NO_BLA",</v>
      </c>
      <c r="FK12" s="48" t="str">
        <f t="shared" si="147"/>
        <v/>
      </c>
      <c r="FL12" s="48" t="str">
        <f t="shared" si="148"/>
        <v/>
      </c>
      <c r="FM12" s="48" t="str">
        <f t="shared" si="149"/>
        <v/>
      </c>
      <c r="FN12" s="48" t="str">
        <f t="shared" si="150"/>
        <v/>
      </c>
      <c r="FO12" s="48" t="str">
        <f t="shared" si="151"/>
        <v/>
      </c>
      <c r="FP12" s="48" t="str">
        <f t="shared" si="152"/>
        <v/>
      </c>
      <c r="FQ12" s="48" t="str">
        <f t="shared" si="153"/>
        <v>"001GRE",</v>
      </c>
      <c r="FR12" s="48" t="str">
        <f t="shared" si="154"/>
        <v>"002WHI",</v>
      </c>
      <c r="FS12" s="48" t="str">
        <f t="shared" si="155"/>
        <v>"003BLU",</v>
      </c>
      <c r="FT12" s="48" t="str">
        <f t="shared" si="156"/>
        <v>"myrEQ",</v>
      </c>
      <c r="FU12" s="48" t="str">
        <f t="shared" si="157"/>
        <v/>
      </c>
      <c r="FV12" s="48" t="str">
        <f t="shared" si="158"/>
        <v/>
      </c>
      <c r="FW12" s="48" t="str">
        <f t="shared" si="159"/>
        <v/>
      </c>
      <c r="FY12" s="48" t="str">
        <f t="shared" si="160"/>
        <v/>
      </c>
      <c r="FZ12" s="48" t="str">
        <f t="shared" si="161"/>
        <v/>
      </c>
      <c r="GA12" s="48" t="str">
        <f t="shared" si="162"/>
        <v/>
      </c>
      <c r="GB12" s="48" t="str">
        <f t="shared" si="163"/>
        <v/>
      </c>
      <c r="GE12" s="48" t="str">
        <f t="shared" si="164"/>
        <v/>
      </c>
      <c r="GF12" s="48" t="str">
        <f t="shared" si="165"/>
        <v/>
      </c>
      <c r="GG12" s="48" t="str">
        <f t="shared" si="166"/>
        <v/>
      </c>
      <c r="GH12" s="48" t="str">
        <f t="shared" si="167"/>
        <v/>
      </c>
      <c r="GI12" s="48" t="str">
        <f t="shared" si="168"/>
        <v/>
      </c>
      <c r="GJ12" s="48" t="str">
        <f t="shared" si="169"/>
        <v>"NoStar",</v>
      </c>
      <c r="GK12" s="48" t="str">
        <f t="shared" si="170"/>
        <v/>
      </c>
      <c r="GL12" s="48" t="str">
        <f t="shared" si="77"/>
        <v/>
      </c>
      <c r="GM12" s="48" t="str">
        <f t="shared" si="77"/>
        <v/>
      </c>
      <c r="GN12" s="48" t="str">
        <f t="shared" si="77"/>
        <v/>
      </c>
      <c r="GP12" s="48" t="str">
        <f t="shared" si="171"/>
        <v>"Unofficial"</v>
      </c>
      <c r="GS12" s="48" t="str">
        <f t="shared" si="172"/>
        <v>["4Color","words2","lets09","startL","with_w","with_z","year00","NoBand","Diagon","Animal","Bird","Plants","Weapon","NO_YEL","NO_BLA","001GRE","002WHI","003BLU","myrEQ","NoStar"]</v>
      </c>
      <c r="GT12" s="48" t="str">
        <f t="shared" si="80"/>
        <v/>
      </c>
      <c r="GU12" s="48" t="str">
        <f t="shared" si="80"/>
        <v>"cl_BLU",</v>
      </c>
      <c r="GV12" s="48" t="str">
        <f t="shared" si="80"/>
        <v>"cl_GRE",</v>
      </c>
      <c r="GW12" s="48" t="str">
        <f t="shared" si="80"/>
        <v>"cl_RED",</v>
      </c>
      <c r="GX12" s="48" t="str">
        <f t="shared" si="80"/>
        <v/>
      </c>
      <c r="GY12" s="48" t="str">
        <f t="shared" si="80"/>
        <v/>
      </c>
      <c r="GZ12" s="48" t="str">
        <f t="shared" si="80"/>
        <v/>
      </c>
      <c r="HA12" s="48" t="str">
        <f t="shared" si="80"/>
        <v/>
      </c>
      <c r="HB12" s="48" t="str">
        <f t="shared" si="80"/>
        <v>"cl_WHI",</v>
      </c>
      <c r="HC12" s="48" t="str">
        <f t="shared" si="173"/>
        <v>["cl_BLU","cl_GRE","cl_RED","cl_WHI"]</v>
      </c>
      <c r="HE12" s="71"/>
      <c r="HF12" s="72" t="str">
        <f t="shared" si="174"/>
        <v>{couname:"[NZE] Laser Kiwi",year:"2015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links: "https://en.wikipedia.org/wiki/Laser_Kiwi_flag"},</v>
      </c>
      <c r="HG12" s="73" t="str">
        <f t="shared" si="175"/>
        <v>{couname:"[NZE] Laser Kiwi",year:"2015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links: "https://en.wikipedia.org/wiki/Laser_Kiwi_flag"},</v>
      </c>
      <c r="HH12" s="48" t="str">
        <f t="shared" si="176"/>
        <v>"\nThe Laser Kiwi flag, originally titled Fire the Lazar, was designed in 2015 by Lucy Gray as a proposed flag of New Zealand for the 2015–2016 New Zealand flag referendums. It has since become a social media phenomenon that has created ongoing interest in the design."</v>
      </c>
      <c r="HI12" s="48" t="str">
        <f t="shared" si="177"/>
        <v>"\nThe Laser Kiwi flag, originally titled Fire the Lazar, was designed in 2015 by Lucy Gray as a proposed flag of New Zealand for the 2015–2016 New Zealand flag referendums. It has since become a social media phenomenon that has created ongoing interest in the design."</v>
      </c>
      <c r="HJ12" s="48" t="str">
        <f t="shared" si="178"/>
        <v>"2015 "</v>
      </c>
      <c r="HL12" s="48" t="str">
        <f t="shared" si="179"/>
        <v>"https://en.wikipedia.org/wiki/Laser_Kiwi_flag"</v>
      </c>
      <c r="HM12" s="72" t="str">
        <f t="shared" si="180"/>
        <v>{"couname":"[NZE] Laser Kiwi","subtype":"[NZE] Other","year":"2015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 "links": "https://en.wikipedia.org/wiki/Laser_Kiwi_flag"},</v>
      </c>
      <c r="HN12" s="74" t="str">
        <f t="shared" si="181"/>
        <v>{"couname":"[NZE] Laser Kiwi","subtype":"[NZE] Other","year":"2015 ","region":"rgn_Oceania","Colors":["cl_BLU","cl_GRE","cl_RED","cl_WHI"],"Items":["4Color","words2","lets09","startL","with_w","with_z","year00","NoBand","Diagon","Animal","Bird","Plants","Weapon","NO_YEL","NO_BLA","001GRE","002WHI","003BLU","myrEQ","NoStar"],"Flag":"https://upload.wikimedia.org/wikipedia/en/thumb/f/f5/Fire_the_Lazer.svg/640px-Fire_the_Lazer.svg.png","HDFlag":"https://upload.wikimedia.org/wikipedia/en/thumb/f/f5/Fire_the_Lazer.svg/2560px-Fire_the_Lazer.svg.png","type":"Unofficial", "describe": "\nThe Laser Kiwi flag, originally titled Fire the Lazar, was designed in 2015 by Lucy Gray as a proposed flag of New Zealand for the 2015–2016 New Zealand flag referendums. It has since become a social media phenomenon that has created ongoing interest in the design.", "isnew": ".", "links": "https://en.wikipedia.org/wiki/Laser_Kiwi_flag"},</v>
      </c>
      <c r="HO12" s="75">
        <v>45610</v>
      </c>
      <c r="HP12" s="48" t="str" cm="1">
        <f t="array" ref="HP12">IF(_xlfn.TEXTJOIN(", ", TRUE, IF(ISNUMBER(SEARCH("BLA", BL12:BT12)), COLUMN(BL12:BT12) - COLUMN(BL12) + 1, ""))&lt;&gt;"","BLA","")</f>
        <v/>
      </c>
      <c r="HQ12" s="48" t="str" cm="1">
        <f t="array" ref="HQ12">IF(_xlfn.TEXTJOIN(", ", TRUE, IF(ISNUMBER(SEARCH("BLU", BL12:BT12)), COLUMN(BL12:BT12) - COLUMN(BL12) + 1, ""))&lt;&gt;"","BLU","")</f>
        <v>BLU</v>
      </c>
      <c r="HR12" s="48" t="str" cm="1">
        <f t="array" ref="HR12">IF(_xlfn.TEXTJOIN(", ", TRUE, IF(ISNUMBER(SEARCH("GRE", BL12:BT12)), COLUMN(BL12:BT12) - COLUMN(BL12) + 1, ""))&lt;&gt;"","GRE","")</f>
        <v>GRE</v>
      </c>
      <c r="HS12" s="48" t="str" cm="1">
        <f t="array" ref="HS12">IF(_xlfn.TEXTJOIN(", ", TRUE, IF(ISNUMBER(SEARCH("RED", BL12:BT12)), COLUMN(BL12:BT12) - COLUMN(BL12) + 1, ""))&lt;&gt;"","RED","")</f>
        <v>RED</v>
      </c>
      <c r="HT12" s="48" t="str" cm="1">
        <f t="array" ref="HT12">IF(_xlfn.TEXTJOIN(", ", TRUE, IF(ISNUMBER(SEARCH("YEL", BL12:BT12)), COLUMN(BL12:BT12) - COLUMN(BL12) + 1, ""))&lt;&gt;"","YEL","")</f>
        <v/>
      </c>
      <c r="HU12" s="48" t="str" cm="1">
        <f t="array" ref="HU12">IF(_xlfn.TEXTJOIN(", ", TRUE, IF(ISNUMBER(SEARCH("ORA", BL12:BT12)), COLUMN(BL12:BT12) - COLUMN(BL12) + 1, ""))&lt;&gt;"","ORA","")</f>
        <v/>
      </c>
      <c r="HV12" s="48" t="str" cm="1">
        <f t="array" ref="HV12">IF(_xlfn.TEXTJOIN(", ", TRUE, IF(ISNUMBER(SEARCH("BRO", BL12:BT12)), COLUMN(BL12:BT12) - COLUMN(BL12) + 1, ""))&lt;&gt;"","BRO","")</f>
        <v/>
      </c>
      <c r="HW12" s="48" t="str" cm="1">
        <f t="array" ref="HW12">IF(_xlfn.TEXTJOIN(", ", TRUE, IF(ISNUMBER(SEARCH("PUR", BL12:BT12)), COLUMN(BL12:BT12) - COLUMN(BL12) + 1, ""))&lt;&gt;"","PUR","")</f>
        <v/>
      </c>
      <c r="HX12" s="48" t="str" cm="1">
        <f t="array" ref="HX12">IF(_xlfn.TEXTJOIN(", ", TRUE, IF(ISNUMBER(SEARCH("WHI", BL12:BT12)), COLUMN(BL12:BT12) - COLUMN(BL12) + 1, ""))&lt;&gt;"","WHI","")</f>
        <v>WHI</v>
      </c>
      <c r="HY12" s="76"/>
      <c r="HZ12" s="76"/>
      <c r="IA12" s="6"/>
      <c r="IB12" s="6"/>
      <c r="IC12" s="77"/>
      <c r="ID12" s="77"/>
      <c r="IE12" s="77"/>
      <c r="IF12" s="77"/>
      <c r="IG12" s="77"/>
      <c r="IH12" s="77"/>
      <c r="II12" s="77"/>
      <c r="IJ12" s="77"/>
      <c r="IK12" s="77"/>
      <c r="IM12" s="45">
        <f t="shared" si="182"/>
        <v>-4</v>
      </c>
      <c r="IN12" s="78" t="str">
        <f t="shared" si="183"/>
        <v>http://mkweb.bcgsc.ca/color-summarizer/?url=https://upload.wikimedia.org/wikipedia/en/thumb/f/f5/Fire_the_Lazer.svg/640px-Fire_the_Lazer.svg.png&amp;precision=low&amp;num_clusters=4&amp;text=1</v>
      </c>
      <c r="IO12" s="48" t="str">
        <f t="shared" si="184"/>
        <v/>
      </c>
      <c r="IP12" s="48" t="str">
        <f t="shared" si="185"/>
        <v>"blue"</v>
      </c>
      <c r="IQ12" s="48" t="str">
        <f t="shared" si="186"/>
        <v>"green"</v>
      </c>
      <c r="IR12" s="48" t="str">
        <f t="shared" si="187"/>
        <v>"red"</v>
      </c>
      <c r="IS12" s="48" t="str">
        <f t="shared" si="188"/>
        <v/>
      </c>
      <c r="IT12" s="48" t="str">
        <f t="shared" si="189"/>
        <v/>
      </c>
      <c r="IU12" s="48" t="str">
        <f t="shared" si="190"/>
        <v/>
      </c>
      <c r="IV12" s="48" t="str">
        <f t="shared" si="191"/>
        <v/>
      </c>
      <c r="IW12" s="48" t="str">
        <f t="shared" si="192"/>
        <v>"white"</v>
      </c>
      <c r="IX12" s="48" t="str">
        <f t="shared" si="193"/>
        <v>{"url":"http://mkweb.bcgsc.ca/color-summarizer/?url=https://upload.wikimedia.org/wikipedia/en/thumb/f/f5/Fire_the_Lazer.svg/640px-Fire_the_Lazer.svg.png&amp;precision=low&amp;num_clusters=4&amp;text=1","name":"[NZE] Laser Kiwi"},</v>
      </c>
      <c r="IY12" s="48">
        <v>1481</v>
      </c>
    </row>
    <row r="13" spans="1:259" s="48" customFormat="1" ht="38.4" customHeight="1" thickBot="1" x14ac:dyDescent="0.35">
      <c r="A13" s="81" t="s">
        <v>814</v>
      </c>
      <c r="B13" s="40" t="e" vm="79">
        <v>#VALUE!</v>
      </c>
      <c r="C13" s="41">
        <v>3</v>
      </c>
      <c r="D13" s="42" t="s">
        <v>815</v>
      </c>
      <c r="E13" s="43" t="s">
        <v>816</v>
      </c>
      <c r="F13" s="44" t="s">
        <v>166</v>
      </c>
      <c r="G13" s="45">
        <f>COUNTIF($A$1:$A$8354,A13)</f>
        <v>1</v>
      </c>
      <c r="H13" s="46" t="s">
        <v>809</v>
      </c>
      <c r="I13" s="47" t="s">
        <v>817</v>
      </c>
      <c r="J13" s="48" t="str">
        <f>""</f>
        <v/>
      </c>
      <c r="K13" s="49"/>
      <c r="L13" s="50"/>
      <c r="M13" s="50"/>
      <c r="N13" s="51" t="s">
        <v>169</v>
      </c>
      <c r="O13" s="52">
        <v>2009</v>
      </c>
      <c r="P13" s="53" t="s">
        <v>818</v>
      </c>
      <c r="Q13" s="54">
        <v>3</v>
      </c>
      <c r="R13" s="55" t="s">
        <v>169</v>
      </c>
      <c r="S13" s="56">
        <v>3</v>
      </c>
      <c r="T13" s="57" t="s">
        <v>173</v>
      </c>
      <c r="U13" s="58" t="s">
        <v>173</v>
      </c>
      <c r="V13" s="58" t="s">
        <v>172</v>
      </c>
      <c r="W13" s="58" t="s">
        <v>173</v>
      </c>
      <c r="X13" s="58" t="s">
        <v>172</v>
      </c>
      <c r="Y13" s="58" t="s">
        <v>173</v>
      </c>
      <c r="Z13" s="58" t="s">
        <v>173</v>
      </c>
      <c r="AA13" s="58" t="s">
        <v>172</v>
      </c>
      <c r="AB13" s="58" t="s">
        <v>173</v>
      </c>
      <c r="AC13" s="58" t="s">
        <v>173</v>
      </c>
      <c r="AD13" s="58" t="s">
        <v>173</v>
      </c>
      <c r="AE13" s="58" t="s">
        <v>173</v>
      </c>
      <c r="AF13" s="59" t="s">
        <v>173</v>
      </c>
      <c r="AG13" s="59" t="s">
        <v>173</v>
      </c>
      <c r="AH13" s="59" t="s">
        <v>173</v>
      </c>
      <c r="AI13" s="59" t="s">
        <v>173</v>
      </c>
      <c r="AJ13" s="59" t="s">
        <v>173</v>
      </c>
      <c r="AK13" s="59" t="s">
        <v>173</v>
      </c>
      <c r="AL13" s="59" t="s">
        <v>173</v>
      </c>
      <c r="AM13" s="59" t="s">
        <v>173</v>
      </c>
      <c r="AN13" s="59" t="s">
        <v>173</v>
      </c>
      <c r="AO13" s="59" t="s">
        <v>173</v>
      </c>
      <c r="AP13" s="59" t="s">
        <v>173</v>
      </c>
      <c r="AQ13" s="59" t="s">
        <v>173</v>
      </c>
      <c r="AR13" s="59" t="s">
        <v>173</v>
      </c>
      <c r="AS13" s="59" t="s">
        <v>173</v>
      </c>
      <c r="AT13" s="60">
        <v>0</v>
      </c>
      <c r="AU13" s="59" t="s">
        <v>670</v>
      </c>
      <c r="AV13" s="59" t="str">
        <f>IF(LEFT(A13,1)="[",LEFT(A13,5)&amp;AU13&amp;A13,"")</f>
        <v>[NZE]People[NZE] National Maori Flag</v>
      </c>
      <c r="AW13" s="59" t="str">
        <f>C13&amp;H13&amp;A13</f>
        <v>3[NZE] Other[NZE] National Maori Flag</v>
      </c>
      <c r="AX13" s="61"/>
      <c r="AY13" s="61"/>
      <c r="AZ13" s="62" t="s">
        <v>159</v>
      </c>
      <c r="BA13" s="62" t="s">
        <v>192</v>
      </c>
      <c r="BB13" s="62"/>
      <c r="BC13" s="63"/>
      <c r="BD13" s="64" t="s">
        <v>408</v>
      </c>
      <c r="BE13" s="47"/>
      <c r="BF13" s="64" t="s">
        <v>151</v>
      </c>
      <c r="BG13" s="64" t="s">
        <v>154</v>
      </c>
      <c r="BH13" s="64" t="s">
        <v>155</v>
      </c>
      <c r="BI13" s="64"/>
      <c r="BJ13" s="64"/>
      <c r="BK13" s="47"/>
      <c r="BL13" s="64" t="s">
        <v>151</v>
      </c>
      <c r="BM13" s="64" t="s">
        <v>192</v>
      </c>
      <c r="BN13" s="64" t="s">
        <v>153</v>
      </c>
      <c r="BO13" s="64" t="s">
        <v>154</v>
      </c>
      <c r="BP13" s="64" t="s">
        <v>155</v>
      </c>
      <c r="BQ13" s="64" t="s">
        <v>156</v>
      </c>
      <c r="BR13" s="64" t="s">
        <v>157</v>
      </c>
      <c r="BS13" s="64" t="s">
        <v>192</v>
      </c>
      <c r="BT13" s="64" t="s">
        <v>159</v>
      </c>
      <c r="BU13" s="65"/>
      <c r="BV13" s="66"/>
      <c r="BW13" s="66">
        <v>0</v>
      </c>
      <c r="BX13" s="47"/>
      <c r="CB13" s="6"/>
      <c r="CC13" s="6"/>
      <c r="CD13" s="67">
        <v>0</v>
      </c>
      <c r="CE13" s="67">
        <v>0</v>
      </c>
      <c r="CF13" s="67" t="e">
        <v>#REF!</v>
      </c>
      <c r="CG13" s="68" cm="1">
        <f t="array" ref="CG13">SUMPRODUCT(--(LEN(TRIM(BL13:BT13))&gt;0))</f>
        <v>7</v>
      </c>
      <c r="CH13" s="59" t="str">
        <f t="shared" si="103"/>
        <v>n</v>
      </c>
      <c r="CI13" s="59" t="str">
        <f t="shared" si="104"/>
        <v>n</v>
      </c>
      <c r="CJ13" s="59" t="str">
        <f t="shared" si="105"/>
        <v>n</v>
      </c>
      <c r="CK13" s="59" t="str">
        <f t="shared" si="106"/>
        <v>y</v>
      </c>
      <c r="CL13" s="59" t="str">
        <f t="shared" si="107"/>
        <v>n</v>
      </c>
      <c r="CM13" s="59" t="str">
        <f t="shared" si="108"/>
        <v>n</v>
      </c>
      <c r="CN13" s="59" t="str">
        <f t="shared" si="109"/>
        <v>y</v>
      </c>
      <c r="CO13" s="59" t="str">
        <f t="shared" si="110"/>
        <v>n</v>
      </c>
      <c r="CP13" s="59" t="str">
        <f t="shared" si="111"/>
        <v>y</v>
      </c>
      <c r="CQ13" s="59" t="str">
        <f t="shared" si="112"/>
        <v>n</v>
      </c>
      <c r="CR13" s="59" t="str">
        <f t="shared" si="113"/>
        <v>n</v>
      </c>
      <c r="CS13" s="59" t="str">
        <f t="shared" si="114"/>
        <v>n</v>
      </c>
      <c r="CT13" s="69" t="str">
        <f t="shared" si="115"/>
        <v>"[NZE] National Maori Flag"</v>
      </c>
      <c r="CU13" s="70" t="str">
        <f t="shared" si="116"/>
        <v>"rgn_Oceania"</v>
      </c>
      <c r="CV13" s="48" t="str">
        <f t="shared" si="117"/>
        <v>"https://upload.wikimedia.org/wikipedia/commons/thumb/3/30/Tino_Rangatiratanga_Maori_sovereignty_movement_flag.svg/640px-Tino_Rangatiratanga_Maori_sovereignty_movement_flag.svg.png"</v>
      </c>
      <c r="CW13" s="48" t="str">
        <f t="shared" si="15"/>
        <v/>
      </c>
      <c r="CX13" s="48" t="str">
        <f t="shared" si="15"/>
        <v/>
      </c>
      <c r="CY13" s="48" t="str">
        <f t="shared" si="15"/>
        <v/>
      </c>
      <c r="CZ13" s="48" t="str">
        <f t="shared" si="15"/>
        <v>"5+Colo",</v>
      </c>
      <c r="DA13" s="48" t="str">
        <f t="shared" si="118"/>
        <v>"words2",</v>
      </c>
      <c r="DB13" s="48" t="str">
        <f t="shared" si="119"/>
        <v>"words3",</v>
      </c>
      <c r="DD13" s="48" t="str">
        <f t="shared" si="120"/>
        <v>"lets17",</v>
      </c>
      <c r="DE13" s="48" t="str">
        <f t="shared" si="121"/>
        <v>"startN",</v>
      </c>
      <c r="DF13" s="48" t="str">
        <f t="shared" si="122"/>
        <v/>
      </c>
      <c r="DG13" s="48" t="str">
        <f t="shared" si="123"/>
        <v/>
      </c>
      <c r="DH13" s="48" t="str">
        <f t="shared" si="124"/>
        <v/>
      </c>
      <c r="DI13" s="48" t="str">
        <f t="shared" si="125"/>
        <v/>
      </c>
      <c r="DJ13" s="48" t="str">
        <f t="shared" si="126"/>
        <v/>
      </c>
      <c r="DK13" s="48" t="str">
        <f t="shared" si="127"/>
        <v>"with_z",</v>
      </c>
      <c r="DL13" s="48" t="str">
        <f t="shared" si="128"/>
        <v/>
      </c>
      <c r="DM13" s="48" t="str" cm="1">
        <f t="array" ref="DM13">IF(CG13=3,CHAR(34) &amp; _xlfn.TEXTJOIN("", TRUE, RIGHT(HP13:HX13, 2)) &amp; CHAR(34) &amp; ",", "")</f>
        <v/>
      </c>
      <c r="DN13" s="48" t="str">
        <f t="shared" si="129"/>
        <v/>
      </c>
      <c r="DO13" s="48" t="str">
        <f t="shared" si="130"/>
        <v/>
      </c>
      <c r="DP13" s="6" t="str">
        <f t="shared" si="131"/>
        <v>"year00",</v>
      </c>
      <c r="DQ13" s="6" t="str">
        <f t="shared" si="132"/>
        <v/>
      </c>
      <c r="DR13" s="6" t="str">
        <f t="shared" si="133"/>
        <v/>
      </c>
      <c r="DS13" s="6" t="str">
        <f t="shared" si="134"/>
        <v/>
      </c>
      <c r="DT13" s="6" t="str">
        <f t="shared" si="135"/>
        <v>"allhor",</v>
      </c>
      <c r="DU13" s="6" t="str">
        <f t="shared" si="136"/>
        <v/>
      </c>
      <c r="DW13" s="48" t="str">
        <f t="shared" si="37"/>
        <v/>
      </c>
      <c r="DX13" s="48" t="str">
        <f t="shared" si="37"/>
        <v/>
      </c>
      <c r="DY13" s="48" t="str">
        <f t="shared" si="37"/>
        <v>"3Bands",</v>
      </c>
      <c r="DZ13" s="48" t="str">
        <f t="shared" si="37"/>
        <v/>
      </c>
      <c r="EA13" s="48" t="str">
        <f t="shared" si="38"/>
        <v/>
      </c>
      <c r="EB13" s="48" t="str">
        <f t="shared" si="38"/>
        <v/>
      </c>
      <c r="EC13" s="48" t="str">
        <f t="shared" si="38"/>
        <v>"Horizo",</v>
      </c>
      <c r="ED13" s="48" t="str">
        <f t="shared" si="38"/>
        <v/>
      </c>
      <c r="EE13" s="48" t="str">
        <f t="shared" si="38"/>
        <v>"Circle",</v>
      </c>
      <c r="EF13" s="48" t="str">
        <f t="shared" si="137"/>
        <v/>
      </c>
      <c r="EG13" s="48" t="str">
        <f t="shared" si="40"/>
        <v/>
      </c>
      <c r="EH13" s="48" t="str">
        <f t="shared" si="40"/>
        <v>"Plants",</v>
      </c>
      <c r="EI13" s="48" t="str">
        <f t="shared" si="40"/>
        <v/>
      </c>
      <c r="EJ13" s="48" t="str">
        <f t="shared" si="40"/>
        <v/>
      </c>
      <c r="EK13" s="48" t="str">
        <f t="shared" si="40"/>
        <v/>
      </c>
      <c r="EL13" s="48" t="str">
        <f t="shared" si="40"/>
        <v/>
      </c>
      <c r="EM13" s="48" t="str">
        <f t="shared" si="40"/>
        <v/>
      </c>
      <c r="EN13" s="48" t="str">
        <f t="shared" si="40"/>
        <v/>
      </c>
      <c r="EO13" s="48" t="str">
        <f t="shared" si="40"/>
        <v/>
      </c>
      <c r="EP13" s="48" t="str">
        <f t="shared" si="40"/>
        <v/>
      </c>
      <c r="EQ13" s="48" t="str">
        <f t="shared" si="40"/>
        <v/>
      </c>
      <c r="ER13" s="48" t="str">
        <f t="shared" si="40"/>
        <v/>
      </c>
      <c r="ES13" s="48" t="str">
        <f t="shared" si="40"/>
        <v/>
      </c>
      <c r="ET13" s="48" t="str">
        <f t="shared" si="40"/>
        <v/>
      </c>
      <c r="EU13" s="48" t="str">
        <f t="shared" si="40"/>
        <v/>
      </c>
      <c r="EV13" s="48" t="str">
        <f t="shared" si="40"/>
        <v/>
      </c>
      <c r="EW13" s="48" t="str">
        <f t="shared" si="40"/>
        <v/>
      </c>
      <c r="EX13" s="48" t="str">
        <f t="shared" si="40"/>
        <v/>
      </c>
      <c r="EY13" s="48" t="str">
        <f t="shared" si="40"/>
        <v/>
      </c>
      <c r="EZ13" s="48" t="str">
        <f t="shared" si="40"/>
        <v/>
      </c>
      <c r="FA13" s="48" t="str">
        <f t="shared" si="138"/>
        <v/>
      </c>
      <c r="FB13" s="48" t="str">
        <f t="shared" si="139"/>
        <v/>
      </c>
      <c r="FD13" s="48" t="str">
        <f t="shared" si="140"/>
        <v/>
      </c>
      <c r="FE13" s="48" t="str">
        <f t="shared" si="141"/>
        <v>"NO_BLU",</v>
      </c>
      <c r="FF13" s="48" t="str">
        <f t="shared" si="142"/>
        <v/>
      </c>
      <c r="FG13" s="48" t="str">
        <f t="shared" si="143"/>
        <v/>
      </c>
      <c r="FH13" s="48" t="str">
        <f t="shared" si="144"/>
        <v/>
      </c>
      <c r="FI13" s="48" t="str">
        <f t="shared" si="145"/>
        <v/>
      </c>
      <c r="FJ13" s="48" t="str">
        <f t="shared" si="146"/>
        <v/>
      </c>
      <c r="FK13" s="48" t="str">
        <f t="shared" si="147"/>
        <v/>
      </c>
      <c r="FL13" s="48" t="str">
        <f t="shared" si="148"/>
        <v/>
      </c>
      <c r="FM13" s="48" t="str">
        <f t="shared" si="149"/>
        <v/>
      </c>
      <c r="FN13" s="48" t="str">
        <f t="shared" si="150"/>
        <v/>
      </c>
      <c r="FO13" s="48" t="str">
        <f t="shared" si="151"/>
        <v/>
      </c>
      <c r="FP13" s="48" t="str">
        <f t="shared" si="152"/>
        <v/>
      </c>
      <c r="FQ13" s="48" t="str">
        <f t="shared" si="153"/>
        <v>"001BLA",</v>
      </c>
      <c r="FR13" s="48" t="str">
        <f t="shared" si="154"/>
        <v>"002RED",</v>
      </c>
      <c r="FS13" s="48" t="str">
        <f t="shared" si="155"/>
        <v>"003YEL",</v>
      </c>
      <c r="FT13" s="48" t="str">
        <f t="shared" si="156"/>
        <v>"myrEQ",</v>
      </c>
      <c r="FU13" s="48" t="str">
        <f t="shared" si="157"/>
        <v/>
      </c>
      <c r="FV13" s="48" t="str">
        <f t="shared" si="158"/>
        <v/>
      </c>
      <c r="FW13" s="48" t="str">
        <f t="shared" si="159"/>
        <v/>
      </c>
      <c r="FY13" s="48" t="str">
        <f t="shared" si="160"/>
        <v/>
      </c>
      <c r="FZ13" s="48" t="str">
        <f t="shared" si="161"/>
        <v/>
      </c>
      <c r="GA13" s="48" t="str">
        <f t="shared" si="162"/>
        <v/>
      </c>
      <c r="GB13" s="48" t="str">
        <f t="shared" si="163"/>
        <v/>
      </c>
      <c r="GE13" s="48" t="str">
        <f t="shared" si="164"/>
        <v/>
      </c>
      <c r="GF13" s="48" t="str">
        <f t="shared" si="165"/>
        <v/>
      </c>
      <c r="GG13" s="48" t="str">
        <f t="shared" si="166"/>
        <v/>
      </c>
      <c r="GH13" s="48" t="str">
        <f t="shared" si="167"/>
        <v/>
      </c>
      <c r="GI13" s="48" t="str">
        <f t="shared" si="168"/>
        <v/>
      </c>
      <c r="GJ13" s="48" t="str">
        <f t="shared" si="169"/>
        <v>"NoStar",</v>
      </c>
      <c r="GK13" s="48" t="str">
        <f t="shared" si="170"/>
        <v/>
      </c>
      <c r="GL13" s="48" t="str">
        <f t="shared" si="77"/>
        <v/>
      </c>
      <c r="GM13" s="48" t="str">
        <f t="shared" si="77"/>
        <v/>
      </c>
      <c r="GN13" s="48" t="str">
        <f t="shared" si="77"/>
        <v/>
      </c>
      <c r="GP13" s="48" t="str">
        <f t="shared" si="171"/>
        <v>"People"</v>
      </c>
      <c r="GS13" s="48" t="str">
        <f t="shared" si="172"/>
        <v>["5+Colo","words2","words3","lets17","startN","with_z","year00","allhor","3Bands","Horizo","Circle","Plants","NO_BLU","001BLA","002RED","003YEL","myrEQ","NoStar"]</v>
      </c>
      <c r="GT13" s="48" t="str">
        <f t="shared" si="80"/>
        <v>"cl_BLA",</v>
      </c>
      <c r="GU13" s="48" t="str">
        <f t="shared" si="80"/>
        <v/>
      </c>
      <c r="GV13" s="48" t="str">
        <f t="shared" si="80"/>
        <v>"cl_GRE",</v>
      </c>
      <c r="GW13" s="48" t="str">
        <f t="shared" si="80"/>
        <v>"cl_RED",</v>
      </c>
      <c r="GX13" s="48" t="str">
        <f t="shared" si="80"/>
        <v>"cl_YEL",</v>
      </c>
      <c r="GY13" s="48" t="str">
        <f t="shared" si="80"/>
        <v>"cl_ORA",</v>
      </c>
      <c r="GZ13" s="48" t="str">
        <f t="shared" si="80"/>
        <v>"cl_BRO",</v>
      </c>
      <c r="HA13" s="48" t="str">
        <f t="shared" si="80"/>
        <v/>
      </c>
      <c r="HB13" s="48" t="str">
        <f t="shared" si="80"/>
        <v>"cl_WHI",</v>
      </c>
      <c r="HC13" s="48" t="str">
        <f t="shared" si="173"/>
        <v>["cl_BLA","cl_GRE","cl_RED","cl_YEL","cl_ORA","cl_BRO","cl_WHI"]</v>
      </c>
      <c r="HE13" s="71"/>
      <c r="HF13" s="72" t="str">
        <f t="shared" si="174"/>
        <v>{couname:"[NZE] National Maori Flag",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links: "https://en.wikipedia.org/wiki/National_Māori_flag"},</v>
      </c>
      <c r="HG13" s="73" t="str">
        <f t="shared" si="175"/>
        <v>{couname:"[NZE] National Maori Flag",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links: "https://en.wikipedia.org/wiki/National_Māori_flag"},</v>
      </c>
      <c r="HH13" s="48" t="str">
        <f t="shared" si="176"/>
        <v>"\nThe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v>
      </c>
      <c r="HI13" s="48" t="str">
        <f t="shared" si="177"/>
        <v>"\nThe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v>
      </c>
      <c r="HJ13" s="48" t="str">
        <f t="shared" si="178"/>
        <v>"2009"</v>
      </c>
      <c r="HL13" s="48" t="str">
        <f t="shared" si="179"/>
        <v>"https://en.wikipedia.org/wiki/National_Māori_flag"</v>
      </c>
      <c r="HM13" s="72" t="str">
        <f t="shared" si="180"/>
        <v>{"couname":"[NZE] National Maori Flag","subtype":"[NZE] Other","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 "links": "https://en.wikipedia.org/wiki/National_Māori_flag"},</v>
      </c>
      <c r="HN13" s="74" t="str">
        <f t="shared" si="181"/>
        <v>{"couname":"[NZE] National Maori Flag","subtype":"[NZE] Other","year":"2009","region":"rgn_Oceania","Colors":["cl_BLA","cl_GRE","cl_RED","cl_YEL","cl_ORA","cl_BRO","cl_WHI"],"Items":["5+Colo","words2","words3","lets17","startN","with_z","year00","allhor","3Bands","Horizo","Circle","Plants","NO_BLU","001BLA","002RED","003YEL","myrEQ","NoStar"],"Flag":"https://upload.wikimedia.org/wikipedia/commons/thumb/3/30/Tino_Rangatiratanga_Maori_sovereignty_movement_flag.svg/640px-Tino_Rangatiratanga_Maori_sovereignty_movement_flag.svg.png","HDFlag":"https://upload.wikimedia.org/wikipedia/commons/thumb/3/30/Tino_Rangatiratanga_Maori_sovereignty_movement_flag.svg/2560px-Tino_Rangatiratanga_Maori_sovereignty_movement_flag.svg.png","type":"People", "describe": "\nThe national Māori flag uses the national colours of New Zealand: black, red ochre, and white or silver. Each of the colours references a realm in the creation story of Māori mythology: black is Te Korekore (potential being), red is Te Whai Ao (coming into being), and white is Te Ao Mārama (the realm of being and light). The design features a koru (Māori for fern frond), a common design in Māori tattoo and sculpture. It symbolises renewal and hope for the future.", "isnew": ".", "links": "https://en.wikipedia.org/wiki/National_Māori_flag"},</v>
      </c>
      <c r="HO13" s="75">
        <v>45610</v>
      </c>
      <c r="HP13" s="48" t="str" cm="1">
        <f t="array" ref="HP13">IF(_xlfn.TEXTJOIN(", ", TRUE, IF(ISNUMBER(SEARCH("BLA", BL13:BT13)), COLUMN(BL13:BT13) - COLUMN(BL13) + 1, ""))&lt;&gt;"","BLA","")</f>
        <v>BLA</v>
      </c>
      <c r="HQ13" s="48" t="str" cm="1">
        <f t="array" ref="HQ13">IF(_xlfn.TEXTJOIN(", ", TRUE, IF(ISNUMBER(SEARCH("BLU", BL13:BT13)), COLUMN(BL13:BT13) - COLUMN(BL13) + 1, ""))&lt;&gt;"","BLU","")</f>
        <v/>
      </c>
      <c r="HR13" s="48" t="str" cm="1">
        <f t="array" ref="HR13">IF(_xlfn.TEXTJOIN(", ", TRUE, IF(ISNUMBER(SEARCH("GRE", BL13:BT13)), COLUMN(BL13:BT13) - COLUMN(BL13) + 1, ""))&lt;&gt;"","GRE","")</f>
        <v>GRE</v>
      </c>
      <c r="HS13" s="48" t="str" cm="1">
        <f t="array" ref="HS13">IF(_xlfn.TEXTJOIN(", ", TRUE, IF(ISNUMBER(SEARCH("RED", BL13:BT13)), COLUMN(BL13:BT13) - COLUMN(BL13) + 1, ""))&lt;&gt;"","RED","")</f>
        <v>RED</v>
      </c>
      <c r="HT13" s="48" t="str" cm="1">
        <f t="array" ref="HT13">IF(_xlfn.TEXTJOIN(", ", TRUE, IF(ISNUMBER(SEARCH("YEL", BL13:BT13)), COLUMN(BL13:BT13) - COLUMN(BL13) + 1, ""))&lt;&gt;"","YEL","")</f>
        <v>YEL</v>
      </c>
      <c r="HU13" s="48" t="str" cm="1">
        <f t="array" ref="HU13">IF(_xlfn.TEXTJOIN(", ", TRUE, IF(ISNUMBER(SEARCH("ORA", BL13:BT13)), COLUMN(BL13:BT13) - COLUMN(BL13) + 1, ""))&lt;&gt;"","ORA","")</f>
        <v>ORA</v>
      </c>
      <c r="HV13" s="48" t="str" cm="1">
        <f t="array" ref="HV13">IF(_xlfn.TEXTJOIN(", ", TRUE, IF(ISNUMBER(SEARCH("BRO", BL13:BT13)), COLUMN(BL13:BT13) - COLUMN(BL13) + 1, ""))&lt;&gt;"","BRO","")</f>
        <v>BRO</v>
      </c>
      <c r="HW13" s="48" t="str" cm="1">
        <f t="array" ref="HW13">IF(_xlfn.TEXTJOIN(", ", TRUE, IF(ISNUMBER(SEARCH("PUR", BL13:BT13)), COLUMN(BL13:BT13) - COLUMN(BL13) + 1, ""))&lt;&gt;"","PUR","")</f>
        <v/>
      </c>
      <c r="HX13" s="48" t="str" cm="1">
        <f t="array" ref="HX13">IF(_xlfn.TEXTJOIN(", ", TRUE, IF(ISNUMBER(SEARCH("WHI", BL13:BT13)), COLUMN(BL13:BT13) - COLUMN(BL13) + 1, ""))&lt;&gt;"","WHI","")</f>
        <v>WHI</v>
      </c>
      <c r="HY13" s="76"/>
      <c r="HZ13" s="76"/>
      <c r="IA13" s="6"/>
      <c r="IB13" s="6"/>
      <c r="IC13" s="77"/>
      <c r="ID13" s="77"/>
      <c r="IE13" s="77"/>
      <c r="IF13" s="77"/>
      <c r="IG13" s="77"/>
      <c r="IH13" s="77"/>
      <c r="II13" s="77"/>
      <c r="IJ13" s="77"/>
      <c r="IK13" s="77"/>
      <c r="IM13" s="45">
        <f t="shared" si="182"/>
        <v>-7</v>
      </c>
      <c r="IN13" s="78" t="str">
        <f t="shared" si="183"/>
        <v>http://mkweb.bcgsc.ca/color-summarizer/?url=https://upload.wikimedia.org/wikipedia/commons/thumb/3/30/Tino_Rangatiratanga_Maori_sovereignty_movement_flag.svg/640px-Tino_Rangatiratanga_Maori_sovereignty_movement_flag.svg.png&amp;precision=low&amp;num_clusters=7&amp;text=1</v>
      </c>
      <c r="IO13" s="48" t="str">
        <f t="shared" si="184"/>
        <v>"black"</v>
      </c>
      <c r="IP13" s="48" t="str">
        <f t="shared" si="185"/>
        <v/>
      </c>
      <c r="IQ13" s="48" t="str">
        <f t="shared" si="186"/>
        <v>"green"</v>
      </c>
      <c r="IR13" s="48" t="str">
        <f t="shared" si="187"/>
        <v>"red"</v>
      </c>
      <c r="IS13" s="48" t="str">
        <f t="shared" si="188"/>
        <v>"yellow"</v>
      </c>
      <c r="IT13" s="48" t="str">
        <f t="shared" si="189"/>
        <v>"orange"</v>
      </c>
      <c r="IU13" s="48" t="str">
        <f t="shared" si="190"/>
        <v>"brown"</v>
      </c>
      <c r="IV13" s="48" t="str">
        <f t="shared" si="191"/>
        <v/>
      </c>
      <c r="IW13" s="48" t="str">
        <f t="shared" si="192"/>
        <v>"white"</v>
      </c>
      <c r="IX13" s="48" t="str">
        <f t="shared" si="193"/>
        <v>{"url":"http://mkweb.bcgsc.ca/color-summarizer/?url=https://upload.wikimedia.org/wikipedia/commons/thumb/3/30/Tino_Rangatiratanga_Maori_sovereignty_movement_flag.svg/640px-Tino_Rangatiratanga_Maori_sovereignty_movement_flag.svg.png&amp;precision=low&amp;num_clusters=7&amp;text=1","name":"[NZE] National Maori Flag"},</v>
      </c>
      <c r="IY13" s="48">
        <v>1482</v>
      </c>
    </row>
    <row r="14" spans="1:259" s="48" customFormat="1" ht="38.4" customHeight="1" thickBot="1" x14ac:dyDescent="0.35">
      <c r="A14" s="81" t="s">
        <v>819</v>
      </c>
      <c r="B14" s="40" t="e" vm="80">
        <v>#VALUE!</v>
      </c>
      <c r="C14" s="41">
        <v>3</v>
      </c>
      <c r="D14" s="42" t="s">
        <v>820</v>
      </c>
      <c r="E14" s="43" t="s">
        <v>820</v>
      </c>
      <c r="F14" s="44" t="s">
        <v>166</v>
      </c>
      <c r="G14" s="45">
        <f>COUNTIF($A$1:$A$8354,A14)</f>
        <v>1</v>
      </c>
      <c r="H14" s="46" t="s">
        <v>809</v>
      </c>
      <c r="I14" s="47" t="s">
        <v>821</v>
      </c>
      <c r="J14" s="48" t="str">
        <f>""</f>
        <v/>
      </c>
      <c r="K14" s="49"/>
      <c r="L14" s="50"/>
      <c r="M14" s="50"/>
      <c r="N14" s="51" t="s">
        <v>169</v>
      </c>
      <c r="O14" s="52" t="s">
        <v>355</v>
      </c>
      <c r="P14" s="53" t="s">
        <v>822</v>
      </c>
      <c r="Q14" s="54">
        <v>1</v>
      </c>
      <c r="R14" s="55" t="s">
        <v>169</v>
      </c>
      <c r="S14" s="56">
        <v>0</v>
      </c>
      <c r="T14" s="57" t="s">
        <v>173</v>
      </c>
      <c r="U14" s="58" t="s">
        <v>173</v>
      </c>
      <c r="V14" s="58" t="s">
        <v>173</v>
      </c>
      <c r="W14" s="58" t="s">
        <v>173</v>
      </c>
      <c r="X14" s="58" t="s">
        <v>172</v>
      </c>
      <c r="Y14" s="58" t="s">
        <v>173</v>
      </c>
      <c r="Z14" s="58" t="s">
        <v>173</v>
      </c>
      <c r="AA14" s="58" t="s">
        <v>173</v>
      </c>
      <c r="AB14" s="58" t="s">
        <v>172</v>
      </c>
      <c r="AC14" s="58" t="s">
        <v>173</v>
      </c>
      <c r="AD14" s="58" t="s">
        <v>173</v>
      </c>
      <c r="AE14" s="58" t="s">
        <v>173</v>
      </c>
      <c r="AF14" s="59" t="s">
        <v>173</v>
      </c>
      <c r="AG14" s="59" t="s">
        <v>173</v>
      </c>
      <c r="AH14" s="59" t="s">
        <v>173</v>
      </c>
      <c r="AI14" s="59" t="s">
        <v>173</v>
      </c>
      <c r="AJ14" s="59" t="s">
        <v>173</v>
      </c>
      <c r="AK14" s="59" t="s">
        <v>173</v>
      </c>
      <c r="AL14" s="59" t="s">
        <v>173</v>
      </c>
      <c r="AM14" s="59" t="s">
        <v>172</v>
      </c>
      <c r="AN14" s="59" t="s">
        <v>173</v>
      </c>
      <c r="AO14" s="59" t="s">
        <v>173</v>
      </c>
      <c r="AP14" s="59" t="s">
        <v>173</v>
      </c>
      <c r="AQ14" s="59" t="s">
        <v>173</v>
      </c>
      <c r="AR14" s="59" t="s">
        <v>173</v>
      </c>
      <c r="AS14" s="59" t="s">
        <v>173</v>
      </c>
      <c r="AT14" s="60">
        <v>0</v>
      </c>
      <c r="AU14" s="59" t="s">
        <v>823</v>
      </c>
      <c r="AV14" s="59" t="str">
        <f>IF(LEFT(A14,1)="[",LEFT(A14,5)&amp;AU14&amp;A14,"")</f>
        <v>[NZE]Social[NZE] Tūhoe</v>
      </c>
      <c r="AW14" s="59" t="str">
        <f>C14&amp;H14&amp;A14</f>
        <v>3[NZE] Other[NZE] Tūhoe</v>
      </c>
      <c r="AX14" s="61"/>
      <c r="AY14" s="61"/>
      <c r="AZ14" s="62" t="s">
        <v>159</v>
      </c>
      <c r="BA14" s="62" t="s">
        <v>192</v>
      </c>
      <c r="BB14" s="62"/>
      <c r="BC14" s="63"/>
      <c r="BD14" s="64" t="s">
        <v>152</v>
      </c>
      <c r="BE14" s="47"/>
      <c r="BF14" s="64" t="s">
        <v>152</v>
      </c>
      <c r="BG14" s="64" t="s">
        <v>153</v>
      </c>
      <c r="BH14" s="64" t="s">
        <v>152</v>
      </c>
      <c r="BI14" s="64"/>
      <c r="BJ14" s="64"/>
      <c r="BK14" s="47"/>
      <c r="BL14" s="64" t="s">
        <v>151</v>
      </c>
      <c r="BM14" s="64" t="s">
        <v>152</v>
      </c>
      <c r="BN14" s="64" t="s">
        <v>153</v>
      </c>
      <c r="BO14" s="64" t="s">
        <v>192</v>
      </c>
      <c r="BP14" s="64" t="s">
        <v>155</v>
      </c>
      <c r="BQ14" s="64" t="s">
        <v>192</v>
      </c>
      <c r="BR14" s="64" t="s">
        <v>192</v>
      </c>
      <c r="BS14" s="64" t="s">
        <v>192</v>
      </c>
      <c r="BT14" s="64" t="s">
        <v>159</v>
      </c>
      <c r="BU14" s="65"/>
      <c r="BV14" s="66"/>
      <c r="BW14" s="66">
        <v>0</v>
      </c>
      <c r="BX14" s="47"/>
      <c r="CB14" s="6"/>
      <c r="CC14" s="6"/>
      <c r="CD14" s="67">
        <v>0</v>
      </c>
      <c r="CE14" s="67">
        <v>0</v>
      </c>
      <c r="CF14" s="67" t="e">
        <v>#REF!</v>
      </c>
      <c r="CG14" s="68" cm="1">
        <f t="array" ref="CG14">SUMPRODUCT(--(LEN(TRIM(BL14:BT14))&gt;0))</f>
        <v>5</v>
      </c>
      <c r="CH14" s="59" t="str">
        <f t="shared" si="103"/>
        <v>n</v>
      </c>
      <c r="CI14" s="59" t="str">
        <f t="shared" si="104"/>
        <v>n</v>
      </c>
      <c r="CJ14" s="59" t="str">
        <f t="shared" si="105"/>
        <v>n</v>
      </c>
      <c r="CK14" s="59" t="str">
        <f t="shared" si="106"/>
        <v>y</v>
      </c>
      <c r="CL14" s="59" t="str">
        <f t="shared" si="107"/>
        <v>y</v>
      </c>
      <c r="CM14" s="59" t="str">
        <f t="shared" si="108"/>
        <v>n</v>
      </c>
      <c r="CN14" s="59" t="str">
        <f t="shared" si="109"/>
        <v>n</v>
      </c>
      <c r="CO14" s="59" t="str">
        <f t="shared" si="110"/>
        <v>n</v>
      </c>
      <c r="CP14" s="59" t="str">
        <f t="shared" si="111"/>
        <v>y</v>
      </c>
      <c r="CQ14" s="59" t="str">
        <f t="shared" si="112"/>
        <v>n</v>
      </c>
      <c r="CR14" s="59" t="str">
        <f t="shared" si="113"/>
        <v>n</v>
      </c>
      <c r="CS14" s="59" t="str">
        <f t="shared" si="114"/>
        <v>n</v>
      </c>
      <c r="CT14" s="69" t="str">
        <f t="shared" si="115"/>
        <v>"[NZE] Tūhoe"</v>
      </c>
      <c r="CU14" s="70" t="str">
        <f t="shared" si="116"/>
        <v>"rgn_Oceania"</v>
      </c>
      <c r="CV14" s="48" t="str">
        <f t="shared" si="117"/>
        <v>"https://www.fotw.info/images/n/nz_tmmt2.gif"</v>
      </c>
      <c r="CW14" s="48" t="str">
        <f t="shared" si="15"/>
        <v/>
      </c>
      <c r="CX14" s="48" t="str">
        <f t="shared" si="15"/>
        <v/>
      </c>
      <c r="CY14" s="48" t="str">
        <f t="shared" si="15"/>
        <v/>
      </c>
      <c r="CZ14" s="48" t="str">
        <f t="shared" si="15"/>
        <v>"5+Colo",</v>
      </c>
      <c r="DA14" s="48" t="str">
        <f t="shared" si="118"/>
        <v/>
      </c>
      <c r="DB14" s="48" t="str">
        <f t="shared" si="119"/>
        <v/>
      </c>
      <c r="DD14" s="48" t="str">
        <f t="shared" si="120"/>
        <v>"lets05",</v>
      </c>
      <c r="DE14" s="48" t="str">
        <f t="shared" si="121"/>
        <v>"startT",</v>
      </c>
      <c r="DF14" s="48" t="str">
        <f t="shared" si="122"/>
        <v/>
      </c>
      <c r="DG14" s="48" t="str">
        <f t="shared" si="123"/>
        <v/>
      </c>
      <c r="DH14" s="48" t="str">
        <f t="shared" si="124"/>
        <v/>
      </c>
      <c r="DI14" s="48" t="str">
        <f t="shared" si="125"/>
        <v/>
      </c>
      <c r="DJ14" s="48" t="str">
        <f t="shared" si="126"/>
        <v/>
      </c>
      <c r="DK14" s="48" t="str">
        <f t="shared" si="127"/>
        <v>"with_z",</v>
      </c>
      <c r="DL14" s="48" t="str">
        <f t="shared" si="128"/>
        <v/>
      </c>
      <c r="DM14" s="48" t="str" cm="1">
        <f t="array" ref="DM14">IF(CG14=3,CHAR(34) &amp; _xlfn.TEXTJOIN("", TRUE, RIGHT(HP14:HX14, 2)) &amp; CHAR(34) &amp; ",", "")</f>
        <v/>
      </c>
      <c r="DN14" s="48" t="str">
        <f t="shared" si="129"/>
        <v/>
      </c>
      <c r="DO14" s="48" t="str">
        <f t="shared" si="130"/>
        <v/>
      </c>
      <c r="DP14" s="6" t="str">
        <f t="shared" si="131"/>
        <v/>
      </c>
      <c r="DQ14" s="6" t="str">
        <f t="shared" si="132"/>
        <v/>
      </c>
      <c r="DR14" s="6" t="str">
        <f t="shared" si="133"/>
        <v/>
      </c>
      <c r="DS14" s="6" t="str">
        <f t="shared" si="134"/>
        <v/>
      </c>
      <c r="DT14" s="6" t="str">
        <f t="shared" si="135"/>
        <v/>
      </c>
      <c r="DU14" s="6" t="str">
        <f t="shared" si="136"/>
        <v/>
      </c>
      <c r="DW14" s="48" t="str">
        <f t="shared" si="37"/>
        <v>"NoBand",</v>
      </c>
      <c r="DX14" s="48" t="str">
        <f t="shared" si="37"/>
        <v/>
      </c>
      <c r="DY14" s="48" t="str">
        <f t="shared" si="37"/>
        <v/>
      </c>
      <c r="DZ14" s="48" t="str">
        <f t="shared" si="37"/>
        <v/>
      </c>
      <c r="EA14" s="48" t="str">
        <f t="shared" si="38"/>
        <v/>
      </c>
      <c r="EB14" s="48" t="str">
        <f t="shared" si="38"/>
        <v/>
      </c>
      <c r="EC14" s="48" t="str">
        <f t="shared" si="38"/>
        <v/>
      </c>
      <c r="ED14" s="48" t="str">
        <f t="shared" si="38"/>
        <v/>
      </c>
      <c r="EE14" s="48" t="str">
        <f t="shared" si="38"/>
        <v>"Circle",</v>
      </c>
      <c r="EF14" s="48" t="str">
        <f t="shared" si="137"/>
        <v/>
      </c>
      <c r="EG14" s="48" t="str">
        <f t="shared" si="40"/>
        <v/>
      </c>
      <c r="EH14" s="48" t="str">
        <f t="shared" si="40"/>
        <v/>
      </c>
      <c r="EI14" s="48" t="str">
        <f t="shared" si="40"/>
        <v>"Texted",</v>
      </c>
      <c r="EJ14" s="48" t="str">
        <f t="shared" si="40"/>
        <v/>
      </c>
      <c r="EK14" s="48" t="str">
        <f t="shared" si="40"/>
        <v/>
      </c>
      <c r="EL14" s="48" t="str">
        <f t="shared" si="40"/>
        <v/>
      </c>
      <c r="EM14" s="48" t="str">
        <f t="shared" si="40"/>
        <v/>
      </c>
      <c r="EN14" s="48" t="str">
        <f t="shared" si="40"/>
        <v/>
      </c>
      <c r="EO14" s="48" t="str">
        <f t="shared" si="40"/>
        <v/>
      </c>
      <c r="EP14" s="48" t="str">
        <f t="shared" si="40"/>
        <v/>
      </c>
      <c r="EQ14" s="48" t="str">
        <f t="shared" si="40"/>
        <v/>
      </c>
      <c r="ER14" s="48" t="str">
        <f t="shared" si="40"/>
        <v/>
      </c>
      <c r="ES14" s="48" t="str">
        <f t="shared" si="40"/>
        <v/>
      </c>
      <c r="ET14" s="48" t="str">
        <f t="shared" si="40"/>
        <v>"Geogrh",</v>
      </c>
      <c r="EU14" s="48" t="str">
        <f t="shared" si="40"/>
        <v/>
      </c>
      <c r="EV14" s="48" t="str">
        <f t="shared" ref="EV14:EZ16" si="194">IF(AO14="y",CHAR(34)&amp;AO$1&amp;CHAR(34)&amp;",","")</f>
        <v/>
      </c>
      <c r="EW14" s="48" t="str">
        <f t="shared" si="194"/>
        <v/>
      </c>
      <c r="EX14" s="48" t="str">
        <f t="shared" si="194"/>
        <v/>
      </c>
      <c r="EY14" s="48" t="str">
        <f t="shared" si="194"/>
        <v/>
      </c>
      <c r="EZ14" s="48" t="str">
        <f t="shared" si="194"/>
        <v/>
      </c>
      <c r="FA14" s="48" t="str">
        <f t="shared" si="138"/>
        <v/>
      </c>
      <c r="FB14" s="48" t="str">
        <f t="shared" si="139"/>
        <v/>
      </c>
      <c r="FD14" s="48" t="str">
        <f t="shared" si="140"/>
        <v/>
      </c>
      <c r="FE14" s="48" t="str">
        <f t="shared" si="141"/>
        <v/>
      </c>
      <c r="FF14" s="48" t="str">
        <f t="shared" si="142"/>
        <v/>
      </c>
      <c r="FG14" s="48" t="str">
        <f t="shared" si="143"/>
        <v>"NO_RED",</v>
      </c>
      <c r="FH14" s="48" t="str">
        <f t="shared" si="144"/>
        <v/>
      </c>
      <c r="FI14" s="48" t="str">
        <f t="shared" si="145"/>
        <v/>
      </c>
      <c r="FJ14" s="48" t="str">
        <f t="shared" si="146"/>
        <v/>
      </c>
      <c r="FK14" s="48" t="str">
        <f t="shared" si="147"/>
        <v/>
      </c>
      <c r="FL14" s="48" t="str">
        <f t="shared" si="148"/>
        <v/>
      </c>
      <c r="FM14" s="48" t="str">
        <f t="shared" si="149"/>
        <v/>
      </c>
      <c r="FN14" s="48" t="str">
        <f t="shared" si="150"/>
        <v/>
      </c>
      <c r="FO14" s="48" t="str">
        <f t="shared" si="151"/>
        <v/>
      </c>
      <c r="FP14" s="48" t="str">
        <f t="shared" si="152"/>
        <v/>
      </c>
      <c r="FQ14" s="48" t="str">
        <f t="shared" si="153"/>
        <v>"001BLU",</v>
      </c>
      <c r="FR14" s="48" t="str">
        <f t="shared" si="154"/>
        <v>"002GRE",</v>
      </c>
      <c r="FS14" s="48" t="str">
        <f t="shared" si="155"/>
        <v>"003BLU",</v>
      </c>
      <c r="FT14" s="48" t="str">
        <f t="shared" si="156"/>
        <v>"myrBLU",</v>
      </c>
      <c r="FU14" s="48" t="str">
        <f t="shared" si="157"/>
        <v/>
      </c>
      <c r="FV14" s="48" t="str">
        <f t="shared" si="158"/>
        <v/>
      </c>
      <c r="FW14" s="48" t="str">
        <f t="shared" si="159"/>
        <v/>
      </c>
      <c r="FY14" s="48" t="str">
        <f t="shared" si="160"/>
        <v/>
      </c>
      <c r="FZ14" s="48" t="str">
        <f t="shared" si="161"/>
        <v/>
      </c>
      <c r="GA14" s="48" t="str">
        <f t="shared" si="162"/>
        <v/>
      </c>
      <c r="GB14" s="48" t="str">
        <f t="shared" si="163"/>
        <v/>
      </c>
      <c r="GE14" s="48" t="str">
        <f t="shared" si="164"/>
        <v/>
      </c>
      <c r="GF14" s="48" t="str">
        <f t="shared" si="165"/>
        <v/>
      </c>
      <c r="GG14" s="48" t="str">
        <f t="shared" si="166"/>
        <v/>
      </c>
      <c r="GH14" s="48" t="str">
        <f t="shared" si="167"/>
        <v/>
      </c>
      <c r="GI14" s="48" t="str">
        <f t="shared" si="168"/>
        <v/>
      </c>
      <c r="GJ14" s="48" t="str">
        <f t="shared" si="169"/>
        <v>"NoStar",</v>
      </c>
      <c r="GK14" s="48" t="str">
        <f t="shared" si="170"/>
        <v/>
      </c>
      <c r="GL14" s="48" t="str">
        <f t="shared" si="77"/>
        <v/>
      </c>
      <c r="GM14" s="48" t="str">
        <f t="shared" si="77"/>
        <v/>
      </c>
      <c r="GN14" s="48" t="str">
        <f t="shared" si="77"/>
        <v/>
      </c>
      <c r="GP14" s="48" t="str">
        <f t="shared" si="171"/>
        <v>"Social"</v>
      </c>
      <c r="GS14" s="48" t="str">
        <f t="shared" si="172"/>
        <v>["5+Colo","lets05","startT","with_z","NoBand","Circle","Texted","Geogrh","NO_RED","001BLU","002GRE","003BLU","myrBLU","NoStar"]</v>
      </c>
      <c r="GT14" s="48" t="str">
        <f t="shared" si="80"/>
        <v>"cl_BLA",</v>
      </c>
      <c r="GU14" s="48" t="str">
        <f t="shared" si="80"/>
        <v>"cl_BLU",</v>
      </c>
      <c r="GV14" s="48" t="str">
        <f t="shared" si="80"/>
        <v>"cl_GRE",</v>
      </c>
      <c r="GW14" s="48" t="str">
        <f t="shared" si="80"/>
        <v/>
      </c>
      <c r="GX14" s="48" t="str">
        <f t="shared" si="80"/>
        <v>"cl_YEL",</v>
      </c>
      <c r="GY14" s="48" t="str">
        <f t="shared" si="80"/>
        <v/>
      </c>
      <c r="GZ14" s="48" t="str">
        <f t="shared" si="80"/>
        <v/>
      </c>
      <c r="HA14" s="48" t="str">
        <f t="shared" si="80"/>
        <v/>
      </c>
      <c r="HB14" s="48" t="str">
        <f t="shared" si="80"/>
        <v>"cl_WHI",</v>
      </c>
      <c r="HC14" s="48" t="str">
        <f t="shared" si="173"/>
        <v>["cl_BLA","cl_BLU","cl_GRE","cl_YEL","cl_WHI"]</v>
      </c>
      <c r="HE14" s="71"/>
      <c r="HF14" s="72" t="str">
        <f t="shared" si="174"/>
        <v>{couname:"[NZE] Tūhoe",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links: "https://en.wikipedia.org/wiki/Ng%C4%81i_T%C5%ABhoe"},</v>
      </c>
      <c r="HG14" s="73" t="str">
        <f t="shared" si="175"/>
        <v>{couname:"[NZE] Tūhoe",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links: "https://en.wikipedia.org/wiki/Ng%C4%81i_T%C5%ABhoe"},</v>
      </c>
      <c r="HH14" s="48" t="str">
        <f t="shared" si="176"/>
        <v>"\nFlag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v>
      </c>
      <c r="HI14" s="48" t="str">
        <f t="shared" si="177"/>
        <v>"\nFlag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v>
      </c>
      <c r="HJ14" s="48" t="str">
        <f t="shared" si="178"/>
        <v>"???"</v>
      </c>
      <c r="HL14" s="48" t="str">
        <f t="shared" si="179"/>
        <v>"https://en.wikipedia.org/wiki/Ng%C4%81i_T%C5%ABhoe"</v>
      </c>
      <c r="HM14" s="72" t="str">
        <f t="shared" si="180"/>
        <v>{"couname":"[NZE] Tūhoe","subtype":"[NZE] Other","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 "links": "https://en.wikipedia.org/wiki/Ng%C4%81i_T%C5%ABhoe"},</v>
      </c>
      <c r="HN14" s="74" t="str">
        <f t="shared" si="181"/>
        <v>{"couname":"[NZE] Tūhoe","subtype":"[NZE] Other","year":"???","region":"rgn_Oceania","Colors":["cl_BLA","cl_BLU","cl_GRE","cl_YEL","cl_WHI"],"Items":["5+Colo","lets05","startT","with_z","NoBand","Circle","Texted","Geogrh","NO_RED","001BLU","002GRE","003BLU","myrBLU","NoStar"],"Flag":"https://www.fotw.info/images/n/nz_tmmt2.gif","HDFlag":"https://www.fotw.info/images/n/nz_tmmt2.gif","type":"Social", "describe": "\nFlag of the sovereignty movement of Tūhoe, a Māori iwi in the northeast of New Zealand's North Island. Black, white, and red are traditional Māori colours, with the green representing Te Urewera, the mountainous and heavily forested area which forms the core of Tūhoe's territory. The words 'Te Mana Motukahe o Tuhoe' (the sovereignty of Tūhoe) are written across the bottom of the flag.", "isnew": ".", "links": "https://en.wikipedia.org/wiki/Ng%C4%81i_T%C5%ABhoe"},</v>
      </c>
      <c r="HO14" s="75">
        <v>45610</v>
      </c>
      <c r="HP14" s="48" t="str" cm="1">
        <f t="array" ref="HP14">IF(_xlfn.TEXTJOIN(", ", TRUE, IF(ISNUMBER(SEARCH("BLA", BL14:BT14)), COLUMN(BL14:BT14) - COLUMN(BL14) + 1, ""))&lt;&gt;"","BLA","")</f>
        <v>BLA</v>
      </c>
      <c r="HQ14" s="48" t="str" cm="1">
        <f t="array" ref="HQ14">IF(_xlfn.TEXTJOIN(", ", TRUE, IF(ISNUMBER(SEARCH("BLU", BL14:BT14)), COLUMN(BL14:BT14) - COLUMN(BL14) + 1, ""))&lt;&gt;"","BLU","")</f>
        <v>BLU</v>
      </c>
      <c r="HR14" s="48" t="str" cm="1">
        <f t="array" ref="HR14">IF(_xlfn.TEXTJOIN(", ", TRUE, IF(ISNUMBER(SEARCH("GRE", BL14:BT14)), COLUMN(BL14:BT14) - COLUMN(BL14) + 1, ""))&lt;&gt;"","GRE","")</f>
        <v>GRE</v>
      </c>
      <c r="HS14" s="48" t="str" cm="1">
        <f t="array" ref="HS14">IF(_xlfn.TEXTJOIN(", ", TRUE, IF(ISNUMBER(SEARCH("RED", BL14:BT14)), COLUMN(BL14:BT14) - COLUMN(BL14) + 1, ""))&lt;&gt;"","RED","")</f>
        <v/>
      </c>
      <c r="HT14" s="48" t="str" cm="1">
        <f t="array" ref="HT14">IF(_xlfn.TEXTJOIN(", ", TRUE, IF(ISNUMBER(SEARCH("YEL", BL14:BT14)), COLUMN(BL14:BT14) - COLUMN(BL14) + 1, ""))&lt;&gt;"","YEL","")</f>
        <v>YEL</v>
      </c>
      <c r="HU14" s="48" t="str" cm="1">
        <f t="array" ref="HU14">IF(_xlfn.TEXTJOIN(", ", TRUE, IF(ISNUMBER(SEARCH("ORA", BL14:BT14)), COLUMN(BL14:BT14) - COLUMN(BL14) + 1, ""))&lt;&gt;"","ORA","")</f>
        <v/>
      </c>
      <c r="HV14" s="48" t="str" cm="1">
        <f t="array" ref="HV14">IF(_xlfn.TEXTJOIN(", ", TRUE, IF(ISNUMBER(SEARCH("BRO", BL14:BT14)), COLUMN(BL14:BT14) - COLUMN(BL14) + 1, ""))&lt;&gt;"","BRO","")</f>
        <v/>
      </c>
      <c r="HW14" s="48" t="str" cm="1">
        <f t="array" ref="HW14">IF(_xlfn.TEXTJOIN(", ", TRUE, IF(ISNUMBER(SEARCH("PUR", BL14:BT14)), COLUMN(BL14:BT14) - COLUMN(BL14) + 1, ""))&lt;&gt;"","PUR","")</f>
        <v/>
      </c>
      <c r="HX14" s="48" t="str" cm="1">
        <f t="array" ref="HX14">IF(_xlfn.TEXTJOIN(", ", TRUE, IF(ISNUMBER(SEARCH("WHI", BL14:BT14)), COLUMN(BL14:BT14) - COLUMN(BL14) + 1, ""))&lt;&gt;"","WHI","")</f>
        <v>WHI</v>
      </c>
      <c r="HY14" s="76"/>
      <c r="HZ14" s="76"/>
      <c r="IA14" s="6"/>
      <c r="IB14" s="6"/>
      <c r="IC14" s="77"/>
      <c r="ID14" s="77"/>
      <c r="IE14" s="77"/>
      <c r="IF14" s="77"/>
      <c r="IG14" s="77"/>
      <c r="IH14" s="77"/>
      <c r="II14" s="77"/>
      <c r="IJ14" s="77"/>
      <c r="IK14" s="77"/>
      <c r="IM14" s="45">
        <f t="shared" si="182"/>
        <v>-5</v>
      </c>
      <c r="IN14" s="78" t="str">
        <f t="shared" si="183"/>
        <v>http://mkweb.bcgsc.ca/color-summarizer/?url=https://www.fotw.info/images/n/nz_tmmt2.gif&amp;precision=low&amp;num_clusters=5&amp;text=1</v>
      </c>
      <c r="IO14" s="48" t="str">
        <f t="shared" si="184"/>
        <v>"black"</v>
      </c>
      <c r="IP14" s="48" t="str">
        <f t="shared" si="185"/>
        <v>"blue"</v>
      </c>
      <c r="IQ14" s="48" t="str">
        <f t="shared" si="186"/>
        <v>"green"</v>
      </c>
      <c r="IR14" s="48" t="str">
        <f t="shared" si="187"/>
        <v/>
      </c>
      <c r="IS14" s="48" t="str">
        <f t="shared" si="188"/>
        <v>"yellow"</v>
      </c>
      <c r="IT14" s="48" t="str">
        <f t="shared" si="189"/>
        <v/>
      </c>
      <c r="IU14" s="48" t="str">
        <f t="shared" si="190"/>
        <v/>
      </c>
      <c r="IV14" s="48" t="str">
        <f t="shared" si="191"/>
        <v/>
      </c>
      <c r="IW14" s="48" t="str">
        <f t="shared" si="192"/>
        <v>"white"</v>
      </c>
      <c r="IX14" s="48" t="str">
        <f t="shared" si="193"/>
        <v>{"url":"http://mkweb.bcgsc.ca/color-summarizer/?url=https://www.fotw.info/images/n/nz_tmmt2.gif&amp;precision=low&amp;num_clusters=5&amp;text=1","name":"[NZE] Tūhoe"},</v>
      </c>
      <c r="IY14" s="48">
        <v>1483</v>
      </c>
    </row>
    <row r="15" spans="1:259" s="48" customFormat="1" ht="38.4" customHeight="1" thickBot="1" x14ac:dyDescent="0.35">
      <c r="A15" s="81" t="s">
        <v>824</v>
      </c>
      <c r="B15" s="40" t="e" vm="81">
        <v>#VALUE!</v>
      </c>
      <c r="C15" s="41">
        <v>3</v>
      </c>
      <c r="D15" s="42" t="s">
        <v>825</v>
      </c>
      <c r="E15" s="43" t="s">
        <v>826</v>
      </c>
      <c r="F15" s="44" t="s">
        <v>166</v>
      </c>
      <c r="G15" s="45">
        <f>COUNTIF($A$1:$A$8354,A15)</f>
        <v>1</v>
      </c>
      <c r="H15" s="46" t="s">
        <v>809</v>
      </c>
      <c r="I15" s="47" t="s">
        <v>827</v>
      </c>
      <c r="J15" s="48" t="str">
        <f>""</f>
        <v/>
      </c>
      <c r="K15" s="49"/>
      <c r="L15" s="50"/>
      <c r="M15" s="50"/>
      <c r="N15" s="51" t="s">
        <v>169</v>
      </c>
      <c r="O15" s="52">
        <v>1834</v>
      </c>
      <c r="P15" s="53" t="s">
        <v>828</v>
      </c>
      <c r="Q15" s="54">
        <v>5</v>
      </c>
      <c r="R15" s="55" t="s">
        <v>169</v>
      </c>
      <c r="S15" s="56">
        <v>2</v>
      </c>
      <c r="T15" s="57" t="s">
        <v>173</v>
      </c>
      <c r="U15" s="58" t="s">
        <v>172</v>
      </c>
      <c r="V15" s="58" t="s">
        <v>172</v>
      </c>
      <c r="W15" s="58" t="s">
        <v>172</v>
      </c>
      <c r="X15" s="58" t="s">
        <v>173</v>
      </c>
      <c r="Y15" s="58" t="s">
        <v>173</v>
      </c>
      <c r="Z15" s="58" t="s">
        <v>173</v>
      </c>
      <c r="AA15" s="58" t="s">
        <v>173</v>
      </c>
      <c r="AB15" s="58" t="s">
        <v>173</v>
      </c>
      <c r="AC15" s="58" t="s">
        <v>173</v>
      </c>
      <c r="AD15" s="58" t="s">
        <v>173</v>
      </c>
      <c r="AE15" s="58" t="s">
        <v>173</v>
      </c>
      <c r="AF15" s="59" t="s">
        <v>173</v>
      </c>
      <c r="AG15" s="59" t="s">
        <v>173</v>
      </c>
      <c r="AH15" s="59" t="s">
        <v>173</v>
      </c>
      <c r="AI15" s="59" t="s">
        <v>172</v>
      </c>
      <c r="AJ15" s="59" t="s">
        <v>173</v>
      </c>
      <c r="AK15" s="59" t="s">
        <v>173</v>
      </c>
      <c r="AL15" s="59" t="s">
        <v>173</v>
      </c>
      <c r="AM15" s="59" t="s">
        <v>173</v>
      </c>
      <c r="AN15" s="59" t="s">
        <v>173</v>
      </c>
      <c r="AO15" s="59" t="s">
        <v>173</v>
      </c>
      <c r="AP15" s="59" t="s">
        <v>173</v>
      </c>
      <c r="AQ15" s="59" t="s">
        <v>173</v>
      </c>
      <c r="AR15" s="59" t="s">
        <v>173</v>
      </c>
      <c r="AS15" s="59" t="s">
        <v>173</v>
      </c>
      <c r="AT15" s="60">
        <v>4</v>
      </c>
      <c r="AU15" s="59" t="s">
        <v>677</v>
      </c>
      <c r="AV15" s="59" t="str">
        <f>IF(LEFT(A15,1)="[",LEFT(A15,5)&amp;AU15&amp;A15,"")</f>
        <v>[NZE]Historical[NZE] United Tribes of New Zealand (Black)</v>
      </c>
      <c r="AW15" s="59" t="str">
        <f>C15&amp;H15&amp;A15</f>
        <v>3[NZE] Other[NZE] United Tribes of New Zealand (Black)</v>
      </c>
      <c r="AX15" s="61"/>
      <c r="AY15" s="61"/>
      <c r="AZ15" s="62" t="s">
        <v>159</v>
      </c>
      <c r="BA15" s="62" t="s">
        <v>192</v>
      </c>
      <c r="BB15" s="62"/>
      <c r="BC15" s="63"/>
      <c r="BD15" s="64" t="s">
        <v>155</v>
      </c>
      <c r="BE15" s="47"/>
      <c r="BF15" s="64" t="s">
        <v>155</v>
      </c>
      <c r="BG15" s="64" t="s">
        <v>153</v>
      </c>
      <c r="BH15" s="64" t="s">
        <v>152</v>
      </c>
      <c r="BI15" s="64"/>
      <c r="BJ15" s="64"/>
      <c r="BK15" s="47"/>
      <c r="BL15" s="64" t="s">
        <v>192</v>
      </c>
      <c r="BM15" s="64" t="s">
        <v>152</v>
      </c>
      <c r="BN15" s="64" t="s">
        <v>153</v>
      </c>
      <c r="BO15" s="64" t="s">
        <v>192</v>
      </c>
      <c r="BP15" s="64" t="s">
        <v>155</v>
      </c>
      <c r="BQ15" s="64" t="s">
        <v>192</v>
      </c>
      <c r="BR15" s="64" t="s">
        <v>192</v>
      </c>
      <c r="BS15" s="64" t="s">
        <v>192</v>
      </c>
      <c r="BT15" s="64" t="s">
        <v>159</v>
      </c>
      <c r="BU15" s="65"/>
      <c r="BV15" s="66"/>
      <c r="BW15" s="66">
        <v>0</v>
      </c>
      <c r="BX15" s="47"/>
      <c r="CB15" s="6"/>
      <c r="CC15" s="6"/>
      <c r="CD15" s="67">
        <v>0</v>
      </c>
      <c r="CE15" s="67">
        <v>0</v>
      </c>
      <c r="CF15" s="67" t="e">
        <v>#REF!</v>
      </c>
      <c r="CG15" s="68" cm="1">
        <f t="array" ref="CG15">SUMPRODUCT(--(LEN(TRIM(BL15:BT15))&gt;0))</f>
        <v>4</v>
      </c>
      <c r="CH15" s="59" t="str">
        <f t="shared" si="103"/>
        <v>n</v>
      </c>
      <c r="CI15" s="59" t="str">
        <f t="shared" si="104"/>
        <v>n</v>
      </c>
      <c r="CJ15" s="59" t="str">
        <f t="shared" si="105"/>
        <v>y</v>
      </c>
      <c r="CK15" s="59" t="str">
        <f t="shared" si="106"/>
        <v>n</v>
      </c>
      <c r="CL15" s="59" t="str">
        <f t="shared" si="107"/>
        <v>n</v>
      </c>
      <c r="CM15" s="59" t="str">
        <f t="shared" si="108"/>
        <v>y</v>
      </c>
      <c r="CN15" s="59" t="str">
        <f t="shared" si="109"/>
        <v>n</v>
      </c>
      <c r="CO15" s="59" t="str">
        <f t="shared" si="110"/>
        <v>n</v>
      </c>
      <c r="CP15" s="59" t="str">
        <f t="shared" si="111"/>
        <v>n</v>
      </c>
      <c r="CQ15" s="59" t="str">
        <f t="shared" si="112"/>
        <v>n</v>
      </c>
      <c r="CR15" s="59" t="str">
        <f t="shared" si="113"/>
        <v>n</v>
      </c>
      <c r="CS15" s="59" t="str">
        <f t="shared" si="114"/>
        <v>y</v>
      </c>
      <c r="CT15" s="69" t="str">
        <f t="shared" si="115"/>
        <v>"[NZE] United Tribes of New Zealand (Black)"</v>
      </c>
      <c r="CU15" s="70" t="str">
        <f t="shared" si="116"/>
        <v>"rgn_Oceania"</v>
      </c>
      <c r="CV15" s="48" t="str">
        <f t="shared" si="117"/>
        <v>"https://upload.wikimedia.org/wikipedia/commons/thumb/8/82/UnitedTribesUnofficial.svg/640px-UnitedTribesUnofficial.svg.png"</v>
      </c>
      <c r="CW15" s="48" t="str">
        <f t="shared" si="15"/>
        <v/>
      </c>
      <c r="CX15" s="48" t="str">
        <f t="shared" si="15"/>
        <v/>
      </c>
      <c r="CY15" s="48" t="str">
        <f t="shared" si="15"/>
        <v>"4Color",</v>
      </c>
      <c r="CZ15" s="48" t="str">
        <f t="shared" si="15"/>
        <v/>
      </c>
      <c r="DA15" s="48" t="str">
        <f t="shared" si="118"/>
        <v>"words2",</v>
      </c>
      <c r="DB15" s="48" t="str">
        <f t="shared" si="119"/>
        <v>"words3",</v>
      </c>
      <c r="DD15" s="48" t="str">
        <f t="shared" si="120"/>
        <v>"lets31",</v>
      </c>
      <c r="DE15" s="48" t="str">
        <f t="shared" si="121"/>
        <v>"startU",</v>
      </c>
      <c r="DF15" s="48" t="str">
        <f t="shared" si="122"/>
        <v/>
      </c>
      <c r="DG15" s="48" t="str">
        <f t="shared" si="123"/>
        <v/>
      </c>
      <c r="DH15" s="48" t="str">
        <f t="shared" si="124"/>
        <v/>
      </c>
      <c r="DI15" s="48" t="str">
        <f t="shared" si="125"/>
        <v>"with_w",</v>
      </c>
      <c r="DJ15" s="48" t="str">
        <f t="shared" si="126"/>
        <v/>
      </c>
      <c r="DK15" s="48" t="str">
        <f t="shared" si="127"/>
        <v>"with_z",</v>
      </c>
      <c r="DL15" s="48" t="str">
        <f t="shared" si="128"/>
        <v/>
      </c>
      <c r="DM15" s="48" t="str" cm="1">
        <f t="array" ref="DM15">IF(CG15=3,CHAR(34) &amp; _xlfn.TEXTJOIN("", TRUE, RIGHT(HP15:HX15, 2)) &amp; CHAR(34) &amp; ",", "")</f>
        <v/>
      </c>
      <c r="DN15" s="48" t="str">
        <f t="shared" si="129"/>
        <v>"year18",</v>
      </c>
      <c r="DO15" s="48" t="str">
        <f t="shared" si="130"/>
        <v/>
      </c>
      <c r="DP15" s="6" t="str">
        <f t="shared" si="131"/>
        <v/>
      </c>
      <c r="DQ15" s="6" t="str">
        <f t="shared" si="132"/>
        <v/>
      </c>
      <c r="DR15" s="6" t="str">
        <f t="shared" si="133"/>
        <v/>
      </c>
      <c r="DS15" s="6" t="str">
        <f t="shared" si="134"/>
        <v/>
      </c>
      <c r="DT15" s="6" t="str">
        <f t="shared" si="135"/>
        <v/>
      </c>
      <c r="DU15" s="6" t="str">
        <f t="shared" si="136"/>
        <v/>
      </c>
      <c r="DW15" s="48" t="str">
        <f t="shared" si="37"/>
        <v/>
      </c>
      <c r="DX15" s="48" t="str">
        <f t="shared" si="37"/>
        <v>"2Bands",</v>
      </c>
      <c r="DY15" s="48" t="str">
        <f t="shared" si="37"/>
        <v/>
      </c>
      <c r="DZ15" s="48" t="str">
        <f t="shared" si="37"/>
        <v/>
      </c>
      <c r="EA15" s="48" t="str">
        <f t="shared" si="38"/>
        <v/>
      </c>
      <c r="EB15" s="48" t="str">
        <f t="shared" si="38"/>
        <v>"Crosse",</v>
      </c>
      <c r="EC15" s="48" t="str">
        <f t="shared" si="38"/>
        <v>"Horizo",</v>
      </c>
      <c r="ED15" s="48" t="str">
        <f t="shared" si="38"/>
        <v>"Vertic",</v>
      </c>
      <c r="EE15" s="48" t="str">
        <f t="shared" si="38"/>
        <v/>
      </c>
      <c r="EF15" s="48" t="str">
        <f t="shared" si="137"/>
        <v/>
      </c>
      <c r="EG15" s="48" t="str">
        <f t="shared" ref="EG15:EU16" si="195">IF(Z15="y",CHAR(34)&amp;Z$1&amp;CHAR(34)&amp;",","")</f>
        <v/>
      </c>
      <c r="EH15" s="48" t="str">
        <f t="shared" si="195"/>
        <v/>
      </c>
      <c r="EI15" s="48" t="str">
        <f t="shared" si="195"/>
        <v/>
      </c>
      <c r="EJ15" s="48" t="str">
        <f t="shared" si="195"/>
        <v/>
      </c>
      <c r="EK15" s="48" t="str">
        <f t="shared" si="195"/>
        <v/>
      </c>
      <c r="EL15" s="48" t="str">
        <f t="shared" si="195"/>
        <v/>
      </c>
      <c r="EM15" s="48" t="str">
        <f t="shared" si="195"/>
        <v/>
      </c>
      <c r="EN15" s="48" t="str">
        <f t="shared" si="195"/>
        <v/>
      </c>
      <c r="EO15" s="48" t="str">
        <f t="shared" si="195"/>
        <v/>
      </c>
      <c r="EP15" s="48" t="str">
        <f t="shared" si="195"/>
        <v>"Canton",</v>
      </c>
      <c r="EQ15" s="48" t="str">
        <f t="shared" si="195"/>
        <v/>
      </c>
      <c r="ER15" s="48" t="str">
        <f t="shared" si="195"/>
        <v/>
      </c>
      <c r="ES15" s="48" t="str">
        <f t="shared" si="195"/>
        <v/>
      </c>
      <c r="ET15" s="48" t="str">
        <f t="shared" si="195"/>
        <v/>
      </c>
      <c r="EU15" s="48" t="str">
        <f t="shared" si="195"/>
        <v/>
      </c>
      <c r="EV15" s="48" t="str">
        <f t="shared" si="194"/>
        <v/>
      </c>
      <c r="EW15" s="48" t="str">
        <f t="shared" si="194"/>
        <v/>
      </c>
      <c r="EX15" s="48" t="str">
        <f t="shared" si="194"/>
        <v/>
      </c>
      <c r="EY15" s="48" t="str">
        <f t="shared" si="194"/>
        <v/>
      </c>
      <c r="EZ15" s="48" t="str">
        <f t="shared" si="194"/>
        <v/>
      </c>
      <c r="FA15" s="48" t="str">
        <f t="shared" si="138"/>
        <v>"staWHI",</v>
      </c>
      <c r="FB15" s="48" t="str">
        <f t="shared" si="139"/>
        <v/>
      </c>
      <c r="FD15" s="48" t="str">
        <f t="shared" si="140"/>
        <v/>
      </c>
      <c r="FE15" s="48" t="str">
        <f t="shared" si="141"/>
        <v/>
      </c>
      <c r="FF15" s="48" t="str">
        <f t="shared" si="142"/>
        <v/>
      </c>
      <c r="FG15" s="48" t="str">
        <f t="shared" si="143"/>
        <v>"NO_RED",</v>
      </c>
      <c r="FH15" s="48" t="str">
        <f t="shared" si="144"/>
        <v/>
      </c>
      <c r="FI15" s="48" t="str">
        <f t="shared" si="145"/>
        <v/>
      </c>
      <c r="FJ15" s="48" t="str">
        <f t="shared" si="146"/>
        <v>"NO_BLA",</v>
      </c>
      <c r="FK15" s="48" t="str">
        <f t="shared" si="147"/>
        <v/>
      </c>
      <c r="FL15" s="48" t="str">
        <f t="shared" si="148"/>
        <v/>
      </c>
      <c r="FM15" s="48" t="str">
        <f t="shared" si="149"/>
        <v/>
      </c>
      <c r="FN15" s="48" t="str">
        <f t="shared" si="150"/>
        <v/>
      </c>
      <c r="FO15" s="48" t="str">
        <f t="shared" si="151"/>
        <v/>
      </c>
      <c r="FP15" s="48" t="str">
        <f t="shared" si="152"/>
        <v/>
      </c>
      <c r="FQ15" s="48" t="str">
        <f t="shared" si="153"/>
        <v>"001YEL",</v>
      </c>
      <c r="FR15" s="48" t="str">
        <f t="shared" si="154"/>
        <v>"002GRE",</v>
      </c>
      <c r="FS15" s="48" t="str">
        <f t="shared" si="155"/>
        <v>"003BLU",</v>
      </c>
      <c r="FT15" s="48" t="str">
        <f t="shared" si="156"/>
        <v>"myrYEL",</v>
      </c>
      <c r="FU15" s="48" t="str">
        <f t="shared" si="157"/>
        <v/>
      </c>
      <c r="FV15" s="48" t="str">
        <f t="shared" si="158"/>
        <v/>
      </c>
      <c r="FW15" s="48" t="str">
        <f t="shared" si="159"/>
        <v/>
      </c>
      <c r="FY15" s="48" t="str">
        <f t="shared" si="160"/>
        <v/>
      </c>
      <c r="FZ15" s="48" t="str">
        <f t="shared" si="161"/>
        <v/>
      </c>
      <c r="GA15" s="48" t="str">
        <f t="shared" si="162"/>
        <v/>
      </c>
      <c r="GB15" s="48" t="str">
        <f t="shared" si="163"/>
        <v/>
      </c>
      <c r="GE15" s="48" t="str">
        <f t="shared" si="164"/>
        <v/>
      </c>
      <c r="GF15" s="48" t="str">
        <f t="shared" si="165"/>
        <v>"histor",</v>
      </c>
      <c r="GG15" s="48" t="str">
        <f t="shared" si="166"/>
        <v/>
      </c>
      <c r="GH15" s="48" t="str">
        <f t="shared" si="167"/>
        <v/>
      </c>
      <c r="GI15" s="48" t="str">
        <f t="shared" si="168"/>
        <v/>
      </c>
      <c r="GJ15" s="48" t="str">
        <f t="shared" si="169"/>
        <v/>
      </c>
      <c r="GK15" s="48" t="str">
        <f t="shared" si="170"/>
        <v>"HasSta",</v>
      </c>
      <c r="GL15" s="48" t="str">
        <f t="shared" si="77"/>
        <v/>
      </c>
      <c r="GM15" s="48" t="str">
        <f t="shared" si="77"/>
        <v/>
      </c>
      <c r="GN15" s="48" t="str">
        <f t="shared" si="77"/>
        <v>"3+Star",</v>
      </c>
      <c r="GP15" s="48" t="str">
        <f t="shared" si="171"/>
        <v>"Historical"</v>
      </c>
      <c r="GS15" s="48" t="str">
        <f t="shared" si="172"/>
        <v>["4Color","words2","words3","lets31","startU","with_w","with_z","year18","2Bands","Crosse","Horizo","Vertic","Canton","staWHI","NO_RED","NO_BLA","001YEL","002GRE","003BLU","myrYEL","histor","HasSta","3+Star"]</v>
      </c>
      <c r="GT15" s="48" t="str">
        <f t="shared" si="80"/>
        <v/>
      </c>
      <c r="GU15" s="48" t="str">
        <f t="shared" si="80"/>
        <v>"cl_BLU",</v>
      </c>
      <c r="GV15" s="48" t="str">
        <f t="shared" si="80"/>
        <v>"cl_GRE",</v>
      </c>
      <c r="GW15" s="48" t="str">
        <f t="shared" si="80"/>
        <v/>
      </c>
      <c r="GX15" s="48" t="str">
        <f t="shared" si="80"/>
        <v>"cl_YEL",</v>
      </c>
      <c r="GY15" s="48" t="str">
        <f t="shared" si="80"/>
        <v/>
      </c>
      <c r="GZ15" s="48" t="str">
        <f t="shared" si="80"/>
        <v/>
      </c>
      <c r="HA15" s="48" t="str">
        <f t="shared" si="80"/>
        <v/>
      </c>
      <c r="HB15" s="48" t="str">
        <f t="shared" si="80"/>
        <v>"cl_WHI",</v>
      </c>
      <c r="HC15" s="48" t="str">
        <f t="shared" si="173"/>
        <v>["cl_BLU","cl_GRE","cl_YEL","cl_WHI"]</v>
      </c>
      <c r="HE15" s="71"/>
      <c r="HF15" s="72" t="str">
        <f t="shared" si="174"/>
        <v>{couname:"[NZE] United Tribes of New Zealand (Black)",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links: "https://en.wikipedia.org/wiki/Flag_of_the_United_Tribes_of_New_Zealand"},</v>
      </c>
      <c r="HG15" s="73" t="str">
        <f t="shared" si="175"/>
        <v>{couname:"[NZE] United Tribes of New Zealand (Black)",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links: "https://en.wikipedia.org/wiki/Flag_of_the_United_Tribes_of_New_Zealand"},</v>
      </c>
      <c r="HH15" s="48" t="str">
        <f t="shared" si="176"/>
        <v>"\nA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v>
      </c>
      <c r="HI15" s="48" t="str">
        <f t="shared" si="177"/>
        <v>"\nA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v>
      </c>
      <c r="HJ15" s="48" t="str">
        <f t="shared" si="178"/>
        <v>"1834"</v>
      </c>
      <c r="HL15" s="48" t="str">
        <f t="shared" si="179"/>
        <v>"https://en.wikipedia.org/wiki/Flag_of_the_United_Tribes_of_New_Zealand"</v>
      </c>
      <c r="HM15" s="72" t="str">
        <f t="shared" si="180"/>
        <v>{"couname":"[NZE] United Tribes of New Zealand (Black)","subtype":"[NZE] Other","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 "links": "https://en.wikipedia.org/wiki/Flag_of_the_United_Tribes_of_New_Zealand"},</v>
      </c>
      <c r="HN15" s="74" t="str">
        <f t="shared" si="181"/>
        <v>{"couname":"[NZE] United Tribes of New Zealand (Black)","subtype":"[NZE] Other","year":"1834","region":"rgn_Oceania","Colors":["cl_BLU","cl_GRE","cl_YEL","cl_WHI"],"Items":["4Color","words2","words3","lets31","startU","with_w","with_z","year18","2Bands","Crosse","Horizo","Vertic","Canton","staWHI","NO_RED","NO_BLA","001YEL","002GRE","003BLU","myrYEL","histor","HasSta","3+Star"],"Flag":"https://upload.wikimedia.org/wikipedia/commons/thumb/8/82/UnitedTribesUnofficial.svg/640px-UnitedTribesUnofficial.svg.png","HDFlag":"https://upload.wikimedia.org/wikipedia/commons/thumb/8/82/UnitedTribesUnofficial.svg/2560px-UnitedTribesUnofficial.svg.png","type":"Historical", "describe": "\nA variant United Tribes flag design consisting of a St. George's cross with the canton consisting of a blue field, another St. George's cross with black fimbriation, and a white, eight-pointed star in each of the quarters. The St. George's cross may represent the designer's affiliation with the Church of England, while the stars represent either the Southern Cross or the stars of England. The variant design continues to be used by Māori groups to this day", "isnew": ".", "links": "https://en.wikipedia.org/wiki/Flag_of_the_United_Tribes_of_New_Zealand"},</v>
      </c>
      <c r="HO15" s="75">
        <v>45610</v>
      </c>
      <c r="HP15" s="48" t="str" cm="1">
        <f t="array" ref="HP15">IF(_xlfn.TEXTJOIN(", ", TRUE, IF(ISNUMBER(SEARCH("BLA", BL15:BT15)), COLUMN(BL15:BT15) - COLUMN(BL15) + 1, ""))&lt;&gt;"","BLA","")</f>
        <v/>
      </c>
      <c r="HQ15" s="48" t="str" cm="1">
        <f t="array" ref="HQ15">IF(_xlfn.TEXTJOIN(", ", TRUE, IF(ISNUMBER(SEARCH("BLU", BL15:BT15)), COLUMN(BL15:BT15) - COLUMN(BL15) + 1, ""))&lt;&gt;"","BLU","")</f>
        <v>BLU</v>
      </c>
      <c r="HR15" s="48" t="str" cm="1">
        <f t="array" ref="HR15">IF(_xlfn.TEXTJOIN(", ", TRUE, IF(ISNUMBER(SEARCH("GRE", BL15:BT15)), COLUMN(BL15:BT15) - COLUMN(BL15) + 1, ""))&lt;&gt;"","GRE","")</f>
        <v>GRE</v>
      </c>
      <c r="HS15" s="48" t="str" cm="1">
        <f t="array" ref="HS15">IF(_xlfn.TEXTJOIN(", ", TRUE, IF(ISNUMBER(SEARCH("RED", BL15:BT15)), COLUMN(BL15:BT15) - COLUMN(BL15) + 1, ""))&lt;&gt;"","RED","")</f>
        <v/>
      </c>
      <c r="HT15" s="48" t="str" cm="1">
        <f t="array" ref="HT15">IF(_xlfn.TEXTJOIN(", ", TRUE, IF(ISNUMBER(SEARCH("YEL", BL15:BT15)), COLUMN(BL15:BT15) - COLUMN(BL15) + 1, ""))&lt;&gt;"","YEL","")</f>
        <v>YEL</v>
      </c>
      <c r="HU15" s="48" t="str" cm="1">
        <f t="array" ref="HU15">IF(_xlfn.TEXTJOIN(", ", TRUE, IF(ISNUMBER(SEARCH("ORA", BL15:BT15)), COLUMN(BL15:BT15) - COLUMN(BL15) + 1, ""))&lt;&gt;"","ORA","")</f>
        <v/>
      </c>
      <c r="HV15" s="48" t="str" cm="1">
        <f t="array" ref="HV15">IF(_xlfn.TEXTJOIN(", ", TRUE, IF(ISNUMBER(SEARCH("BRO", BL15:BT15)), COLUMN(BL15:BT15) - COLUMN(BL15) + 1, ""))&lt;&gt;"","BRO","")</f>
        <v/>
      </c>
      <c r="HW15" s="48" t="str" cm="1">
        <f t="array" ref="HW15">IF(_xlfn.TEXTJOIN(", ", TRUE, IF(ISNUMBER(SEARCH("PUR", BL15:BT15)), COLUMN(BL15:BT15) - COLUMN(BL15) + 1, ""))&lt;&gt;"","PUR","")</f>
        <v/>
      </c>
      <c r="HX15" s="48" t="str" cm="1">
        <f t="array" ref="HX15">IF(_xlfn.TEXTJOIN(", ", TRUE, IF(ISNUMBER(SEARCH("WHI", BL15:BT15)), COLUMN(BL15:BT15) - COLUMN(BL15) + 1, ""))&lt;&gt;"","WHI","")</f>
        <v>WHI</v>
      </c>
      <c r="HY15" s="76"/>
      <c r="HZ15" s="76"/>
      <c r="IA15" s="6"/>
      <c r="IB15" s="6"/>
      <c r="IC15" s="77"/>
      <c r="ID15" s="77"/>
      <c r="IE15" s="77"/>
      <c r="IF15" s="77"/>
      <c r="IG15" s="77"/>
      <c r="IH15" s="77"/>
      <c r="II15" s="77"/>
      <c r="IJ15" s="77"/>
      <c r="IK15" s="77"/>
      <c r="IM15" s="45">
        <f t="shared" si="182"/>
        <v>-4</v>
      </c>
      <c r="IN15" s="78" t="str">
        <f t="shared" si="183"/>
        <v>http://mkweb.bcgsc.ca/color-summarizer/?url=https://upload.wikimedia.org/wikipedia/commons/thumb/8/82/UnitedTribesUnofficial.svg/640px-UnitedTribesUnofficial.svg.png&amp;precision=low&amp;num_clusters=4&amp;text=1</v>
      </c>
      <c r="IO15" s="48" t="str">
        <f t="shared" si="184"/>
        <v/>
      </c>
      <c r="IP15" s="48" t="str">
        <f t="shared" si="185"/>
        <v>"blue"</v>
      </c>
      <c r="IQ15" s="48" t="str">
        <f t="shared" si="186"/>
        <v>"green"</v>
      </c>
      <c r="IR15" s="48" t="str">
        <f t="shared" si="187"/>
        <v/>
      </c>
      <c r="IS15" s="48" t="str">
        <f t="shared" si="188"/>
        <v>"yellow"</v>
      </c>
      <c r="IT15" s="48" t="str">
        <f t="shared" si="189"/>
        <v/>
      </c>
      <c r="IU15" s="48" t="str">
        <f t="shared" si="190"/>
        <v/>
      </c>
      <c r="IV15" s="48" t="str">
        <f t="shared" si="191"/>
        <v/>
      </c>
      <c r="IW15" s="48" t="str">
        <f t="shared" si="192"/>
        <v>"white"</v>
      </c>
      <c r="IX15" s="48" t="str">
        <f t="shared" si="193"/>
        <v>{"url":"http://mkweb.bcgsc.ca/color-summarizer/?url=https://upload.wikimedia.org/wikipedia/commons/thumb/8/82/UnitedTribesUnofficial.svg/640px-UnitedTribesUnofficial.svg.png&amp;precision=low&amp;num_clusters=4&amp;text=1","name":"[NZE] United Tribes of New Zealand (Black)"},</v>
      </c>
      <c r="IY15" s="48">
        <v>1484</v>
      </c>
    </row>
    <row r="16" spans="1:259" s="48" customFormat="1" ht="38.4" customHeight="1" thickBot="1" x14ac:dyDescent="0.35">
      <c r="A16" s="81" t="s">
        <v>829</v>
      </c>
      <c r="B16" s="40" t="e" vm="82">
        <v>#VALUE!</v>
      </c>
      <c r="C16" s="41">
        <v>3</v>
      </c>
      <c r="D16" s="42" t="s">
        <v>830</v>
      </c>
      <c r="E16" s="43" t="s">
        <v>831</v>
      </c>
      <c r="F16" s="44" t="s">
        <v>166</v>
      </c>
      <c r="G16" s="45">
        <f>COUNTIF($A$1:$A$8354,A16)</f>
        <v>1</v>
      </c>
      <c r="H16" s="46" t="s">
        <v>809</v>
      </c>
      <c r="I16" s="47" t="s">
        <v>827</v>
      </c>
      <c r="J16" s="48" t="str">
        <f>""</f>
        <v/>
      </c>
      <c r="K16" s="49"/>
      <c r="L16" s="50"/>
      <c r="M16" s="50"/>
      <c r="N16" s="51" t="s">
        <v>169</v>
      </c>
      <c r="O16" s="52">
        <v>1834</v>
      </c>
      <c r="P16" s="53" t="s">
        <v>832</v>
      </c>
      <c r="Q16" s="54">
        <v>5</v>
      </c>
      <c r="R16" s="55" t="s">
        <v>169</v>
      </c>
      <c r="S16" s="56">
        <v>2</v>
      </c>
      <c r="T16" s="57" t="s">
        <v>173</v>
      </c>
      <c r="U16" s="58" t="s">
        <v>172</v>
      </c>
      <c r="V16" s="58" t="s">
        <v>172</v>
      </c>
      <c r="W16" s="58" t="s">
        <v>172</v>
      </c>
      <c r="X16" s="58" t="s">
        <v>173</v>
      </c>
      <c r="Y16" s="58" t="s">
        <v>173</v>
      </c>
      <c r="Z16" s="58" t="s">
        <v>173</v>
      </c>
      <c r="AA16" s="58" t="s">
        <v>173</v>
      </c>
      <c r="AB16" s="58" t="s">
        <v>173</v>
      </c>
      <c r="AC16" s="58" t="s">
        <v>173</v>
      </c>
      <c r="AD16" s="58" t="s">
        <v>173</v>
      </c>
      <c r="AE16" s="58" t="s">
        <v>173</v>
      </c>
      <c r="AF16" s="59" t="s">
        <v>173</v>
      </c>
      <c r="AG16" s="59" t="s">
        <v>173</v>
      </c>
      <c r="AH16" s="59" t="s">
        <v>173</v>
      </c>
      <c r="AI16" s="59" t="s">
        <v>172</v>
      </c>
      <c r="AJ16" s="59" t="s">
        <v>173</v>
      </c>
      <c r="AK16" s="59" t="s">
        <v>173</v>
      </c>
      <c r="AL16" s="59" t="s">
        <v>173</v>
      </c>
      <c r="AM16" s="59" t="s">
        <v>173</v>
      </c>
      <c r="AN16" s="59" t="s">
        <v>173</v>
      </c>
      <c r="AO16" s="59" t="s">
        <v>173</v>
      </c>
      <c r="AP16" s="59" t="s">
        <v>173</v>
      </c>
      <c r="AQ16" s="59" t="s">
        <v>173</v>
      </c>
      <c r="AR16" s="59" t="s">
        <v>173</v>
      </c>
      <c r="AS16" s="59" t="s">
        <v>173</v>
      </c>
      <c r="AT16" s="60">
        <v>4</v>
      </c>
      <c r="AU16" s="59" t="s">
        <v>677</v>
      </c>
      <c r="AV16" s="59" t="str">
        <f>IF(LEFT(A16,1)="[",LEFT(A16,5)&amp;AU16&amp;A16,"")</f>
        <v>[NZE]Historical[NZE] United Tribes of New Zealand (White)</v>
      </c>
      <c r="AW16" s="59" t="str">
        <f>C16&amp;H16&amp;A16</f>
        <v>3[NZE] Other[NZE] United Tribes of New Zealand (White)</v>
      </c>
      <c r="AX16" s="61"/>
      <c r="AY16" s="61"/>
      <c r="AZ16" s="62" t="s">
        <v>192</v>
      </c>
      <c r="BA16" s="62" t="s">
        <v>192</v>
      </c>
      <c r="BB16" s="62"/>
      <c r="BC16" s="63"/>
      <c r="BD16" s="64" t="s">
        <v>152</v>
      </c>
      <c r="BE16" s="47"/>
      <c r="BF16" s="64" t="s">
        <v>152</v>
      </c>
      <c r="BG16" s="64" t="s">
        <v>159</v>
      </c>
      <c r="BH16" s="64" t="s">
        <v>153</v>
      </c>
      <c r="BI16" s="64"/>
      <c r="BJ16" s="64"/>
      <c r="BK16" s="47"/>
      <c r="BL16" s="64" t="s">
        <v>192</v>
      </c>
      <c r="BM16" s="64" t="s">
        <v>152</v>
      </c>
      <c r="BN16" s="64" t="s">
        <v>153</v>
      </c>
      <c r="BO16" s="64" t="s">
        <v>192</v>
      </c>
      <c r="BP16" s="64" t="s">
        <v>155</v>
      </c>
      <c r="BQ16" s="64" t="s">
        <v>192</v>
      </c>
      <c r="BR16" s="64" t="s">
        <v>192</v>
      </c>
      <c r="BS16" s="64" t="s">
        <v>192</v>
      </c>
      <c r="BT16" s="64" t="s">
        <v>159</v>
      </c>
      <c r="BU16" s="65"/>
      <c r="BV16" s="66"/>
      <c r="BW16" s="66">
        <v>0</v>
      </c>
      <c r="BX16" s="47"/>
      <c r="CB16" s="6"/>
      <c r="CC16" s="6"/>
      <c r="CD16" s="67">
        <v>0</v>
      </c>
      <c r="CE16" s="67">
        <v>0</v>
      </c>
      <c r="CF16" s="67" t="e">
        <v>#REF!</v>
      </c>
      <c r="CG16" s="68" cm="1">
        <f t="array" ref="CG16">SUMPRODUCT(--(LEN(TRIM(BL16:BT16))&gt;0))</f>
        <v>4</v>
      </c>
      <c r="CH16" s="59" t="str">
        <f t="shared" si="103"/>
        <v>n</v>
      </c>
      <c r="CI16" s="59" t="str">
        <f t="shared" si="104"/>
        <v>n</v>
      </c>
      <c r="CJ16" s="59" t="str">
        <f t="shared" si="105"/>
        <v>y</v>
      </c>
      <c r="CK16" s="59" t="str">
        <f t="shared" si="106"/>
        <v>n</v>
      </c>
      <c r="CL16" s="59" t="str">
        <f t="shared" si="107"/>
        <v>n</v>
      </c>
      <c r="CM16" s="59" t="str">
        <f t="shared" si="108"/>
        <v>y</v>
      </c>
      <c r="CN16" s="59" t="str">
        <f t="shared" si="109"/>
        <v>n</v>
      </c>
      <c r="CO16" s="59" t="str">
        <f t="shared" si="110"/>
        <v>n</v>
      </c>
      <c r="CP16" s="59" t="str">
        <f t="shared" si="111"/>
        <v>n</v>
      </c>
      <c r="CQ16" s="59" t="str">
        <f t="shared" si="112"/>
        <v>n</v>
      </c>
      <c r="CR16" s="59" t="str">
        <f t="shared" si="113"/>
        <v>n</v>
      </c>
      <c r="CS16" s="59" t="str">
        <f t="shared" si="114"/>
        <v>y</v>
      </c>
      <c r="CT16" s="69" t="str">
        <f t="shared" si="115"/>
        <v>"[NZE] United Tribes of New Zealand (White)"</v>
      </c>
      <c r="CU16" s="70" t="str">
        <f t="shared" si="116"/>
        <v>"rgn_Oceania"</v>
      </c>
      <c r="CV16" s="48" t="str">
        <f t="shared" si="117"/>
        <v>"https://upload.wikimedia.org/wikipedia/commons/thumb/5/5d/Flag_of_the_United_Tribes_of_New_Zealand.svg/640px-Flag_of_the_United_Tribes_of_New_Zealand.svg.png"</v>
      </c>
      <c r="CW16" s="48" t="str">
        <f t="shared" si="15"/>
        <v/>
      </c>
      <c r="CX16" s="48" t="str">
        <f t="shared" si="15"/>
        <v/>
      </c>
      <c r="CY16" s="48" t="str">
        <f t="shared" si="15"/>
        <v>"4Color",</v>
      </c>
      <c r="CZ16" s="48" t="str">
        <f t="shared" si="15"/>
        <v/>
      </c>
      <c r="DA16" s="48" t="str">
        <f t="shared" si="118"/>
        <v>"words2",</v>
      </c>
      <c r="DB16" s="48" t="str">
        <f t="shared" si="119"/>
        <v>"words3",</v>
      </c>
      <c r="DD16" s="48" t="str">
        <f t="shared" si="120"/>
        <v>"lets31",</v>
      </c>
      <c r="DE16" s="48" t="str">
        <f t="shared" si="121"/>
        <v>"startU",</v>
      </c>
      <c r="DF16" s="48" t="str">
        <f t="shared" si="122"/>
        <v/>
      </c>
      <c r="DG16" s="48" t="str">
        <f t="shared" si="123"/>
        <v/>
      </c>
      <c r="DH16" s="48" t="str">
        <f t="shared" si="124"/>
        <v/>
      </c>
      <c r="DI16" s="48" t="str">
        <f t="shared" si="125"/>
        <v>"with_w",</v>
      </c>
      <c r="DJ16" s="48" t="str">
        <f t="shared" si="126"/>
        <v/>
      </c>
      <c r="DK16" s="48" t="str">
        <f t="shared" si="127"/>
        <v>"with_z",</v>
      </c>
      <c r="DL16" s="48" t="str">
        <f t="shared" si="128"/>
        <v/>
      </c>
      <c r="DM16" s="48" t="str" cm="1">
        <f t="array" ref="DM16">IF(CG16=3,CHAR(34) &amp; _xlfn.TEXTJOIN("", TRUE, RIGHT(HP16:HX16, 2)) &amp; CHAR(34) &amp; ",", "")</f>
        <v/>
      </c>
      <c r="DN16" s="48" t="str">
        <f t="shared" si="129"/>
        <v>"year18",</v>
      </c>
      <c r="DO16" s="48" t="str">
        <f t="shared" si="130"/>
        <v/>
      </c>
      <c r="DP16" s="6" t="str">
        <f t="shared" si="131"/>
        <v/>
      </c>
      <c r="DQ16" s="6" t="str">
        <f t="shared" si="132"/>
        <v/>
      </c>
      <c r="DR16" s="6" t="str">
        <f t="shared" si="133"/>
        <v/>
      </c>
      <c r="DS16" s="6" t="str">
        <f t="shared" si="134"/>
        <v/>
      </c>
      <c r="DT16" s="6" t="str">
        <f t="shared" si="135"/>
        <v/>
      </c>
      <c r="DU16" s="6" t="str">
        <f t="shared" si="136"/>
        <v/>
      </c>
      <c r="DW16" s="48" t="str">
        <f t="shared" si="37"/>
        <v/>
      </c>
      <c r="DX16" s="48" t="str">
        <f t="shared" si="37"/>
        <v>"2Bands",</v>
      </c>
      <c r="DY16" s="48" t="str">
        <f t="shared" si="37"/>
        <v/>
      </c>
      <c r="DZ16" s="48" t="str">
        <f t="shared" si="37"/>
        <v/>
      </c>
      <c r="EA16" s="48" t="str">
        <f t="shared" si="38"/>
        <v/>
      </c>
      <c r="EB16" s="48" t="str">
        <f t="shared" si="38"/>
        <v>"Crosse",</v>
      </c>
      <c r="EC16" s="48" t="str">
        <f t="shared" si="38"/>
        <v>"Horizo",</v>
      </c>
      <c r="ED16" s="48" t="str">
        <f t="shared" si="38"/>
        <v>"Vertic",</v>
      </c>
      <c r="EE16" s="48" t="str">
        <f t="shared" si="38"/>
        <v/>
      </c>
      <c r="EF16" s="48" t="str">
        <f t="shared" si="137"/>
        <v/>
      </c>
      <c r="EG16" s="48" t="str">
        <f t="shared" si="195"/>
        <v/>
      </c>
      <c r="EH16" s="48" t="str">
        <f t="shared" si="195"/>
        <v/>
      </c>
      <c r="EI16" s="48" t="str">
        <f t="shared" si="195"/>
        <v/>
      </c>
      <c r="EJ16" s="48" t="str">
        <f t="shared" si="195"/>
        <v/>
      </c>
      <c r="EK16" s="48" t="str">
        <f t="shared" si="195"/>
        <v/>
      </c>
      <c r="EL16" s="48" t="str">
        <f t="shared" si="195"/>
        <v/>
      </c>
      <c r="EM16" s="48" t="str">
        <f t="shared" si="195"/>
        <v/>
      </c>
      <c r="EN16" s="48" t="str">
        <f t="shared" si="195"/>
        <v/>
      </c>
      <c r="EO16" s="48" t="str">
        <f t="shared" si="195"/>
        <v/>
      </c>
      <c r="EP16" s="48" t="str">
        <f t="shared" si="195"/>
        <v>"Canton",</v>
      </c>
      <c r="EQ16" s="48" t="str">
        <f t="shared" si="195"/>
        <v/>
      </c>
      <c r="ER16" s="48" t="str">
        <f t="shared" si="195"/>
        <v/>
      </c>
      <c r="ES16" s="48" t="str">
        <f t="shared" si="195"/>
        <v/>
      </c>
      <c r="ET16" s="48" t="str">
        <f t="shared" si="195"/>
        <v/>
      </c>
      <c r="EU16" s="48" t="str">
        <f t="shared" si="195"/>
        <v/>
      </c>
      <c r="EV16" s="48" t="str">
        <f t="shared" si="194"/>
        <v/>
      </c>
      <c r="EW16" s="48" t="str">
        <f t="shared" si="194"/>
        <v/>
      </c>
      <c r="EX16" s="48" t="str">
        <f t="shared" si="194"/>
        <v/>
      </c>
      <c r="EY16" s="48" t="str">
        <f t="shared" si="194"/>
        <v/>
      </c>
      <c r="EZ16" s="48" t="str">
        <f t="shared" si="194"/>
        <v/>
      </c>
      <c r="FA16" s="48" t="str">
        <f t="shared" si="138"/>
        <v>"sta",</v>
      </c>
      <c r="FB16" s="48" t="str">
        <f t="shared" si="139"/>
        <v/>
      </c>
      <c r="FD16" s="48" t="str">
        <f t="shared" si="140"/>
        <v/>
      </c>
      <c r="FE16" s="48" t="str">
        <f t="shared" si="141"/>
        <v/>
      </c>
      <c r="FF16" s="48" t="str">
        <f t="shared" si="142"/>
        <v/>
      </c>
      <c r="FG16" s="48" t="str">
        <f t="shared" si="143"/>
        <v>"NO_RED",</v>
      </c>
      <c r="FH16" s="48" t="str">
        <f t="shared" si="144"/>
        <v/>
      </c>
      <c r="FI16" s="48" t="str">
        <f t="shared" si="145"/>
        <v/>
      </c>
      <c r="FJ16" s="48" t="str">
        <f t="shared" si="146"/>
        <v>"NO_BLA",</v>
      </c>
      <c r="FK16" s="48" t="str">
        <f t="shared" si="147"/>
        <v/>
      </c>
      <c r="FL16" s="48" t="str">
        <f t="shared" si="148"/>
        <v/>
      </c>
      <c r="FM16" s="48" t="str">
        <f t="shared" si="149"/>
        <v/>
      </c>
      <c r="FN16" s="48" t="str">
        <f t="shared" si="150"/>
        <v/>
      </c>
      <c r="FO16" s="48" t="str">
        <f t="shared" si="151"/>
        <v/>
      </c>
      <c r="FP16" s="48" t="str">
        <f t="shared" si="152"/>
        <v/>
      </c>
      <c r="FQ16" s="48" t="str">
        <f t="shared" si="153"/>
        <v>"001BLU",</v>
      </c>
      <c r="FR16" s="48" t="str">
        <f t="shared" si="154"/>
        <v>"002WHI",</v>
      </c>
      <c r="FS16" s="48" t="str">
        <f t="shared" si="155"/>
        <v>"003GRE",</v>
      </c>
      <c r="FT16" s="48" t="str">
        <f t="shared" si="156"/>
        <v>"myrBLU",</v>
      </c>
      <c r="FU16" s="48" t="str">
        <f t="shared" si="157"/>
        <v/>
      </c>
      <c r="FV16" s="48" t="str">
        <f t="shared" si="158"/>
        <v/>
      </c>
      <c r="FW16" s="48" t="str">
        <f t="shared" si="159"/>
        <v/>
      </c>
      <c r="FY16" s="48" t="str">
        <f t="shared" si="160"/>
        <v/>
      </c>
      <c r="FZ16" s="48" t="str">
        <f t="shared" si="161"/>
        <v/>
      </c>
      <c r="GA16" s="48" t="str">
        <f t="shared" si="162"/>
        <v/>
      </c>
      <c r="GB16" s="48" t="str">
        <f t="shared" si="163"/>
        <v/>
      </c>
      <c r="GE16" s="48" t="str">
        <f t="shared" si="164"/>
        <v/>
      </c>
      <c r="GF16" s="48" t="str">
        <f t="shared" si="165"/>
        <v>"histor",</v>
      </c>
      <c r="GG16" s="48" t="str">
        <f t="shared" si="166"/>
        <v/>
      </c>
      <c r="GH16" s="48" t="str">
        <f t="shared" si="167"/>
        <v/>
      </c>
      <c r="GI16" s="48" t="str">
        <f t="shared" si="168"/>
        <v/>
      </c>
      <c r="GJ16" s="48" t="str">
        <f t="shared" si="169"/>
        <v/>
      </c>
      <c r="GK16" s="48" t="str">
        <f t="shared" si="170"/>
        <v>"HasSta",</v>
      </c>
      <c r="GL16" s="48" t="str">
        <f t="shared" si="77"/>
        <v/>
      </c>
      <c r="GM16" s="48" t="str">
        <f t="shared" si="77"/>
        <v/>
      </c>
      <c r="GN16" s="48" t="str">
        <f t="shared" si="77"/>
        <v>"3+Star",</v>
      </c>
      <c r="GP16" s="48" t="str">
        <f t="shared" si="171"/>
        <v>"Historical"</v>
      </c>
      <c r="GS16" s="48" t="str">
        <f t="shared" si="172"/>
        <v>["4Color","words2","words3","lets31","startU","with_w","with_z","year18","2Bands","Crosse","Horizo","Vertic","Canton","sta","NO_RED","NO_BLA","001BLU","002WHI","003GRE","myrBLU","histor","HasSta","3+Star"]</v>
      </c>
      <c r="GT16" s="48" t="str">
        <f t="shared" si="80"/>
        <v/>
      </c>
      <c r="GU16" s="48" t="str">
        <f t="shared" si="80"/>
        <v>"cl_BLU",</v>
      </c>
      <c r="GV16" s="48" t="str">
        <f t="shared" si="80"/>
        <v>"cl_GRE",</v>
      </c>
      <c r="GW16" s="48" t="str">
        <f t="shared" si="80"/>
        <v/>
      </c>
      <c r="GX16" s="48" t="str">
        <f t="shared" si="80"/>
        <v>"cl_YEL",</v>
      </c>
      <c r="GY16" s="48" t="str">
        <f t="shared" si="80"/>
        <v/>
      </c>
      <c r="GZ16" s="48" t="str">
        <f t="shared" si="80"/>
        <v/>
      </c>
      <c r="HA16" s="48" t="str">
        <f t="shared" si="80"/>
        <v/>
      </c>
      <c r="HB16" s="48" t="str">
        <f t="shared" si="80"/>
        <v>"cl_WHI",</v>
      </c>
      <c r="HC16" s="48" t="str">
        <f t="shared" si="173"/>
        <v>["cl_BLU","cl_GRE","cl_YEL","cl_WHI"]</v>
      </c>
      <c r="HE16" s="71"/>
      <c r="HF16" s="72" t="str">
        <f t="shared" si="174"/>
        <v>{couname:"[NZE] United Tribes of New Zealand (White)",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links: "https://en.wikipedia.org/wiki/Flag_of_the_United_Tribes_of_New_Zealand"},</v>
      </c>
      <c r="HG16" s="73" t="str">
        <f t="shared" si="175"/>
        <v>{couname:"[NZE] United Tribes of New Zealand (White)",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links: "https://en.wikipedia.org/wiki/Flag_of_the_United_Tribes_of_New_Zealand"},</v>
      </c>
      <c r="HH16" s="48" t="str">
        <f t="shared" si="176"/>
        <v>"\nA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v>
      </c>
      <c r="HI16" s="48" t="str">
        <f t="shared" si="177"/>
        <v>"\nA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v>
      </c>
      <c r="HJ16" s="48" t="str">
        <f t="shared" si="178"/>
        <v>"1834"</v>
      </c>
      <c r="HL16" s="48" t="str">
        <f t="shared" si="179"/>
        <v>"https://en.wikipedia.org/wiki/Flag_of_the_United_Tribes_of_New_Zealand"</v>
      </c>
      <c r="HM16" s="72" t="str">
        <f t="shared" si="180"/>
        <v>{"couname":"[NZE] United Tribes of New Zealand (White)","subtype":"[NZE] Other","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 "links": "https://en.wikipedia.org/wiki/Flag_of_the_United_Tribes_of_New_Zealand"},</v>
      </c>
      <c r="HN16" s="74" t="str">
        <f t="shared" si="181"/>
        <v>{"couname":"[NZE] United Tribes of New Zealand (White)","subtype":"[NZE] Other","year":"1834","region":"rgn_Oceania","Colors":["cl_BLU","cl_GRE","cl_YEL","cl_WHI"],"Items":["4Color","words2","words3","lets31","startU","with_w","with_z","year18","2Bands","Crosse","Horizo","Vertic","Canton","sta","NO_RED","NO_BLA","001BLU","002WHI","003GRE","myrBLU","histor","HasSta","3+Star"],"Flag":"https://upload.wikimedia.org/wikipedia/commons/thumb/5/5d/Flag_of_the_United_Tribes_of_New_Zealand.svg/640px-Flag_of_the_United_Tribes_of_New_Zealand.svg.png","HDFlag":"https://upload.wikimedia.org/wikipedia/commons/thumb/5/5d/Flag_of_the_United_Tribes_of_New_Zealand.svg/2560px-Flag_of_the_United_Tribes_of_New_Zealand.svg.png","type":"Historical", "describe": "\nA St. George's cross with the canton consisting of a blue field, another St. George's cross with white fimbriation, and a white, eight-pointed star in each of the quarters. The St. George's cross may represent the designer's affiliation with the Church of England, while the stars are speculated to either represent the Southern Cross or the stars of England.", "isnew": ".", "links": "https://en.wikipedia.org/wiki/Flag_of_the_United_Tribes_of_New_Zealand"},</v>
      </c>
      <c r="HO16" s="75">
        <v>45610</v>
      </c>
      <c r="HP16" s="48" t="str" cm="1">
        <f t="array" ref="HP16">IF(_xlfn.TEXTJOIN(", ", TRUE, IF(ISNUMBER(SEARCH("BLA", BL16:BT16)), COLUMN(BL16:BT16) - COLUMN(BL16) + 1, ""))&lt;&gt;"","BLA","")</f>
        <v/>
      </c>
      <c r="HQ16" s="48" t="str" cm="1">
        <f t="array" ref="HQ16">IF(_xlfn.TEXTJOIN(", ", TRUE, IF(ISNUMBER(SEARCH("BLU", BL16:BT16)), COLUMN(BL16:BT16) - COLUMN(BL16) + 1, ""))&lt;&gt;"","BLU","")</f>
        <v>BLU</v>
      </c>
      <c r="HR16" s="48" t="str" cm="1">
        <f t="array" ref="HR16">IF(_xlfn.TEXTJOIN(", ", TRUE, IF(ISNUMBER(SEARCH("GRE", BL16:BT16)), COLUMN(BL16:BT16) - COLUMN(BL16) + 1, ""))&lt;&gt;"","GRE","")</f>
        <v>GRE</v>
      </c>
      <c r="HS16" s="48" t="str" cm="1">
        <f t="array" ref="HS16">IF(_xlfn.TEXTJOIN(", ", TRUE, IF(ISNUMBER(SEARCH("RED", BL16:BT16)), COLUMN(BL16:BT16) - COLUMN(BL16) + 1, ""))&lt;&gt;"","RED","")</f>
        <v/>
      </c>
      <c r="HT16" s="48" t="str" cm="1">
        <f t="array" ref="HT16">IF(_xlfn.TEXTJOIN(", ", TRUE, IF(ISNUMBER(SEARCH("YEL", BL16:BT16)), COLUMN(BL16:BT16) - COLUMN(BL16) + 1, ""))&lt;&gt;"","YEL","")</f>
        <v>YEL</v>
      </c>
      <c r="HU16" s="48" t="str" cm="1">
        <f t="array" ref="HU16">IF(_xlfn.TEXTJOIN(", ", TRUE, IF(ISNUMBER(SEARCH("ORA", BL16:BT16)), COLUMN(BL16:BT16) - COLUMN(BL16) + 1, ""))&lt;&gt;"","ORA","")</f>
        <v/>
      </c>
      <c r="HV16" s="48" t="str" cm="1">
        <f t="array" ref="HV16">IF(_xlfn.TEXTJOIN(", ", TRUE, IF(ISNUMBER(SEARCH("BRO", BL16:BT16)), COLUMN(BL16:BT16) - COLUMN(BL16) + 1, ""))&lt;&gt;"","BRO","")</f>
        <v/>
      </c>
      <c r="HW16" s="48" t="str" cm="1">
        <f t="array" ref="HW16">IF(_xlfn.TEXTJOIN(", ", TRUE, IF(ISNUMBER(SEARCH("PUR", BL16:BT16)), COLUMN(BL16:BT16) - COLUMN(BL16) + 1, ""))&lt;&gt;"","PUR","")</f>
        <v/>
      </c>
      <c r="HX16" s="48" t="str" cm="1">
        <f t="array" ref="HX16">IF(_xlfn.TEXTJOIN(", ", TRUE, IF(ISNUMBER(SEARCH("WHI", BL16:BT16)), COLUMN(BL16:BT16) - COLUMN(BL16) + 1, ""))&lt;&gt;"","WHI","")</f>
        <v>WHI</v>
      </c>
      <c r="HY16" s="76"/>
      <c r="HZ16" s="76"/>
      <c r="IA16" s="6"/>
      <c r="IB16" s="6"/>
      <c r="IC16" s="77"/>
      <c r="ID16" s="77"/>
      <c r="IE16" s="77"/>
      <c r="IF16" s="77"/>
      <c r="IG16" s="77"/>
      <c r="IH16" s="77"/>
      <c r="II16" s="77"/>
      <c r="IJ16" s="77"/>
      <c r="IK16" s="77"/>
      <c r="IM16" s="45">
        <f t="shared" si="182"/>
        <v>-4</v>
      </c>
      <c r="IN16" s="78" t="str">
        <f t="shared" si="183"/>
        <v>http://mkweb.bcgsc.ca/color-summarizer/?url=https://upload.wikimedia.org/wikipedia/commons/thumb/5/5d/Flag_of_the_United_Tribes_of_New_Zealand.svg/640px-Flag_of_the_United_Tribes_of_New_Zealand.svg.png&amp;precision=low&amp;num_clusters=4&amp;text=1</v>
      </c>
      <c r="IO16" s="48" t="str">
        <f t="shared" si="184"/>
        <v/>
      </c>
      <c r="IP16" s="48" t="str">
        <f t="shared" si="185"/>
        <v>"blue"</v>
      </c>
      <c r="IQ16" s="48" t="str">
        <f t="shared" si="186"/>
        <v>"green"</v>
      </c>
      <c r="IR16" s="48" t="str">
        <f t="shared" si="187"/>
        <v/>
      </c>
      <c r="IS16" s="48" t="str">
        <f t="shared" si="188"/>
        <v>"yellow"</v>
      </c>
      <c r="IT16" s="48" t="str">
        <f t="shared" si="189"/>
        <v/>
      </c>
      <c r="IU16" s="48" t="str">
        <f t="shared" si="190"/>
        <v/>
      </c>
      <c r="IV16" s="48" t="str">
        <f t="shared" si="191"/>
        <v/>
      </c>
      <c r="IW16" s="48" t="str">
        <f t="shared" si="192"/>
        <v>"white"</v>
      </c>
      <c r="IX16" s="48" t="str">
        <f t="shared" si="193"/>
        <v>{"url":"http://mkweb.bcgsc.ca/color-summarizer/?url=https://upload.wikimedia.org/wikipedia/commons/thumb/5/5d/Flag_of_the_United_Tribes_of_New_Zealand.svg/640px-Flag_of_the_United_Tribes_of_New_Zealand.svg.png&amp;precision=low&amp;num_clusters=4&amp;text=1","name":"[NZE] United Tribes of New Zealand (White)"},</v>
      </c>
      <c r="IY16" s="48">
        <v>1485</v>
      </c>
    </row>
  </sheetData>
  <conditionalFormatting sqref="H1 CW1:GS1 IA1:IB1">
    <cfRule type="cellIs" dxfId="3941" priority="575" operator="greaterThan">
      <formula>0</formula>
    </cfRule>
  </conditionalFormatting>
  <conditionalFormatting sqref="H1">
    <cfRule type="cellIs" dxfId="3940" priority="541" stopIfTrue="1" operator="notEqual">
      <formula>""</formula>
    </cfRule>
  </conditionalFormatting>
  <conditionalFormatting sqref="T1:BK1">
    <cfRule type="cellIs" dxfId="3939" priority="578" operator="greaterThan">
      <formula>0</formula>
    </cfRule>
  </conditionalFormatting>
  <conditionalFormatting sqref="BV1:BW1">
    <cfRule type="cellIs" dxfId="3938" priority="577" operator="equal">
      <formula>"nc"</formula>
    </cfRule>
  </conditionalFormatting>
  <conditionalFormatting sqref="HF1:HG1">
    <cfRule type="cellIs" dxfId="3937" priority="579" operator="greaterThan">
      <formula>0</formula>
    </cfRule>
  </conditionalFormatting>
  <conditionalFormatting sqref="HK1">
    <cfRule type="cellIs" dxfId="3936" priority="576" operator="greaterThan">
      <formula>0</formula>
    </cfRule>
  </conditionalFormatting>
  <conditionalFormatting sqref="HP1:HX1">
    <cfRule type="cellIs" dxfId="3935" priority="553" operator="equal">
      <formula>"PIN"</formula>
    </cfRule>
    <cfRule type="cellIs" dxfId="3934" priority="554" operator="equal">
      <formula>"ORA"</formula>
    </cfRule>
    <cfRule type="cellIs" dxfId="3933" priority="555" operator="equal">
      <formula>"GRA"</formula>
    </cfRule>
    <cfRule type="cellIs" dxfId="3932" priority="556" operator="equal">
      <formula>"PUR"</formula>
    </cfRule>
    <cfRule type="cellIs" dxfId="3931" priority="557" operator="equal">
      <formula>"BRO"</formula>
    </cfRule>
    <cfRule type="cellIs" dxfId="3930" priority="558" operator="equal">
      <formula>"YEL"</formula>
    </cfRule>
    <cfRule type="cellIs" dxfId="3929" priority="559" operator="equal">
      <formula>"BLU"</formula>
    </cfRule>
    <cfRule type="cellIs" dxfId="3928" priority="560" operator="equal">
      <formula>"WHI"</formula>
    </cfRule>
    <cfRule type="cellIs" dxfId="3927" priority="561" operator="equal">
      <formula>"GRE"</formula>
    </cfRule>
    <cfRule type="cellIs" dxfId="3926" priority="562" operator="equal">
      <formula>"RED"</formula>
    </cfRule>
    <cfRule type="cellIs" dxfId="3925" priority="563" operator="equal">
      <formula>"BLA"</formula>
    </cfRule>
  </conditionalFormatting>
  <conditionalFormatting sqref="IC1:IK1">
    <cfRule type="cellIs" dxfId="3924" priority="564" operator="equal">
      <formula>"PIN"</formula>
    </cfRule>
    <cfRule type="cellIs" dxfId="3923" priority="565" operator="equal">
      <formula>"ORA"</formula>
    </cfRule>
    <cfRule type="cellIs" dxfId="3922" priority="566" operator="equal">
      <formula>"GRA"</formula>
    </cfRule>
    <cfRule type="cellIs" dxfId="3921" priority="567" operator="equal">
      <formula>"PUR"</formula>
    </cfRule>
    <cfRule type="cellIs" dxfId="3920" priority="568" operator="equal">
      <formula>"BRO"</formula>
    </cfRule>
    <cfRule type="cellIs" dxfId="3919" priority="569" operator="equal">
      <formula>"YEL"</formula>
    </cfRule>
    <cfRule type="cellIs" dxfId="3918" priority="570" operator="equal">
      <formula>"BLU"</formula>
    </cfRule>
    <cfRule type="cellIs" dxfId="3917" priority="571" operator="equal">
      <formula>"WHI"</formula>
    </cfRule>
    <cfRule type="cellIs" dxfId="3916" priority="572" operator="equal">
      <formula>"GRE"</formula>
    </cfRule>
    <cfRule type="cellIs" dxfId="3915" priority="573" operator="equal">
      <formula>"RED"</formula>
    </cfRule>
    <cfRule type="cellIs" dxfId="3914" priority="574" operator="equal">
      <formula>"BLA"</formula>
    </cfRule>
  </conditionalFormatting>
  <conditionalFormatting sqref="IO1:IW1">
    <cfRule type="cellIs" dxfId="3913" priority="542" operator="equal">
      <formula>"PIN"</formula>
    </cfRule>
    <cfRule type="cellIs" dxfId="3912" priority="543" operator="equal">
      <formula>"ORA"</formula>
    </cfRule>
    <cfRule type="cellIs" dxfId="3911" priority="544" operator="equal">
      <formula>"GRA"</formula>
    </cfRule>
    <cfRule type="cellIs" dxfId="3910" priority="545" operator="equal">
      <formula>"PUR"</formula>
    </cfRule>
    <cfRule type="cellIs" dxfId="3909" priority="546" operator="equal">
      <formula>"BRO"</formula>
    </cfRule>
    <cfRule type="cellIs" dxfId="3908" priority="547" operator="equal">
      <formula>"YEL"</formula>
    </cfRule>
    <cfRule type="cellIs" dxfId="3907" priority="548" operator="equal">
      <formula>"BLU"</formula>
    </cfRule>
    <cfRule type="cellIs" dxfId="3906" priority="549" operator="equal">
      <formula>"WHI"</formula>
    </cfRule>
    <cfRule type="cellIs" dxfId="3905" priority="550" operator="equal">
      <formula>"GRE"</formula>
    </cfRule>
    <cfRule type="cellIs" dxfId="3904" priority="551" operator="equal">
      <formula>"RED"</formula>
    </cfRule>
    <cfRule type="cellIs" dxfId="3903" priority="552" operator="equal">
      <formula>"BLA"</formula>
    </cfRule>
  </conditionalFormatting>
  <conditionalFormatting sqref="H2">
    <cfRule type="cellIs" dxfId="3902" priority="510" stopIfTrue="1" operator="notEqual">
      <formula>""</formula>
    </cfRule>
  </conditionalFormatting>
  <conditionalFormatting sqref="R2 CU2">
    <cfRule type="cellIs" dxfId="3901" priority="512" operator="greaterThan">
      <formula>0</formula>
    </cfRule>
  </conditionalFormatting>
  <conditionalFormatting sqref="T2:AS2 CH2:CS2">
    <cfRule type="cellIs" dxfId="3900" priority="507" stopIfTrue="1" operator="equal">
      <formula>"n"</formula>
    </cfRule>
    <cfRule type="cellIs" dxfId="3899" priority="508" stopIfTrue="1" operator="equal">
      <formula>"y"</formula>
    </cfRule>
    <cfRule type="cellIs" dxfId="3898" priority="509" operator="greaterThan">
      <formula>0</formula>
    </cfRule>
  </conditionalFormatting>
  <conditionalFormatting sqref="AZ2:BB2">
    <cfRule type="expression" dxfId="3897" priority="506">
      <formula>$AT2=0</formula>
    </cfRule>
  </conditionalFormatting>
  <conditionalFormatting sqref="AZ2:BU2">
    <cfRule type="cellIs" dxfId="3896" priority="515" operator="equal">
      <formula>"PIN"</formula>
    </cfRule>
    <cfRule type="cellIs" dxfId="3895" priority="516" operator="equal">
      <formula>"ORA"</formula>
    </cfRule>
    <cfRule type="cellIs" dxfId="3894" priority="517" operator="equal">
      <formula>"GRA"</formula>
    </cfRule>
    <cfRule type="cellIs" dxfId="3893" priority="518" operator="equal">
      <formula>"PUR"</formula>
    </cfRule>
    <cfRule type="cellIs" dxfId="3892" priority="519" operator="equal">
      <formula>"BRO"</formula>
    </cfRule>
    <cfRule type="cellIs" dxfId="3891" priority="520" operator="equal">
      <formula>"YEL"</formula>
    </cfRule>
    <cfRule type="cellIs" dxfId="3890" priority="521" operator="equal">
      <formula>"BLU"</formula>
    </cfRule>
    <cfRule type="cellIs" dxfId="3889" priority="522" operator="equal">
      <formula>"WHI"</formula>
    </cfRule>
    <cfRule type="cellIs" dxfId="3888" priority="523" operator="equal">
      <formula>"GRE"</formula>
    </cfRule>
    <cfRule type="cellIs" dxfId="3887" priority="524" operator="equal">
      <formula>"RED"</formula>
    </cfRule>
    <cfRule type="cellIs" dxfId="3886" priority="525" operator="equal">
      <formula>"BLA"</formula>
    </cfRule>
  </conditionalFormatting>
  <conditionalFormatting sqref="BV2:BW2">
    <cfRule type="cellIs" dxfId="3885" priority="537" operator="equal">
      <formula>"nc"</formula>
    </cfRule>
  </conditionalFormatting>
  <conditionalFormatting sqref="BX2:CA2 CD2:CF2">
    <cfRule type="cellIs" dxfId="3884" priority="511" operator="equal">
      <formula>"y"</formula>
    </cfRule>
    <cfRule type="cellIs" dxfId="3883" priority="526" operator="equal">
      <formula>"PIN"</formula>
    </cfRule>
    <cfRule type="cellIs" dxfId="3882" priority="527" operator="equal">
      <formula>"ORA"</formula>
    </cfRule>
    <cfRule type="cellIs" dxfId="3881" priority="528" operator="equal">
      <formula>"GRA"</formula>
    </cfRule>
    <cfRule type="cellIs" dxfId="3880" priority="529" operator="equal">
      <formula>"PUR"</formula>
    </cfRule>
    <cfRule type="cellIs" dxfId="3879" priority="530" operator="equal">
      <formula>"BRO"</formula>
    </cfRule>
    <cfRule type="cellIs" dxfId="3878" priority="531" operator="equal">
      <formula>"YEL"</formula>
    </cfRule>
    <cfRule type="cellIs" dxfId="3877" priority="532" operator="equal">
      <formula>"BLU"</formula>
    </cfRule>
    <cfRule type="cellIs" dxfId="3876" priority="533" operator="equal">
      <formula>"WHI"</formula>
    </cfRule>
    <cfRule type="cellIs" dxfId="3875" priority="534" operator="equal">
      <formula>"GRE"</formula>
    </cfRule>
    <cfRule type="cellIs" dxfId="3874" priority="535" operator="equal">
      <formula>"RED"</formula>
    </cfRule>
    <cfRule type="cellIs" dxfId="3873" priority="536" operator="equal">
      <formula>"BLA"</formula>
    </cfRule>
  </conditionalFormatting>
  <conditionalFormatting sqref="BZ2:CA2 CD2:CF2">
    <cfRule type="cellIs" dxfId="3872" priority="513" operator="greaterThan">
      <formula>0</formula>
    </cfRule>
  </conditionalFormatting>
  <conditionalFormatting sqref="IC2:IK2">
    <cfRule type="expression" dxfId="3871" priority="514">
      <formula>$IL2&gt;0</formula>
    </cfRule>
  </conditionalFormatting>
  <conditionalFormatting sqref="S2">
    <cfRule type="colorScale" priority="538">
      <colorScale>
        <cfvo type="min"/>
        <cfvo type="max"/>
        <color rgb="FFFCFCFF"/>
        <color rgb="FF754BFB"/>
      </colorScale>
    </cfRule>
  </conditionalFormatting>
  <conditionalFormatting sqref="AT2">
    <cfRule type="colorScale" priority="539">
      <colorScale>
        <cfvo type="min"/>
        <cfvo type="max"/>
        <color rgb="FFFCFCFF"/>
        <color theme="8" tint="0.39997558519241921"/>
      </colorScale>
    </cfRule>
  </conditionalFormatting>
  <conditionalFormatting sqref="CG2">
    <cfRule type="colorScale" priority="540">
      <colorScale>
        <cfvo type="min"/>
        <cfvo type="max"/>
        <color rgb="FFFCFCFF"/>
        <color rgb="FF63BE7B"/>
      </colorScale>
    </cfRule>
  </conditionalFormatting>
  <conditionalFormatting sqref="J2">
    <cfRule type="colorScale" priority="505">
      <colorScale>
        <cfvo type="min"/>
        <cfvo type="percentile" val="50"/>
        <cfvo type="max"/>
        <color rgb="FFF8696B"/>
        <color rgb="FFFFEB84"/>
        <color rgb="FF63BE7B"/>
      </colorScale>
    </cfRule>
  </conditionalFormatting>
  <conditionalFormatting sqref="H3">
    <cfRule type="cellIs" dxfId="2186" priority="473" stopIfTrue="1" operator="notEqual">
      <formula>""</formula>
    </cfRule>
  </conditionalFormatting>
  <conditionalFormatting sqref="R3 CU3">
    <cfRule type="cellIs" dxfId="2185" priority="475" operator="greaterThan">
      <formula>0</formula>
    </cfRule>
  </conditionalFormatting>
  <conditionalFormatting sqref="T3:AS3 CH3:CS3">
    <cfRule type="cellIs" dxfId="2184" priority="470" stopIfTrue="1" operator="equal">
      <formula>"n"</formula>
    </cfRule>
    <cfRule type="cellIs" dxfId="2183" priority="471" stopIfTrue="1" operator="equal">
      <formula>"y"</formula>
    </cfRule>
    <cfRule type="cellIs" dxfId="2182" priority="472" operator="greaterThan">
      <formula>0</formula>
    </cfRule>
  </conditionalFormatting>
  <conditionalFormatting sqref="AZ3:BB3">
    <cfRule type="expression" dxfId="2181" priority="469">
      <formula>$AT3=0</formula>
    </cfRule>
  </conditionalFormatting>
  <conditionalFormatting sqref="AZ3:BU3">
    <cfRule type="cellIs" dxfId="2180" priority="478" operator="equal">
      <formula>"PIN"</formula>
    </cfRule>
    <cfRule type="cellIs" dxfId="2179" priority="479" operator="equal">
      <formula>"ORA"</formula>
    </cfRule>
    <cfRule type="cellIs" dxfId="2178" priority="480" operator="equal">
      <formula>"GRA"</formula>
    </cfRule>
    <cfRule type="cellIs" dxfId="2177" priority="481" operator="equal">
      <formula>"PUR"</formula>
    </cfRule>
    <cfRule type="cellIs" dxfId="2176" priority="482" operator="equal">
      <formula>"BRO"</formula>
    </cfRule>
    <cfRule type="cellIs" dxfId="2175" priority="483" operator="equal">
      <formula>"YEL"</formula>
    </cfRule>
    <cfRule type="cellIs" dxfId="2174" priority="484" operator="equal">
      <formula>"BLU"</formula>
    </cfRule>
    <cfRule type="cellIs" dxfId="2173" priority="485" operator="equal">
      <formula>"WHI"</formula>
    </cfRule>
    <cfRule type="cellIs" dxfId="2172" priority="486" operator="equal">
      <formula>"GRE"</formula>
    </cfRule>
    <cfRule type="cellIs" dxfId="2171" priority="487" operator="equal">
      <formula>"RED"</formula>
    </cfRule>
    <cfRule type="cellIs" dxfId="2170" priority="488" operator="equal">
      <formula>"BLA"</formula>
    </cfRule>
  </conditionalFormatting>
  <conditionalFormatting sqref="BV3">
    <cfRule type="cellIs" dxfId="2169" priority="500" operator="equal">
      <formula>"nc"</formula>
    </cfRule>
  </conditionalFormatting>
  <conditionalFormatting sqref="BX3:CA3 CD3:CF3">
    <cfRule type="cellIs" dxfId="2168" priority="474" operator="equal">
      <formula>"y"</formula>
    </cfRule>
    <cfRule type="cellIs" dxfId="2167" priority="489" operator="equal">
      <formula>"PIN"</formula>
    </cfRule>
    <cfRule type="cellIs" dxfId="2166" priority="490" operator="equal">
      <formula>"ORA"</formula>
    </cfRule>
    <cfRule type="cellIs" dxfId="2165" priority="491" operator="equal">
      <formula>"GRA"</formula>
    </cfRule>
    <cfRule type="cellIs" dxfId="2164" priority="492" operator="equal">
      <formula>"PUR"</formula>
    </cfRule>
    <cfRule type="cellIs" dxfId="2163" priority="493" operator="equal">
      <formula>"BRO"</formula>
    </cfRule>
    <cfRule type="cellIs" dxfId="2162" priority="494" operator="equal">
      <formula>"YEL"</formula>
    </cfRule>
    <cfRule type="cellIs" dxfId="2161" priority="495" operator="equal">
      <formula>"BLU"</formula>
    </cfRule>
    <cfRule type="cellIs" dxfId="2160" priority="496" operator="equal">
      <formula>"WHI"</formula>
    </cfRule>
    <cfRule type="cellIs" dxfId="2159" priority="497" operator="equal">
      <formula>"GRE"</formula>
    </cfRule>
    <cfRule type="cellIs" dxfId="2158" priority="498" operator="equal">
      <formula>"RED"</formula>
    </cfRule>
    <cfRule type="cellIs" dxfId="2157" priority="499" operator="equal">
      <formula>"BLA"</formula>
    </cfRule>
  </conditionalFormatting>
  <conditionalFormatting sqref="BZ3:CA3 CD3:CF3">
    <cfRule type="cellIs" dxfId="2156" priority="476" operator="greaterThan">
      <formula>0</formula>
    </cfRule>
  </conditionalFormatting>
  <conditionalFormatting sqref="IC3:IK3">
    <cfRule type="expression" dxfId="2155" priority="477">
      <formula>$IL3&gt;0</formula>
    </cfRule>
  </conditionalFormatting>
  <conditionalFormatting sqref="J3">
    <cfRule type="colorScale" priority="501">
      <colorScale>
        <cfvo type="min"/>
        <cfvo type="percentile" val="50"/>
        <cfvo type="max"/>
        <color rgb="FFF8696B"/>
        <color rgb="FFFFEB84"/>
        <color rgb="FF63BE7B"/>
      </colorScale>
    </cfRule>
  </conditionalFormatting>
  <conditionalFormatting sqref="S3">
    <cfRule type="colorScale" priority="502">
      <colorScale>
        <cfvo type="min"/>
        <cfvo type="max"/>
        <color rgb="FFFCFCFF"/>
        <color rgb="FF754BFB"/>
      </colorScale>
    </cfRule>
  </conditionalFormatting>
  <conditionalFormatting sqref="AT3">
    <cfRule type="colorScale" priority="503">
      <colorScale>
        <cfvo type="min"/>
        <cfvo type="max"/>
        <color rgb="FFFCFCFF"/>
        <color theme="8" tint="0.39997558519241921"/>
      </colorScale>
    </cfRule>
  </conditionalFormatting>
  <conditionalFormatting sqref="CG3">
    <cfRule type="colorScale" priority="504">
      <colorScale>
        <cfvo type="min"/>
        <cfvo type="max"/>
        <color rgb="FFFCFCFF"/>
        <color rgb="FF63BE7B"/>
      </colorScale>
    </cfRule>
  </conditionalFormatting>
  <conditionalFormatting sqref="H4">
    <cfRule type="cellIs" dxfId="2154" priority="437" stopIfTrue="1" operator="notEqual">
      <formula>""</formula>
    </cfRule>
  </conditionalFormatting>
  <conditionalFormatting sqref="R4 CU4">
    <cfRule type="cellIs" dxfId="2153" priority="439" operator="greaterThan">
      <formula>0</formula>
    </cfRule>
  </conditionalFormatting>
  <conditionalFormatting sqref="T4:AS4 CH4:CS4">
    <cfRule type="cellIs" dxfId="2152" priority="434" stopIfTrue="1" operator="equal">
      <formula>"n"</formula>
    </cfRule>
    <cfRule type="cellIs" dxfId="2151" priority="435" stopIfTrue="1" operator="equal">
      <formula>"y"</formula>
    </cfRule>
    <cfRule type="cellIs" dxfId="2150" priority="436" operator="greaterThan">
      <formula>0</formula>
    </cfRule>
  </conditionalFormatting>
  <conditionalFormatting sqref="AZ4:BB4">
    <cfRule type="expression" dxfId="2149" priority="433">
      <formula>$AT4=0</formula>
    </cfRule>
  </conditionalFormatting>
  <conditionalFormatting sqref="AZ4:BU4">
    <cfRule type="cellIs" dxfId="2148" priority="442" operator="equal">
      <formula>"PIN"</formula>
    </cfRule>
    <cfRule type="cellIs" dxfId="2147" priority="443" operator="equal">
      <formula>"ORA"</formula>
    </cfRule>
    <cfRule type="cellIs" dxfId="2146" priority="444" operator="equal">
      <formula>"GRA"</formula>
    </cfRule>
    <cfRule type="cellIs" dxfId="2145" priority="445" operator="equal">
      <formula>"PUR"</formula>
    </cfRule>
    <cfRule type="cellIs" dxfId="2144" priority="446" operator="equal">
      <formula>"BRO"</formula>
    </cfRule>
    <cfRule type="cellIs" dxfId="2143" priority="447" operator="equal">
      <formula>"YEL"</formula>
    </cfRule>
    <cfRule type="cellIs" dxfId="2142" priority="448" operator="equal">
      <formula>"BLU"</formula>
    </cfRule>
    <cfRule type="cellIs" dxfId="2141" priority="449" operator="equal">
      <formula>"WHI"</formula>
    </cfRule>
    <cfRule type="cellIs" dxfId="2140" priority="450" operator="equal">
      <formula>"GRE"</formula>
    </cfRule>
    <cfRule type="cellIs" dxfId="2139" priority="451" operator="equal">
      <formula>"RED"</formula>
    </cfRule>
    <cfRule type="cellIs" dxfId="2138" priority="452" operator="equal">
      <formula>"BLA"</formula>
    </cfRule>
  </conditionalFormatting>
  <conditionalFormatting sqref="BV4">
    <cfRule type="cellIs" dxfId="2137" priority="464" operator="equal">
      <formula>"nc"</formula>
    </cfRule>
  </conditionalFormatting>
  <conditionalFormatting sqref="BX4:CA4 CD4:CF4">
    <cfRule type="cellIs" dxfId="2136" priority="438" operator="equal">
      <formula>"y"</formula>
    </cfRule>
    <cfRule type="cellIs" dxfId="2135" priority="453" operator="equal">
      <formula>"PIN"</formula>
    </cfRule>
    <cfRule type="cellIs" dxfId="2134" priority="454" operator="equal">
      <formula>"ORA"</formula>
    </cfRule>
    <cfRule type="cellIs" dxfId="2133" priority="455" operator="equal">
      <formula>"GRA"</formula>
    </cfRule>
    <cfRule type="cellIs" dxfId="2132" priority="456" operator="equal">
      <formula>"PUR"</formula>
    </cfRule>
    <cfRule type="cellIs" dxfId="2131" priority="457" operator="equal">
      <formula>"BRO"</formula>
    </cfRule>
    <cfRule type="cellIs" dxfId="2130" priority="458" operator="equal">
      <formula>"YEL"</formula>
    </cfRule>
    <cfRule type="cellIs" dxfId="2129" priority="459" operator="equal">
      <formula>"BLU"</formula>
    </cfRule>
    <cfRule type="cellIs" dxfId="2128" priority="460" operator="equal">
      <formula>"WHI"</formula>
    </cfRule>
    <cfRule type="cellIs" dxfId="2127" priority="461" operator="equal">
      <formula>"GRE"</formula>
    </cfRule>
    <cfRule type="cellIs" dxfId="2126" priority="462" operator="equal">
      <formula>"RED"</formula>
    </cfRule>
    <cfRule type="cellIs" dxfId="2125" priority="463" operator="equal">
      <formula>"BLA"</formula>
    </cfRule>
  </conditionalFormatting>
  <conditionalFormatting sqref="BZ4:CA4 CD4:CF4">
    <cfRule type="cellIs" dxfId="2124" priority="440" operator="greaterThan">
      <formula>0</formula>
    </cfRule>
  </conditionalFormatting>
  <conditionalFormatting sqref="IC4:IK4">
    <cfRule type="expression" dxfId="2123" priority="441">
      <formula>$IL4&gt;0</formula>
    </cfRule>
  </conditionalFormatting>
  <conditionalFormatting sqref="J4">
    <cfRule type="colorScale" priority="465">
      <colorScale>
        <cfvo type="min"/>
        <cfvo type="percentile" val="50"/>
        <cfvo type="max"/>
        <color rgb="FFF8696B"/>
        <color rgb="FFFFEB84"/>
        <color rgb="FF63BE7B"/>
      </colorScale>
    </cfRule>
  </conditionalFormatting>
  <conditionalFormatting sqref="S4">
    <cfRule type="colorScale" priority="466">
      <colorScale>
        <cfvo type="min"/>
        <cfvo type="max"/>
        <color rgb="FFFCFCFF"/>
        <color rgb="FF754BFB"/>
      </colorScale>
    </cfRule>
  </conditionalFormatting>
  <conditionalFormatting sqref="AT4">
    <cfRule type="colorScale" priority="467">
      <colorScale>
        <cfvo type="min"/>
        <cfvo type="max"/>
        <color rgb="FFFCFCFF"/>
        <color theme="8" tint="0.39997558519241921"/>
      </colorScale>
    </cfRule>
  </conditionalFormatting>
  <conditionalFormatting sqref="CG4">
    <cfRule type="colorScale" priority="468">
      <colorScale>
        <cfvo type="min"/>
        <cfvo type="max"/>
        <color rgb="FFFCFCFF"/>
        <color rgb="FF63BE7B"/>
      </colorScale>
    </cfRule>
  </conditionalFormatting>
  <conditionalFormatting sqref="H5">
    <cfRule type="cellIs" dxfId="2122" priority="401" stopIfTrue="1" operator="notEqual">
      <formula>""</formula>
    </cfRule>
  </conditionalFormatting>
  <conditionalFormatting sqref="R5 CU5">
    <cfRule type="cellIs" dxfId="2121" priority="403" operator="greaterThan">
      <formula>0</formula>
    </cfRule>
  </conditionalFormatting>
  <conditionalFormatting sqref="T5:AS5 CH5:CS5">
    <cfRule type="cellIs" dxfId="2120" priority="398" stopIfTrue="1" operator="equal">
      <formula>"n"</formula>
    </cfRule>
    <cfRule type="cellIs" dxfId="2119" priority="399" stopIfTrue="1" operator="equal">
      <formula>"y"</formula>
    </cfRule>
    <cfRule type="cellIs" dxfId="2118" priority="400" operator="greaterThan">
      <formula>0</formula>
    </cfRule>
  </conditionalFormatting>
  <conditionalFormatting sqref="AZ5:BB5">
    <cfRule type="expression" dxfId="2117" priority="397">
      <formula>$AT5=0</formula>
    </cfRule>
  </conditionalFormatting>
  <conditionalFormatting sqref="AZ5:BU5">
    <cfRule type="cellIs" dxfId="2116" priority="406" operator="equal">
      <formula>"PIN"</formula>
    </cfRule>
    <cfRule type="cellIs" dxfId="2115" priority="407" operator="equal">
      <formula>"ORA"</formula>
    </cfRule>
    <cfRule type="cellIs" dxfId="2114" priority="408" operator="equal">
      <formula>"GRA"</formula>
    </cfRule>
    <cfRule type="cellIs" dxfId="2113" priority="409" operator="equal">
      <formula>"PUR"</formula>
    </cfRule>
    <cfRule type="cellIs" dxfId="2112" priority="410" operator="equal">
      <formula>"BRO"</formula>
    </cfRule>
    <cfRule type="cellIs" dxfId="2111" priority="411" operator="equal">
      <formula>"YEL"</formula>
    </cfRule>
    <cfRule type="cellIs" dxfId="2110" priority="412" operator="equal">
      <formula>"BLU"</formula>
    </cfRule>
    <cfRule type="cellIs" dxfId="2109" priority="413" operator="equal">
      <formula>"WHI"</formula>
    </cfRule>
    <cfRule type="cellIs" dxfId="2108" priority="414" operator="equal">
      <formula>"GRE"</formula>
    </cfRule>
    <cfRule type="cellIs" dxfId="2107" priority="415" operator="equal">
      <formula>"RED"</formula>
    </cfRule>
    <cfRule type="cellIs" dxfId="2106" priority="416" operator="equal">
      <formula>"BLA"</formula>
    </cfRule>
  </conditionalFormatting>
  <conditionalFormatting sqref="BV5">
    <cfRule type="cellIs" dxfId="2105" priority="428" operator="equal">
      <formula>"nc"</formula>
    </cfRule>
  </conditionalFormatting>
  <conditionalFormatting sqref="BX5:CA5 CD5:CF5">
    <cfRule type="cellIs" dxfId="2104" priority="402" operator="equal">
      <formula>"y"</formula>
    </cfRule>
    <cfRule type="cellIs" dxfId="2103" priority="417" operator="equal">
      <formula>"PIN"</formula>
    </cfRule>
    <cfRule type="cellIs" dxfId="2102" priority="418" operator="equal">
      <formula>"ORA"</formula>
    </cfRule>
    <cfRule type="cellIs" dxfId="2101" priority="419" operator="equal">
      <formula>"GRA"</formula>
    </cfRule>
    <cfRule type="cellIs" dxfId="2100" priority="420" operator="equal">
      <formula>"PUR"</formula>
    </cfRule>
    <cfRule type="cellIs" dxfId="2099" priority="421" operator="equal">
      <formula>"BRO"</formula>
    </cfRule>
    <cfRule type="cellIs" dxfId="2098" priority="422" operator="equal">
      <formula>"YEL"</formula>
    </cfRule>
    <cfRule type="cellIs" dxfId="2097" priority="423" operator="equal">
      <formula>"BLU"</formula>
    </cfRule>
    <cfRule type="cellIs" dxfId="2096" priority="424" operator="equal">
      <formula>"WHI"</formula>
    </cfRule>
    <cfRule type="cellIs" dxfId="2095" priority="425" operator="equal">
      <formula>"GRE"</formula>
    </cfRule>
    <cfRule type="cellIs" dxfId="2094" priority="426" operator="equal">
      <formula>"RED"</formula>
    </cfRule>
    <cfRule type="cellIs" dxfId="2093" priority="427" operator="equal">
      <formula>"BLA"</formula>
    </cfRule>
  </conditionalFormatting>
  <conditionalFormatting sqref="BZ5:CA5 CD5:CF5">
    <cfRule type="cellIs" dxfId="2092" priority="404" operator="greaterThan">
      <formula>0</formula>
    </cfRule>
  </conditionalFormatting>
  <conditionalFormatting sqref="IC5:IK5">
    <cfRule type="expression" dxfId="2091" priority="405">
      <formula>$IL5&gt;0</formula>
    </cfRule>
  </conditionalFormatting>
  <conditionalFormatting sqref="J5">
    <cfRule type="colorScale" priority="429">
      <colorScale>
        <cfvo type="min"/>
        <cfvo type="percentile" val="50"/>
        <cfvo type="max"/>
        <color rgb="FFF8696B"/>
        <color rgb="FFFFEB84"/>
        <color rgb="FF63BE7B"/>
      </colorScale>
    </cfRule>
  </conditionalFormatting>
  <conditionalFormatting sqref="S5">
    <cfRule type="colorScale" priority="430">
      <colorScale>
        <cfvo type="min"/>
        <cfvo type="max"/>
        <color rgb="FFFCFCFF"/>
        <color rgb="FF754BFB"/>
      </colorScale>
    </cfRule>
  </conditionalFormatting>
  <conditionalFormatting sqref="AT5">
    <cfRule type="colorScale" priority="431">
      <colorScale>
        <cfvo type="min"/>
        <cfvo type="max"/>
        <color rgb="FFFCFCFF"/>
        <color theme="8" tint="0.39997558519241921"/>
      </colorScale>
    </cfRule>
  </conditionalFormatting>
  <conditionalFormatting sqref="CG5">
    <cfRule type="colorScale" priority="432">
      <colorScale>
        <cfvo type="min"/>
        <cfvo type="max"/>
        <color rgb="FFFCFCFF"/>
        <color rgb="FF63BE7B"/>
      </colorScale>
    </cfRule>
  </conditionalFormatting>
  <conditionalFormatting sqref="H6">
    <cfRule type="cellIs" dxfId="2090" priority="365" stopIfTrue="1" operator="notEqual">
      <formula>""</formula>
    </cfRule>
  </conditionalFormatting>
  <conditionalFormatting sqref="R6 CU6">
    <cfRule type="cellIs" dxfId="2089" priority="367" operator="greaterThan">
      <formula>0</formula>
    </cfRule>
  </conditionalFormatting>
  <conditionalFormatting sqref="T6:AS6 CH6:CS6">
    <cfRule type="cellIs" dxfId="2088" priority="362" stopIfTrue="1" operator="equal">
      <formula>"n"</formula>
    </cfRule>
    <cfRule type="cellIs" dxfId="2087" priority="363" stopIfTrue="1" operator="equal">
      <formula>"y"</formula>
    </cfRule>
    <cfRule type="cellIs" dxfId="2086" priority="364" operator="greaterThan">
      <formula>0</formula>
    </cfRule>
  </conditionalFormatting>
  <conditionalFormatting sqref="AZ6:BB6">
    <cfRule type="expression" dxfId="2085" priority="361">
      <formula>$AT6=0</formula>
    </cfRule>
  </conditionalFormatting>
  <conditionalFormatting sqref="AZ6:BU6">
    <cfRule type="cellIs" dxfId="2084" priority="370" operator="equal">
      <formula>"PIN"</formula>
    </cfRule>
    <cfRule type="cellIs" dxfId="2083" priority="371" operator="equal">
      <formula>"ORA"</formula>
    </cfRule>
    <cfRule type="cellIs" dxfId="2082" priority="372" operator="equal">
      <formula>"GRA"</formula>
    </cfRule>
    <cfRule type="cellIs" dxfId="2081" priority="373" operator="equal">
      <formula>"PUR"</formula>
    </cfRule>
    <cfRule type="cellIs" dxfId="2080" priority="374" operator="equal">
      <formula>"BRO"</formula>
    </cfRule>
    <cfRule type="cellIs" dxfId="2079" priority="375" operator="equal">
      <formula>"YEL"</formula>
    </cfRule>
    <cfRule type="cellIs" dxfId="2078" priority="376" operator="equal">
      <formula>"BLU"</formula>
    </cfRule>
    <cfRule type="cellIs" dxfId="2077" priority="377" operator="equal">
      <formula>"WHI"</formula>
    </cfRule>
    <cfRule type="cellIs" dxfId="2076" priority="378" operator="equal">
      <formula>"GRE"</formula>
    </cfRule>
    <cfRule type="cellIs" dxfId="2075" priority="379" operator="equal">
      <formula>"RED"</formula>
    </cfRule>
    <cfRule type="cellIs" dxfId="2074" priority="380" operator="equal">
      <formula>"BLA"</formula>
    </cfRule>
  </conditionalFormatting>
  <conditionalFormatting sqref="BV6">
    <cfRule type="cellIs" dxfId="2073" priority="392" operator="equal">
      <formula>"nc"</formula>
    </cfRule>
  </conditionalFormatting>
  <conditionalFormatting sqref="BX6:CA6 CD6:CF6">
    <cfRule type="cellIs" dxfId="2072" priority="366" operator="equal">
      <formula>"y"</formula>
    </cfRule>
    <cfRule type="cellIs" dxfId="2071" priority="381" operator="equal">
      <formula>"PIN"</formula>
    </cfRule>
    <cfRule type="cellIs" dxfId="2070" priority="382" operator="equal">
      <formula>"ORA"</formula>
    </cfRule>
    <cfRule type="cellIs" dxfId="2069" priority="383" operator="equal">
      <formula>"GRA"</formula>
    </cfRule>
    <cfRule type="cellIs" dxfId="2068" priority="384" operator="equal">
      <formula>"PUR"</formula>
    </cfRule>
    <cfRule type="cellIs" dxfId="2067" priority="385" operator="equal">
      <formula>"BRO"</formula>
    </cfRule>
    <cfRule type="cellIs" dxfId="2066" priority="386" operator="equal">
      <formula>"YEL"</formula>
    </cfRule>
    <cfRule type="cellIs" dxfId="2065" priority="387" operator="equal">
      <formula>"BLU"</formula>
    </cfRule>
    <cfRule type="cellIs" dxfId="2064" priority="388" operator="equal">
      <formula>"WHI"</formula>
    </cfRule>
    <cfRule type="cellIs" dxfId="2063" priority="389" operator="equal">
      <formula>"GRE"</formula>
    </cfRule>
    <cfRule type="cellIs" dxfId="2062" priority="390" operator="equal">
      <formula>"RED"</formula>
    </cfRule>
    <cfRule type="cellIs" dxfId="2061" priority="391" operator="equal">
      <formula>"BLA"</formula>
    </cfRule>
  </conditionalFormatting>
  <conditionalFormatting sqref="BZ6:CA6 CD6:CF6">
    <cfRule type="cellIs" dxfId="2060" priority="368" operator="greaterThan">
      <formula>0</formula>
    </cfRule>
  </conditionalFormatting>
  <conditionalFormatting sqref="IC6:IK6">
    <cfRule type="expression" dxfId="2059" priority="369">
      <formula>$IL6&gt;0</formula>
    </cfRule>
  </conditionalFormatting>
  <conditionalFormatting sqref="J6">
    <cfRule type="colorScale" priority="393">
      <colorScale>
        <cfvo type="min"/>
        <cfvo type="percentile" val="50"/>
        <cfvo type="max"/>
        <color rgb="FFF8696B"/>
        <color rgb="FFFFEB84"/>
        <color rgb="FF63BE7B"/>
      </colorScale>
    </cfRule>
  </conditionalFormatting>
  <conditionalFormatting sqref="S6">
    <cfRule type="colorScale" priority="394">
      <colorScale>
        <cfvo type="min"/>
        <cfvo type="max"/>
        <color rgb="FFFCFCFF"/>
        <color rgb="FF754BFB"/>
      </colorScale>
    </cfRule>
  </conditionalFormatting>
  <conditionalFormatting sqref="AT6">
    <cfRule type="colorScale" priority="395">
      <colorScale>
        <cfvo type="min"/>
        <cfvo type="max"/>
        <color rgb="FFFCFCFF"/>
        <color theme="8" tint="0.39997558519241921"/>
      </colorScale>
    </cfRule>
  </conditionalFormatting>
  <conditionalFormatting sqref="CG6">
    <cfRule type="colorScale" priority="396">
      <colorScale>
        <cfvo type="min"/>
        <cfvo type="max"/>
        <color rgb="FFFCFCFF"/>
        <color rgb="FF63BE7B"/>
      </colorScale>
    </cfRule>
  </conditionalFormatting>
  <conditionalFormatting sqref="H7">
    <cfRule type="cellIs" dxfId="1226" priority="329" stopIfTrue="1" operator="notEqual">
      <formula>""</formula>
    </cfRule>
  </conditionalFormatting>
  <conditionalFormatting sqref="R7 CU7">
    <cfRule type="cellIs" dxfId="1225" priority="331" operator="greaterThan">
      <formula>0</formula>
    </cfRule>
  </conditionalFormatting>
  <conditionalFormatting sqref="T7:AS7 CH7:CS7">
    <cfRule type="cellIs" dxfId="1224" priority="326" stopIfTrue="1" operator="equal">
      <formula>"n"</formula>
    </cfRule>
    <cfRule type="cellIs" dxfId="1223" priority="327" stopIfTrue="1" operator="equal">
      <formula>"y"</formula>
    </cfRule>
    <cfRule type="cellIs" dxfId="1222" priority="328" operator="greaterThan">
      <formula>0</formula>
    </cfRule>
  </conditionalFormatting>
  <conditionalFormatting sqref="AZ7:BB7">
    <cfRule type="expression" dxfId="1221" priority="325">
      <formula>$AT7=0</formula>
    </cfRule>
  </conditionalFormatting>
  <conditionalFormatting sqref="AZ7:BU7">
    <cfRule type="cellIs" dxfId="1220" priority="334" operator="equal">
      <formula>"PIN"</formula>
    </cfRule>
    <cfRule type="cellIs" dxfId="1219" priority="335" operator="equal">
      <formula>"ORA"</formula>
    </cfRule>
    <cfRule type="cellIs" dxfId="1218" priority="336" operator="equal">
      <formula>"GRA"</formula>
    </cfRule>
    <cfRule type="cellIs" dxfId="1217" priority="337" operator="equal">
      <formula>"PUR"</formula>
    </cfRule>
    <cfRule type="cellIs" dxfId="1216" priority="338" operator="equal">
      <formula>"BRO"</formula>
    </cfRule>
    <cfRule type="cellIs" dxfId="1215" priority="339" operator="equal">
      <formula>"YEL"</formula>
    </cfRule>
    <cfRule type="cellIs" dxfId="1214" priority="340" operator="equal">
      <formula>"BLU"</formula>
    </cfRule>
    <cfRule type="cellIs" dxfId="1213" priority="341" operator="equal">
      <formula>"WHI"</formula>
    </cfRule>
    <cfRule type="cellIs" dxfId="1212" priority="342" operator="equal">
      <formula>"GRE"</formula>
    </cfRule>
    <cfRule type="cellIs" dxfId="1211" priority="343" operator="equal">
      <formula>"RED"</formula>
    </cfRule>
    <cfRule type="cellIs" dxfId="1210" priority="344" operator="equal">
      <formula>"BLA"</formula>
    </cfRule>
  </conditionalFormatting>
  <conditionalFormatting sqref="BV7">
    <cfRule type="cellIs" dxfId="1209" priority="356" operator="equal">
      <formula>"nc"</formula>
    </cfRule>
  </conditionalFormatting>
  <conditionalFormatting sqref="BX7:CA7 CD7:CF7">
    <cfRule type="cellIs" dxfId="1208" priority="330" operator="equal">
      <formula>"y"</formula>
    </cfRule>
    <cfRule type="cellIs" dxfId="1207" priority="345" operator="equal">
      <formula>"PIN"</formula>
    </cfRule>
    <cfRule type="cellIs" dxfId="1206" priority="346" operator="equal">
      <formula>"ORA"</formula>
    </cfRule>
    <cfRule type="cellIs" dxfId="1205" priority="347" operator="equal">
      <formula>"GRA"</formula>
    </cfRule>
    <cfRule type="cellIs" dxfId="1204" priority="348" operator="equal">
      <formula>"PUR"</formula>
    </cfRule>
    <cfRule type="cellIs" dxfId="1203" priority="349" operator="equal">
      <formula>"BRO"</formula>
    </cfRule>
    <cfRule type="cellIs" dxfId="1202" priority="350" operator="equal">
      <formula>"YEL"</formula>
    </cfRule>
    <cfRule type="cellIs" dxfId="1201" priority="351" operator="equal">
      <formula>"BLU"</formula>
    </cfRule>
    <cfRule type="cellIs" dxfId="1200" priority="352" operator="equal">
      <formula>"WHI"</formula>
    </cfRule>
    <cfRule type="cellIs" dxfId="1199" priority="353" operator="equal">
      <formula>"GRE"</formula>
    </cfRule>
    <cfRule type="cellIs" dxfId="1198" priority="354" operator="equal">
      <formula>"RED"</formula>
    </cfRule>
    <cfRule type="cellIs" dxfId="1197" priority="355" operator="equal">
      <formula>"BLA"</formula>
    </cfRule>
  </conditionalFormatting>
  <conditionalFormatting sqref="BZ7:CA7 CD7:CF7">
    <cfRule type="cellIs" dxfId="1196" priority="332" operator="greaterThan">
      <formula>0</formula>
    </cfRule>
  </conditionalFormatting>
  <conditionalFormatting sqref="IC7:IK7">
    <cfRule type="expression" dxfId="1195" priority="333">
      <formula>$IL7&gt;0</formula>
    </cfRule>
  </conditionalFormatting>
  <conditionalFormatting sqref="J7">
    <cfRule type="colorScale" priority="357">
      <colorScale>
        <cfvo type="min"/>
        <cfvo type="percentile" val="50"/>
        <cfvo type="max"/>
        <color rgb="FFF8696B"/>
        <color rgb="FFFFEB84"/>
        <color rgb="FF63BE7B"/>
      </colorScale>
    </cfRule>
  </conditionalFormatting>
  <conditionalFormatting sqref="S7">
    <cfRule type="colorScale" priority="358">
      <colorScale>
        <cfvo type="min"/>
        <cfvo type="max"/>
        <color rgb="FFFCFCFF"/>
        <color rgb="FF754BFB"/>
      </colorScale>
    </cfRule>
  </conditionalFormatting>
  <conditionalFormatting sqref="AT7">
    <cfRule type="colorScale" priority="359">
      <colorScale>
        <cfvo type="min"/>
        <cfvo type="max"/>
        <color rgb="FFFCFCFF"/>
        <color theme="8" tint="0.39997558519241921"/>
      </colorScale>
    </cfRule>
  </conditionalFormatting>
  <conditionalFormatting sqref="CG7">
    <cfRule type="colorScale" priority="360">
      <colorScale>
        <cfvo type="min"/>
        <cfvo type="max"/>
        <color rgb="FFFCFCFF"/>
        <color rgb="FF63BE7B"/>
      </colorScale>
    </cfRule>
  </conditionalFormatting>
  <conditionalFormatting sqref="H8">
    <cfRule type="cellIs" dxfId="1194" priority="293" stopIfTrue="1" operator="notEqual">
      <formula>""</formula>
    </cfRule>
  </conditionalFormatting>
  <conditionalFormatting sqref="R8 CU8">
    <cfRule type="cellIs" dxfId="1193" priority="295" operator="greaterThan">
      <formula>0</formula>
    </cfRule>
  </conditionalFormatting>
  <conditionalFormatting sqref="T8:AS8 CH8:CS8">
    <cfRule type="cellIs" dxfId="1192" priority="290" stopIfTrue="1" operator="equal">
      <formula>"n"</formula>
    </cfRule>
    <cfRule type="cellIs" dxfId="1191" priority="291" stopIfTrue="1" operator="equal">
      <formula>"y"</formula>
    </cfRule>
    <cfRule type="cellIs" dxfId="1190" priority="292" operator="greaterThan">
      <formula>0</formula>
    </cfRule>
  </conditionalFormatting>
  <conditionalFormatting sqref="AZ8:BB8">
    <cfRule type="expression" dxfId="1189" priority="289">
      <formula>$AT8=0</formula>
    </cfRule>
  </conditionalFormatting>
  <conditionalFormatting sqref="AZ8:BU8">
    <cfRule type="cellIs" dxfId="1188" priority="298" operator="equal">
      <formula>"PIN"</formula>
    </cfRule>
    <cfRule type="cellIs" dxfId="1187" priority="299" operator="equal">
      <formula>"ORA"</formula>
    </cfRule>
    <cfRule type="cellIs" dxfId="1186" priority="300" operator="equal">
      <formula>"GRA"</formula>
    </cfRule>
    <cfRule type="cellIs" dxfId="1185" priority="301" operator="equal">
      <formula>"PUR"</formula>
    </cfRule>
    <cfRule type="cellIs" dxfId="1184" priority="302" operator="equal">
      <formula>"BRO"</formula>
    </cfRule>
    <cfRule type="cellIs" dxfId="1183" priority="303" operator="equal">
      <formula>"YEL"</formula>
    </cfRule>
    <cfRule type="cellIs" dxfId="1182" priority="304" operator="equal">
      <formula>"BLU"</formula>
    </cfRule>
    <cfRule type="cellIs" dxfId="1181" priority="305" operator="equal">
      <formula>"WHI"</formula>
    </cfRule>
    <cfRule type="cellIs" dxfId="1180" priority="306" operator="equal">
      <formula>"GRE"</formula>
    </cfRule>
    <cfRule type="cellIs" dxfId="1179" priority="307" operator="equal">
      <formula>"RED"</formula>
    </cfRule>
    <cfRule type="cellIs" dxfId="1178" priority="308" operator="equal">
      <formula>"BLA"</formula>
    </cfRule>
  </conditionalFormatting>
  <conditionalFormatting sqref="BV8">
    <cfRule type="cellIs" dxfId="1177" priority="320" operator="equal">
      <formula>"nc"</formula>
    </cfRule>
  </conditionalFormatting>
  <conditionalFormatting sqref="BX8:CA8 CD8:CF8">
    <cfRule type="cellIs" dxfId="1176" priority="294" operator="equal">
      <formula>"y"</formula>
    </cfRule>
    <cfRule type="cellIs" dxfId="1175" priority="309" operator="equal">
      <formula>"PIN"</formula>
    </cfRule>
    <cfRule type="cellIs" dxfId="1174" priority="310" operator="equal">
      <formula>"ORA"</formula>
    </cfRule>
    <cfRule type="cellIs" dxfId="1173" priority="311" operator="equal">
      <formula>"GRA"</formula>
    </cfRule>
    <cfRule type="cellIs" dxfId="1172" priority="312" operator="equal">
      <formula>"PUR"</formula>
    </cfRule>
    <cfRule type="cellIs" dxfId="1171" priority="313" operator="equal">
      <formula>"BRO"</formula>
    </cfRule>
    <cfRule type="cellIs" dxfId="1170" priority="314" operator="equal">
      <formula>"YEL"</formula>
    </cfRule>
    <cfRule type="cellIs" dxfId="1169" priority="315" operator="equal">
      <formula>"BLU"</formula>
    </cfRule>
    <cfRule type="cellIs" dxfId="1168" priority="316" operator="equal">
      <formula>"WHI"</formula>
    </cfRule>
    <cfRule type="cellIs" dxfId="1167" priority="317" operator="equal">
      <formula>"GRE"</formula>
    </cfRule>
    <cfRule type="cellIs" dxfId="1166" priority="318" operator="equal">
      <formula>"RED"</formula>
    </cfRule>
    <cfRule type="cellIs" dxfId="1165" priority="319" operator="equal">
      <formula>"BLA"</formula>
    </cfRule>
  </conditionalFormatting>
  <conditionalFormatting sqref="BZ8:CA8 CD8:CF8">
    <cfRule type="cellIs" dxfId="1164" priority="296" operator="greaterThan">
      <formula>0</formula>
    </cfRule>
  </conditionalFormatting>
  <conditionalFormatting sqref="IC8:IK8">
    <cfRule type="expression" dxfId="1163" priority="297">
      <formula>$IL8&gt;0</formula>
    </cfRule>
  </conditionalFormatting>
  <conditionalFormatting sqref="J8">
    <cfRule type="colorScale" priority="321">
      <colorScale>
        <cfvo type="min"/>
        <cfvo type="percentile" val="50"/>
        <cfvo type="max"/>
        <color rgb="FFF8696B"/>
        <color rgb="FFFFEB84"/>
        <color rgb="FF63BE7B"/>
      </colorScale>
    </cfRule>
  </conditionalFormatting>
  <conditionalFormatting sqref="S8">
    <cfRule type="colorScale" priority="322">
      <colorScale>
        <cfvo type="min"/>
        <cfvo type="max"/>
        <color rgb="FFFCFCFF"/>
        <color rgb="FF754BFB"/>
      </colorScale>
    </cfRule>
  </conditionalFormatting>
  <conditionalFormatting sqref="AT8">
    <cfRule type="colorScale" priority="323">
      <colorScale>
        <cfvo type="min"/>
        <cfvo type="max"/>
        <color rgb="FFFCFCFF"/>
        <color theme="8" tint="0.39997558519241921"/>
      </colorScale>
    </cfRule>
  </conditionalFormatting>
  <conditionalFormatting sqref="CG8">
    <cfRule type="colorScale" priority="324">
      <colorScale>
        <cfvo type="min"/>
        <cfvo type="max"/>
        <color rgb="FFFCFCFF"/>
        <color rgb="FF63BE7B"/>
      </colorScale>
    </cfRule>
  </conditionalFormatting>
  <conditionalFormatting sqref="H9">
    <cfRule type="cellIs" dxfId="1162" priority="257" stopIfTrue="1" operator="notEqual">
      <formula>""</formula>
    </cfRule>
  </conditionalFormatting>
  <conditionalFormatting sqref="R9 CU9">
    <cfRule type="cellIs" dxfId="1161" priority="259" operator="greaterThan">
      <formula>0</formula>
    </cfRule>
  </conditionalFormatting>
  <conditionalFormatting sqref="T9:AS9 CH9:CS9">
    <cfRule type="cellIs" dxfId="1160" priority="254" stopIfTrue="1" operator="equal">
      <formula>"n"</formula>
    </cfRule>
    <cfRule type="cellIs" dxfId="1159" priority="255" stopIfTrue="1" operator="equal">
      <formula>"y"</formula>
    </cfRule>
    <cfRule type="cellIs" dxfId="1158" priority="256" operator="greaterThan">
      <formula>0</formula>
    </cfRule>
  </conditionalFormatting>
  <conditionalFormatting sqref="AZ9:BB9">
    <cfRule type="expression" dxfId="1157" priority="253">
      <formula>$AT9=0</formula>
    </cfRule>
  </conditionalFormatting>
  <conditionalFormatting sqref="AZ9:BU9">
    <cfRule type="cellIs" dxfId="1156" priority="262" operator="equal">
      <formula>"PIN"</formula>
    </cfRule>
    <cfRule type="cellIs" dxfId="1155" priority="263" operator="equal">
      <formula>"ORA"</formula>
    </cfRule>
    <cfRule type="cellIs" dxfId="1154" priority="264" operator="equal">
      <formula>"GRA"</formula>
    </cfRule>
    <cfRule type="cellIs" dxfId="1153" priority="265" operator="equal">
      <formula>"PUR"</formula>
    </cfRule>
    <cfRule type="cellIs" dxfId="1152" priority="266" operator="equal">
      <formula>"BRO"</formula>
    </cfRule>
    <cfRule type="cellIs" dxfId="1151" priority="267" operator="equal">
      <formula>"YEL"</formula>
    </cfRule>
    <cfRule type="cellIs" dxfId="1150" priority="268" operator="equal">
      <formula>"BLU"</formula>
    </cfRule>
    <cfRule type="cellIs" dxfId="1149" priority="269" operator="equal">
      <formula>"WHI"</formula>
    </cfRule>
    <cfRule type="cellIs" dxfId="1148" priority="270" operator="equal">
      <formula>"GRE"</formula>
    </cfRule>
    <cfRule type="cellIs" dxfId="1147" priority="271" operator="equal">
      <formula>"RED"</formula>
    </cfRule>
    <cfRule type="cellIs" dxfId="1146" priority="272" operator="equal">
      <formula>"BLA"</formula>
    </cfRule>
  </conditionalFormatting>
  <conditionalFormatting sqref="BV9">
    <cfRule type="cellIs" dxfId="1145" priority="284" operator="equal">
      <formula>"nc"</formula>
    </cfRule>
  </conditionalFormatting>
  <conditionalFormatting sqref="BX9:CA9 CD9:CF9">
    <cfRule type="cellIs" dxfId="1144" priority="258" operator="equal">
      <formula>"y"</formula>
    </cfRule>
    <cfRule type="cellIs" dxfId="1143" priority="273" operator="equal">
      <formula>"PIN"</formula>
    </cfRule>
    <cfRule type="cellIs" dxfId="1142" priority="274" operator="equal">
      <formula>"ORA"</formula>
    </cfRule>
    <cfRule type="cellIs" dxfId="1141" priority="275" operator="equal">
      <formula>"GRA"</formula>
    </cfRule>
    <cfRule type="cellIs" dxfId="1140" priority="276" operator="equal">
      <formula>"PUR"</formula>
    </cfRule>
    <cfRule type="cellIs" dxfId="1139" priority="277" operator="equal">
      <formula>"BRO"</formula>
    </cfRule>
    <cfRule type="cellIs" dxfId="1138" priority="278" operator="equal">
      <formula>"YEL"</formula>
    </cfRule>
    <cfRule type="cellIs" dxfId="1137" priority="279" operator="equal">
      <formula>"BLU"</formula>
    </cfRule>
    <cfRule type="cellIs" dxfId="1136" priority="280" operator="equal">
      <formula>"WHI"</formula>
    </cfRule>
    <cfRule type="cellIs" dxfId="1135" priority="281" operator="equal">
      <formula>"GRE"</formula>
    </cfRule>
    <cfRule type="cellIs" dxfId="1134" priority="282" operator="equal">
      <formula>"RED"</formula>
    </cfRule>
    <cfRule type="cellIs" dxfId="1133" priority="283" operator="equal">
      <formula>"BLA"</formula>
    </cfRule>
  </conditionalFormatting>
  <conditionalFormatting sqref="BZ9:CA9 CD9:CF9">
    <cfRule type="cellIs" dxfId="1132" priority="260" operator="greaterThan">
      <formula>0</formula>
    </cfRule>
  </conditionalFormatting>
  <conditionalFormatting sqref="IC9:IK9">
    <cfRule type="expression" dxfId="1131" priority="261">
      <formula>$IL9&gt;0</formula>
    </cfRule>
  </conditionalFormatting>
  <conditionalFormatting sqref="J9">
    <cfRule type="colorScale" priority="285">
      <colorScale>
        <cfvo type="min"/>
        <cfvo type="percentile" val="50"/>
        <cfvo type="max"/>
        <color rgb="FFF8696B"/>
        <color rgb="FFFFEB84"/>
        <color rgb="FF63BE7B"/>
      </colorScale>
    </cfRule>
  </conditionalFormatting>
  <conditionalFormatting sqref="S9">
    <cfRule type="colorScale" priority="286">
      <colorScale>
        <cfvo type="min"/>
        <cfvo type="max"/>
        <color rgb="FFFCFCFF"/>
        <color rgb="FF754BFB"/>
      </colorScale>
    </cfRule>
  </conditionalFormatting>
  <conditionalFormatting sqref="AT9">
    <cfRule type="colorScale" priority="287">
      <colorScale>
        <cfvo type="min"/>
        <cfvo type="max"/>
        <color rgb="FFFCFCFF"/>
        <color theme="8" tint="0.39997558519241921"/>
      </colorScale>
    </cfRule>
  </conditionalFormatting>
  <conditionalFormatting sqref="CG9">
    <cfRule type="colorScale" priority="288">
      <colorScale>
        <cfvo type="min"/>
        <cfvo type="max"/>
        <color rgb="FFFCFCFF"/>
        <color rgb="FF63BE7B"/>
      </colorScale>
    </cfRule>
  </conditionalFormatting>
  <conditionalFormatting sqref="H10">
    <cfRule type="cellIs" dxfId="319" priority="221" stopIfTrue="1" operator="notEqual">
      <formula>""</formula>
    </cfRule>
  </conditionalFormatting>
  <conditionalFormatting sqref="R10 CU10">
    <cfRule type="cellIs" dxfId="318" priority="223" operator="greaterThan">
      <formula>0</formula>
    </cfRule>
  </conditionalFormatting>
  <conditionalFormatting sqref="T10:AS10 CH10:CS10">
    <cfRule type="cellIs" dxfId="317" priority="218" stopIfTrue="1" operator="equal">
      <formula>"n"</formula>
    </cfRule>
    <cfRule type="cellIs" dxfId="316" priority="219" stopIfTrue="1" operator="equal">
      <formula>"y"</formula>
    </cfRule>
    <cfRule type="cellIs" dxfId="315" priority="220" operator="greaterThan">
      <formula>0</formula>
    </cfRule>
  </conditionalFormatting>
  <conditionalFormatting sqref="AZ10:BB10">
    <cfRule type="expression" dxfId="314" priority="217">
      <formula>$AT10=0</formula>
    </cfRule>
  </conditionalFormatting>
  <conditionalFormatting sqref="AZ10:BU10">
    <cfRule type="cellIs" dxfId="313" priority="226" operator="equal">
      <formula>"PIN"</formula>
    </cfRule>
    <cfRule type="cellIs" dxfId="312" priority="227" operator="equal">
      <formula>"ORA"</formula>
    </cfRule>
    <cfRule type="cellIs" dxfId="311" priority="228" operator="equal">
      <formula>"GRA"</formula>
    </cfRule>
    <cfRule type="cellIs" dxfId="310" priority="229" operator="equal">
      <formula>"PUR"</formula>
    </cfRule>
    <cfRule type="cellIs" dxfId="309" priority="230" operator="equal">
      <formula>"BRO"</formula>
    </cfRule>
    <cfRule type="cellIs" dxfId="308" priority="231" operator="equal">
      <formula>"YEL"</formula>
    </cfRule>
    <cfRule type="cellIs" dxfId="307" priority="232" operator="equal">
      <formula>"BLU"</formula>
    </cfRule>
    <cfRule type="cellIs" dxfId="306" priority="233" operator="equal">
      <formula>"WHI"</formula>
    </cfRule>
    <cfRule type="cellIs" dxfId="305" priority="234" operator="equal">
      <formula>"GRE"</formula>
    </cfRule>
    <cfRule type="cellIs" dxfId="304" priority="235" operator="equal">
      <formula>"RED"</formula>
    </cfRule>
    <cfRule type="cellIs" dxfId="303" priority="236" operator="equal">
      <formula>"BLA"</formula>
    </cfRule>
  </conditionalFormatting>
  <conditionalFormatting sqref="BV10">
    <cfRule type="cellIs" dxfId="302" priority="248" operator="equal">
      <formula>"nc"</formula>
    </cfRule>
  </conditionalFormatting>
  <conditionalFormatting sqref="BX10:CA10 CD10:CF10">
    <cfRule type="cellIs" dxfId="301" priority="222" operator="equal">
      <formula>"y"</formula>
    </cfRule>
    <cfRule type="cellIs" dxfId="300" priority="237" operator="equal">
      <formula>"PIN"</formula>
    </cfRule>
    <cfRule type="cellIs" dxfId="299" priority="238" operator="equal">
      <formula>"ORA"</formula>
    </cfRule>
    <cfRule type="cellIs" dxfId="298" priority="239" operator="equal">
      <formula>"GRA"</formula>
    </cfRule>
    <cfRule type="cellIs" dxfId="297" priority="240" operator="equal">
      <formula>"PUR"</formula>
    </cfRule>
    <cfRule type="cellIs" dxfId="296" priority="241" operator="equal">
      <formula>"BRO"</formula>
    </cfRule>
    <cfRule type="cellIs" dxfId="295" priority="242" operator="equal">
      <formula>"YEL"</formula>
    </cfRule>
    <cfRule type="cellIs" dxfId="294" priority="243" operator="equal">
      <formula>"BLU"</formula>
    </cfRule>
    <cfRule type="cellIs" dxfId="293" priority="244" operator="equal">
      <formula>"WHI"</formula>
    </cfRule>
    <cfRule type="cellIs" dxfId="292" priority="245" operator="equal">
      <formula>"GRE"</formula>
    </cfRule>
    <cfRule type="cellIs" dxfId="291" priority="246" operator="equal">
      <formula>"RED"</formula>
    </cfRule>
    <cfRule type="cellIs" dxfId="290" priority="247" operator="equal">
      <formula>"BLA"</formula>
    </cfRule>
  </conditionalFormatting>
  <conditionalFormatting sqref="BZ10:CA10 CD10:CF10">
    <cfRule type="cellIs" dxfId="289" priority="224" operator="greaterThan">
      <formula>0</formula>
    </cfRule>
  </conditionalFormatting>
  <conditionalFormatting sqref="IC10:IK10">
    <cfRule type="expression" dxfId="288" priority="225">
      <formula>$IL10&gt;0</formula>
    </cfRule>
  </conditionalFormatting>
  <conditionalFormatting sqref="J10">
    <cfRule type="colorScale" priority="249">
      <colorScale>
        <cfvo type="min"/>
        <cfvo type="percentile" val="50"/>
        <cfvo type="max"/>
        <color rgb="FFF8696B"/>
        <color rgb="FFFFEB84"/>
        <color rgb="FF63BE7B"/>
      </colorScale>
    </cfRule>
  </conditionalFormatting>
  <conditionalFormatting sqref="S10">
    <cfRule type="colorScale" priority="250">
      <colorScale>
        <cfvo type="min"/>
        <cfvo type="max"/>
        <color rgb="FFFCFCFF"/>
        <color rgb="FF754BFB"/>
      </colorScale>
    </cfRule>
  </conditionalFormatting>
  <conditionalFormatting sqref="AT10">
    <cfRule type="colorScale" priority="251">
      <colorScale>
        <cfvo type="min"/>
        <cfvo type="max"/>
        <color rgb="FFFCFCFF"/>
        <color theme="8" tint="0.39997558519241921"/>
      </colorScale>
    </cfRule>
  </conditionalFormatting>
  <conditionalFormatting sqref="CG10">
    <cfRule type="colorScale" priority="252">
      <colorScale>
        <cfvo type="min"/>
        <cfvo type="max"/>
        <color rgb="FFFCFCFF"/>
        <color rgb="FF63BE7B"/>
      </colorScale>
    </cfRule>
  </conditionalFormatting>
  <conditionalFormatting sqref="H11">
    <cfRule type="cellIs" dxfId="287" priority="185" stopIfTrue="1" operator="notEqual">
      <formula>""</formula>
    </cfRule>
  </conditionalFormatting>
  <conditionalFormatting sqref="R11 CU11">
    <cfRule type="cellIs" dxfId="286" priority="187" operator="greaterThan">
      <formula>0</formula>
    </cfRule>
  </conditionalFormatting>
  <conditionalFormatting sqref="T11:AS11 CH11:CS11">
    <cfRule type="cellIs" dxfId="285" priority="182" stopIfTrue="1" operator="equal">
      <formula>"n"</formula>
    </cfRule>
    <cfRule type="cellIs" dxfId="284" priority="183" stopIfTrue="1" operator="equal">
      <formula>"y"</formula>
    </cfRule>
    <cfRule type="cellIs" dxfId="283" priority="184" operator="greaterThan">
      <formula>0</formula>
    </cfRule>
  </conditionalFormatting>
  <conditionalFormatting sqref="AZ11:BB11">
    <cfRule type="expression" dxfId="282" priority="181">
      <formula>$AT11=0</formula>
    </cfRule>
  </conditionalFormatting>
  <conditionalFormatting sqref="AZ11:BU11">
    <cfRule type="cellIs" dxfId="281" priority="190" operator="equal">
      <formula>"PIN"</formula>
    </cfRule>
    <cfRule type="cellIs" dxfId="280" priority="191" operator="equal">
      <formula>"ORA"</formula>
    </cfRule>
    <cfRule type="cellIs" dxfId="279" priority="192" operator="equal">
      <formula>"GRA"</formula>
    </cfRule>
    <cfRule type="cellIs" dxfId="278" priority="193" operator="equal">
      <formula>"PUR"</formula>
    </cfRule>
    <cfRule type="cellIs" dxfId="277" priority="194" operator="equal">
      <formula>"BRO"</formula>
    </cfRule>
    <cfRule type="cellIs" dxfId="276" priority="195" operator="equal">
      <formula>"YEL"</formula>
    </cfRule>
    <cfRule type="cellIs" dxfId="275" priority="196" operator="equal">
      <formula>"BLU"</formula>
    </cfRule>
    <cfRule type="cellIs" dxfId="274" priority="197" operator="equal">
      <formula>"WHI"</formula>
    </cfRule>
    <cfRule type="cellIs" dxfId="273" priority="198" operator="equal">
      <formula>"GRE"</formula>
    </cfRule>
    <cfRule type="cellIs" dxfId="272" priority="199" operator="equal">
      <formula>"RED"</formula>
    </cfRule>
    <cfRule type="cellIs" dxfId="271" priority="200" operator="equal">
      <formula>"BLA"</formula>
    </cfRule>
  </conditionalFormatting>
  <conditionalFormatting sqref="BV11">
    <cfRule type="cellIs" dxfId="270" priority="212" operator="equal">
      <formula>"nc"</formula>
    </cfRule>
  </conditionalFormatting>
  <conditionalFormatting sqref="BX11:CA11 CD11:CF11">
    <cfRule type="cellIs" dxfId="269" priority="186" operator="equal">
      <formula>"y"</formula>
    </cfRule>
    <cfRule type="cellIs" dxfId="268" priority="201" operator="equal">
      <formula>"PIN"</formula>
    </cfRule>
    <cfRule type="cellIs" dxfId="267" priority="202" operator="equal">
      <formula>"ORA"</formula>
    </cfRule>
    <cfRule type="cellIs" dxfId="266" priority="203" operator="equal">
      <formula>"GRA"</formula>
    </cfRule>
    <cfRule type="cellIs" dxfId="265" priority="204" operator="equal">
      <formula>"PUR"</formula>
    </cfRule>
    <cfRule type="cellIs" dxfId="264" priority="205" operator="equal">
      <formula>"BRO"</formula>
    </cfRule>
    <cfRule type="cellIs" dxfId="263" priority="206" operator="equal">
      <formula>"YEL"</formula>
    </cfRule>
    <cfRule type="cellIs" dxfId="262" priority="207" operator="equal">
      <formula>"BLU"</formula>
    </cfRule>
    <cfRule type="cellIs" dxfId="261" priority="208" operator="equal">
      <formula>"WHI"</formula>
    </cfRule>
    <cfRule type="cellIs" dxfId="260" priority="209" operator="equal">
      <formula>"GRE"</formula>
    </cfRule>
    <cfRule type="cellIs" dxfId="259" priority="210" operator="equal">
      <formula>"RED"</formula>
    </cfRule>
    <cfRule type="cellIs" dxfId="258" priority="211" operator="equal">
      <formula>"BLA"</formula>
    </cfRule>
  </conditionalFormatting>
  <conditionalFormatting sqref="BZ11:CA11 CD11:CF11">
    <cfRule type="cellIs" dxfId="257" priority="188" operator="greaterThan">
      <formula>0</formula>
    </cfRule>
  </conditionalFormatting>
  <conditionalFormatting sqref="IC11:IK11">
    <cfRule type="expression" dxfId="256" priority="189">
      <formula>$IL11&gt;0</formula>
    </cfRule>
  </conditionalFormatting>
  <conditionalFormatting sqref="J11">
    <cfRule type="colorScale" priority="213">
      <colorScale>
        <cfvo type="min"/>
        <cfvo type="percentile" val="50"/>
        <cfvo type="max"/>
        <color rgb="FFF8696B"/>
        <color rgb="FFFFEB84"/>
        <color rgb="FF63BE7B"/>
      </colorScale>
    </cfRule>
  </conditionalFormatting>
  <conditionalFormatting sqref="S11">
    <cfRule type="colorScale" priority="214">
      <colorScale>
        <cfvo type="min"/>
        <cfvo type="max"/>
        <color rgb="FFFCFCFF"/>
        <color rgb="FF754BFB"/>
      </colorScale>
    </cfRule>
  </conditionalFormatting>
  <conditionalFormatting sqref="AT11">
    <cfRule type="colorScale" priority="215">
      <colorScale>
        <cfvo type="min"/>
        <cfvo type="max"/>
        <color rgb="FFFCFCFF"/>
        <color theme="8" tint="0.39997558519241921"/>
      </colorScale>
    </cfRule>
  </conditionalFormatting>
  <conditionalFormatting sqref="CG11">
    <cfRule type="colorScale" priority="216">
      <colorScale>
        <cfvo type="min"/>
        <cfvo type="max"/>
        <color rgb="FFFCFCFF"/>
        <color rgb="FF63BE7B"/>
      </colorScale>
    </cfRule>
  </conditionalFormatting>
  <conditionalFormatting sqref="H12">
    <cfRule type="cellIs" dxfId="255" priority="149" stopIfTrue="1" operator="notEqual">
      <formula>""</formula>
    </cfRule>
  </conditionalFormatting>
  <conditionalFormatting sqref="R12 CU12">
    <cfRule type="cellIs" dxfId="254" priority="151" operator="greaterThan">
      <formula>0</formula>
    </cfRule>
  </conditionalFormatting>
  <conditionalFormatting sqref="T12:AS12 CH12:CS12">
    <cfRule type="cellIs" dxfId="253" priority="146" stopIfTrue="1" operator="equal">
      <formula>"n"</formula>
    </cfRule>
    <cfRule type="cellIs" dxfId="252" priority="147" stopIfTrue="1" operator="equal">
      <formula>"y"</formula>
    </cfRule>
    <cfRule type="cellIs" dxfId="251" priority="148" operator="greaterThan">
      <formula>0</formula>
    </cfRule>
  </conditionalFormatting>
  <conditionalFormatting sqref="AZ12:BB12">
    <cfRule type="expression" dxfId="250" priority="145">
      <formula>$AT12=0</formula>
    </cfRule>
  </conditionalFormatting>
  <conditionalFormatting sqref="AZ12:BU12">
    <cfRule type="cellIs" dxfId="249" priority="154" operator="equal">
      <formula>"PIN"</formula>
    </cfRule>
    <cfRule type="cellIs" dxfId="248" priority="155" operator="equal">
      <formula>"ORA"</formula>
    </cfRule>
    <cfRule type="cellIs" dxfId="247" priority="156" operator="equal">
      <formula>"GRA"</formula>
    </cfRule>
    <cfRule type="cellIs" dxfId="246" priority="157" operator="equal">
      <formula>"PUR"</formula>
    </cfRule>
    <cfRule type="cellIs" dxfId="245" priority="158" operator="equal">
      <formula>"BRO"</formula>
    </cfRule>
    <cfRule type="cellIs" dxfId="244" priority="159" operator="equal">
      <formula>"YEL"</formula>
    </cfRule>
    <cfRule type="cellIs" dxfId="243" priority="160" operator="equal">
      <formula>"BLU"</formula>
    </cfRule>
    <cfRule type="cellIs" dxfId="242" priority="161" operator="equal">
      <formula>"WHI"</formula>
    </cfRule>
    <cfRule type="cellIs" dxfId="241" priority="162" operator="equal">
      <formula>"GRE"</formula>
    </cfRule>
    <cfRule type="cellIs" dxfId="240" priority="163" operator="equal">
      <formula>"RED"</formula>
    </cfRule>
    <cfRule type="cellIs" dxfId="239" priority="164" operator="equal">
      <formula>"BLA"</formula>
    </cfRule>
  </conditionalFormatting>
  <conditionalFormatting sqref="BV12">
    <cfRule type="cellIs" dxfId="238" priority="176" operator="equal">
      <formula>"nc"</formula>
    </cfRule>
  </conditionalFormatting>
  <conditionalFormatting sqref="BX12:CA12 CD12:CF12">
    <cfRule type="cellIs" dxfId="237" priority="150" operator="equal">
      <formula>"y"</formula>
    </cfRule>
    <cfRule type="cellIs" dxfId="236" priority="165" operator="equal">
      <formula>"PIN"</formula>
    </cfRule>
    <cfRule type="cellIs" dxfId="235" priority="166" operator="equal">
      <formula>"ORA"</formula>
    </cfRule>
    <cfRule type="cellIs" dxfId="234" priority="167" operator="equal">
      <formula>"GRA"</formula>
    </cfRule>
    <cfRule type="cellIs" dxfId="233" priority="168" operator="equal">
      <formula>"PUR"</formula>
    </cfRule>
    <cfRule type="cellIs" dxfId="232" priority="169" operator="equal">
      <formula>"BRO"</formula>
    </cfRule>
    <cfRule type="cellIs" dxfId="231" priority="170" operator="equal">
      <formula>"YEL"</formula>
    </cfRule>
    <cfRule type="cellIs" dxfId="230" priority="171" operator="equal">
      <formula>"BLU"</formula>
    </cfRule>
    <cfRule type="cellIs" dxfId="229" priority="172" operator="equal">
      <formula>"WHI"</formula>
    </cfRule>
    <cfRule type="cellIs" dxfId="228" priority="173" operator="equal">
      <formula>"GRE"</formula>
    </cfRule>
    <cfRule type="cellIs" dxfId="227" priority="174" operator="equal">
      <formula>"RED"</formula>
    </cfRule>
    <cfRule type="cellIs" dxfId="226" priority="175" operator="equal">
      <formula>"BLA"</formula>
    </cfRule>
  </conditionalFormatting>
  <conditionalFormatting sqref="BZ12:CA12 CD12:CF12">
    <cfRule type="cellIs" dxfId="225" priority="152" operator="greaterThan">
      <formula>0</formula>
    </cfRule>
  </conditionalFormatting>
  <conditionalFormatting sqref="IC12:IK12">
    <cfRule type="expression" dxfId="224" priority="153">
      <formula>$IL12&gt;0</formula>
    </cfRule>
  </conditionalFormatting>
  <conditionalFormatting sqref="J12">
    <cfRule type="colorScale" priority="177">
      <colorScale>
        <cfvo type="min"/>
        <cfvo type="percentile" val="50"/>
        <cfvo type="max"/>
        <color rgb="FFF8696B"/>
        <color rgb="FFFFEB84"/>
        <color rgb="FF63BE7B"/>
      </colorScale>
    </cfRule>
  </conditionalFormatting>
  <conditionalFormatting sqref="S12">
    <cfRule type="colorScale" priority="178">
      <colorScale>
        <cfvo type="min"/>
        <cfvo type="max"/>
        <color rgb="FFFCFCFF"/>
        <color rgb="FF754BFB"/>
      </colorScale>
    </cfRule>
  </conditionalFormatting>
  <conditionalFormatting sqref="AT12">
    <cfRule type="colorScale" priority="179">
      <colorScale>
        <cfvo type="min"/>
        <cfvo type="max"/>
        <color rgb="FFFCFCFF"/>
        <color theme="8" tint="0.39997558519241921"/>
      </colorScale>
    </cfRule>
  </conditionalFormatting>
  <conditionalFormatting sqref="CG12">
    <cfRule type="colorScale" priority="180">
      <colorScale>
        <cfvo type="min"/>
        <cfvo type="max"/>
        <color rgb="FFFCFCFF"/>
        <color rgb="FF63BE7B"/>
      </colorScale>
    </cfRule>
  </conditionalFormatting>
  <conditionalFormatting sqref="H13">
    <cfRule type="cellIs" dxfId="223" priority="113" stopIfTrue="1" operator="notEqual">
      <formula>""</formula>
    </cfRule>
  </conditionalFormatting>
  <conditionalFormatting sqref="R13 CU13">
    <cfRule type="cellIs" dxfId="222" priority="115" operator="greaterThan">
      <formula>0</formula>
    </cfRule>
  </conditionalFormatting>
  <conditionalFormatting sqref="T13:AS13 CH13:CS13">
    <cfRule type="cellIs" dxfId="221" priority="110" stopIfTrue="1" operator="equal">
      <formula>"n"</formula>
    </cfRule>
    <cfRule type="cellIs" dxfId="220" priority="111" stopIfTrue="1" operator="equal">
      <formula>"y"</formula>
    </cfRule>
    <cfRule type="cellIs" dxfId="219" priority="112" operator="greaterThan">
      <formula>0</formula>
    </cfRule>
  </conditionalFormatting>
  <conditionalFormatting sqref="AZ13:BB13">
    <cfRule type="expression" dxfId="218" priority="109">
      <formula>$AT13=0</formula>
    </cfRule>
  </conditionalFormatting>
  <conditionalFormatting sqref="AZ13:BU13">
    <cfRule type="cellIs" dxfId="217" priority="118" operator="equal">
      <formula>"PIN"</formula>
    </cfRule>
    <cfRule type="cellIs" dxfId="216" priority="119" operator="equal">
      <formula>"ORA"</formula>
    </cfRule>
    <cfRule type="cellIs" dxfId="215" priority="120" operator="equal">
      <formula>"GRA"</formula>
    </cfRule>
    <cfRule type="cellIs" dxfId="214" priority="121" operator="equal">
      <formula>"PUR"</formula>
    </cfRule>
    <cfRule type="cellIs" dxfId="213" priority="122" operator="equal">
      <formula>"BRO"</formula>
    </cfRule>
    <cfRule type="cellIs" dxfId="212" priority="123" operator="equal">
      <formula>"YEL"</formula>
    </cfRule>
    <cfRule type="cellIs" dxfId="211" priority="124" operator="equal">
      <formula>"BLU"</formula>
    </cfRule>
    <cfRule type="cellIs" dxfId="210" priority="125" operator="equal">
      <formula>"WHI"</formula>
    </cfRule>
    <cfRule type="cellIs" dxfId="209" priority="126" operator="equal">
      <formula>"GRE"</formula>
    </cfRule>
    <cfRule type="cellIs" dxfId="208" priority="127" operator="equal">
      <formula>"RED"</formula>
    </cfRule>
    <cfRule type="cellIs" dxfId="207" priority="128" operator="equal">
      <formula>"BLA"</formula>
    </cfRule>
  </conditionalFormatting>
  <conditionalFormatting sqref="BV13">
    <cfRule type="cellIs" dxfId="206" priority="140" operator="equal">
      <formula>"nc"</formula>
    </cfRule>
  </conditionalFormatting>
  <conditionalFormatting sqref="BX13:CA13 CD13:CF13">
    <cfRule type="cellIs" dxfId="205" priority="114" operator="equal">
      <formula>"y"</formula>
    </cfRule>
    <cfRule type="cellIs" dxfId="204" priority="129" operator="equal">
      <formula>"PIN"</formula>
    </cfRule>
    <cfRule type="cellIs" dxfId="203" priority="130" operator="equal">
      <formula>"ORA"</formula>
    </cfRule>
    <cfRule type="cellIs" dxfId="202" priority="131" operator="equal">
      <formula>"GRA"</formula>
    </cfRule>
    <cfRule type="cellIs" dxfId="201" priority="132" operator="equal">
      <formula>"PUR"</formula>
    </cfRule>
    <cfRule type="cellIs" dxfId="200" priority="133" operator="equal">
      <formula>"BRO"</formula>
    </cfRule>
    <cfRule type="cellIs" dxfId="199" priority="134" operator="equal">
      <formula>"YEL"</formula>
    </cfRule>
    <cfRule type="cellIs" dxfId="198" priority="135" operator="equal">
      <formula>"BLU"</formula>
    </cfRule>
    <cfRule type="cellIs" dxfId="197" priority="136" operator="equal">
      <formula>"WHI"</formula>
    </cfRule>
    <cfRule type="cellIs" dxfId="196" priority="137" operator="equal">
      <formula>"GRE"</formula>
    </cfRule>
    <cfRule type="cellIs" dxfId="195" priority="138" operator="equal">
      <formula>"RED"</formula>
    </cfRule>
    <cfRule type="cellIs" dxfId="194" priority="139" operator="equal">
      <formula>"BLA"</formula>
    </cfRule>
  </conditionalFormatting>
  <conditionalFormatting sqref="BZ13:CA13 CD13:CF13">
    <cfRule type="cellIs" dxfId="193" priority="116" operator="greaterThan">
      <formula>0</formula>
    </cfRule>
  </conditionalFormatting>
  <conditionalFormatting sqref="IC13:IK13">
    <cfRule type="expression" dxfId="192" priority="117">
      <formula>$IL13&gt;0</formula>
    </cfRule>
  </conditionalFormatting>
  <conditionalFormatting sqref="J13">
    <cfRule type="colorScale" priority="141">
      <colorScale>
        <cfvo type="min"/>
        <cfvo type="percentile" val="50"/>
        <cfvo type="max"/>
        <color rgb="FFF8696B"/>
        <color rgb="FFFFEB84"/>
        <color rgb="FF63BE7B"/>
      </colorScale>
    </cfRule>
  </conditionalFormatting>
  <conditionalFormatting sqref="S13">
    <cfRule type="colorScale" priority="142">
      <colorScale>
        <cfvo type="min"/>
        <cfvo type="max"/>
        <color rgb="FFFCFCFF"/>
        <color rgb="FF754BFB"/>
      </colorScale>
    </cfRule>
  </conditionalFormatting>
  <conditionalFormatting sqref="AT13">
    <cfRule type="colorScale" priority="143">
      <colorScale>
        <cfvo type="min"/>
        <cfvo type="max"/>
        <color rgb="FFFCFCFF"/>
        <color theme="8" tint="0.39997558519241921"/>
      </colorScale>
    </cfRule>
  </conditionalFormatting>
  <conditionalFormatting sqref="CG13">
    <cfRule type="colorScale" priority="144">
      <colorScale>
        <cfvo type="min"/>
        <cfvo type="max"/>
        <color rgb="FFFCFCFF"/>
        <color rgb="FF63BE7B"/>
      </colorScale>
    </cfRule>
  </conditionalFormatting>
  <conditionalFormatting sqref="H14">
    <cfRule type="cellIs" dxfId="191" priority="77" stopIfTrue="1" operator="notEqual">
      <formula>""</formula>
    </cfRule>
  </conditionalFormatting>
  <conditionalFormatting sqref="R14 CU14">
    <cfRule type="cellIs" dxfId="190" priority="79" operator="greaterThan">
      <formula>0</formula>
    </cfRule>
  </conditionalFormatting>
  <conditionalFormatting sqref="T14:AS14 CH14:CS14">
    <cfRule type="cellIs" dxfId="189" priority="74" stopIfTrue="1" operator="equal">
      <formula>"n"</formula>
    </cfRule>
    <cfRule type="cellIs" dxfId="188" priority="75" stopIfTrue="1" operator="equal">
      <formula>"y"</formula>
    </cfRule>
    <cfRule type="cellIs" dxfId="187" priority="76" operator="greaterThan">
      <formula>0</formula>
    </cfRule>
  </conditionalFormatting>
  <conditionalFormatting sqref="AZ14:BB14">
    <cfRule type="expression" dxfId="186" priority="73">
      <formula>$AT14=0</formula>
    </cfRule>
  </conditionalFormatting>
  <conditionalFormatting sqref="AZ14:BU14">
    <cfRule type="cellIs" dxfId="185" priority="82" operator="equal">
      <formula>"PIN"</formula>
    </cfRule>
    <cfRule type="cellIs" dxfId="184" priority="83" operator="equal">
      <formula>"ORA"</formula>
    </cfRule>
    <cfRule type="cellIs" dxfId="183" priority="84" operator="equal">
      <formula>"GRA"</formula>
    </cfRule>
    <cfRule type="cellIs" dxfId="182" priority="85" operator="equal">
      <formula>"PUR"</formula>
    </cfRule>
    <cfRule type="cellIs" dxfId="181" priority="86" operator="equal">
      <formula>"BRO"</formula>
    </cfRule>
    <cfRule type="cellIs" dxfId="180" priority="87" operator="equal">
      <formula>"YEL"</formula>
    </cfRule>
    <cfRule type="cellIs" dxfId="179" priority="88" operator="equal">
      <formula>"BLU"</formula>
    </cfRule>
    <cfRule type="cellIs" dxfId="178" priority="89" operator="equal">
      <formula>"WHI"</formula>
    </cfRule>
    <cfRule type="cellIs" dxfId="177" priority="90" operator="equal">
      <formula>"GRE"</formula>
    </cfRule>
    <cfRule type="cellIs" dxfId="176" priority="91" operator="equal">
      <formula>"RED"</formula>
    </cfRule>
    <cfRule type="cellIs" dxfId="175" priority="92" operator="equal">
      <formula>"BLA"</formula>
    </cfRule>
  </conditionalFormatting>
  <conditionalFormatting sqref="BV14">
    <cfRule type="cellIs" dxfId="174" priority="104" operator="equal">
      <formula>"nc"</formula>
    </cfRule>
  </conditionalFormatting>
  <conditionalFormatting sqref="BX14:CA14 CD14:CF14">
    <cfRule type="cellIs" dxfId="173" priority="78" operator="equal">
      <formula>"y"</formula>
    </cfRule>
    <cfRule type="cellIs" dxfId="172" priority="93" operator="equal">
      <formula>"PIN"</formula>
    </cfRule>
    <cfRule type="cellIs" dxfId="171" priority="94" operator="equal">
      <formula>"ORA"</formula>
    </cfRule>
    <cfRule type="cellIs" dxfId="170" priority="95" operator="equal">
      <formula>"GRA"</formula>
    </cfRule>
    <cfRule type="cellIs" dxfId="169" priority="96" operator="equal">
      <formula>"PUR"</formula>
    </cfRule>
    <cfRule type="cellIs" dxfId="168" priority="97" operator="equal">
      <formula>"BRO"</formula>
    </cfRule>
    <cfRule type="cellIs" dxfId="167" priority="98" operator="equal">
      <formula>"YEL"</formula>
    </cfRule>
    <cfRule type="cellIs" dxfId="166" priority="99" operator="equal">
      <formula>"BLU"</formula>
    </cfRule>
    <cfRule type="cellIs" dxfId="165" priority="100" operator="equal">
      <formula>"WHI"</formula>
    </cfRule>
    <cfRule type="cellIs" dxfId="164" priority="101" operator="equal">
      <formula>"GRE"</formula>
    </cfRule>
    <cfRule type="cellIs" dxfId="163" priority="102" operator="equal">
      <formula>"RED"</formula>
    </cfRule>
    <cfRule type="cellIs" dxfId="162" priority="103" operator="equal">
      <formula>"BLA"</formula>
    </cfRule>
  </conditionalFormatting>
  <conditionalFormatting sqref="BZ14:CA14 CD14:CF14">
    <cfRule type="cellIs" dxfId="161" priority="80" operator="greaterThan">
      <formula>0</formula>
    </cfRule>
  </conditionalFormatting>
  <conditionalFormatting sqref="IC14:IK14">
    <cfRule type="expression" dxfId="160" priority="81">
      <formula>$IL14&gt;0</formula>
    </cfRule>
  </conditionalFormatting>
  <conditionalFormatting sqref="J14">
    <cfRule type="colorScale" priority="105">
      <colorScale>
        <cfvo type="min"/>
        <cfvo type="percentile" val="50"/>
        <cfvo type="max"/>
        <color rgb="FFF8696B"/>
        <color rgb="FFFFEB84"/>
        <color rgb="FF63BE7B"/>
      </colorScale>
    </cfRule>
  </conditionalFormatting>
  <conditionalFormatting sqref="S14">
    <cfRule type="colorScale" priority="106">
      <colorScale>
        <cfvo type="min"/>
        <cfvo type="max"/>
        <color rgb="FFFCFCFF"/>
        <color rgb="FF754BFB"/>
      </colorScale>
    </cfRule>
  </conditionalFormatting>
  <conditionalFormatting sqref="AT14">
    <cfRule type="colorScale" priority="107">
      <colorScale>
        <cfvo type="min"/>
        <cfvo type="max"/>
        <color rgb="FFFCFCFF"/>
        <color theme="8" tint="0.39997558519241921"/>
      </colorScale>
    </cfRule>
  </conditionalFormatting>
  <conditionalFormatting sqref="CG14">
    <cfRule type="colorScale" priority="108">
      <colorScale>
        <cfvo type="min"/>
        <cfvo type="max"/>
        <color rgb="FFFCFCFF"/>
        <color rgb="FF63BE7B"/>
      </colorScale>
    </cfRule>
  </conditionalFormatting>
  <conditionalFormatting sqref="H15">
    <cfRule type="cellIs" dxfId="159" priority="41" stopIfTrue="1" operator="notEqual">
      <formula>""</formula>
    </cfRule>
  </conditionalFormatting>
  <conditionalFormatting sqref="R15 CU15">
    <cfRule type="cellIs" dxfId="158" priority="43" operator="greaterThan">
      <formula>0</formula>
    </cfRule>
  </conditionalFormatting>
  <conditionalFormatting sqref="T15:AS15 CH15:CS15">
    <cfRule type="cellIs" dxfId="157" priority="38" stopIfTrue="1" operator="equal">
      <formula>"n"</formula>
    </cfRule>
    <cfRule type="cellIs" dxfId="156" priority="39" stopIfTrue="1" operator="equal">
      <formula>"y"</formula>
    </cfRule>
    <cfRule type="cellIs" dxfId="155" priority="40" operator="greaterThan">
      <formula>0</formula>
    </cfRule>
  </conditionalFormatting>
  <conditionalFormatting sqref="AZ15:BB15">
    <cfRule type="expression" dxfId="154" priority="37">
      <formula>$AT15=0</formula>
    </cfRule>
  </conditionalFormatting>
  <conditionalFormatting sqref="AZ15:BU15">
    <cfRule type="cellIs" dxfId="153" priority="46" operator="equal">
      <formula>"PIN"</formula>
    </cfRule>
    <cfRule type="cellIs" dxfId="152" priority="47" operator="equal">
      <formula>"ORA"</formula>
    </cfRule>
    <cfRule type="cellIs" dxfId="151" priority="48" operator="equal">
      <formula>"GRA"</formula>
    </cfRule>
    <cfRule type="cellIs" dxfId="150" priority="49" operator="equal">
      <formula>"PUR"</formula>
    </cfRule>
    <cfRule type="cellIs" dxfId="149" priority="50" operator="equal">
      <formula>"BRO"</formula>
    </cfRule>
    <cfRule type="cellIs" dxfId="148" priority="51" operator="equal">
      <formula>"YEL"</formula>
    </cfRule>
    <cfRule type="cellIs" dxfId="147" priority="52" operator="equal">
      <formula>"BLU"</formula>
    </cfRule>
    <cfRule type="cellIs" dxfId="146" priority="53" operator="equal">
      <formula>"WHI"</formula>
    </cfRule>
    <cfRule type="cellIs" dxfId="145" priority="54" operator="equal">
      <formula>"GRE"</formula>
    </cfRule>
    <cfRule type="cellIs" dxfId="144" priority="55" operator="equal">
      <formula>"RED"</formula>
    </cfRule>
    <cfRule type="cellIs" dxfId="143" priority="56" operator="equal">
      <formula>"BLA"</formula>
    </cfRule>
  </conditionalFormatting>
  <conditionalFormatting sqref="BV15">
    <cfRule type="cellIs" dxfId="142" priority="68" operator="equal">
      <formula>"nc"</formula>
    </cfRule>
  </conditionalFormatting>
  <conditionalFormatting sqref="BX15:CA15 CD15:CF15">
    <cfRule type="cellIs" dxfId="141" priority="42" operator="equal">
      <formula>"y"</formula>
    </cfRule>
    <cfRule type="cellIs" dxfId="140" priority="57" operator="equal">
      <formula>"PIN"</formula>
    </cfRule>
    <cfRule type="cellIs" dxfId="139" priority="58" operator="equal">
      <formula>"ORA"</formula>
    </cfRule>
    <cfRule type="cellIs" dxfId="138" priority="59" operator="equal">
      <formula>"GRA"</formula>
    </cfRule>
    <cfRule type="cellIs" dxfId="137" priority="60" operator="equal">
      <formula>"PUR"</formula>
    </cfRule>
    <cfRule type="cellIs" dxfId="136" priority="61" operator="equal">
      <formula>"BRO"</formula>
    </cfRule>
    <cfRule type="cellIs" dxfId="135" priority="62" operator="equal">
      <formula>"YEL"</formula>
    </cfRule>
    <cfRule type="cellIs" dxfId="134" priority="63" operator="equal">
      <formula>"BLU"</formula>
    </cfRule>
    <cfRule type="cellIs" dxfId="133" priority="64" operator="equal">
      <formula>"WHI"</formula>
    </cfRule>
    <cfRule type="cellIs" dxfId="132" priority="65" operator="equal">
      <formula>"GRE"</formula>
    </cfRule>
    <cfRule type="cellIs" dxfId="131" priority="66" operator="equal">
      <formula>"RED"</formula>
    </cfRule>
    <cfRule type="cellIs" dxfId="130" priority="67" operator="equal">
      <formula>"BLA"</formula>
    </cfRule>
  </conditionalFormatting>
  <conditionalFormatting sqref="BZ15:CA15 CD15:CF15">
    <cfRule type="cellIs" dxfId="129" priority="44" operator="greaterThan">
      <formula>0</formula>
    </cfRule>
  </conditionalFormatting>
  <conditionalFormatting sqref="IC15:IK15">
    <cfRule type="expression" dxfId="128" priority="45">
      <formula>$IL15&gt;0</formula>
    </cfRule>
  </conditionalFormatting>
  <conditionalFormatting sqref="J15">
    <cfRule type="colorScale" priority="69">
      <colorScale>
        <cfvo type="min"/>
        <cfvo type="percentile" val="50"/>
        <cfvo type="max"/>
        <color rgb="FFF8696B"/>
        <color rgb="FFFFEB84"/>
        <color rgb="FF63BE7B"/>
      </colorScale>
    </cfRule>
  </conditionalFormatting>
  <conditionalFormatting sqref="S15">
    <cfRule type="colorScale" priority="70">
      <colorScale>
        <cfvo type="min"/>
        <cfvo type="max"/>
        <color rgb="FFFCFCFF"/>
        <color rgb="FF754BFB"/>
      </colorScale>
    </cfRule>
  </conditionalFormatting>
  <conditionalFormatting sqref="AT15">
    <cfRule type="colorScale" priority="71">
      <colorScale>
        <cfvo type="min"/>
        <cfvo type="max"/>
        <color rgb="FFFCFCFF"/>
        <color theme="8" tint="0.39997558519241921"/>
      </colorScale>
    </cfRule>
  </conditionalFormatting>
  <conditionalFormatting sqref="CG15">
    <cfRule type="colorScale" priority="72">
      <colorScale>
        <cfvo type="min"/>
        <cfvo type="max"/>
        <color rgb="FFFCFCFF"/>
        <color rgb="FF63BE7B"/>
      </colorScale>
    </cfRule>
  </conditionalFormatting>
  <conditionalFormatting sqref="H16">
    <cfRule type="cellIs" dxfId="127" priority="5" stopIfTrue="1" operator="notEqual">
      <formula>""</formula>
    </cfRule>
  </conditionalFormatting>
  <conditionalFormatting sqref="R16 CU16">
    <cfRule type="cellIs" dxfId="126" priority="7" operator="greaterThan">
      <formula>0</formula>
    </cfRule>
  </conditionalFormatting>
  <conditionalFormatting sqref="T16:AS16 CH16:CS16">
    <cfRule type="cellIs" dxfId="125" priority="2" stopIfTrue="1" operator="equal">
      <formula>"n"</formula>
    </cfRule>
    <cfRule type="cellIs" dxfId="124" priority="3" stopIfTrue="1" operator="equal">
      <formula>"y"</formula>
    </cfRule>
    <cfRule type="cellIs" dxfId="123" priority="4" operator="greaterThan">
      <formula>0</formula>
    </cfRule>
  </conditionalFormatting>
  <conditionalFormatting sqref="AZ16:BB16">
    <cfRule type="expression" dxfId="122" priority="1">
      <formula>$AT16=0</formula>
    </cfRule>
  </conditionalFormatting>
  <conditionalFormatting sqref="AZ16:BU16">
    <cfRule type="cellIs" dxfId="121" priority="10" operator="equal">
      <formula>"PIN"</formula>
    </cfRule>
    <cfRule type="cellIs" dxfId="120" priority="11" operator="equal">
      <formula>"ORA"</formula>
    </cfRule>
    <cfRule type="cellIs" dxfId="119" priority="12" operator="equal">
      <formula>"GRA"</formula>
    </cfRule>
    <cfRule type="cellIs" dxfId="118" priority="13" operator="equal">
      <formula>"PUR"</formula>
    </cfRule>
    <cfRule type="cellIs" dxfId="117" priority="14" operator="equal">
      <formula>"BRO"</formula>
    </cfRule>
    <cfRule type="cellIs" dxfId="116" priority="15" operator="equal">
      <formula>"YEL"</formula>
    </cfRule>
    <cfRule type="cellIs" dxfId="115" priority="16" operator="equal">
      <formula>"BLU"</formula>
    </cfRule>
    <cfRule type="cellIs" dxfId="114" priority="17" operator="equal">
      <formula>"WHI"</formula>
    </cfRule>
    <cfRule type="cellIs" dxfId="113" priority="18" operator="equal">
      <formula>"GRE"</formula>
    </cfRule>
    <cfRule type="cellIs" dxfId="112" priority="19" operator="equal">
      <formula>"RED"</formula>
    </cfRule>
    <cfRule type="cellIs" dxfId="111" priority="20" operator="equal">
      <formula>"BLA"</formula>
    </cfRule>
  </conditionalFormatting>
  <conditionalFormatting sqref="BV16">
    <cfRule type="cellIs" dxfId="110" priority="32" operator="equal">
      <formula>"nc"</formula>
    </cfRule>
  </conditionalFormatting>
  <conditionalFormatting sqref="BX16:CA16 CD16:CF16">
    <cfRule type="cellIs" dxfId="109" priority="6" operator="equal">
      <formula>"y"</formula>
    </cfRule>
    <cfRule type="cellIs" dxfId="108" priority="21" operator="equal">
      <formula>"PIN"</formula>
    </cfRule>
    <cfRule type="cellIs" dxfId="107" priority="22" operator="equal">
      <formula>"ORA"</formula>
    </cfRule>
    <cfRule type="cellIs" dxfId="106" priority="23" operator="equal">
      <formula>"GRA"</formula>
    </cfRule>
    <cfRule type="cellIs" dxfId="105" priority="24" operator="equal">
      <formula>"PUR"</formula>
    </cfRule>
    <cfRule type="cellIs" dxfId="104" priority="25" operator="equal">
      <formula>"BRO"</formula>
    </cfRule>
    <cfRule type="cellIs" dxfId="103" priority="26" operator="equal">
      <formula>"YEL"</formula>
    </cfRule>
    <cfRule type="cellIs" dxfId="102" priority="27" operator="equal">
      <formula>"BLU"</formula>
    </cfRule>
    <cfRule type="cellIs" dxfId="101" priority="28" operator="equal">
      <formula>"WHI"</formula>
    </cfRule>
    <cfRule type="cellIs" dxfId="100" priority="29" operator="equal">
      <formula>"GRE"</formula>
    </cfRule>
    <cfRule type="cellIs" dxfId="99" priority="30" operator="equal">
      <formula>"RED"</formula>
    </cfRule>
    <cfRule type="cellIs" dxfId="98" priority="31" operator="equal">
      <formula>"BLA"</formula>
    </cfRule>
  </conditionalFormatting>
  <conditionalFormatting sqref="BZ16:CA16 CD16:CF16">
    <cfRule type="cellIs" dxfId="97" priority="8" operator="greaterThan">
      <formula>0</formula>
    </cfRule>
  </conditionalFormatting>
  <conditionalFormatting sqref="IC16:IK16">
    <cfRule type="expression" dxfId="96" priority="9">
      <formula>$IL16&gt;0</formula>
    </cfRule>
  </conditionalFormatting>
  <conditionalFormatting sqref="J16">
    <cfRule type="colorScale" priority="33">
      <colorScale>
        <cfvo type="min"/>
        <cfvo type="percentile" val="50"/>
        <cfvo type="max"/>
        <color rgb="FFF8696B"/>
        <color rgb="FFFFEB84"/>
        <color rgb="FF63BE7B"/>
      </colorScale>
    </cfRule>
  </conditionalFormatting>
  <conditionalFormatting sqref="S16">
    <cfRule type="colorScale" priority="34">
      <colorScale>
        <cfvo type="min"/>
        <cfvo type="max"/>
        <color rgb="FFFCFCFF"/>
        <color rgb="FF754BFB"/>
      </colorScale>
    </cfRule>
  </conditionalFormatting>
  <conditionalFormatting sqref="AT16">
    <cfRule type="colorScale" priority="35">
      <colorScale>
        <cfvo type="min"/>
        <cfvo type="max"/>
        <color rgb="FFFCFCFF"/>
        <color theme="8" tint="0.39997558519241921"/>
      </colorScale>
    </cfRule>
  </conditionalFormatting>
  <conditionalFormatting sqref="CG16">
    <cfRule type="colorScale" priority="36">
      <colorScale>
        <cfvo type="min"/>
        <cfvo type="max"/>
        <color rgb="FFFCFCFF"/>
        <color rgb="FF63BE7B"/>
      </colorScale>
    </cfRule>
  </conditionalFormatting>
  <hyperlinks>
    <hyperlink ref="A2" r:id="rId1" display="https://fbref.com/en/country/NZL/New-Zealand-Football" xr:uid="{A3254F74-345E-4AE9-BAFE-FA07B71EDF6D}"/>
    <hyperlink ref="E9" r:id="rId2" xr:uid="{507F80C3-E144-4244-A2B7-F6387C216919}"/>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B77CA-11A1-470D-BA60-EE591385B1CC}">
  <dimension ref="A1:IY4"/>
  <sheetViews>
    <sheetView zoomScale="70" zoomScaleNormal="70" workbookViewId="0">
      <selection activeCell="A4" sqref="A4:XFD4"/>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268</v>
      </c>
      <c r="B2" s="40" t="e" vm="83">
        <v>#VALUE!</v>
      </c>
      <c r="C2" s="41">
        <v>1</v>
      </c>
      <c r="D2" s="42" t="s">
        <v>269</v>
      </c>
      <c r="E2" s="43" t="s">
        <v>270</v>
      </c>
      <c r="F2" s="44" t="s">
        <v>166</v>
      </c>
      <c r="G2" s="45">
        <f>COUNTIF($A$1:$A$8250,A2)</f>
        <v>1</v>
      </c>
      <c r="H2" s="46"/>
      <c r="I2" s="47" t="s">
        <v>271</v>
      </c>
      <c r="J2" s="48" t="str">
        <f>""</f>
        <v/>
      </c>
      <c r="K2" s="49">
        <v>1620</v>
      </c>
      <c r="L2" s="50">
        <v>10000</v>
      </c>
      <c r="M2" s="50" t="s">
        <v>272</v>
      </c>
      <c r="N2" s="51" t="s">
        <v>169</v>
      </c>
      <c r="O2" s="52" t="s">
        <v>273</v>
      </c>
      <c r="P2" s="53" t="s">
        <v>274</v>
      </c>
      <c r="Q2" s="54">
        <v>1</v>
      </c>
      <c r="R2" s="55" t="s">
        <v>169</v>
      </c>
      <c r="S2" s="56">
        <v>0</v>
      </c>
      <c r="T2" s="57" t="s">
        <v>173</v>
      </c>
      <c r="U2" s="58" t="s">
        <v>172</v>
      </c>
      <c r="V2" s="58" t="s">
        <v>173</v>
      </c>
      <c r="W2" s="58" t="s">
        <v>173</v>
      </c>
      <c r="X2" s="58" t="s">
        <v>172</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5</v>
      </c>
      <c r="AU2" s="59"/>
      <c r="AV2" s="59" t="str">
        <f>IF(LEFT(A2,1)="[",LEFT(A2,5)&amp;AU2&amp;A2,"")</f>
        <v/>
      </c>
      <c r="AW2" s="59" t="str">
        <f>C2&amp;H2&amp;A2</f>
        <v>1Niue</v>
      </c>
      <c r="AX2" s="61" t="str">
        <f>_xlfn.TEXTJOIN(";",TRUE,AU2:AW2)</f>
        <v>1Niue</v>
      </c>
      <c r="AY2" s="61" t="s">
        <v>172</v>
      </c>
      <c r="AZ2" s="62" t="s">
        <v>155</v>
      </c>
      <c r="BA2" s="62"/>
      <c r="BB2" s="62"/>
      <c r="BC2" s="63"/>
      <c r="BD2" s="64" t="s">
        <v>153</v>
      </c>
      <c r="BE2" s="47"/>
      <c r="BF2" s="64"/>
      <c r="BG2" s="64"/>
      <c r="BH2" s="64"/>
      <c r="BI2" s="64"/>
      <c r="BJ2" s="64"/>
      <c r="BK2" s="47"/>
      <c r="BL2" s="64" t="s">
        <v>153</v>
      </c>
      <c r="BM2" s="64" t="s">
        <v>155</v>
      </c>
      <c r="BN2" s="64" t="s">
        <v>157</v>
      </c>
      <c r="BO2" s="64"/>
      <c r="BP2" s="64"/>
      <c r="BQ2" s="64"/>
      <c r="BR2" s="64"/>
      <c r="BS2" s="64"/>
      <c r="BT2" s="64"/>
      <c r="BU2" s="65"/>
      <c r="BV2" s="66" t="s">
        <v>183</v>
      </c>
      <c r="BW2" s="66">
        <v>0</v>
      </c>
      <c r="BX2" s="47"/>
      <c r="CB2" s="6" t="s">
        <v>275</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y</v>
      </c>
      <c r="CM2" s="59" t="str">
        <f>IF(S2=2,"y","n")</f>
        <v>n</v>
      </c>
      <c r="CN2" s="59" t="str">
        <f>IF(S2=3,"y","n")</f>
        <v>n</v>
      </c>
      <c r="CO2" s="59" t="str">
        <f>IF(S2&gt;=4,"y","n")</f>
        <v>n</v>
      </c>
      <c r="CP2" s="59" t="str">
        <f>IF(AT2=0,"y","n")</f>
        <v>n</v>
      </c>
      <c r="CQ2" s="59" t="str">
        <f>IF(AT2=1,"y","n")</f>
        <v>n</v>
      </c>
      <c r="CR2" s="59" t="str">
        <f>IF(AT2=2,"y","n")</f>
        <v>n</v>
      </c>
      <c r="CS2" s="59" t="str">
        <f>IF(AT2&gt;=3,"y","n")</f>
        <v>y</v>
      </c>
      <c r="CT2" s="69" t="str">
        <f>CHAR(34)&amp;A2&amp;CHAR(34)</f>
        <v>"Niue"</v>
      </c>
      <c r="CU2" s="70" t="str">
        <f>CHAR(34)&amp;"rgn_"&amp;R2&amp;CHAR(34)</f>
        <v>"rgn_Oceania"</v>
      </c>
      <c r="CV2" s="48" t="str">
        <f>CHAR(34)&amp;D2&amp;CHAR(34)</f>
        <v>"https://upload.wikimedia.org/wikipedia/commons/thumb/0/01/Flag_of_Niue.svg/300px-Flag_of_Niue.svg.png"</v>
      </c>
      <c r="CW2" s="48" t="str">
        <f t="shared" ref="CW2:CZ4" si="0">IF(CH2="y",CHAR(34)&amp;CH$1&amp;CHAR(34)&amp;",","")</f>
        <v/>
      </c>
      <c r="CX2" s="48" t="str">
        <f t="shared" si="0"/>
        <v>"3Color",</v>
      </c>
      <c r="CY2" s="48" t="str">
        <f t="shared" si="0"/>
        <v/>
      </c>
      <c r="CZ2" s="48" t="str">
        <f t="shared" si="0"/>
        <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"lets04",</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"REELRO",</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
      </c>
      <c r="DW2" s="48" t="str">
        <f t="shared" ref="DW2:DZ4" si="1">IF(CL2="y",CHAR(34)&amp;CL$1&amp;CHAR(34)&amp;",","")</f>
        <v>"NoBand",</v>
      </c>
      <c r="DX2" s="48" t="str">
        <f t="shared" si="1"/>
        <v/>
      </c>
      <c r="DY2" s="48" t="str">
        <f t="shared" si="1"/>
        <v/>
      </c>
      <c r="DZ2" s="48" t="str">
        <f t="shared" si="1"/>
        <v/>
      </c>
      <c r="EA2" s="48" t="str">
        <f t="shared" ref="EA2:EE4" si="2">IF(T2="y",CHAR(34)&amp;T$1&amp;CHAR(34)&amp;",","")</f>
        <v/>
      </c>
      <c r="EB2" s="48" t="str">
        <f t="shared" si="2"/>
        <v>"Crosse",</v>
      </c>
      <c r="EC2" s="48" t="str">
        <f t="shared" si="2"/>
        <v/>
      </c>
      <c r="ED2" s="48" t="str">
        <f t="shared" si="2"/>
        <v/>
      </c>
      <c r="EE2" s="48" t="str">
        <f t="shared" si="2"/>
        <v>"Circle",</v>
      </c>
      <c r="EF2" s="48" t="str">
        <f>IF(AND(Y2&lt;&gt;"n",Y2&lt;&gt;""),CHAR(34)&amp;Y$1&amp;CHAR(34)&amp;",","")</f>
        <v/>
      </c>
      <c r="EG2" s="48" t="str">
        <f t="shared" ref="EG2:EZ4"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"staYEL",</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"BAWHNO",</v>
      </c>
      <c r="FN2" s="48" t="str">
        <f>IF(AND(FE2&lt;&gt;"",FF2&lt;&gt;""),CHAR(34)&amp;"BLWHNO"&amp;CHAR(34)&amp;",","")</f>
        <v>"BLWHNO",</v>
      </c>
      <c r="FO2" s="48" t="str">
        <f>IF(AND(FE2&lt;&gt;"",FG2&lt;&gt;""),CHAR(34)&amp;"BLRENO"&amp;CHAR(34)&amp;",","")</f>
        <v>"BLRENO",</v>
      </c>
      <c r="FP2" s="48" t="str">
        <f>IF(AND(FF2&lt;&gt;"",FF2&lt;&gt;""),CHAR(34)&amp;"WHRENO"&amp;CHAR(34)&amp;",","")</f>
        <v>"WHRENO",</v>
      </c>
      <c r="FQ2" s="48" t="str">
        <f>IF(LEN(BF2)=3,CHAR(34)&amp;"001"&amp;BF2&amp;CHAR(34)&amp;",","")</f>
        <v/>
      </c>
      <c r="FR2" s="48" t="str">
        <f>IF(LEN(BG2)=3,CHAR(34)&amp;"002"&amp;BG2&amp;CHAR(34)&amp;",","")</f>
        <v/>
      </c>
      <c r="FS2" s="48" t="str">
        <f>IF(LEN(BH2)=3,CHAR(34)&amp;"003"&amp;BH2&amp;CHAR(34)&amp;",","")</f>
        <v/>
      </c>
      <c r="FT2" s="48" t="str">
        <f>CHAR(34)&amp;"myr"&amp;BD2&amp;CHAR(34)&amp;","</f>
        <v>"myrGRE",</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 t="shared" ref="GL2:GN4" si="4">IF(CQ2="y",CHAR(34)&amp;CQ$1&amp;CHAR(34)&amp;",","")</f>
        <v/>
      </c>
      <c r="GM2" s="48" t="str">
        <f t="shared" si="4"/>
        <v/>
      </c>
      <c r="GN2" s="48" t="str">
        <f t="shared" si="4"/>
        <v>"3+Star",</v>
      </c>
      <c r="GP2" s="48" t="str">
        <f>CHAR(34)&amp;AU2&amp;CHAR(34)</f>
        <v>""</v>
      </c>
      <c r="GS2" s="48" t="str">
        <f>SUBSTITUTE("["&amp;_xlfn.CONCAT(CW2:GN2)&amp;"]",",]","]")</f>
        <v>["3Color","lets04","startN","REELRO","year19","NoBand","Crosse","Circle","Canton","staYEL","NO_BLU","NO_WHI","NO_RED","NO_BLA","BAWHNO","BLWHNO","BLRENO","WHRENO","myrGRE","island","englis","HasSta","3+Star"]</v>
      </c>
      <c r="GT2" s="48" t="str">
        <f t="shared" ref="GT2:HB4" si="5">IF(BL2&lt;&gt;"",CHAR(34)&amp;"cl_"&amp;BL2&amp;CHAR(34)&amp;",","")</f>
        <v>"cl_GRE",</v>
      </c>
      <c r="GU2" s="48" t="str">
        <f t="shared" si="5"/>
        <v>"cl_YEL",</v>
      </c>
      <c r="GV2" s="48" t="str">
        <f t="shared" si="5"/>
        <v>"cl_BRO",</v>
      </c>
      <c r="GW2" s="48" t="str">
        <f t="shared" si="5"/>
        <v/>
      </c>
      <c r="GX2" s="48" t="str">
        <f t="shared" si="5"/>
        <v/>
      </c>
      <c r="GY2" s="48" t="str">
        <f t="shared" si="5"/>
        <v/>
      </c>
      <c r="GZ2" s="48" t="str">
        <f t="shared" si="5"/>
        <v/>
      </c>
      <c r="HA2" s="48" t="str">
        <f t="shared" si="5"/>
        <v/>
      </c>
      <c r="HB2" s="48" t="str">
        <f t="shared" si="5"/>
        <v/>
      </c>
      <c r="HC2" s="48" t="str">
        <f>SUBSTITUTE("["&amp;_xlfn.CONCAT(GT2:HB2)&amp;"]",",]","]")</f>
        <v>["cl_GRE","cl_YEL","cl_BRO"]</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links: "https://en.wikipedia.org/wiki/Flag_of_Niue"},</v>
      </c>
      <c r="HG2" s="73" t="str">
        <f>"{couname:"&amp;CT2&amp;(IF(HK2&lt;&gt;"",",subtype:"&amp;CHAR(34)&amp;HK2&amp;CHAR(34),""))&amp;",year:"&amp;HJ2&amp;",region:"&amp;CU2&amp;",Colors:"&amp;HC2&amp;",Items:"&amp;GS2&amp;",Flag:"&amp;CV2&amp;",HDFlag:"&amp;CHAR(34)&amp;E2&amp;CHAR(34)&amp;",type:"&amp;GP2&amp;", describe: "&amp;HI2&amp;", links: "&amp;HL2&amp;"},"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links: "https://en.wikipedia.org/wiki/Flag_of_Niue"},</v>
      </c>
      <c r="HH2" s="48" t="str">
        <f>IF(P2&lt;&gt;"",CHAR(34)&amp;"\n"&amp;P2&amp;CHAR(34),CHAR(34)&amp;CHAR(34))</f>
        <v>"\nThe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v>
      </c>
      <c r="HI2" s="48" t="str">
        <f>IF(J2=0,CHAR(34)&amp;CHAR(34),HH2)</f>
        <v>"\nThe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v>
      </c>
      <c r="HJ2" s="48" t="str">
        <f>CHAR(34)&amp;O2&amp;CHAR(34)</f>
        <v>"1975 "</v>
      </c>
      <c r="HL2" s="48" t="str">
        <f>CHAR(34)&amp;I2&amp;CHAR(34)</f>
        <v>"https://en.wikipedia.org/wiki/Flag_of_Niue"</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 "links": "https://en.wikipedia.org/wiki/Flag_of_Niue"},</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{"couname":"Niue","year":"1975 ","region":"rgn_Oceania","Colors":["cl_GRE","cl_YEL","cl_BRO"],"Items":["3Color","lets04","startN","REELRO","year19","NoBand","Crosse","Circle","Canton","staYEL","NO_BLU","NO_WHI","NO_RED","NO_BLA","BAWHNO","BLWHNO","BLRENO","WHRENO","myrGRE","island","englis","HasSta","3+Star"],"Flag":"https://upload.wikimedia.org/wikipedia/commons/thumb/0/01/Flag_of_Niue.svg/300px-Flag_of_Niue.svg.png","HDFlag":"https://upload.wikimedia.org/wikipedia/commons/thumb/0/01/Flag_of_Niue.svg/2560px-Flag_of_Niue.svg.png","type":"", "describe": "\nThe yellow field symbolises the bright sunshine of Niue and the warm feelings of the Niuean people towards New Zealand and her people. The association with New Zealand, which took over responsibility and administration of Niue in 1901, is also represented by the four small stars that depict the Southern Cross. Finally, the blue disc containing a larger star represents the deep blue sea surrounding the self-governing island of Niue.", "isnew": ".", "links": "https://en.wikipedia.org/wiki/Flag_of_Niue"},</v>
      </c>
      <c r="HO2" s="75"/>
      <c r="HP2" s="48" t="str" cm="1">
        <f t="array" ref="HP2">IF(_xlfn.TEXTJOIN(", ", TRUE, IF(ISNUMBER(SEARCH("BLA", BL2:BT2)), COLUMN(BL2:BT2) - COLUMN(BL2) + 1, ""))&lt;&gt;"","BLA","")</f>
        <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http://mkweb.bcgsc.ca/color-summarizer/?url=https://upload.wikimedia.org/wikipedia/commons/thumb/0/01/Flag_of_Niue.svg/300px-Flag_of_Niue.svg.png&amp;precision=low&amp;num_clusters=3&amp;text=1</v>
      </c>
      <c r="IO2" s="48" t="str">
        <f>IF(HP2&lt;&gt;"",CHAR(34)&amp;"black"&amp;CHAR(34),"")</f>
        <v/>
      </c>
      <c r="IP2" s="48" t="str">
        <f>IF(HQ2&lt;&gt;"",CHAR(34)&amp;"blue"&amp;CHAR(34),"")</f>
        <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{"url":"http://mkweb.bcgsc.ca/color-summarizer/?url=https://upload.wikimedia.org/wikipedia/commons/thumb/0/01/Flag_of_Niue.svg/300px-Flag_of_Niue.svg.png&amp;precision=low&amp;num_clusters=3&amp;text=1","name":"Niue"},</v>
      </c>
      <c r="IY2" s="48">
        <v>48</v>
      </c>
    </row>
    <row r="3" spans="1:259" s="48" customFormat="1" ht="38.4" customHeight="1" thickBot="1" x14ac:dyDescent="0.35">
      <c r="A3" s="79" t="s">
        <v>478</v>
      </c>
      <c r="B3" s="40" t="e" vm="84">
        <v>#VALUE!</v>
      </c>
      <c r="C3" s="41">
        <v>2</v>
      </c>
      <c r="D3" s="42" t="s">
        <v>479</v>
      </c>
      <c r="E3" s="43" t="s">
        <v>480</v>
      </c>
      <c r="F3" s="44" t="s">
        <v>393</v>
      </c>
      <c r="G3" s="45">
        <f>COUNTIF($A$1:$A$8250,A3)</f>
        <v>1</v>
      </c>
      <c r="H3" s="46"/>
      <c r="I3" s="47" t="s">
        <v>481</v>
      </c>
      <c r="J3" s="48" t="str">
        <f>""</f>
        <v/>
      </c>
      <c r="K3" s="49"/>
      <c r="L3" s="50"/>
      <c r="M3" s="50"/>
      <c r="N3" s="51" t="s">
        <v>169</v>
      </c>
      <c r="O3" s="52" t="s">
        <v>355</v>
      </c>
      <c r="P3" s="53" t="s">
        <v>482</v>
      </c>
      <c r="Q3" s="54">
        <v>1</v>
      </c>
      <c r="R3" s="55" t="s">
        <v>169</v>
      </c>
      <c r="S3" s="56">
        <v>3</v>
      </c>
      <c r="T3" s="57" t="s">
        <v>173</v>
      </c>
      <c r="U3" s="58" t="s">
        <v>173</v>
      </c>
      <c r="V3" s="58" t="s">
        <v>172</v>
      </c>
      <c r="W3" s="58" t="s">
        <v>173</v>
      </c>
      <c r="X3" s="58" t="s">
        <v>172</v>
      </c>
      <c r="Y3" s="58" t="s">
        <v>173</v>
      </c>
      <c r="Z3" s="58" t="s">
        <v>173</v>
      </c>
      <c r="AA3" s="58" t="s">
        <v>173</v>
      </c>
      <c r="AB3" s="58" t="s">
        <v>173</v>
      </c>
      <c r="AC3" s="58" t="s">
        <v>173</v>
      </c>
      <c r="AD3" s="58" t="s">
        <v>173</v>
      </c>
      <c r="AE3" s="58" t="s">
        <v>173</v>
      </c>
      <c r="AF3" s="59" t="s">
        <v>173</v>
      </c>
      <c r="AG3" s="59" t="s">
        <v>173</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3</v>
      </c>
      <c r="AU3" s="59" t="s">
        <v>483</v>
      </c>
      <c r="AV3" s="59" t="str">
        <f>IF(LEFT(A3,1)="[",LEFT(A3,5)&amp;AU3&amp;A3,"")</f>
        <v>[NIU]Village[NIU] Hakupu</v>
      </c>
      <c r="AW3" s="59" t="str">
        <f>C3&amp;H3&amp;A3</f>
        <v>2[NIU] Hakupu</v>
      </c>
      <c r="AX3" s="61"/>
      <c r="AY3" s="61"/>
      <c r="AZ3" s="62"/>
      <c r="BA3" s="62"/>
      <c r="BB3" s="62"/>
      <c r="BC3" s="63"/>
      <c r="BD3" s="64" t="s">
        <v>408</v>
      </c>
      <c r="BE3" s="47"/>
      <c r="BF3" s="64" t="s">
        <v>154</v>
      </c>
      <c r="BG3" s="64" t="s">
        <v>152</v>
      </c>
      <c r="BH3" s="64" t="s">
        <v>159</v>
      </c>
      <c r="BI3" s="64"/>
      <c r="BJ3" s="64"/>
      <c r="BK3" s="47"/>
      <c r="BL3" s="64" t="s">
        <v>154</v>
      </c>
      <c r="BM3" s="64" t="s">
        <v>159</v>
      </c>
      <c r="BN3" s="64" t="s">
        <v>152</v>
      </c>
      <c r="BO3" s="64"/>
      <c r="BP3" s="64"/>
      <c r="BQ3" s="64"/>
      <c r="BR3" s="64"/>
      <c r="BS3" s="64"/>
      <c r="BT3" s="64"/>
      <c r="BU3" s="65"/>
      <c r="BV3" s="66"/>
      <c r="BW3" s="66">
        <v>0</v>
      </c>
      <c r="BX3" s="47"/>
      <c r="CB3" s="6"/>
      <c r="CC3" s="6"/>
      <c r="CD3" s="67">
        <v>0</v>
      </c>
      <c r="CE3" s="67">
        <v>0</v>
      </c>
      <c r="CF3" s="67" t="e">
        <v>#REF!</v>
      </c>
      <c r="CG3" s="68" cm="1">
        <f t="array" ref="CG3">SUMPRODUCT(--(LEN(TRIM(BL3:BT3))&gt;0))</f>
        <v>3</v>
      </c>
      <c r="CH3" s="59" t="str">
        <f t="shared" ref="CH3:CH4" si="6">IF(CG3=2,"y","n")</f>
        <v>n</v>
      </c>
      <c r="CI3" s="59" t="str">
        <f t="shared" ref="CI3:CI4" si="7">IF(CG3=3,"y","n")</f>
        <v>y</v>
      </c>
      <c r="CJ3" s="59" t="str">
        <f t="shared" ref="CJ3:CJ4" si="8">IF(CG3=4,"y","n")</f>
        <v>n</v>
      </c>
      <c r="CK3" s="59" t="str">
        <f t="shared" ref="CK3:CK4" si="9">IF(CG3&gt;4,"y","n")</f>
        <v>n</v>
      </c>
      <c r="CL3" s="59" t="str">
        <f t="shared" ref="CL3:CL4" si="10">IF(S3=0,"y","n")</f>
        <v>n</v>
      </c>
      <c r="CM3" s="59" t="str">
        <f t="shared" ref="CM3:CM4" si="11">IF(S3=2,"y","n")</f>
        <v>n</v>
      </c>
      <c r="CN3" s="59" t="str">
        <f t="shared" ref="CN3:CN4" si="12">IF(S3=3,"y","n")</f>
        <v>y</v>
      </c>
      <c r="CO3" s="59" t="str">
        <f t="shared" ref="CO3:CO4" si="13">IF(S3&gt;=4,"y","n")</f>
        <v>n</v>
      </c>
      <c r="CP3" s="59" t="str">
        <f t="shared" ref="CP3:CP4" si="14">IF(AT3=0,"y","n")</f>
        <v>n</v>
      </c>
      <c r="CQ3" s="59" t="str">
        <f t="shared" ref="CQ3:CQ4" si="15">IF(AT3=1,"y","n")</f>
        <v>n</v>
      </c>
      <c r="CR3" s="59" t="str">
        <f t="shared" ref="CR3:CR4" si="16">IF(AT3=2,"y","n")</f>
        <v>n</v>
      </c>
      <c r="CS3" s="59" t="str">
        <f t="shared" ref="CS3:CS4" si="17">IF(AT3&gt;=3,"y","n")</f>
        <v>y</v>
      </c>
      <c r="CT3" s="69" t="str">
        <f t="shared" ref="CT3:CT4" si="18">CHAR(34)&amp;A3&amp;CHAR(34)</f>
        <v>"[NIU] Hakupu"</v>
      </c>
      <c r="CU3" s="70" t="str">
        <f t="shared" ref="CU3:CU4" si="19">CHAR(34)&amp;"rgn_"&amp;R3&amp;CHAR(34)</f>
        <v>"rgn_Oceania"</v>
      </c>
      <c r="CV3" s="48" t="str">
        <f t="shared" ref="CV3:CV4" si="20">CHAR(34)&amp;D3&amp;CHAR(34)</f>
        <v>"https://upload.wikimedia.org/wikipedia/commons/thumb/4/42/Flag_of_Hakupu%2C_Niue.svg/640px-Flag_of_Hakupu%2C_Niue.svg.png"</v>
      </c>
      <c r="CW3" s="48" t="str">
        <f t="shared" si="0"/>
        <v/>
      </c>
      <c r="CX3" s="48" t="str">
        <f t="shared" si="0"/>
        <v>"3Color",</v>
      </c>
      <c r="CY3" s="48" t="str">
        <f t="shared" si="0"/>
        <v/>
      </c>
      <c r="CZ3" s="48" t="str">
        <f t="shared" si="0"/>
        <v/>
      </c>
      <c r="DA3" s="48" t="str">
        <f t="shared" ref="DA3:DA4" si="21">IF(Q3&gt;1,CHAR(34)&amp;"words2"&amp;CHAR(34)&amp;",","")</f>
        <v/>
      </c>
      <c r="DB3" s="48" t="str">
        <f t="shared" ref="DB3:DB4" si="22">IF(Q3&gt;2,CHAR(34)&amp;"words3"&amp;CHAR(34)&amp;",","")</f>
        <v/>
      </c>
      <c r="DC3" s="48" t="str">
        <f>IF(Q3=2,CHAR(34)&amp;"exact2"&amp;CHAR(34)&amp;",","")</f>
        <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"lets06",</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"startH",</v>
      </c>
      <c r="DF3" s="48" t="str">
        <f t="shared" ref="DF3:DF4" si="23">IFERROR(IF(SEARCH("tan",A3)&gt;0,CHAR(34)&amp;"withtn"&amp;CHAR(34)&amp;",",""),"")</f>
        <v/>
      </c>
      <c r="DG3" s="48" t="str">
        <f t="shared" ref="DG3:DG4" si="24">IFERROR(IF(SEARCH("q",A3)&gt;0,CHAR(34)&amp;"with_q"&amp;CHAR(34)&amp;",",""),"")</f>
        <v/>
      </c>
      <c r="DH3" s="48" t="str">
        <f t="shared" ref="DH3:DH4" si="25">IFERROR(IF(SEARCH("v",A3)&gt;0,CHAR(34)&amp;"with_v"&amp;CHAR(34)&amp;",",""),"")</f>
        <v/>
      </c>
      <c r="DI3" s="48" t="str">
        <f t="shared" ref="DI3:DI4" si="26">IFERROR(IF(SEARCH("w",A3)&gt;0,CHAR(34)&amp;"with_w"&amp;CHAR(34)&amp;",",""),"")</f>
        <v/>
      </c>
      <c r="DJ3" s="48" t="str">
        <f t="shared" ref="DJ3:DJ4" si="27">IFERROR(IF(SEARCH("y",A3)&gt;0,CHAR(34)&amp;"with_y"&amp;CHAR(34)&amp;",",""),"")</f>
        <v/>
      </c>
      <c r="DK3" s="48" t="str">
        <f t="shared" ref="DK3:DK4" si="28">IFERROR(IF(SEARCH("z",A3)&gt;0,CHAR(34)&amp;"with_z"&amp;CHAR(34)&amp;",",""),"")</f>
        <v/>
      </c>
      <c r="DL3" s="48" t="str">
        <f t="shared" ref="DL3:DL4" si="29">IF(CG3=2, CHAR(34) &amp; _xlfn.TEXTJOIN("", TRUE, _xlfn._xlws.SORT(HP3:HX3)) &amp; CHAR(34) &amp; ",", "")</f>
        <v/>
      </c>
      <c r="DM3" s="48" t="str" cm="1">
        <f t="array" ref="DM3">IF(CG3=3,CHAR(34) &amp; _xlfn.TEXTJOIN("", TRUE, RIGHT(HP3:HX3, 2)) &amp; CHAR(34) &amp; ",", "")</f>
        <v>"LUEDHI",</v>
      </c>
      <c r="DN3" s="48" t="str">
        <f t="shared" ref="DN3:DN4" si="30">IF(AND(ISNUMBER(SEARCH("18", O3)), ISERROR(SEARCH("1918", O3)), ISERROR(SEARCH("2018", O3))), CHAR(34) &amp; "year18" &amp; CHAR(34) &amp; ",", "")</f>
        <v/>
      </c>
      <c r="DO3" s="48" t="str">
        <f t="shared" ref="DO3:DO4" si="31">IF(AND(ISNUMBER(SEARCH("19", O3)), ISERROR(SEARCH("1819", O3)),  ISERROR(SEARCH("1219", O3)),ISERROR(SEARCH("1119", O3)),ISERROR(SEARCH("1190", O3)),ISERROR(SEARCH("2019", O3))), CHAR(34) &amp; "year19" &amp; CHAR(34) &amp; ",", "")</f>
        <v/>
      </c>
      <c r="DP3" s="6" t="str">
        <f t="shared" ref="DP3:DP4" si="32">IF(AND(ISNUMBER(SEARCH("20", O3)), ISERROR(SEARCH("1920", O3))), CHAR(34)&amp;"year00"&amp;CHAR(34)&amp;",", "")</f>
        <v/>
      </c>
      <c r="DQ3" s="6" t="str">
        <f t="shared" ref="DQ3:DQ4" si="33">IF(CC3="y",CHAR(34)&amp;"soviet"&amp;CHAR(34)&amp;",","")</f>
        <v/>
      </c>
      <c r="DR3" s="6" t="str">
        <f t="shared" ref="DR3:DR4" si="34">IF(BY3="y",CHAR(34)&amp;"dgband"&amp;CHAR(34)&amp;",","")</f>
        <v/>
      </c>
      <c r="DS3" s="6" t="str">
        <f t="shared" ref="DS3:DS4" si="35">IF(W3="y",IF(AND(V3="n",BY3&lt;&gt;"y"),CHAR(34)&amp;"allver"&amp;CHAR(34)&amp;",",""),"")</f>
        <v/>
      </c>
      <c r="DT3" s="6" t="str">
        <f t="shared" ref="DT3:DT4" si="36">IF(V3="y",IF(AND(W3="n",BY3&lt;&gt;"y"),CHAR(34)&amp;"allhor"&amp;CHAR(34)&amp;",",""),"")</f>
        <v>"allhor",</v>
      </c>
      <c r="DU3" s="6" t="str">
        <f t="shared" ref="DU3:DU4" si="37">IF(BY3="y",IF(AND(W3="n",V3="n"),CHAR(34)&amp;"alldia"&amp;CHAR(34)&amp;",",""),"")</f>
        <v/>
      </c>
      <c r="DV3" s="48" t="str">
        <f>IF(IA3&lt;&gt;"",(IF(IA3="y",CHAR(34)&amp;"largec"&amp;CHAR(34)&amp;",",CHAR(34)&amp;"smallc"&amp;CHAR(34)&amp;",")),"")</f>
        <v/>
      </c>
      <c r="DW3" s="48" t="str">
        <f t="shared" si="1"/>
        <v/>
      </c>
      <c r="DX3" s="48" t="str">
        <f t="shared" si="1"/>
        <v/>
      </c>
      <c r="DY3" s="48" t="str">
        <f t="shared" si="1"/>
        <v>"3Bands",</v>
      </c>
      <c r="DZ3" s="48" t="str">
        <f t="shared" si="1"/>
        <v/>
      </c>
      <c r="EA3" s="48" t="str">
        <f t="shared" si="2"/>
        <v/>
      </c>
      <c r="EB3" s="48" t="str">
        <f t="shared" si="2"/>
        <v/>
      </c>
      <c r="EC3" s="48" t="str">
        <f t="shared" si="2"/>
        <v>"Horizo",</v>
      </c>
      <c r="ED3" s="48" t="str">
        <f t="shared" si="2"/>
        <v/>
      </c>
      <c r="EE3" s="48" t="str">
        <f t="shared" si="2"/>
        <v>"Circle",</v>
      </c>
      <c r="EF3" s="48" t="str">
        <f t="shared" ref="EF3:EF4" si="38">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FA4" si="39">IF(AT3&gt;0,CHAR(34)&amp;"sta"&amp;AZ3&amp;CHAR(34)&amp;",","")</f>
        <v>"sta",</v>
      </c>
      <c r="FB3" s="48" t="str">
        <f t="shared" ref="FB3:FB4" si="40">IF(AND(AT3&gt;0,BA3&lt;&gt;""),CHAR(34)&amp;"sta"&amp;BA3&amp;CHAR(34)&amp;",","")</f>
        <v/>
      </c>
      <c r="FC3" s="48" t="str">
        <f>IF(AND(AT3&gt;0,BB3&lt;&gt;""),CHAR(34)&amp;"sta"&amp;BB3&amp;CHAR(34)&amp;",","")</f>
        <v/>
      </c>
      <c r="FD3" s="48" t="str">
        <f t="shared" ref="FD3:FD4" si="41">IF(BV3="n",CHAR(34)&amp;"tcWHYE"&amp;CHAR(34)&amp;",",IF(BV3="y",CHAR(34)&amp;FD$1&amp;CHAR(34)&amp;",",""))</f>
        <v/>
      </c>
      <c r="FE3" s="48" t="str">
        <f t="shared" ref="FE3:FE4" si="42">IF(COUNTIF(BL3:BT3,"BLU")=0,CHAR(34)&amp;"NO_BLU"&amp;CHAR(34)&amp;",", "")</f>
        <v/>
      </c>
      <c r="FF3" s="48" t="str">
        <f t="shared" ref="FF3:FF4" si="43">IF(COUNTIF(BL3:BT3,"WHI")=0,CHAR(34)&amp;"NO_WHI"&amp;CHAR(34)&amp;",", "")</f>
        <v/>
      </c>
      <c r="FG3" s="48" t="str">
        <f t="shared" ref="FG3:FG4" si="44">IF(COUNTIF(BL3:BT3,"RED")=0,CHAR(34)&amp;"NO_RED"&amp;CHAR(34)&amp;",", "")</f>
        <v/>
      </c>
      <c r="FH3" s="48" t="str">
        <f t="shared" ref="FH3:FH4" si="45">IF(COUNTIF(BL3:BS3,"GRE")=0,CHAR(34)&amp;"NO_GRE"&amp;CHAR(34)&amp;",", "")</f>
        <v>"NO_GRE",</v>
      </c>
      <c r="FI3" s="48" t="str">
        <f t="shared" ref="FI3:FI4" si="46">IF(COUNTIF(BL3:BT3,"YEL")=0,CHAR(34)&amp;"NO_YEL"&amp;CHAR(34)&amp;",", "")</f>
        <v>"NO_YEL",</v>
      </c>
      <c r="FJ3" s="48" t="str">
        <f t="shared" ref="FJ3:FJ4" si="47">IF(COUNTIF(BL3:BT3,"BLA")=0,CHAR(34)&amp;"NO_BLA"&amp;CHAR(34)&amp;",", "")</f>
        <v>"NO_BLA",</v>
      </c>
      <c r="FK3" s="48" t="str">
        <f t="shared" ref="FK3:FK4" si="48">IF(AND(FH3&lt;&gt;"",FF3&lt;&gt;""),CHAR(34)&amp;"WHGRNO"&amp;CHAR(34)&amp;",","")</f>
        <v/>
      </c>
      <c r="FL3" s="48" t="str">
        <f t="shared" ref="FL3:FL4" si="49">IF(AND(FI3&lt;&gt;"",FF3&lt;&gt;""),CHAR(34)&amp;"WHYENO"&amp;CHAR(34)&amp;",","")</f>
        <v/>
      </c>
      <c r="FM3" s="48" t="str">
        <f t="shared" ref="FM3:FM4" si="50">IF(AND(FJ3&lt;&gt;"",FF3&lt;&gt;""),CHAR(34)&amp;"BAWHNO"&amp;CHAR(34)&amp;",","")</f>
        <v/>
      </c>
      <c r="FN3" s="48" t="str">
        <f t="shared" ref="FN3:FN4" si="51">IF(AND(FE3&lt;&gt;"",FF3&lt;&gt;""),CHAR(34)&amp;"BLWHNO"&amp;CHAR(34)&amp;",","")</f>
        <v/>
      </c>
      <c r="FO3" s="48" t="str">
        <f t="shared" ref="FO3:FO4" si="52">IF(AND(FE3&lt;&gt;"",FG3&lt;&gt;""),CHAR(34)&amp;"BLRENO"&amp;CHAR(34)&amp;",","")</f>
        <v/>
      </c>
      <c r="FP3" s="48" t="str">
        <f t="shared" ref="FP3:FP4" si="53">IF(AND(FF3&lt;&gt;"",FF3&lt;&gt;""),CHAR(34)&amp;"WHRENO"&amp;CHAR(34)&amp;",","")</f>
        <v/>
      </c>
      <c r="FQ3" s="48" t="str">
        <f t="shared" ref="FQ3:FQ4" si="54">IF(LEN(BF3)=3,CHAR(34)&amp;"001"&amp;BF3&amp;CHAR(34)&amp;",","")</f>
        <v>"001RED",</v>
      </c>
      <c r="FR3" s="48" t="str">
        <f t="shared" ref="FR3:FR4" si="55">IF(LEN(BG3)=3,CHAR(34)&amp;"002"&amp;BG3&amp;CHAR(34)&amp;",","")</f>
        <v>"002BLU",</v>
      </c>
      <c r="FS3" s="48" t="str">
        <f t="shared" ref="FS3:FS4" si="56">IF(LEN(BH3)=3,CHAR(34)&amp;"003"&amp;BH3&amp;CHAR(34)&amp;",","")</f>
        <v>"003WHI",</v>
      </c>
      <c r="FT3" s="48" t="str">
        <f t="shared" ref="FT3:FT4" si="57">CHAR(34)&amp;"myr"&amp;BD3&amp;CHAR(34)&amp;","</f>
        <v>"myrEQ",</v>
      </c>
      <c r="FU3" s="48" t="str">
        <f t="shared" ref="FU3:FU4" si="58">IF(AY3="y",CHAR(34)&amp;"island"&amp;CHAR(34)&amp;",","")</f>
        <v/>
      </c>
      <c r="FV3" s="48" t="str">
        <f t="shared" ref="FV3:FV4" si="59">IF(BZ3="y",CHAR(34)&amp;"landlo"&amp;CHAR(34)&amp;",","")</f>
        <v/>
      </c>
      <c r="FW3" s="48" t="str">
        <f t="shared" ref="FW3:FW4" si="60">IF(CA3="y",CHAR(34)&amp;"eunion"&amp;CHAR(34)&amp;",","")</f>
        <v/>
      </c>
      <c r="FX3" s="48" t="str">
        <f>SUBSTITUTE(IFERROR(SEARCH("[",A3),IFERROR(IF(AND(CA3&lt;&gt;"y",SEARCH("Europe",R3)&gt;0),CHAR(34)&amp;"noeuni"&amp;CHAR(34)&amp;",",""),"")),"1","")</f>
        <v/>
      </c>
      <c r="FY3" s="48" t="str">
        <f t="shared" ref="FY3:FY4" si="61">IFERROR(IF(SEARCH("Arabic",CB3)&gt;0,CHAR(34)&amp;"arabic"&amp;CHAR(34)&amp;",",""),"")</f>
        <v/>
      </c>
      <c r="FZ3" s="48" t="str">
        <f t="shared" ref="FZ3:FZ4" si="62">IFERROR(IF(SEARCH("English",CB3)&gt;0,CHAR(34)&amp;"englis"&amp;CHAR(34)&amp;",",""),"")</f>
        <v/>
      </c>
      <c r="GA3" s="48" t="str">
        <f t="shared" ref="GA3:GA4" si="63">IFERROR(IF(SEARCH("French",CB3)&gt;0,CHAR(34)&amp;"french"&amp;CHAR(34)&amp;",",""),"")</f>
        <v/>
      </c>
      <c r="GB3" s="48" t="str">
        <f t="shared" ref="GB3:GB4" si="64">IFERROR(IF(SEARCH("Spanish",CB3)&gt;0,CHAR(34)&amp;"spanis"&amp;CHAR(34)&amp;",",""),"")</f>
        <v/>
      </c>
      <c r="GC3" s="48" t="str">
        <f>IFERROR(IF(SEARCH("Portuguese",CB3)&gt;0,CHAR(34)&amp;"portug"&amp;CHAR(34)&amp;",",""),"")</f>
        <v/>
      </c>
      <c r="GD3" s="48" t="str">
        <f>IFERROR(IF(SEARCH("German",CB3)&gt;0,CHAR(34)&amp;"german"&amp;CHAR(34)&amp;",",""),"")</f>
        <v/>
      </c>
      <c r="GE3" s="48" t="str">
        <f t="shared" ref="GE3:GE4" si="65">IFERROR(IF(SEARCH("Dutch",CB3)&gt;0,CHAR(34)&amp;"dutchs"&amp;CHAR(34)&amp;",",""),"")</f>
        <v/>
      </c>
      <c r="GF3" s="48" t="str">
        <f>IFERROR(IF(SEARCH("Histor",AU3)&gt;0,CHAR(34)&amp;"histor"&amp;CHAR(34)&amp;",",""),"")</f>
        <v/>
      </c>
      <c r="GG3" s="48" t="str">
        <f t="shared" ref="GG3:GG4" si="66">IF(BU3="y",CHAR(34)&amp;"unjack"&amp;CHAR(34)&amp;",","")</f>
        <v/>
      </c>
      <c r="GH3" s="48" t="str">
        <f t="shared" ref="GH3:GH4" si="67">IF(CD3=1,CHAR(34)&amp;"southc"&amp;CHAR(34)&amp;",","")</f>
        <v/>
      </c>
      <c r="GI3" s="48" t="str">
        <f t="shared" ref="GI3:GI4" si="68">IF(CE3=1,CHAR(34)&amp;"hasmap"&amp;CHAR(34)&amp;",","")</f>
        <v/>
      </c>
      <c r="GJ3" s="48" t="str">
        <f t="shared" ref="GJ3:GJ4" si="69">IF(CP3="y",CHAR(34)&amp;CP$1&amp;CHAR(34)&amp;",","")</f>
        <v/>
      </c>
      <c r="GK3" s="48" t="str">
        <f t="shared" ref="GK3:GK4" si="70">IF(GJ3="",CHAR(34)&amp;"HasSta"&amp;CHAR(34)&amp;",","")</f>
        <v>"HasSta",</v>
      </c>
      <c r="GL3" s="48" t="str">
        <f t="shared" si="4"/>
        <v/>
      </c>
      <c r="GM3" s="48" t="str">
        <f t="shared" si="4"/>
        <v/>
      </c>
      <c r="GN3" s="48" t="str">
        <f t="shared" si="4"/>
        <v>"3+Star",</v>
      </c>
      <c r="GP3" s="48" t="str">
        <f t="shared" ref="GP3:GP4" si="71">CHAR(34)&amp;AU3&amp;CHAR(34)</f>
        <v>"Village"</v>
      </c>
      <c r="GS3" s="48" t="str">
        <f t="shared" ref="GS3:GS4" si="72">SUBSTITUTE("["&amp;_xlfn.CONCAT(CW3:GN3)&amp;"]",",]","]")</f>
        <v>["3Color","lets06","startH","LUEDHI","allhor","3Bands","Horizo","Circle","Center","sta","NO_GRE","NO_YEL","NO_BLA","001RED","002BLU","003WHI","myrEQ","HasSta","3+Star"]</v>
      </c>
      <c r="GT3" s="48" t="str">
        <f t="shared" si="5"/>
        <v>"cl_RED",</v>
      </c>
      <c r="GU3" s="48" t="str">
        <f t="shared" si="5"/>
        <v>"cl_WHI",</v>
      </c>
      <c r="GV3" s="48" t="str">
        <f t="shared" si="5"/>
        <v>"cl_BLU",</v>
      </c>
      <c r="GW3" s="48" t="str">
        <f t="shared" si="5"/>
        <v/>
      </c>
      <c r="GX3" s="48" t="str">
        <f t="shared" si="5"/>
        <v/>
      </c>
      <c r="GY3" s="48" t="str">
        <f t="shared" si="5"/>
        <v/>
      </c>
      <c r="GZ3" s="48" t="str">
        <f t="shared" si="5"/>
        <v/>
      </c>
      <c r="HA3" s="48" t="str">
        <f t="shared" si="5"/>
        <v/>
      </c>
      <c r="HB3" s="48" t="str">
        <f t="shared" si="5"/>
        <v/>
      </c>
      <c r="HC3" s="48" t="str">
        <f t="shared" ref="HC3:HC4" si="73">SUBSTITUTE("["&amp;_xlfn.CONCAT(GT3:HB3)&amp;"]",",]","]")</f>
        <v>["cl_RED","cl_WHI","cl_BLU"]</v>
      </c>
      <c r="HE3" s="71"/>
      <c r="HF3" s="72" t="str">
        <f t="shared" ref="HF3:HF4" si="74">"{couname:"&amp;CT3&amp;(IF(HK3&lt;&gt;"",",subtype:"&amp;CHAR(34)&amp;HK3&amp;CHAR(34),""))&amp;",year:"&amp;HJ3&amp;",region:"&amp;CU3&amp;",Colors:"&amp;HC3&amp;",Items:"&amp;GS3&amp;",Flag:"&amp;CV3&amp;",HDFlag:"&amp;CHAR(34)&amp;E3&amp;CHAR(34)&amp;",type:"&amp;GP3&amp;", describe: "&amp;HH3&amp;", isnew:"&amp;CHAR(34)&amp;F3&amp;CHAR(34)&amp;", links: "&amp;HL3&amp;"},"</f>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isnew:"www", links: "https://www.fotw.info/flags/nu-hak.html"},</v>
      </c>
      <c r="HG3" s="73" t="str">
        <f t="shared" ref="HG3:HG4" si="75">"{couname:"&amp;CT3&amp;(IF(HK3&lt;&gt;"",",subtype:"&amp;CHAR(34)&amp;HK3&amp;CHAR(34),""))&amp;",year:"&amp;HJ3&amp;",region:"&amp;CU3&amp;",Colors:"&amp;HC3&amp;",Items:"&amp;GS3&amp;",Flag:"&amp;CV3&amp;",HDFlag:"&amp;CHAR(34)&amp;E3&amp;CHAR(34)&amp;",type:"&amp;GP3&amp;", describe: "&amp;HI3&amp;", links: "&amp;HL3&amp;"},"</f>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links: "https://www.fotw.info/flags/nu-hak.html"},</v>
      </c>
      <c r="HH3" s="48" t="str">
        <f t="shared" ref="HH3:HH4" si="76">IF(P3&lt;&gt;"",CHAR(34)&amp;"\n"&amp;P3&amp;CHAR(34),CHAR(34)&amp;CHAR(34))</f>
        <v>"\nThe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v>
      </c>
      <c r="HI3" s="48" t="str">
        <f t="shared" ref="HI3:HI4" si="77">IF(J3=0,CHAR(34)&amp;CHAR(34),HH3)</f>
        <v>"\nThe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v>
      </c>
      <c r="HJ3" s="48" t="str">
        <f t="shared" ref="HJ3:HJ4" si="78">CHAR(34)&amp;O3&amp;CHAR(34)</f>
        <v>"???"</v>
      </c>
      <c r="HL3" s="48" t="str">
        <f t="shared" ref="HL3:HL4" si="79">CHAR(34)&amp;I3&amp;CHAR(34)</f>
        <v>"https://www.fotw.info/flags/nu-hak.html"</v>
      </c>
      <c r="HM3" s="72" t="str">
        <f t="shared" ref="HM3:HM4" si="8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 "www", "links": "https://www.fotw.info/flags/nu-hak.html"},</v>
      </c>
      <c r="HN3" s="74" t="str">
        <f t="shared" ref="HN3:HN4" si="81">"{"&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{"couname":"[NIU] Hakupu","year":"???","region":"rgn_Oceania","Colors":["cl_RED","cl_WHI","cl_BLU"],"Items":["3Color","lets06","startH","LUEDHI","allhor","3Bands","Horizo","Circle","Center","sta","NO_GRE","NO_YEL","NO_BLA","001RED","002BLU","003WHI","myrEQ","HasSta","3+Star"],"Flag":"https://upload.wikimedia.org/wikipedia/commons/thumb/4/42/Flag_of_Hakupu%2C_Niue.svg/640px-Flag_of_Hakupu%2C_Niue.svg.png","HDFlag":"https://upload.wikimedia.org/wikipedia/commons/thumb/4/42/Flag_of_Hakupu%2C_Niue.svg/2560px-Flag_of_Hakupu%2C_Niue.svg.png","type":"Village", "describe": "\nThe flag design consist of a black stripe running through a circle with 3 black stars inside of it. The Circle symbolizes the unity of the Hakupu village people and also coincides with the tradition village song “KA HOKO MAI A KOE KI FUAI” in which the verse sounds …kua fakaveliveli, tuga ni e mahina… The 3 stars represents the people of Hakupu by the Past, Present and the Future. The 3 stars also corresponds to the 3 main entrances to the village namely: Malakava, Manunu and Mati. The white stripes in which the black stripe runs through signifies how the village is bounded spiritually in their everyday lives and everything they stand for.", "isnew": "www", "links": "https://www.fotw.info/flags/nu-hak.html"},</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SUM(IC3:IK3)</f>
        <v>0</v>
      </c>
      <c r="IM3" s="45">
        <f t="shared" ref="IM3:IM4" si="82">COUNTIF(IC3:IK3,"&gt;0")-CG3</f>
        <v>-3</v>
      </c>
      <c r="IN3" s="78" t="str">
        <f t="shared" ref="IN3:IN4" si="83">"http://mkweb.bcgsc.ca/color-summarizer/?url="&amp;D3&amp;"&amp;precision=low&amp;num_clusters="&amp;CG3&amp;"&amp;text=1"</f>
        <v>http://mkweb.bcgsc.ca/color-summarizer/?url=https://upload.wikimedia.org/wikipedia/commons/thumb/4/42/Flag_of_Hakupu%2C_Niue.svg/640px-Flag_of_Hakupu%2C_Niue.svg.png&amp;precision=low&amp;num_clusters=3&amp;text=1</v>
      </c>
      <c r="IO3" s="48" t="str">
        <f t="shared" ref="IO3:IO4" si="84">IF(HP3&lt;&gt;"",CHAR(34)&amp;"black"&amp;CHAR(34),"")</f>
        <v/>
      </c>
      <c r="IP3" s="48" t="str">
        <f t="shared" ref="IP3:IP4" si="85">IF(HQ3&lt;&gt;"",CHAR(34)&amp;"blue"&amp;CHAR(34),"")</f>
        <v>"blue"</v>
      </c>
      <c r="IQ3" s="48" t="str">
        <f t="shared" ref="IQ3:IQ4" si="86">IF(HR3&lt;&gt;"",CHAR(34)&amp;"green"&amp;CHAR(34),"")</f>
        <v/>
      </c>
      <c r="IR3" s="48" t="str">
        <f t="shared" ref="IR3:IR4" si="87">IF(HS3&lt;&gt;"",CHAR(34)&amp;"red"&amp;CHAR(34),"")</f>
        <v>"red"</v>
      </c>
      <c r="IS3" s="48" t="str">
        <f t="shared" ref="IS3:IS4" si="88">IF(HT3&lt;&gt;"",CHAR(34)&amp;"yellow"&amp;CHAR(34),"")</f>
        <v/>
      </c>
      <c r="IT3" s="48" t="str">
        <f t="shared" ref="IT3:IT4" si="89">IF(HU3&lt;&gt;"",CHAR(34)&amp;"orange"&amp;CHAR(34),"")</f>
        <v/>
      </c>
      <c r="IU3" s="48" t="str">
        <f t="shared" ref="IU3:IU4" si="90">IF(HV3&lt;&gt;"",CHAR(34)&amp;"brown"&amp;CHAR(34),"")</f>
        <v/>
      </c>
      <c r="IV3" s="48" t="str">
        <f t="shared" ref="IV3:IV4" si="91">IF(HW3&lt;&gt;"",CHAR(34)&amp;"purple"&amp;CHAR(34),"")</f>
        <v/>
      </c>
      <c r="IW3" s="48" t="str">
        <f t="shared" ref="IW3:IW4" si="92">IF(HX3&lt;&gt;"",CHAR(34)&amp;"white"&amp;CHAR(34),"")</f>
        <v>"white"</v>
      </c>
      <c r="IX3" s="48" t="str">
        <f t="shared" ref="IX3:IX4" si="93">"{"&amp;CHAR(34)&amp;"url"&amp;CHAR(34)&amp;":"&amp;CHAR(34)&amp;IN3&amp;CHAR(34)&amp;","&amp;CHAR(34)&amp;"name"&amp;CHAR(34)&amp;":"&amp;CHAR(34)&amp;A3&amp;CHAR(34)&amp;"},"</f>
        <v>{"url":"http://mkweb.bcgsc.ca/color-summarizer/?url=https://upload.wikimedia.org/wikipedia/commons/thumb/4/42/Flag_of_Hakupu%2C_Niue.svg/640px-Flag_of_Hakupu%2C_Niue.svg.png&amp;precision=low&amp;num_clusters=3&amp;text=1","name":"[NIU] Hakupu"},</v>
      </c>
      <c r="IY3" s="48">
        <v>285</v>
      </c>
    </row>
    <row r="4" spans="1:259" s="48" customFormat="1" ht="38.4" customHeight="1" thickBot="1" x14ac:dyDescent="0.35">
      <c r="A4" s="79" t="s">
        <v>484</v>
      </c>
      <c r="B4" s="40" t="e" vm="85">
        <v>#VALUE!</v>
      </c>
      <c r="C4" s="41">
        <v>2</v>
      </c>
      <c r="D4" s="42" t="s">
        <v>485</v>
      </c>
      <c r="E4" s="43" t="s">
        <v>485</v>
      </c>
      <c r="F4" s="44" t="s">
        <v>393</v>
      </c>
      <c r="G4" s="45">
        <f>COUNTIF($A$1:$A$8250,A4)</f>
        <v>1</v>
      </c>
      <c r="H4" s="46"/>
      <c r="I4" s="47" t="s">
        <v>486</v>
      </c>
      <c r="J4" s="48" t="str">
        <f>""</f>
        <v/>
      </c>
      <c r="K4" s="49"/>
      <c r="L4" s="50"/>
      <c r="M4" s="50"/>
      <c r="N4" s="51" t="s">
        <v>169</v>
      </c>
      <c r="O4" s="52" t="s">
        <v>355</v>
      </c>
      <c r="P4" s="53" t="s">
        <v>487</v>
      </c>
      <c r="Q4" s="54">
        <v>1</v>
      </c>
      <c r="R4" s="55" t="s">
        <v>169</v>
      </c>
      <c r="S4" s="56">
        <v>0</v>
      </c>
      <c r="T4" s="57" t="s">
        <v>173</v>
      </c>
      <c r="U4" s="58" t="s">
        <v>173</v>
      </c>
      <c r="V4" s="58" t="s">
        <v>173</v>
      </c>
      <c r="W4" s="58" t="s">
        <v>173</v>
      </c>
      <c r="X4" s="58" t="s">
        <v>173</v>
      </c>
      <c r="Y4" s="58" t="s">
        <v>172</v>
      </c>
      <c r="Z4" s="58" t="s">
        <v>172</v>
      </c>
      <c r="AA4" s="58" t="s">
        <v>172</v>
      </c>
      <c r="AB4" s="58" t="s">
        <v>172</v>
      </c>
      <c r="AC4" s="58" t="s">
        <v>173</v>
      </c>
      <c r="AD4" s="58" t="s">
        <v>173</v>
      </c>
      <c r="AE4" s="58" t="s">
        <v>173</v>
      </c>
      <c r="AF4" s="59" t="s">
        <v>173</v>
      </c>
      <c r="AG4" s="59" t="s">
        <v>173</v>
      </c>
      <c r="AH4" s="59" t="s">
        <v>173</v>
      </c>
      <c r="AI4" s="59" t="s">
        <v>173</v>
      </c>
      <c r="AJ4" s="59" t="s">
        <v>173</v>
      </c>
      <c r="AK4" s="59" t="s">
        <v>173</v>
      </c>
      <c r="AL4" s="59" t="s">
        <v>173</v>
      </c>
      <c r="AM4" s="59" t="s">
        <v>173</v>
      </c>
      <c r="AN4" s="59" t="s">
        <v>173</v>
      </c>
      <c r="AO4" s="59" t="s">
        <v>173</v>
      </c>
      <c r="AP4" s="59" t="s">
        <v>173</v>
      </c>
      <c r="AQ4" s="59" t="s">
        <v>173</v>
      </c>
      <c r="AR4" s="59" t="s">
        <v>173</v>
      </c>
      <c r="AS4" s="59" t="s">
        <v>173</v>
      </c>
      <c r="AT4" s="60">
        <v>5</v>
      </c>
      <c r="AU4" s="59" t="s">
        <v>483</v>
      </c>
      <c r="AV4" s="59" t="str">
        <f>IF(LEFT(A4,1)="[",LEFT(A4,5)&amp;AU4&amp;A4,"")</f>
        <v>[NIU]Village[NIU] Mutalau</v>
      </c>
      <c r="AW4" s="59" t="str">
        <f>C4&amp;H4&amp;A4</f>
        <v>2[NIU] Mutalau</v>
      </c>
      <c r="AX4" s="61"/>
      <c r="AY4" s="61"/>
      <c r="AZ4" s="62" t="s">
        <v>154</v>
      </c>
      <c r="BA4" s="62" t="s">
        <v>154</v>
      </c>
      <c r="BB4" s="62"/>
      <c r="BC4" s="63"/>
      <c r="BD4" s="64" t="s">
        <v>152</v>
      </c>
      <c r="BE4" s="47"/>
      <c r="BF4" s="64" t="s">
        <v>152</v>
      </c>
      <c r="BG4" s="64" t="s">
        <v>159</v>
      </c>
      <c r="BH4" s="64" t="s">
        <v>152</v>
      </c>
      <c r="BI4" s="64"/>
      <c r="BJ4" s="64"/>
      <c r="BK4" s="47"/>
      <c r="BL4" s="64" t="s">
        <v>192</v>
      </c>
      <c r="BM4" s="64" t="s">
        <v>152</v>
      </c>
      <c r="BN4" s="64" t="s">
        <v>153</v>
      </c>
      <c r="BO4" s="64" t="s">
        <v>154</v>
      </c>
      <c r="BP4" s="64" t="s">
        <v>155</v>
      </c>
      <c r="BQ4" s="64" t="s">
        <v>192</v>
      </c>
      <c r="BR4" s="64" t="s">
        <v>192</v>
      </c>
      <c r="BS4" s="64" t="s">
        <v>192</v>
      </c>
      <c r="BT4" s="64" t="s">
        <v>159</v>
      </c>
      <c r="BU4" s="65"/>
      <c r="BV4" s="66"/>
      <c r="BW4" s="66">
        <v>0</v>
      </c>
      <c r="BX4" s="47"/>
      <c r="CB4" s="6"/>
      <c r="CC4" s="6"/>
      <c r="CD4" s="67">
        <v>0</v>
      </c>
      <c r="CE4" s="67">
        <v>0</v>
      </c>
      <c r="CF4" s="67" t="e">
        <v>#REF!</v>
      </c>
      <c r="CG4" s="68" cm="1">
        <f t="array" ref="CG4">SUMPRODUCT(--(LEN(TRIM(BL4:BT4))&gt;0))</f>
        <v>5</v>
      </c>
      <c r="CH4" s="59" t="str">
        <f t="shared" si="6"/>
        <v>n</v>
      </c>
      <c r="CI4" s="59" t="str">
        <f t="shared" si="7"/>
        <v>n</v>
      </c>
      <c r="CJ4" s="59" t="str">
        <f t="shared" si="8"/>
        <v>n</v>
      </c>
      <c r="CK4" s="59" t="str">
        <f t="shared" si="9"/>
        <v>y</v>
      </c>
      <c r="CL4" s="59" t="str">
        <f t="shared" si="10"/>
        <v>y</v>
      </c>
      <c r="CM4" s="59" t="str">
        <f t="shared" si="11"/>
        <v>n</v>
      </c>
      <c r="CN4" s="59" t="str">
        <f t="shared" si="12"/>
        <v>n</v>
      </c>
      <c r="CO4" s="59" t="str">
        <f t="shared" si="13"/>
        <v>n</v>
      </c>
      <c r="CP4" s="59" t="str">
        <f t="shared" si="14"/>
        <v>n</v>
      </c>
      <c r="CQ4" s="59" t="str">
        <f t="shared" si="15"/>
        <v>n</v>
      </c>
      <c r="CR4" s="59" t="str">
        <f t="shared" si="16"/>
        <v>n</v>
      </c>
      <c r="CS4" s="59" t="str">
        <f t="shared" si="17"/>
        <v>y</v>
      </c>
      <c r="CT4" s="69" t="str">
        <f t="shared" si="18"/>
        <v>"[NIU] Mutalau"</v>
      </c>
      <c r="CU4" s="70" t="str">
        <f t="shared" si="19"/>
        <v>"rgn_Oceania"</v>
      </c>
      <c r="CV4" s="48" t="str">
        <f t="shared" si="20"/>
        <v>"https://www.fotw.info/images/n/nu_mutalau.jpg"</v>
      </c>
      <c r="CW4" s="48" t="str">
        <f t="shared" si="0"/>
        <v/>
      </c>
      <c r="CX4" s="48" t="str">
        <f t="shared" si="0"/>
        <v/>
      </c>
      <c r="CY4" s="48" t="str">
        <f t="shared" si="0"/>
        <v/>
      </c>
      <c r="CZ4" s="48" t="str">
        <f t="shared" si="0"/>
        <v>"5+Colo",</v>
      </c>
      <c r="DA4" s="48" t="str">
        <f t="shared" si="21"/>
        <v/>
      </c>
      <c r="DB4" s="48" t="str">
        <f t="shared" si="22"/>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"lets07",</v>
      </c>
      <c r="DE4" s="48" t="str">
        <f>CHAR(34)&amp;"start"&amp;IFERROR(LEFT(SUBSTITUTE(A4,"["&amp;MID(A4,FIND("[",A4)+1,FIND("]",A4)-FIND("[",A4)-1)&amp;"] ",""),1),LEFT(A4,1))&amp;CHAR(34)&amp;","</f>
        <v>"startM",</v>
      </c>
      <c r="DF4" s="48" t="str">
        <f t="shared" si="23"/>
        <v/>
      </c>
      <c r="DG4" s="48" t="str">
        <f t="shared" si="24"/>
        <v/>
      </c>
      <c r="DH4" s="48" t="str">
        <f t="shared" si="25"/>
        <v/>
      </c>
      <c r="DI4" s="48" t="str">
        <f t="shared" si="26"/>
        <v/>
      </c>
      <c r="DJ4" s="48" t="str">
        <f t="shared" si="27"/>
        <v/>
      </c>
      <c r="DK4" s="48" t="str">
        <f t="shared" si="28"/>
        <v/>
      </c>
      <c r="DL4" s="48" t="str">
        <f t="shared" si="29"/>
        <v/>
      </c>
      <c r="DM4" s="48" t="str" cm="1">
        <f t="array" ref="DM4">IF(CG4=3,CHAR(34) &amp; _xlfn.TEXTJOIN("", TRUE, RIGHT(HP4:HX4, 2)) &amp; CHAR(34) &amp; ",", "")</f>
        <v/>
      </c>
      <c r="DN4" s="48" t="str">
        <f t="shared" si="30"/>
        <v/>
      </c>
      <c r="DO4" s="48" t="str">
        <f t="shared" si="31"/>
        <v/>
      </c>
      <c r="DP4" s="6" t="str">
        <f t="shared" si="32"/>
        <v/>
      </c>
      <c r="DQ4" s="6" t="str">
        <f t="shared" si="33"/>
        <v/>
      </c>
      <c r="DR4" s="6" t="str">
        <f t="shared" si="34"/>
        <v/>
      </c>
      <c r="DS4" s="6" t="str">
        <f t="shared" si="35"/>
        <v/>
      </c>
      <c r="DT4" s="6" t="str">
        <f t="shared" si="36"/>
        <v/>
      </c>
      <c r="DU4" s="6" t="str">
        <f t="shared" si="37"/>
        <v/>
      </c>
      <c r="DW4" s="48" t="str">
        <f t="shared" si="1"/>
        <v>"NoBand",</v>
      </c>
      <c r="DX4" s="48" t="str">
        <f t="shared" si="1"/>
        <v/>
      </c>
      <c r="DY4" s="48" t="str">
        <f t="shared" si="1"/>
        <v/>
      </c>
      <c r="DZ4" s="48" t="str">
        <f t="shared" si="1"/>
        <v/>
      </c>
      <c r="EA4" s="48" t="str">
        <f t="shared" si="2"/>
        <v/>
      </c>
      <c r="EB4" s="48" t="str">
        <f t="shared" si="2"/>
        <v/>
      </c>
      <c r="EC4" s="48" t="str">
        <f t="shared" si="2"/>
        <v/>
      </c>
      <c r="ED4" s="48" t="str">
        <f t="shared" si="2"/>
        <v/>
      </c>
      <c r="EE4" s="48" t="str">
        <f t="shared" si="2"/>
        <v/>
      </c>
      <c r="EF4" s="48" t="str">
        <f t="shared" si="38"/>
        <v>"Animal",</v>
      </c>
      <c r="EG4" s="48" t="str">
        <f t="shared" si="3"/>
        <v>"Bird",</v>
      </c>
      <c r="EH4" s="48" t="str">
        <f t="shared" si="3"/>
        <v>"Plants",</v>
      </c>
      <c r="EI4" s="48" t="str">
        <f t="shared" si="3"/>
        <v>"Texted",</v>
      </c>
      <c r="EJ4" s="48" t="str">
        <f t="shared" si="3"/>
        <v/>
      </c>
      <c r="EK4" s="48" t="str">
        <f t="shared" si="3"/>
        <v/>
      </c>
      <c r="EL4" s="48" t="str">
        <f t="shared" si="3"/>
        <v/>
      </c>
      <c r="EM4" s="48" t="str">
        <f t="shared" si="3"/>
        <v/>
      </c>
      <c r="EN4" s="48" t="str">
        <f t="shared" si="3"/>
        <v/>
      </c>
      <c r="EO4" s="48" t="str">
        <f t="shared" si="3"/>
        <v/>
      </c>
      <c r="EP4" s="48" t="str">
        <f t="shared" si="3"/>
        <v/>
      </c>
      <c r="EQ4" s="48" t="str">
        <f t="shared" si="3"/>
        <v/>
      </c>
      <c r="ER4" s="48" t="str">
        <f t="shared" si="3"/>
        <v/>
      </c>
      <c r="ES4" s="48" t="str">
        <f t="shared" si="3"/>
        <v/>
      </c>
      <c r="ET4" s="48" t="str">
        <f t="shared" si="3"/>
        <v/>
      </c>
      <c r="EU4" s="48" t="str">
        <f t="shared" si="3"/>
        <v/>
      </c>
      <c r="EV4" s="48" t="str">
        <f t="shared" si="3"/>
        <v/>
      </c>
      <c r="EW4" s="48" t="str">
        <f t="shared" si="3"/>
        <v/>
      </c>
      <c r="EX4" s="48" t="str">
        <f t="shared" si="3"/>
        <v/>
      </c>
      <c r="EY4" s="48" t="str">
        <f t="shared" si="3"/>
        <v/>
      </c>
      <c r="EZ4" s="48" t="str">
        <f t="shared" si="3"/>
        <v/>
      </c>
      <c r="FA4" s="48" t="str">
        <f t="shared" si="39"/>
        <v>"staRED",</v>
      </c>
      <c r="FB4" s="48" t="str">
        <f t="shared" si="40"/>
        <v>"staRED",</v>
      </c>
      <c r="FD4" s="48" t="str">
        <f t="shared" si="41"/>
        <v/>
      </c>
      <c r="FE4" s="48" t="str">
        <f t="shared" si="42"/>
        <v/>
      </c>
      <c r="FF4" s="48" t="str">
        <f t="shared" si="43"/>
        <v/>
      </c>
      <c r="FG4" s="48" t="str">
        <f t="shared" si="44"/>
        <v/>
      </c>
      <c r="FH4" s="48" t="str">
        <f t="shared" si="45"/>
        <v/>
      </c>
      <c r="FI4" s="48" t="str">
        <f t="shared" si="46"/>
        <v/>
      </c>
      <c r="FJ4" s="48" t="str">
        <f t="shared" si="47"/>
        <v>"NO_BLA",</v>
      </c>
      <c r="FK4" s="48" t="str">
        <f t="shared" si="48"/>
        <v/>
      </c>
      <c r="FL4" s="48" t="str">
        <f t="shared" si="49"/>
        <v/>
      </c>
      <c r="FM4" s="48" t="str">
        <f t="shared" si="50"/>
        <v/>
      </c>
      <c r="FN4" s="48" t="str">
        <f t="shared" si="51"/>
        <v/>
      </c>
      <c r="FO4" s="48" t="str">
        <f t="shared" si="52"/>
        <v/>
      </c>
      <c r="FP4" s="48" t="str">
        <f t="shared" si="53"/>
        <v/>
      </c>
      <c r="FQ4" s="48" t="str">
        <f t="shared" si="54"/>
        <v>"001BLU",</v>
      </c>
      <c r="FR4" s="48" t="str">
        <f t="shared" si="55"/>
        <v>"002WHI",</v>
      </c>
      <c r="FS4" s="48" t="str">
        <f t="shared" si="56"/>
        <v>"003BLU",</v>
      </c>
      <c r="FT4" s="48" t="str">
        <f t="shared" si="57"/>
        <v>"myrBLU",</v>
      </c>
      <c r="FU4" s="48" t="str">
        <f t="shared" si="58"/>
        <v/>
      </c>
      <c r="FV4" s="48" t="str">
        <f t="shared" si="59"/>
        <v/>
      </c>
      <c r="FW4" s="48" t="str">
        <f t="shared" si="60"/>
        <v/>
      </c>
      <c r="FY4" s="48" t="str">
        <f t="shared" si="61"/>
        <v/>
      </c>
      <c r="FZ4" s="48" t="str">
        <f t="shared" si="62"/>
        <v/>
      </c>
      <c r="GA4" s="48" t="str">
        <f t="shared" si="63"/>
        <v/>
      </c>
      <c r="GB4" s="48" t="str">
        <f t="shared" si="64"/>
        <v/>
      </c>
      <c r="GE4" s="48" t="str">
        <f t="shared" si="65"/>
        <v/>
      </c>
      <c r="GF4" s="48" t="str">
        <f>IFERROR(IF(SEARCH("Historical",AU4)&gt;0,CHAR(34)&amp;"histor"&amp;CHAR(34)&amp;",",""),"")</f>
        <v/>
      </c>
      <c r="GG4" s="48" t="str">
        <f t="shared" si="66"/>
        <v/>
      </c>
      <c r="GH4" s="48" t="str">
        <f t="shared" si="67"/>
        <v/>
      </c>
      <c r="GI4" s="48" t="str">
        <f t="shared" si="68"/>
        <v/>
      </c>
      <c r="GJ4" s="48" t="str">
        <f t="shared" si="69"/>
        <v/>
      </c>
      <c r="GK4" s="48" t="str">
        <f t="shared" si="70"/>
        <v>"HasSta",</v>
      </c>
      <c r="GL4" s="48" t="str">
        <f t="shared" si="4"/>
        <v/>
      </c>
      <c r="GM4" s="48" t="str">
        <f t="shared" si="4"/>
        <v/>
      </c>
      <c r="GN4" s="48" t="str">
        <f t="shared" si="4"/>
        <v>"3+Star",</v>
      </c>
      <c r="GP4" s="48" t="str">
        <f t="shared" si="71"/>
        <v>"Village"</v>
      </c>
      <c r="GS4" s="48" t="str">
        <f t="shared" si="72"/>
        <v>["5+Colo","lets07","startM","NoBand","Animal","Bird","Plants","Texted","staRED","staRED","NO_BLA","001BLU","002WHI","003BLU","myrBLU","HasSta","3+Star"]</v>
      </c>
      <c r="GT4" s="48" t="str">
        <f t="shared" si="5"/>
        <v/>
      </c>
      <c r="GU4" s="48" t="str">
        <f t="shared" si="5"/>
        <v>"cl_BLU",</v>
      </c>
      <c r="GV4" s="48" t="str">
        <f t="shared" si="5"/>
        <v>"cl_GRE",</v>
      </c>
      <c r="GW4" s="48" t="str">
        <f t="shared" si="5"/>
        <v>"cl_RED",</v>
      </c>
      <c r="GX4" s="48" t="str">
        <f t="shared" si="5"/>
        <v>"cl_YEL",</v>
      </c>
      <c r="GY4" s="48" t="str">
        <f t="shared" si="5"/>
        <v/>
      </c>
      <c r="GZ4" s="48" t="str">
        <f t="shared" si="5"/>
        <v/>
      </c>
      <c r="HA4" s="48" t="str">
        <f t="shared" si="5"/>
        <v/>
      </c>
      <c r="HB4" s="48" t="str">
        <f t="shared" si="5"/>
        <v>"cl_WHI",</v>
      </c>
      <c r="HC4" s="48" t="str">
        <f t="shared" si="73"/>
        <v>["cl_BLU","cl_GRE","cl_RED","cl_YEL","cl_WHI"]</v>
      </c>
      <c r="HE4" s="71"/>
      <c r="HF4" s="72" t="str">
        <f t="shared" si="74"/>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isnew:"www", links: "https://www.crwflags.com/fotw/flags/nu.html"},</v>
      </c>
      <c r="HG4" s="73" t="str">
        <f t="shared" si="75"/>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links: "https://www.crwflags.com/fotw/flags/nu.html"},</v>
      </c>
      <c r="HH4" s="48" t="str">
        <f t="shared" si="76"/>
        <v>"\nMutalau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v>
      </c>
      <c r="HI4" s="48" t="str">
        <f t="shared" si="77"/>
        <v>"\nMutalau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v>
      </c>
      <c r="HJ4" s="48" t="str">
        <f t="shared" si="78"/>
        <v>"???"</v>
      </c>
      <c r="HL4" s="48" t="str">
        <f t="shared" si="79"/>
        <v>"https://www.crwflags.com/fotw/flags/nu.html"</v>
      </c>
      <c r="HM4" s="72" t="str">
        <f t="shared" si="80"/>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 "www", "links": "https://www.crwflags.com/fotw/flags/nu.html"},</v>
      </c>
      <c r="HN4" s="74" t="str">
        <f t="shared" si="81"/>
        <v>{"couname":"[NIU] Mutalau","year":"???","region":"rgn_Oceania","Colors":["cl_BLU","cl_GRE","cl_RED","cl_YEL","cl_WHI"],"Items":["5+Colo","lets07","startM","NoBand","Animal","Bird","Plants","Texted","staRED","staRED","NO_BLA","001BLU","002WHI","003BLU","myrBLU","HasSta","3+Star"],"Flag":"https://www.fotw.info/images/n/nu_mutalau.jpg","HDFlag":"https://www.fotw.info/images/n/nu_mutalau.jpg","type":"Village", "describe": "\nMutalau is one of the fourteen villages of Niue./n/nThe name 'Mutalau Ululauta Matahefonua' is adopted by the Mutalau people in Auckland, New Zealand as the name for their trust called the Mutalau Ululauta Matahefonua Trust (MUMT)/n/nThe central big star represents Niue as stand alone nation in the wide Pacific ocean. The five stars represent the Southern Cross on the Niue flag which signifies its link to the Commonwealth. The torch and dove go hand in hand and both represent Mutalau as being the first village of Niue to receive the gospel. Navy blue is the official Mutalau colour.", "isnew": "www", "links": "https://www.crwflags.com/fotw/flags/nu.html"},</v>
      </c>
      <c r="HO4" s="75">
        <v>45610</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82"/>
        <v>-5</v>
      </c>
      <c r="IN4" s="78" t="str">
        <f t="shared" si="83"/>
        <v>http://mkweb.bcgsc.ca/color-summarizer/?url=https://www.fotw.info/images/n/nu_mutalau.jpg&amp;precision=low&amp;num_clusters=5&amp;text=1</v>
      </c>
      <c r="IO4" s="48" t="str">
        <f t="shared" si="84"/>
        <v/>
      </c>
      <c r="IP4" s="48" t="str">
        <f t="shared" si="85"/>
        <v>"blue"</v>
      </c>
      <c r="IQ4" s="48" t="str">
        <f t="shared" si="86"/>
        <v>"green"</v>
      </c>
      <c r="IR4" s="48" t="str">
        <f t="shared" si="87"/>
        <v>"red"</v>
      </c>
      <c r="IS4" s="48" t="str">
        <f t="shared" si="88"/>
        <v>"yellow"</v>
      </c>
      <c r="IT4" s="48" t="str">
        <f t="shared" si="89"/>
        <v/>
      </c>
      <c r="IU4" s="48" t="str">
        <f t="shared" si="90"/>
        <v/>
      </c>
      <c r="IV4" s="48" t="str">
        <f t="shared" si="91"/>
        <v/>
      </c>
      <c r="IW4" s="48" t="str">
        <f t="shared" si="92"/>
        <v>"white"</v>
      </c>
      <c r="IX4" s="48" t="str">
        <f t="shared" si="93"/>
        <v>{"url":"http://mkweb.bcgsc.ca/color-summarizer/?url=https://www.fotw.info/images/n/nu_mutalau.jpg&amp;precision=low&amp;num_clusters=5&amp;text=1","name":"[NIU] Mutalau"},</v>
      </c>
      <c r="IY4" s="48">
        <v>1240</v>
      </c>
    </row>
  </sheetData>
  <conditionalFormatting sqref="H1 CW1:GS1 IA1:IB1">
    <cfRule type="cellIs" dxfId="3870" priority="143" operator="greaterThan">
      <formula>0</formula>
    </cfRule>
  </conditionalFormatting>
  <conditionalFormatting sqref="H1">
    <cfRule type="cellIs" dxfId="3869" priority="109" stopIfTrue="1" operator="notEqual">
      <formula>""</formula>
    </cfRule>
  </conditionalFormatting>
  <conditionalFormatting sqref="T1:BK1">
    <cfRule type="cellIs" dxfId="3868" priority="146" operator="greaterThan">
      <formula>0</formula>
    </cfRule>
  </conditionalFormatting>
  <conditionalFormatting sqref="BV1:BW1">
    <cfRule type="cellIs" dxfId="3867" priority="145" operator="equal">
      <formula>"nc"</formula>
    </cfRule>
  </conditionalFormatting>
  <conditionalFormatting sqref="HF1:HG1">
    <cfRule type="cellIs" dxfId="3866" priority="147" operator="greaterThan">
      <formula>0</formula>
    </cfRule>
  </conditionalFormatting>
  <conditionalFormatting sqref="HK1">
    <cfRule type="cellIs" dxfId="3865" priority="144" operator="greaterThan">
      <formula>0</formula>
    </cfRule>
  </conditionalFormatting>
  <conditionalFormatting sqref="HP1:HX1">
    <cfRule type="cellIs" dxfId="3864" priority="121" operator="equal">
      <formula>"PIN"</formula>
    </cfRule>
    <cfRule type="cellIs" dxfId="3863" priority="122" operator="equal">
      <formula>"ORA"</formula>
    </cfRule>
    <cfRule type="cellIs" dxfId="3862" priority="123" operator="equal">
      <formula>"GRA"</formula>
    </cfRule>
    <cfRule type="cellIs" dxfId="3861" priority="124" operator="equal">
      <formula>"PUR"</formula>
    </cfRule>
    <cfRule type="cellIs" dxfId="3860" priority="125" operator="equal">
      <formula>"BRO"</formula>
    </cfRule>
    <cfRule type="cellIs" dxfId="3859" priority="126" operator="equal">
      <formula>"YEL"</formula>
    </cfRule>
    <cfRule type="cellIs" dxfId="3858" priority="127" operator="equal">
      <formula>"BLU"</formula>
    </cfRule>
    <cfRule type="cellIs" dxfId="3857" priority="128" operator="equal">
      <formula>"WHI"</formula>
    </cfRule>
    <cfRule type="cellIs" dxfId="3856" priority="129" operator="equal">
      <formula>"GRE"</formula>
    </cfRule>
    <cfRule type="cellIs" dxfId="3855" priority="130" operator="equal">
      <formula>"RED"</formula>
    </cfRule>
    <cfRule type="cellIs" dxfId="3854" priority="131" operator="equal">
      <formula>"BLA"</formula>
    </cfRule>
  </conditionalFormatting>
  <conditionalFormatting sqref="IC1:IK1">
    <cfRule type="cellIs" dxfId="3853" priority="132" operator="equal">
      <formula>"PIN"</formula>
    </cfRule>
    <cfRule type="cellIs" dxfId="3852" priority="133" operator="equal">
      <formula>"ORA"</formula>
    </cfRule>
    <cfRule type="cellIs" dxfId="3851" priority="134" operator="equal">
      <formula>"GRA"</formula>
    </cfRule>
    <cfRule type="cellIs" dxfId="3850" priority="135" operator="equal">
      <formula>"PUR"</formula>
    </cfRule>
    <cfRule type="cellIs" dxfId="3849" priority="136" operator="equal">
      <formula>"BRO"</formula>
    </cfRule>
    <cfRule type="cellIs" dxfId="3848" priority="137" operator="equal">
      <formula>"YEL"</formula>
    </cfRule>
    <cfRule type="cellIs" dxfId="3847" priority="138" operator="equal">
      <formula>"BLU"</formula>
    </cfRule>
    <cfRule type="cellIs" dxfId="3846" priority="139" operator="equal">
      <formula>"WHI"</formula>
    </cfRule>
    <cfRule type="cellIs" dxfId="3845" priority="140" operator="equal">
      <formula>"GRE"</formula>
    </cfRule>
    <cfRule type="cellIs" dxfId="3844" priority="141" operator="equal">
      <formula>"RED"</formula>
    </cfRule>
    <cfRule type="cellIs" dxfId="3843" priority="142" operator="equal">
      <formula>"BLA"</formula>
    </cfRule>
  </conditionalFormatting>
  <conditionalFormatting sqref="IO1:IW1">
    <cfRule type="cellIs" dxfId="3842" priority="110" operator="equal">
      <formula>"PIN"</formula>
    </cfRule>
    <cfRule type="cellIs" dxfId="3841" priority="111" operator="equal">
      <formula>"ORA"</formula>
    </cfRule>
    <cfRule type="cellIs" dxfId="3840" priority="112" operator="equal">
      <formula>"GRA"</formula>
    </cfRule>
    <cfRule type="cellIs" dxfId="3839" priority="113" operator="equal">
      <formula>"PUR"</formula>
    </cfRule>
    <cfRule type="cellIs" dxfId="3838" priority="114" operator="equal">
      <formula>"BRO"</formula>
    </cfRule>
    <cfRule type="cellIs" dxfId="3837" priority="115" operator="equal">
      <formula>"YEL"</formula>
    </cfRule>
    <cfRule type="cellIs" dxfId="3836" priority="116" operator="equal">
      <formula>"BLU"</formula>
    </cfRule>
    <cfRule type="cellIs" dxfId="3835" priority="117" operator="equal">
      <formula>"WHI"</formula>
    </cfRule>
    <cfRule type="cellIs" dxfId="3834" priority="118" operator="equal">
      <formula>"GRE"</formula>
    </cfRule>
    <cfRule type="cellIs" dxfId="3833" priority="119" operator="equal">
      <formula>"RED"</formula>
    </cfRule>
    <cfRule type="cellIs" dxfId="3832" priority="120" operator="equal">
      <formula>"BLA"</formula>
    </cfRule>
  </conditionalFormatting>
  <conditionalFormatting sqref="H2">
    <cfRule type="cellIs" dxfId="3831" priority="78" stopIfTrue="1" operator="notEqual">
      <formula>""</formula>
    </cfRule>
  </conditionalFormatting>
  <conditionalFormatting sqref="R2 CU2">
    <cfRule type="cellIs" dxfId="3830" priority="80" operator="greaterThan">
      <formula>0</formula>
    </cfRule>
  </conditionalFormatting>
  <conditionalFormatting sqref="T2:AS2 CH2:CS2">
    <cfRule type="cellIs" dxfId="3829" priority="75" stopIfTrue="1" operator="equal">
      <formula>"n"</formula>
    </cfRule>
    <cfRule type="cellIs" dxfId="3828" priority="76" stopIfTrue="1" operator="equal">
      <formula>"y"</formula>
    </cfRule>
    <cfRule type="cellIs" dxfId="3827" priority="77" operator="greaterThan">
      <formula>0</formula>
    </cfRule>
  </conditionalFormatting>
  <conditionalFormatting sqref="AZ2:BB2">
    <cfRule type="expression" dxfId="3826" priority="74">
      <formula>$AT2=0</formula>
    </cfRule>
  </conditionalFormatting>
  <conditionalFormatting sqref="AZ2:BU2">
    <cfRule type="cellIs" dxfId="3825" priority="83" operator="equal">
      <formula>"PIN"</formula>
    </cfRule>
    <cfRule type="cellIs" dxfId="3824" priority="84" operator="equal">
      <formula>"ORA"</formula>
    </cfRule>
    <cfRule type="cellIs" dxfId="3823" priority="85" operator="equal">
      <formula>"GRA"</formula>
    </cfRule>
    <cfRule type="cellIs" dxfId="3822" priority="86" operator="equal">
      <formula>"PUR"</formula>
    </cfRule>
    <cfRule type="cellIs" dxfId="3821" priority="87" operator="equal">
      <formula>"BRO"</formula>
    </cfRule>
    <cfRule type="cellIs" dxfId="3820" priority="88" operator="equal">
      <formula>"YEL"</formula>
    </cfRule>
    <cfRule type="cellIs" dxfId="3819" priority="89" operator="equal">
      <formula>"BLU"</formula>
    </cfRule>
    <cfRule type="cellIs" dxfId="3818" priority="90" operator="equal">
      <formula>"WHI"</formula>
    </cfRule>
    <cfRule type="cellIs" dxfId="3817" priority="91" operator="equal">
      <formula>"GRE"</formula>
    </cfRule>
    <cfRule type="cellIs" dxfId="3816" priority="92" operator="equal">
      <formula>"RED"</formula>
    </cfRule>
    <cfRule type="cellIs" dxfId="3815" priority="93" operator="equal">
      <formula>"BLA"</formula>
    </cfRule>
  </conditionalFormatting>
  <conditionalFormatting sqref="BV2">
    <cfRule type="cellIs" dxfId="3814" priority="105" operator="equal">
      <formula>"nc"</formula>
    </cfRule>
  </conditionalFormatting>
  <conditionalFormatting sqref="BX2:CA2 CD2:CF2">
    <cfRule type="cellIs" dxfId="3813" priority="79" operator="equal">
      <formula>"y"</formula>
    </cfRule>
    <cfRule type="cellIs" dxfId="3812" priority="94" operator="equal">
      <formula>"PIN"</formula>
    </cfRule>
    <cfRule type="cellIs" dxfId="3811" priority="95" operator="equal">
      <formula>"ORA"</formula>
    </cfRule>
    <cfRule type="cellIs" dxfId="3810" priority="96" operator="equal">
      <formula>"GRA"</formula>
    </cfRule>
    <cfRule type="cellIs" dxfId="3809" priority="97" operator="equal">
      <formula>"PUR"</formula>
    </cfRule>
    <cfRule type="cellIs" dxfId="3808" priority="98" operator="equal">
      <formula>"BRO"</formula>
    </cfRule>
    <cfRule type="cellIs" dxfId="3807" priority="99" operator="equal">
      <formula>"YEL"</formula>
    </cfRule>
    <cfRule type="cellIs" dxfId="3806" priority="100" operator="equal">
      <formula>"BLU"</formula>
    </cfRule>
    <cfRule type="cellIs" dxfId="3805" priority="101" operator="equal">
      <formula>"WHI"</formula>
    </cfRule>
    <cfRule type="cellIs" dxfId="3804" priority="102" operator="equal">
      <formula>"GRE"</formula>
    </cfRule>
    <cfRule type="cellIs" dxfId="3803" priority="103" operator="equal">
      <formula>"RED"</formula>
    </cfRule>
    <cfRule type="cellIs" dxfId="3802" priority="104" operator="equal">
      <formula>"BLA"</formula>
    </cfRule>
  </conditionalFormatting>
  <conditionalFormatting sqref="BZ2:CA2 CD2:CF2">
    <cfRule type="cellIs" dxfId="3801" priority="81" operator="greaterThan">
      <formula>0</formula>
    </cfRule>
  </conditionalFormatting>
  <conditionalFormatting sqref="IC2:IK2">
    <cfRule type="expression" dxfId="3800" priority="82">
      <formula>$IL2&gt;0</formula>
    </cfRule>
  </conditionalFormatting>
  <conditionalFormatting sqref="S2">
    <cfRule type="colorScale" priority="106">
      <colorScale>
        <cfvo type="min"/>
        <cfvo type="max"/>
        <color rgb="FFFCFCFF"/>
        <color rgb="FF754BFB"/>
      </colorScale>
    </cfRule>
  </conditionalFormatting>
  <conditionalFormatting sqref="AT2">
    <cfRule type="colorScale" priority="107">
      <colorScale>
        <cfvo type="min"/>
        <cfvo type="max"/>
        <color rgb="FFFCFCFF"/>
        <color theme="8" tint="0.39997558519241921"/>
      </colorScale>
    </cfRule>
  </conditionalFormatting>
  <conditionalFormatting sqref="CG2">
    <cfRule type="colorScale" priority="108">
      <colorScale>
        <cfvo type="min"/>
        <cfvo type="max"/>
        <color rgb="FFFCFCFF"/>
        <color rgb="FF63BE7B"/>
      </colorScale>
    </cfRule>
  </conditionalFormatting>
  <conditionalFormatting sqref="J2">
    <cfRule type="colorScale" priority="73">
      <colorScale>
        <cfvo type="min"/>
        <cfvo type="percentile" val="50"/>
        <cfvo type="max"/>
        <color rgb="FFF8696B"/>
        <color rgb="FFFFEB84"/>
        <color rgb="FF63BE7B"/>
      </colorScale>
    </cfRule>
  </conditionalFormatting>
  <conditionalFormatting sqref="H3">
    <cfRule type="cellIs" dxfId="2250" priority="41" stopIfTrue="1" operator="notEqual">
      <formula>""</formula>
    </cfRule>
  </conditionalFormatting>
  <conditionalFormatting sqref="R3 CU3">
    <cfRule type="cellIs" dxfId="2249" priority="43" operator="greaterThan">
      <formula>0</formula>
    </cfRule>
  </conditionalFormatting>
  <conditionalFormatting sqref="T3:AS3 CH3:CS3">
    <cfRule type="cellIs" dxfId="2248" priority="38" stopIfTrue="1" operator="equal">
      <formula>"n"</formula>
    </cfRule>
    <cfRule type="cellIs" dxfId="2247" priority="39" stopIfTrue="1" operator="equal">
      <formula>"y"</formula>
    </cfRule>
    <cfRule type="cellIs" dxfId="2246" priority="40" operator="greaterThan">
      <formula>0</formula>
    </cfRule>
  </conditionalFormatting>
  <conditionalFormatting sqref="AZ3:BB3">
    <cfRule type="expression" dxfId="2245" priority="37">
      <formula>$AT3=0</formula>
    </cfRule>
  </conditionalFormatting>
  <conditionalFormatting sqref="AZ3:BU3">
    <cfRule type="cellIs" dxfId="2244" priority="46" operator="equal">
      <formula>"PIN"</formula>
    </cfRule>
    <cfRule type="cellIs" dxfId="2243" priority="47" operator="equal">
      <formula>"ORA"</formula>
    </cfRule>
    <cfRule type="cellIs" dxfId="2242" priority="48" operator="equal">
      <formula>"GRA"</formula>
    </cfRule>
    <cfRule type="cellIs" dxfId="2241" priority="49" operator="equal">
      <formula>"PUR"</formula>
    </cfRule>
    <cfRule type="cellIs" dxfId="2240" priority="50" operator="equal">
      <formula>"BRO"</formula>
    </cfRule>
    <cfRule type="cellIs" dxfId="2239" priority="51" operator="equal">
      <formula>"YEL"</formula>
    </cfRule>
    <cfRule type="cellIs" dxfId="2238" priority="52" operator="equal">
      <formula>"BLU"</formula>
    </cfRule>
    <cfRule type="cellIs" dxfId="2237" priority="53" operator="equal">
      <formula>"WHI"</formula>
    </cfRule>
    <cfRule type="cellIs" dxfId="2236" priority="54" operator="equal">
      <formula>"GRE"</formula>
    </cfRule>
    <cfRule type="cellIs" dxfId="2235" priority="55" operator="equal">
      <formula>"RED"</formula>
    </cfRule>
    <cfRule type="cellIs" dxfId="2234" priority="56" operator="equal">
      <formula>"BLA"</formula>
    </cfRule>
  </conditionalFormatting>
  <conditionalFormatting sqref="BV3">
    <cfRule type="cellIs" dxfId="2233" priority="68" operator="equal">
      <formula>"nc"</formula>
    </cfRule>
  </conditionalFormatting>
  <conditionalFormatting sqref="BX3:CA3 CD3:CF3">
    <cfRule type="cellIs" dxfId="2232" priority="42" operator="equal">
      <formula>"y"</formula>
    </cfRule>
    <cfRule type="cellIs" dxfId="2231" priority="57" operator="equal">
      <formula>"PIN"</formula>
    </cfRule>
    <cfRule type="cellIs" dxfId="2230" priority="58" operator="equal">
      <formula>"ORA"</formula>
    </cfRule>
    <cfRule type="cellIs" dxfId="2229" priority="59" operator="equal">
      <formula>"GRA"</formula>
    </cfRule>
    <cfRule type="cellIs" dxfId="2228" priority="60" operator="equal">
      <formula>"PUR"</formula>
    </cfRule>
    <cfRule type="cellIs" dxfId="2227" priority="61" operator="equal">
      <formula>"BRO"</formula>
    </cfRule>
    <cfRule type="cellIs" dxfId="2226" priority="62" operator="equal">
      <formula>"YEL"</formula>
    </cfRule>
    <cfRule type="cellIs" dxfId="2225" priority="63" operator="equal">
      <formula>"BLU"</formula>
    </cfRule>
    <cfRule type="cellIs" dxfId="2224" priority="64" operator="equal">
      <formula>"WHI"</formula>
    </cfRule>
    <cfRule type="cellIs" dxfId="2223" priority="65" operator="equal">
      <formula>"GRE"</formula>
    </cfRule>
    <cfRule type="cellIs" dxfId="2222" priority="66" operator="equal">
      <formula>"RED"</formula>
    </cfRule>
    <cfRule type="cellIs" dxfId="2221" priority="67" operator="equal">
      <formula>"BLA"</formula>
    </cfRule>
  </conditionalFormatting>
  <conditionalFormatting sqref="BZ3:CA3 CD3:CF3">
    <cfRule type="cellIs" dxfId="2220" priority="44" operator="greaterThan">
      <formula>0</formula>
    </cfRule>
  </conditionalFormatting>
  <conditionalFormatting sqref="IC3:IK3">
    <cfRule type="expression" dxfId="2219" priority="45">
      <formula>$IL3&gt;0</formula>
    </cfRule>
  </conditionalFormatting>
  <conditionalFormatting sqref="J3">
    <cfRule type="colorScale" priority="69">
      <colorScale>
        <cfvo type="min"/>
        <cfvo type="percentile" val="50"/>
        <cfvo type="max"/>
        <color rgb="FFF8696B"/>
        <color rgb="FFFFEB84"/>
        <color rgb="FF63BE7B"/>
      </colorScale>
    </cfRule>
  </conditionalFormatting>
  <conditionalFormatting sqref="S3">
    <cfRule type="colorScale" priority="70">
      <colorScale>
        <cfvo type="min"/>
        <cfvo type="max"/>
        <color rgb="FFFCFCFF"/>
        <color rgb="FF754BFB"/>
      </colorScale>
    </cfRule>
  </conditionalFormatting>
  <conditionalFormatting sqref="AT3">
    <cfRule type="colorScale" priority="71">
      <colorScale>
        <cfvo type="min"/>
        <cfvo type="max"/>
        <color rgb="FFFCFCFF"/>
        <color theme="8" tint="0.39997558519241921"/>
      </colorScale>
    </cfRule>
  </conditionalFormatting>
  <conditionalFormatting sqref="CG3">
    <cfRule type="colorScale" priority="72">
      <colorScale>
        <cfvo type="min"/>
        <cfvo type="max"/>
        <color rgb="FFFCFCFF"/>
        <color rgb="FF63BE7B"/>
      </colorScale>
    </cfRule>
  </conditionalFormatting>
  <conditionalFormatting sqref="H4">
    <cfRule type="cellIs" dxfId="2218" priority="5" stopIfTrue="1" operator="notEqual">
      <formula>""</formula>
    </cfRule>
  </conditionalFormatting>
  <conditionalFormatting sqref="R4 CU4">
    <cfRule type="cellIs" dxfId="2217" priority="7" operator="greaterThan">
      <formula>0</formula>
    </cfRule>
  </conditionalFormatting>
  <conditionalFormatting sqref="T4:AS4 CH4:CS4">
    <cfRule type="cellIs" dxfId="2216" priority="2" stopIfTrue="1" operator="equal">
      <formula>"n"</formula>
    </cfRule>
    <cfRule type="cellIs" dxfId="2215" priority="3" stopIfTrue="1" operator="equal">
      <formula>"y"</formula>
    </cfRule>
    <cfRule type="cellIs" dxfId="2214" priority="4" operator="greaterThan">
      <formula>0</formula>
    </cfRule>
  </conditionalFormatting>
  <conditionalFormatting sqref="AZ4:BB4">
    <cfRule type="expression" dxfId="2213" priority="1">
      <formula>$AT4=0</formula>
    </cfRule>
  </conditionalFormatting>
  <conditionalFormatting sqref="AZ4:BU4">
    <cfRule type="cellIs" dxfId="2212" priority="10" operator="equal">
      <formula>"PIN"</formula>
    </cfRule>
    <cfRule type="cellIs" dxfId="2211" priority="11" operator="equal">
      <formula>"ORA"</formula>
    </cfRule>
    <cfRule type="cellIs" dxfId="2210" priority="12" operator="equal">
      <formula>"GRA"</formula>
    </cfRule>
    <cfRule type="cellIs" dxfId="2209" priority="13" operator="equal">
      <formula>"PUR"</formula>
    </cfRule>
    <cfRule type="cellIs" dxfId="2208" priority="14" operator="equal">
      <formula>"BRO"</formula>
    </cfRule>
    <cfRule type="cellIs" dxfId="2207" priority="15" operator="equal">
      <formula>"YEL"</formula>
    </cfRule>
    <cfRule type="cellIs" dxfId="2206" priority="16" operator="equal">
      <formula>"BLU"</formula>
    </cfRule>
    <cfRule type="cellIs" dxfId="2205" priority="17" operator="equal">
      <formula>"WHI"</formula>
    </cfRule>
    <cfRule type="cellIs" dxfId="2204" priority="18" operator="equal">
      <formula>"GRE"</formula>
    </cfRule>
    <cfRule type="cellIs" dxfId="2203" priority="19" operator="equal">
      <formula>"RED"</formula>
    </cfRule>
    <cfRule type="cellIs" dxfId="2202" priority="20" operator="equal">
      <formula>"BLA"</formula>
    </cfRule>
  </conditionalFormatting>
  <conditionalFormatting sqref="BV4">
    <cfRule type="cellIs" dxfId="2201" priority="32" operator="equal">
      <formula>"nc"</formula>
    </cfRule>
  </conditionalFormatting>
  <conditionalFormatting sqref="BX4:CA4 CD4:CF4">
    <cfRule type="cellIs" dxfId="2200" priority="6" operator="equal">
      <formula>"y"</formula>
    </cfRule>
    <cfRule type="cellIs" dxfId="2199" priority="21" operator="equal">
      <formula>"PIN"</formula>
    </cfRule>
    <cfRule type="cellIs" dxfId="2198" priority="22" operator="equal">
      <formula>"ORA"</formula>
    </cfRule>
    <cfRule type="cellIs" dxfId="2197" priority="23" operator="equal">
      <formula>"GRA"</formula>
    </cfRule>
    <cfRule type="cellIs" dxfId="2196" priority="24" operator="equal">
      <formula>"PUR"</formula>
    </cfRule>
    <cfRule type="cellIs" dxfId="2195" priority="25" operator="equal">
      <formula>"BRO"</formula>
    </cfRule>
    <cfRule type="cellIs" dxfId="2194" priority="26" operator="equal">
      <formula>"YEL"</formula>
    </cfRule>
    <cfRule type="cellIs" dxfId="2193" priority="27" operator="equal">
      <formula>"BLU"</formula>
    </cfRule>
    <cfRule type="cellIs" dxfId="2192" priority="28" operator="equal">
      <formula>"WHI"</formula>
    </cfRule>
    <cfRule type="cellIs" dxfId="2191" priority="29" operator="equal">
      <formula>"GRE"</formula>
    </cfRule>
    <cfRule type="cellIs" dxfId="2190" priority="30" operator="equal">
      <formula>"RED"</formula>
    </cfRule>
    <cfRule type="cellIs" dxfId="2189" priority="31" operator="equal">
      <formula>"BLA"</formula>
    </cfRule>
  </conditionalFormatting>
  <conditionalFormatting sqref="BZ4:CA4 CD4:CF4">
    <cfRule type="cellIs" dxfId="2188" priority="8" operator="greaterThan">
      <formula>0</formula>
    </cfRule>
  </conditionalFormatting>
  <conditionalFormatting sqref="IC4:IK4">
    <cfRule type="expression" dxfId="2187" priority="9">
      <formula>$IL4&gt;0</formula>
    </cfRule>
  </conditionalFormatting>
  <conditionalFormatting sqref="J4">
    <cfRule type="colorScale" priority="33">
      <colorScale>
        <cfvo type="min"/>
        <cfvo type="percentile" val="50"/>
        <cfvo type="max"/>
        <color rgb="FFF8696B"/>
        <color rgb="FFFFEB84"/>
        <color rgb="FF63BE7B"/>
      </colorScale>
    </cfRule>
  </conditionalFormatting>
  <conditionalFormatting sqref="S4">
    <cfRule type="colorScale" priority="34">
      <colorScale>
        <cfvo type="min"/>
        <cfvo type="max"/>
        <color rgb="FFFCFCFF"/>
        <color rgb="FF754BFB"/>
      </colorScale>
    </cfRule>
  </conditionalFormatting>
  <conditionalFormatting sqref="AT4">
    <cfRule type="colorScale" priority="35">
      <colorScale>
        <cfvo type="min"/>
        <cfvo type="max"/>
        <color rgb="FFFCFCFF"/>
        <color theme="8" tint="0.39997558519241921"/>
      </colorScale>
    </cfRule>
  </conditionalFormatting>
  <conditionalFormatting sqref="CG4">
    <cfRule type="colorScale" priority="36">
      <colorScale>
        <cfvo type="min"/>
        <cfvo type="max"/>
        <color rgb="FFFCFCFF"/>
        <color rgb="FF63BE7B"/>
      </colorScale>
    </cfRule>
  </conditionalFormatting>
  <hyperlinks>
    <hyperlink ref="I2" r:id="rId1" xr:uid="{21C9D88F-6B45-40D2-A111-B1EC6570B0A9}"/>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510BAC-EFEE-47E7-9930-4CDB2FCB6FF0}">
  <dimension ref="A1:IY2"/>
  <sheetViews>
    <sheetView zoomScale="70" zoomScaleNormal="70" workbookViewId="0">
      <selection activeCell="A2" sqref="A2:XFD2"/>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276</v>
      </c>
      <c r="B2" s="40" t="e" vm="86">
        <v>#VALUE!</v>
      </c>
      <c r="C2" s="41">
        <v>1</v>
      </c>
      <c r="D2" s="42" t="s">
        <v>277</v>
      </c>
      <c r="E2" s="43" t="s">
        <v>278</v>
      </c>
      <c r="F2" s="44" t="s">
        <v>166</v>
      </c>
      <c r="G2" s="45">
        <f>COUNTIF($A$1:$A$8302,A2)</f>
        <v>1</v>
      </c>
      <c r="H2" s="46"/>
      <c r="I2" s="47" t="s">
        <v>279</v>
      </c>
      <c r="J2" s="48" t="str">
        <f>""</f>
        <v/>
      </c>
      <c r="K2" s="49">
        <v>2169</v>
      </c>
      <c r="L2" s="50">
        <v>22562</v>
      </c>
      <c r="M2" s="50" t="s">
        <v>280</v>
      </c>
      <c r="N2" s="51" t="s">
        <v>169</v>
      </c>
      <c r="O2" s="52" t="s">
        <v>205</v>
      </c>
      <c r="P2" s="53" t="s">
        <v>281</v>
      </c>
      <c r="Q2" s="54">
        <v>2</v>
      </c>
      <c r="R2" s="55" t="s">
        <v>169</v>
      </c>
      <c r="S2" s="56">
        <v>3</v>
      </c>
      <c r="T2" s="57" t="s">
        <v>173</v>
      </c>
      <c r="U2" s="58" t="s">
        <v>173</v>
      </c>
      <c r="V2" s="58" t="s">
        <v>173</v>
      </c>
      <c r="W2" s="58" t="s">
        <v>172</v>
      </c>
      <c r="X2" s="58" t="s">
        <v>173</v>
      </c>
      <c r="Y2" s="58" t="s">
        <v>173</v>
      </c>
      <c r="Z2" s="58" t="s">
        <v>173</v>
      </c>
      <c r="AA2" s="58" t="s">
        <v>172</v>
      </c>
      <c r="AB2" s="58" t="s">
        <v>173</v>
      </c>
      <c r="AC2" s="58" t="s">
        <v>173</v>
      </c>
      <c r="AD2" s="58" t="s">
        <v>173</v>
      </c>
      <c r="AE2" s="58" t="s">
        <v>173</v>
      </c>
      <c r="AF2" s="59" t="s">
        <v>173</v>
      </c>
      <c r="AG2" s="59" t="s">
        <v>173</v>
      </c>
      <c r="AH2" s="59" t="s">
        <v>172</v>
      </c>
      <c r="AI2" s="59" t="s">
        <v>173</v>
      </c>
      <c r="AJ2" s="59" t="s">
        <v>173</v>
      </c>
      <c r="AK2" s="59" t="s">
        <v>173</v>
      </c>
      <c r="AL2" s="59" t="s">
        <v>173</v>
      </c>
      <c r="AM2" s="59" t="s">
        <v>173</v>
      </c>
      <c r="AN2" s="59" t="s">
        <v>173</v>
      </c>
      <c r="AO2" s="59" t="s">
        <v>173</v>
      </c>
      <c r="AP2" s="59" t="s">
        <v>173</v>
      </c>
      <c r="AQ2" s="59" t="s">
        <v>173</v>
      </c>
      <c r="AR2" s="59" t="s">
        <v>173</v>
      </c>
      <c r="AS2" s="59" t="s">
        <v>173</v>
      </c>
      <c r="AT2" s="60">
        <v>0</v>
      </c>
      <c r="AU2" s="59"/>
      <c r="AV2" s="59" t="str">
        <f>IF(LEFT(A2,1)="[",LEFT(A2,5)&amp;AU2&amp;A2,"")</f>
        <v/>
      </c>
      <c r="AW2" s="59" t="str">
        <f>C2&amp;H2&amp;A2</f>
        <v>1Norfolk Island</v>
      </c>
      <c r="AX2" s="61"/>
      <c r="AY2" s="61"/>
      <c r="AZ2" s="62"/>
      <c r="BA2" s="62"/>
      <c r="BB2" s="62"/>
      <c r="BC2" s="63"/>
      <c r="BD2" s="64" t="s">
        <v>159</v>
      </c>
      <c r="BE2" s="47"/>
      <c r="BF2" s="64"/>
      <c r="BG2" s="64"/>
      <c r="BH2" s="64"/>
      <c r="BI2" s="64"/>
      <c r="BJ2" s="64"/>
      <c r="BK2" s="47"/>
      <c r="BL2" s="64" t="s">
        <v>159</v>
      </c>
      <c r="BM2" s="64" t="s">
        <v>152</v>
      </c>
      <c r="BN2" s="64" t="s">
        <v>155</v>
      </c>
      <c r="BO2" s="64" t="s">
        <v>154</v>
      </c>
      <c r="BP2" s="64" t="s">
        <v>153</v>
      </c>
      <c r="BQ2" s="64"/>
      <c r="BR2" s="64"/>
      <c r="BS2" s="64"/>
      <c r="BT2" s="64"/>
      <c r="BU2" s="65"/>
      <c r="BV2" s="66"/>
      <c r="BW2" s="66">
        <v>0</v>
      </c>
      <c r="BX2" s="47"/>
      <c r="CB2" s="6"/>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n</v>
      </c>
      <c r="CM2" s="59" t="str">
        <f>IF(S2=2,"y","n")</f>
        <v>n</v>
      </c>
      <c r="CN2" s="59" t="str">
        <f>IF(S2=3,"y","n")</f>
        <v>y</v>
      </c>
      <c r="CO2" s="59" t="str">
        <f>IF(S2&gt;=4,"y","n")</f>
        <v>n</v>
      </c>
      <c r="CP2" s="59" t="str">
        <f>IF(AT2=0,"y","n")</f>
        <v>y</v>
      </c>
      <c r="CQ2" s="59" t="str">
        <f>IF(AT2=1,"y","n")</f>
        <v>n</v>
      </c>
      <c r="CR2" s="59" t="str">
        <f>IF(AT2=2,"y","n")</f>
        <v>n</v>
      </c>
      <c r="CS2" s="59" t="str">
        <f>IF(AT2&gt;=3,"y","n")</f>
        <v>n</v>
      </c>
      <c r="CT2" s="69" t="str">
        <f>CHAR(34)&amp;A2&amp;CHAR(34)</f>
        <v>"Norfolk Island"</v>
      </c>
      <c r="CU2" s="70" t="str">
        <f>CHAR(34)&amp;"rgn_"&amp;R2&amp;CHAR(34)</f>
        <v>"rgn_Oceania"</v>
      </c>
      <c r="CV2" s="48" t="str">
        <f>CHAR(34)&amp;D2&amp;CHAR(34)</f>
        <v>"https://upload.wikimedia.org/wikipedia/commons/thumb/4/48/Flag_of_Norfolk_Island.svg/383px-Flag_of_Norfolk_Island.svg.png"</v>
      </c>
      <c r="CW2" s="48" t="str">
        <f t="shared" ref="CW2:CZ2" si="0">IF(CH2="y",CHAR(34)&amp;CH$1&amp;CHAR(34)&amp;",","")</f>
        <v/>
      </c>
      <c r="CX2" s="48" t="str">
        <f t="shared" si="0"/>
        <v/>
      </c>
      <c r="CY2" s="48" t="str">
        <f t="shared" si="0"/>
        <v/>
      </c>
      <c r="CZ2" s="48" t="str">
        <f t="shared" si="0"/>
        <v>"5+Colo",</v>
      </c>
      <c r="DA2" s="48" t="str">
        <f>IF(Q2&gt;1,CHAR(34)&amp;"words2"&amp;CHAR(34)&amp;",","")</f>
        <v>"words2",</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"lets13",</v>
      </c>
      <c r="DE2" s="48" t="str">
        <f>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"allver",</v>
      </c>
      <c r="DT2" s="6" t="str">
        <f>IF(V2="y",IF(AND(W2="n",BY2&lt;&gt;"y"),CHAR(34)&amp;"allhor"&amp;CHAR(34)&amp;",",""),"")</f>
        <v/>
      </c>
      <c r="DU2" s="6" t="str">
        <f>IF(BY2="y",IF(AND(W2="n",V2="n"),CHAR(34)&amp;"alldia"&amp;CHAR(34)&amp;",",""),"")</f>
        <v/>
      </c>
      <c r="DW2" s="48" t="str">
        <f t="shared" ref="DW2:DZ2" si="1">IF(CL2="y",CHAR(34)&amp;CL$1&amp;CHAR(34)&amp;",","")</f>
        <v/>
      </c>
      <c r="DX2" s="48" t="str">
        <f t="shared" si="1"/>
        <v/>
      </c>
      <c r="DY2" s="48" t="str">
        <f t="shared" si="1"/>
        <v>"3Bands",</v>
      </c>
      <c r="DZ2" s="48" t="str">
        <f t="shared" si="1"/>
        <v/>
      </c>
      <c r="EA2" s="48" t="str">
        <f t="shared" ref="EA2:EE2" si="2">IF(T2="y",CHAR(34)&amp;T$1&amp;CHAR(34)&amp;",","")</f>
        <v/>
      </c>
      <c r="EB2" s="48" t="str">
        <f t="shared" si="2"/>
        <v/>
      </c>
      <c r="EC2" s="48" t="str">
        <f t="shared" si="2"/>
        <v/>
      </c>
      <c r="ED2" s="48" t="str">
        <f t="shared" si="2"/>
        <v>"Vertic",</v>
      </c>
      <c r="EE2" s="48" t="str">
        <f t="shared" si="2"/>
        <v/>
      </c>
      <c r="EF2" s="48" t="str">
        <f>IF(AND(Y2&lt;&gt;"n",Y2&lt;&gt;""),CHAR(34)&amp;Y$1&amp;CHAR(34)&amp;",","")</f>
        <v/>
      </c>
      <c r="EG2" s="48" t="str">
        <f t="shared" ref="EG2:EZ2" si="3">IF(Z2="y",CHAR(34)&amp;Z$1&amp;CHAR(34)&amp;",","")</f>
        <v/>
      </c>
      <c r="EH2" s="48" t="str">
        <f t="shared" si="3"/>
        <v>"Plants",</v>
      </c>
      <c r="EI2" s="48" t="str">
        <f t="shared" si="3"/>
        <v/>
      </c>
      <c r="EJ2" s="48" t="str">
        <f t="shared" si="3"/>
        <v/>
      </c>
      <c r="EK2" s="48" t="str">
        <f t="shared" si="3"/>
        <v/>
      </c>
      <c r="EL2" s="48" t="str">
        <f t="shared" si="3"/>
        <v/>
      </c>
      <c r="EM2" s="48" t="str">
        <f t="shared" si="3"/>
        <v/>
      </c>
      <c r="EN2" s="48" t="str">
        <f t="shared" si="3"/>
        <v/>
      </c>
      <c r="EO2" s="48" t="str">
        <f t="shared" si="3"/>
        <v>"Center",</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"myrWHI",</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2" si="4">IF(CQ2="y",CHAR(34)&amp;CQ$1&amp;CHAR(34)&amp;",","")</f>
        <v/>
      </c>
      <c r="GM2" s="48" t="str">
        <f t="shared" si="4"/>
        <v/>
      </c>
      <c r="GN2" s="48" t="str">
        <f t="shared" si="4"/>
        <v/>
      </c>
      <c r="GP2" s="48" t="str">
        <f>CHAR(34)&amp;AU2&amp;CHAR(34)</f>
        <v>""</v>
      </c>
      <c r="GS2" s="48" t="str">
        <f>SUBSTITUTE("["&amp;_xlfn.CONCAT(CW2:GN2)&amp;"]",",]","]")</f>
        <v>["5+Colo","words2","lets13","startN","year19","allver","3Bands","Vertic","Plants","Center","NO_BLA","myrWHI","NoStar"]</v>
      </c>
      <c r="GT2" s="48" t="str">
        <f t="shared" ref="GT2:HB2" si="5">IF(BL2&lt;&gt;"",CHAR(34)&amp;"cl_"&amp;BL2&amp;CHAR(34)&amp;",","")</f>
        <v>"cl_WHI",</v>
      </c>
      <c r="GU2" s="48" t="str">
        <f t="shared" si="5"/>
        <v>"cl_BLU",</v>
      </c>
      <c r="GV2" s="48" t="str">
        <f t="shared" si="5"/>
        <v>"cl_YEL",</v>
      </c>
      <c r="GW2" s="48" t="str">
        <f t="shared" si="5"/>
        <v>"cl_RED",</v>
      </c>
      <c r="GX2" s="48" t="str">
        <f t="shared" si="5"/>
        <v>"cl_GRE",</v>
      </c>
      <c r="GY2" s="48" t="str">
        <f t="shared" si="5"/>
        <v/>
      </c>
      <c r="GZ2" s="48" t="str">
        <f t="shared" si="5"/>
        <v/>
      </c>
      <c r="HA2" s="48" t="str">
        <f t="shared" si="5"/>
        <v/>
      </c>
      <c r="HB2" s="48" t="str">
        <f t="shared" si="5"/>
        <v/>
      </c>
      <c r="HC2" s="48" t="str">
        <f>SUBSTITUTE("["&amp;_xlfn.CONCAT(GT2:HB2)&amp;"]",",]","]")</f>
        <v>["cl_WHI","cl_BLU","cl_YEL","cl_RED","cl_GRE"]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links: "https://en.wikipedia.org/wiki/Flag_of_Norfolk_Island"},</v>
      </c>
      <c r="HG2" s="73" t="str">
        <f>"{couname:"&amp;CT2&amp;(IF(HK2&lt;&gt;"",",subtype:"&amp;CHAR(34)&amp;HK2&amp;CHAR(34),""))&amp;",year:"&amp;HJ2&amp;",region:"&amp;CU2&amp;",Colors:"&amp;HC2&amp;",Items:"&amp;GS2&amp;",Flag:"&amp;CV2&amp;",HDFlag:"&amp;CHAR(34)&amp;E2&amp;CHAR(34)&amp;",type:"&amp;GP2&amp;", describe: "&amp;HI2&amp;", links: "&amp;HL2&amp;"},"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links: "https://en.wikipedia.org/wiki/Flag_of_Norfolk_Island"},</v>
      </c>
      <c r="HH2" s="48" t="str">
        <f>IF(P2&lt;&gt;"",CHAR(34)&amp;"\n"&amp;P2&amp;CHAR(34),CHAR(34)&amp;CHAR(34))</f>
        <v>"\nThe green symbolises Norfolk Island's plentiful vegetation and fertile land. The Norfolk Island pine is native to the islands, and is the official tree of the territory."</v>
      </c>
      <c r="HI2" s="48" t="str">
        <f>IF(J2=0,CHAR(34)&amp;CHAR(34),HH2)</f>
        <v>"\nThe green symbolises Norfolk Island's plentiful vegetation and fertile land. The Norfolk Island pine is native to the islands, and is the official tree of the territory."</v>
      </c>
      <c r="HJ2" s="48" t="str">
        <f>CHAR(34)&amp;O2&amp;CHAR(34)</f>
        <v>"1979 "</v>
      </c>
      <c r="HL2" s="48" t="str">
        <f>CHAR(34)&amp;I2&amp;CHAR(34)</f>
        <v>"https://en.wikipedia.org/wiki/Flag_of_Norfolk_Island"</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 "links": "https://en.wikipedia.org/wiki/Flag_of_Norfolk_Island"},</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{"couname":"Norfolk Island","year":"1979 ","region":"rgn_Oceania","Colors":["cl_WHI","cl_BLU","cl_YEL","cl_RED","cl_GRE"],"Items":["5+Colo","words2","lets13","startN","year19","allver","3Bands","Vertic","Plants","Center","NO_BLA","myrWHI","NoStar"],"Flag":"https://upload.wikimedia.org/wikipedia/commons/thumb/4/48/Flag_of_Norfolk_Island.svg/383px-Flag_of_Norfolk_Island.svg.png","HDFlag":"https://upload.wikimedia.org/wikipedia/commons/thumb/4/48/Flag_of_Norfolk_Island.svg/2560px-Flag_of_Norfolk_Island.svg.png","type":"", "describe": "\nThe green symbolises Norfolk Island's plentiful vegetation and fertile land. The Norfolk Island pine is native to the islands, and is the official tree of the territory.", "isnew": ".", "links": "https://en.wikipedia.org/wiki/Flag_of_Norfolk_Island"},</v>
      </c>
      <c r="HO2" s="75">
        <v>45653</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-5</v>
      </c>
      <c r="IN2" s="78" t="str">
        <f>"http://mkweb.bcgsc.ca/color-summarizer/?url="&amp;D2&amp;"&amp;precision=low&amp;num_clusters="&amp;CG2&amp;"&amp;text=1"</f>
        <v>http://mkweb.bcgsc.ca/color-summarizer/?url=https://upload.wikimedia.org/wikipedia/commons/thumb/4/48/Flag_of_Norfolk_Island.svg/383px-Flag_of_Norfolk_Island.svg.png&amp;precision=low&amp;num_clusters=5&amp;text=1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{"url":"http://mkweb.bcgsc.ca/color-summarizer/?url=https://upload.wikimedia.org/wikipedia/commons/thumb/4/48/Flag_of_Norfolk_Island.svg/383px-Flag_of_Norfolk_Island.svg.png&amp;precision=low&amp;num_clusters=5&amp;text=1","name":"Norfolk Island"},</v>
      </c>
      <c r="IY2" s="48">
        <v>1503</v>
      </c>
    </row>
  </sheetData>
  <conditionalFormatting sqref="H1 CW1:GS1 IA1:IB1">
    <cfRule type="cellIs" dxfId="3799" priority="71" operator="greaterThan">
      <formula>0</formula>
    </cfRule>
  </conditionalFormatting>
  <conditionalFormatting sqref="H1">
    <cfRule type="cellIs" dxfId="3798" priority="37" stopIfTrue="1" operator="notEqual">
      <formula>""</formula>
    </cfRule>
  </conditionalFormatting>
  <conditionalFormatting sqref="T1:BK1">
    <cfRule type="cellIs" dxfId="3797" priority="74" operator="greaterThan">
      <formula>0</formula>
    </cfRule>
  </conditionalFormatting>
  <conditionalFormatting sqref="BV1:BW1">
    <cfRule type="cellIs" dxfId="3796" priority="73" operator="equal">
      <formula>"nc"</formula>
    </cfRule>
  </conditionalFormatting>
  <conditionalFormatting sqref="HF1:HG1">
    <cfRule type="cellIs" dxfId="3795" priority="75" operator="greaterThan">
      <formula>0</formula>
    </cfRule>
  </conditionalFormatting>
  <conditionalFormatting sqref="HK1">
    <cfRule type="cellIs" dxfId="3794" priority="72" operator="greaterThan">
      <formula>0</formula>
    </cfRule>
  </conditionalFormatting>
  <conditionalFormatting sqref="HP1:HX1">
    <cfRule type="cellIs" dxfId="3793" priority="49" operator="equal">
      <formula>"PIN"</formula>
    </cfRule>
    <cfRule type="cellIs" dxfId="3792" priority="50" operator="equal">
      <formula>"ORA"</formula>
    </cfRule>
    <cfRule type="cellIs" dxfId="3791" priority="51" operator="equal">
      <formula>"GRA"</formula>
    </cfRule>
    <cfRule type="cellIs" dxfId="3790" priority="52" operator="equal">
      <formula>"PUR"</formula>
    </cfRule>
    <cfRule type="cellIs" dxfId="3789" priority="53" operator="equal">
      <formula>"BRO"</formula>
    </cfRule>
    <cfRule type="cellIs" dxfId="3788" priority="54" operator="equal">
      <formula>"YEL"</formula>
    </cfRule>
    <cfRule type="cellIs" dxfId="3787" priority="55" operator="equal">
      <formula>"BLU"</formula>
    </cfRule>
    <cfRule type="cellIs" dxfId="3786" priority="56" operator="equal">
      <formula>"WHI"</formula>
    </cfRule>
    <cfRule type="cellIs" dxfId="3785" priority="57" operator="equal">
      <formula>"GRE"</formula>
    </cfRule>
    <cfRule type="cellIs" dxfId="3784" priority="58" operator="equal">
      <formula>"RED"</formula>
    </cfRule>
    <cfRule type="cellIs" dxfId="3783" priority="59" operator="equal">
      <formula>"BLA"</formula>
    </cfRule>
  </conditionalFormatting>
  <conditionalFormatting sqref="IC1:IK1">
    <cfRule type="cellIs" dxfId="3782" priority="60" operator="equal">
      <formula>"PIN"</formula>
    </cfRule>
    <cfRule type="cellIs" dxfId="3781" priority="61" operator="equal">
      <formula>"ORA"</formula>
    </cfRule>
    <cfRule type="cellIs" dxfId="3780" priority="62" operator="equal">
      <formula>"GRA"</formula>
    </cfRule>
    <cfRule type="cellIs" dxfId="3779" priority="63" operator="equal">
      <formula>"PUR"</formula>
    </cfRule>
    <cfRule type="cellIs" dxfId="3778" priority="64" operator="equal">
      <formula>"BRO"</formula>
    </cfRule>
    <cfRule type="cellIs" dxfId="3777" priority="65" operator="equal">
      <formula>"YEL"</formula>
    </cfRule>
    <cfRule type="cellIs" dxfId="3776" priority="66" operator="equal">
      <formula>"BLU"</formula>
    </cfRule>
    <cfRule type="cellIs" dxfId="3775" priority="67" operator="equal">
      <formula>"WHI"</formula>
    </cfRule>
    <cfRule type="cellIs" dxfId="3774" priority="68" operator="equal">
      <formula>"GRE"</formula>
    </cfRule>
    <cfRule type="cellIs" dxfId="3773" priority="69" operator="equal">
      <formula>"RED"</formula>
    </cfRule>
    <cfRule type="cellIs" dxfId="3772" priority="70" operator="equal">
      <formula>"BLA"</formula>
    </cfRule>
  </conditionalFormatting>
  <conditionalFormatting sqref="IO1:IW1">
    <cfRule type="cellIs" dxfId="3771" priority="38" operator="equal">
      <formula>"PIN"</formula>
    </cfRule>
    <cfRule type="cellIs" dxfId="3770" priority="39" operator="equal">
      <formula>"ORA"</formula>
    </cfRule>
    <cfRule type="cellIs" dxfId="3769" priority="40" operator="equal">
      <formula>"GRA"</formula>
    </cfRule>
    <cfRule type="cellIs" dxfId="3768" priority="41" operator="equal">
      <formula>"PUR"</formula>
    </cfRule>
    <cfRule type="cellIs" dxfId="3767" priority="42" operator="equal">
      <formula>"BRO"</formula>
    </cfRule>
    <cfRule type="cellIs" dxfId="3766" priority="43" operator="equal">
      <formula>"YEL"</formula>
    </cfRule>
    <cfRule type="cellIs" dxfId="3765" priority="44" operator="equal">
      <formula>"BLU"</formula>
    </cfRule>
    <cfRule type="cellIs" dxfId="3764" priority="45" operator="equal">
      <formula>"WHI"</formula>
    </cfRule>
    <cfRule type="cellIs" dxfId="3763" priority="46" operator="equal">
      <formula>"GRE"</formula>
    </cfRule>
    <cfRule type="cellIs" dxfId="3762" priority="47" operator="equal">
      <formula>"RED"</formula>
    </cfRule>
    <cfRule type="cellIs" dxfId="3761" priority="48" operator="equal">
      <formula>"BLA"</formula>
    </cfRule>
  </conditionalFormatting>
  <conditionalFormatting sqref="H2">
    <cfRule type="cellIs" dxfId="3760" priority="6" stopIfTrue="1" operator="notEqual">
      <formula>""</formula>
    </cfRule>
  </conditionalFormatting>
  <conditionalFormatting sqref="R2 CU2">
    <cfRule type="cellIs" dxfId="3759" priority="8" operator="greaterThan">
      <formula>0</formula>
    </cfRule>
  </conditionalFormatting>
  <conditionalFormatting sqref="T2:AS2 CH2:CS2">
    <cfRule type="cellIs" dxfId="3758" priority="3" stopIfTrue="1" operator="equal">
      <formula>"n"</formula>
    </cfRule>
    <cfRule type="cellIs" dxfId="3757" priority="4" stopIfTrue="1" operator="equal">
      <formula>"y"</formula>
    </cfRule>
    <cfRule type="cellIs" dxfId="3756" priority="5" operator="greaterThan">
      <formula>0</formula>
    </cfRule>
  </conditionalFormatting>
  <conditionalFormatting sqref="AZ2:BB2">
    <cfRule type="expression" dxfId="3755" priority="2">
      <formula>$AT2=0</formula>
    </cfRule>
  </conditionalFormatting>
  <conditionalFormatting sqref="AZ2:BU2">
    <cfRule type="cellIs" dxfId="3754" priority="11" operator="equal">
      <formula>"PIN"</formula>
    </cfRule>
    <cfRule type="cellIs" dxfId="3753" priority="12" operator="equal">
      <formula>"ORA"</formula>
    </cfRule>
    <cfRule type="cellIs" dxfId="3752" priority="13" operator="equal">
      <formula>"GRA"</formula>
    </cfRule>
    <cfRule type="cellIs" dxfId="3751" priority="14" operator="equal">
      <formula>"PUR"</formula>
    </cfRule>
    <cfRule type="cellIs" dxfId="3750" priority="15" operator="equal">
      <formula>"BRO"</formula>
    </cfRule>
    <cfRule type="cellIs" dxfId="3749" priority="16" operator="equal">
      <formula>"YEL"</formula>
    </cfRule>
    <cfRule type="cellIs" dxfId="3748" priority="17" operator="equal">
      <formula>"BLU"</formula>
    </cfRule>
    <cfRule type="cellIs" dxfId="3747" priority="18" operator="equal">
      <formula>"WHI"</formula>
    </cfRule>
    <cfRule type="cellIs" dxfId="3746" priority="19" operator="equal">
      <formula>"GRE"</formula>
    </cfRule>
    <cfRule type="cellIs" dxfId="3745" priority="20" operator="equal">
      <formula>"RED"</formula>
    </cfRule>
    <cfRule type="cellIs" dxfId="3744" priority="21" operator="equal">
      <formula>"BLA"</formula>
    </cfRule>
  </conditionalFormatting>
  <conditionalFormatting sqref="BV2:BW2">
    <cfRule type="cellIs" dxfId="3743" priority="33" operator="equal">
      <formula>"nc"</formula>
    </cfRule>
  </conditionalFormatting>
  <conditionalFormatting sqref="BX2:CA2 CD2:CF2">
    <cfRule type="cellIs" dxfId="3742" priority="7" operator="equal">
      <formula>"y"</formula>
    </cfRule>
    <cfRule type="cellIs" dxfId="3741" priority="22" operator="equal">
      <formula>"PIN"</formula>
    </cfRule>
    <cfRule type="cellIs" dxfId="3740" priority="23" operator="equal">
      <formula>"ORA"</formula>
    </cfRule>
    <cfRule type="cellIs" dxfId="3739" priority="24" operator="equal">
      <formula>"GRA"</formula>
    </cfRule>
    <cfRule type="cellIs" dxfId="3738" priority="25" operator="equal">
      <formula>"PUR"</formula>
    </cfRule>
    <cfRule type="cellIs" dxfId="3737" priority="26" operator="equal">
      <formula>"BRO"</formula>
    </cfRule>
    <cfRule type="cellIs" dxfId="3736" priority="27" operator="equal">
      <formula>"YEL"</formula>
    </cfRule>
    <cfRule type="cellIs" dxfId="3735" priority="28" operator="equal">
      <formula>"BLU"</formula>
    </cfRule>
    <cfRule type="cellIs" dxfId="3734" priority="29" operator="equal">
      <formula>"WHI"</formula>
    </cfRule>
    <cfRule type="cellIs" dxfId="3733" priority="30" operator="equal">
      <formula>"GRE"</formula>
    </cfRule>
    <cfRule type="cellIs" dxfId="3732" priority="31" operator="equal">
      <formula>"RED"</formula>
    </cfRule>
    <cfRule type="cellIs" dxfId="3731" priority="32" operator="equal">
      <formula>"BLA"</formula>
    </cfRule>
  </conditionalFormatting>
  <conditionalFormatting sqref="BZ2:CA2 CD2:CF2">
    <cfRule type="cellIs" dxfId="3730" priority="9" operator="greaterThan">
      <formula>0</formula>
    </cfRule>
  </conditionalFormatting>
  <conditionalFormatting sqref="IC2:IK2">
    <cfRule type="expression" dxfId="3729" priority="10">
      <formula>$IL2&gt;0</formula>
    </cfRule>
  </conditionalFormatting>
  <conditionalFormatting sqref="S2">
    <cfRule type="colorScale" priority="34">
      <colorScale>
        <cfvo type="min"/>
        <cfvo type="max"/>
        <color rgb="FFFCFCFF"/>
        <color rgb="FF754BFB"/>
      </colorScale>
    </cfRule>
  </conditionalFormatting>
  <conditionalFormatting sqref="AT2">
    <cfRule type="colorScale" priority="35">
      <colorScale>
        <cfvo type="min"/>
        <cfvo type="max"/>
        <color rgb="FFFCFCFF"/>
        <color theme="8" tint="0.39997558519241921"/>
      </colorScale>
    </cfRule>
  </conditionalFormatting>
  <conditionalFormatting sqref="CG2">
    <cfRule type="colorScale" priority="36">
      <colorScale>
        <cfvo type="min"/>
        <cfvo type="max"/>
        <color rgb="FFFCFCFF"/>
        <color rgb="FF63BE7B"/>
      </colorScale>
    </cfRule>
  </conditionalFormatting>
  <conditionalFormatting sqref="J2">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335B4-E4A0-428B-899C-EE7FDAD9E3CC}">
  <dimension ref="A1:IY4"/>
  <sheetViews>
    <sheetView zoomScale="70" zoomScaleNormal="70" workbookViewId="0">
      <selection activeCell="A4" sqref="A4:XFD4"/>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282</v>
      </c>
      <c r="B2" s="40" t="e" vm="87">
        <v>#VALUE!</v>
      </c>
      <c r="C2" s="41">
        <v>1</v>
      </c>
      <c r="D2" s="42" t="s">
        <v>283</v>
      </c>
      <c r="E2" s="43" t="s">
        <v>284</v>
      </c>
      <c r="F2" s="44" t="s">
        <v>166</v>
      </c>
      <c r="G2" s="45">
        <f>COUNTIF($A$1:$A$8229,A2)</f>
        <v>1</v>
      </c>
      <c r="H2" s="46"/>
      <c r="I2" s="47" t="s">
        <v>285</v>
      </c>
      <c r="J2" s="48" t="str">
        <f>""</f>
        <v/>
      </c>
      <c r="K2" s="49">
        <v>49551</v>
      </c>
      <c r="L2" s="50">
        <v>12686</v>
      </c>
      <c r="M2" s="50" t="s">
        <v>286</v>
      </c>
      <c r="N2" s="51" t="s">
        <v>169</v>
      </c>
      <c r="O2" s="52" t="s">
        <v>287</v>
      </c>
      <c r="P2" s="53" t="s">
        <v>288</v>
      </c>
      <c r="Q2" s="54">
        <v>3</v>
      </c>
      <c r="R2" s="55" t="s">
        <v>169</v>
      </c>
      <c r="S2" s="56">
        <v>0</v>
      </c>
      <c r="T2" s="57" t="s">
        <v>173</v>
      </c>
      <c r="U2" s="58" t="s">
        <v>173</v>
      </c>
      <c r="V2" s="58" t="s">
        <v>173</v>
      </c>
      <c r="W2" s="58" t="s">
        <v>173</v>
      </c>
      <c r="X2" s="58" t="s">
        <v>172</v>
      </c>
      <c r="Y2" s="58" t="s">
        <v>173</v>
      </c>
      <c r="Z2" s="58" t="s">
        <v>173</v>
      </c>
      <c r="AA2" s="58" t="s">
        <v>172</v>
      </c>
      <c r="AB2" s="58" t="s">
        <v>173</v>
      </c>
      <c r="AC2" s="58" t="s">
        <v>173</v>
      </c>
      <c r="AD2" s="58" t="s">
        <v>173</v>
      </c>
      <c r="AE2" s="58" t="s">
        <v>173</v>
      </c>
      <c r="AF2" s="59" t="s">
        <v>173</v>
      </c>
      <c r="AG2" s="59" t="s">
        <v>173</v>
      </c>
      <c r="AH2" s="59" t="s">
        <v>172</v>
      </c>
      <c r="AI2" s="59" t="s">
        <v>173</v>
      </c>
      <c r="AJ2" s="59" t="s">
        <v>173</v>
      </c>
      <c r="AK2" s="59" t="s">
        <v>173</v>
      </c>
      <c r="AL2" s="59" t="s">
        <v>172</v>
      </c>
      <c r="AM2" s="59" t="s">
        <v>173</v>
      </c>
      <c r="AN2" s="59" t="s">
        <v>173</v>
      </c>
      <c r="AO2" s="59" t="s">
        <v>173</v>
      </c>
      <c r="AP2" s="59" t="s">
        <v>173</v>
      </c>
      <c r="AQ2" s="59" t="s">
        <v>173</v>
      </c>
      <c r="AR2" s="59" t="s">
        <v>173</v>
      </c>
      <c r="AS2" s="59" t="s">
        <v>173</v>
      </c>
      <c r="AT2" s="60">
        <v>1</v>
      </c>
      <c r="AU2" s="59"/>
      <c r="AV2" s="59" t="str">
        <f>IF(LEFT(A2,1)="[",LEFT(A2,5)&amp;AU2&amp;A2,"")</f>
        <v/>
      </c>
      <c r="AW2" s="59" t="str">
        <f>C2&amp;H2&amp;A2</f>
        <v>1Northern Mariana Islands</v>
      </c>
      <c r="AX2" s="61" t="str">
        <f>_xlfn.TEXTJOIN(";",TRUE,AU2:AW2)</f>
        <v>1Northern Mariana Islands</v>
      </c>
      <c r="AY2" s="61" t="s">
        <v>172</v>
      </c>
      <c r="AZ2" s="62" t="s">
        <v>159</v>
      </c>
      <c r="BA2" s="62"/>
      <c r="BB2" s="62"/>
      <c r="BC2" s="63"/>
      <c r="BD2" s="64" t="s">
        <v>152</v>
      </c>
      <c r="BE2" s="47"/>
      <c r="BF2" s="64"/>
      <c r="BG2" s="64"/>
      <c r="BH2" s="64"/>
      <c r="BI2" s="64"/>
      <c r="BJ2" s="64"/>
      <c r="BK2" s="47"/>
      <c r="BL2" s="64" t="s">
        <v>152</v>
      </c>
      <c r="BM2" s="64" t="s">
        <v>159</v>
      </c>
      <c r="BN2" s="64" t="s">
        <v>154</v>
      </c>
      <c r="BO2" s="64"/>
      <c r="BP2" s="64"/>
      <c r="BQ2" s="64"/>
      <c r="BR2" s="64"/>
      <c r="BS2" s="64"/>
      <c r="BT2" s="64"/>
      <c r="BU2" s="65" t="s">
        <v>172</v>
      </c>
      <c r="BV2" s="66" t="s">
        <v>183</v>
      </c>
      <c r="BW2" s="66" t="s">
        <v>174</v>
      </c>
      <c r="BX2" s="47"/>
      <c r="CB2" s="6" t="s">
        <v>289</v>
      </c>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y</v>
      </c>
      <c r="CM2" s="59" t="str">
        <f>IF(S2=2,"y","n")</f>
        <v>n</v>
      </c>
      <c r="CN2" s="59" t="str">
        <f>IF(S2=3,"y","n")</f>
        <v>n</v>
      </c>
      <c r="CO2" s="59" t="str">
        <f>IF(S2&gt;=4,"y","n")</f>
        <v>n</v>
      </c>
      <c r="CP2" s="59" t="str">
        <f>IF(AT2=0,"y","n")</f>
        <v>n</v>
      </c>
      <c r="CQ2" s="59" t="str">
        <f>IF(AT2=1,"y","n")</f>
        <v>y</v>
      </c>
      <c r="CR2" s="59" t="str">
        <f>IF(AT2=2,"y","n")</f>
        <v>n</v>
      </c>
      <c r="CS2" s="59" t="str">
        <f>IF(AT2&gt;=3,"y","n")</f>
        <v>n</v>
      </c>
      <c r="CT2" s="69" t="str">
        <f>CHAR(34)&amp;A2&amp;CHAR(34)</f>
        <v>"Northern Mariana Islands"</v>
      </c>
      <c r="CU2" s="70" t="str">
        <f>CHAR(34)&amp;"rgn_"&amp;R2&amp;CHAR(34)</f>
        <v>"rgn_Oceania"</v>
      </c>
      <c r="CV2" s="48" t="str">
        <f>CHAR(34)&amp;D2&amp;CHAR(34)</f>
        <v>"https://upload.wikimedia.org/wikipedia/commons/thumb/e/e0/Flag_of_the_Northern_Mariana_Islands.svg/1200px-Flag_of_the_Northern_Mariana_Islands.svg.png"</v>
      </c>
      <c r="CW2" s="48" t="str">
        <f t="shared" ref="CW2:CZ4" si="0">IF(CH2="y",CHAR(34)&amp;CH$1&amp;CHAR(34)&amp;",","")</f>
        <v/>
      </c>
      <c r="CX2" s="48" t="str">
        <f t="shared" si="0"/>
        <v>"3Color",</v>
      </c>
      <c r="CY2" s="48" t="str">
        <f t="shared" si="0"/>
        <v/>
      </c>
      <c r="CZ2" s="48" t="str">
        <f t="shared" si="0"/>
        <v/>
      </c>
      <c r="DA2" s="48" t="str">
        <f>IF(Q2&gt;1,CHAR(34)&amp;"words2"&amp;CHAR(34)&amp;",","")</f>
        <v>"words2",</v>
      </c>
      <c r="DB2" s="48" t="str">
        <f>IF(Q2&gt;2,CHAR(34)&amp;"words3"&amp;CHAR(34)&amp;",","")</f>
        <v>"words3",</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"lets22",</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"startN",</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 t="shared" ref="DW2:DZ4" si="1">IF(CL2="y",CHAR(34)&amp;CL$1&amp;CHAR(34)&amp;",","")</f>
        <v>"NoBand",</v>
      </c>
      <c r="DX2" s="48" t="str">
        <f t="shared" si="1"/>
        <v/>
      </c>
      <c r="DY2" s="48" t="str">
        <f t="shared" si="1"/>
        <v/>
      </c>
      <c r="DZ2" s="48" t="str">
        <f t="shared" si="1"/>
        <v/>
      </c>
      <c r="EA2" s="48" t="str">
        <f t="shared" ref="EA2:EE4" si="2">IF(T2="y",CHAR(34)&amp;T$1&amp;CHAR(34)&amp;",","")</f>
        <v/>
      </c>
      <c r="EB2" s="48" t="str">
        <f t="shared" si="2"/>
        <v/>
      </c>
      <c r="EC2" s="48" t="str">
        <f t="shared" si="2"/>
        <v/>
      </c>
      <c r="ED2" s="48" t="str">
        <f t="shared" si="2"/>
        <v/>
      </c>
      <c r="EE2" s="48" t="str">
        <f t="shared" si="2"/>
        <v>"Circle",</v>
      </c>
      <c r="EF2" s="48" t="str">
        <f>IF(AND(Y2&lt;&gt;"n",Y2&lt;&gt;""),CHAR(34)&amp;Y$1&amp;CHAR(34)&amp;",","")</f>
        <v/>
      </c>
      <c r="EG2" s="48" t="str">
        <f t="shared" ref="EG2:EZ4" si="3">IF(Z2="y",CHAR(34)&amp;Z$1&amp;CHAR(34)&amp;",","")</f>
        <v/>
      </c>
      <c r="EH2" s="48" t="str">
        <f t="shared" si="3"/>
        <v>"Plants",</v>
      </c>
      <c r="EI2" s="48" t="str">
        <f t="shared" si="3"/>
        <v/>
      </c>
      <c r="EJ2" s="48" t="str">
        <f t="shared" si="3"/>
        <v/>
      </c>
      <c r="EK2" s="48" t="str">
        <f t="shared" si="3"/>
        <v/>
      </c>
      <c r="EL2" s="48" t="str">
        <f t="shared" si="3"/>
        <v/>
      </c>
      <c r="EM2" s="48" t="str">
        <f t="shared" si="3"/>
        <v/>
      </c>
      <c r="EN2" s="48" t="str">
        <f t="shared" si="3"/>
        <v/>
      </c>
      <c r="EO2" s="48" t="str">
        <f t="shared" si="3"/>
        <v>"Center",</v>
      </c>
      <c r="EP2" s="48" t="str">
        <f t="shared" si="3"/>
        <v/>
      </c>
      <c r="EQ2" s="48" t="str">
        <f t="shared" si="3"/>
        <v/>
      </c>
      <c r="ER2" s="48" t="str">
        <f t="shared" si="3"/>
        <v/>
      </c>
      <c r="ES2" s="48" t="str">
        <f t="shared" si="3"/>
        <v>"Wavess",</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"staWHI",</v>
      </c>
      <c r="FB2" s="48" t="str">
        <f>IF(AND(AT2&gt;0,BA2&lt;&gt;""),CHAR(34)&amp;"sta"&amp;BA2&amp;CHAR(34)&amp;",","")</f>
        <v/>
      </c>
      <c r="FC2" s="48" t="str">
        <f>IF(AND(AT2&gt;0,BB2&lt;&gt;""),CHAR(34)&amp;"sta"&amp;BB2&amp;CHAR(34)&amp;",","")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
      </c>
      <c r="GK2" s="48" t="str">
        <f>IF(GJ2="",CHAR(34)&amp;"HasSta"&amp;CHAR(34)&amp;",","")</f>
        <v>"HasSta",</v>
      </c>
      <c r="GL2" s="48" t="str">
        <f t="shared" ref="GL2:GN4" si="4">IF(CQ2="y",CHAR(34)&amp;CQ$1&amp;CHAR(34)&amp;",","")</f>
        <v>"1Stars",</v>
      </c>
      <c r="GM2" s="48" t="str">
        <f t="shared" si="4"/>
        <v/>
      </c>
      <c r="GN2" s="48" t="str">
        <f t="shared" si="4"/>
        <v/>
      </c>
      <c r="GP2" s="48" t="str">
        <f>CHAR(34)&amp;AU2&amp;CHAR(34)</f>
        <v>""</v>
      </c>
      <c r="GS2" s="48" t="str">
        <f>SUBSTITUTE("["&amp;_xlfn.CONCAT(CW2:GN2)&amp;"]",",]","]")</f>
        <v>["3Color","words2","words3","lets22","startN","LUEDHI","year19","smallc","NoBand","Circle","Plants","Center","Wavess","staWHI","NO_GRE","NO_YEL","NO_BLA","myrBLU","island","englis","unjack","HasSta","1Stars"]</v>
      </c>
      <c r="GT2" s="48" t="str">
        <f t="shared" ref="GT2:HB4" si="5">IF(BL2&lt;&gt;"",CHAR(34)&amp;"cl_"&amp;BL2&amp;CHAR(34)&amp;",","")</f>
        <v>"cl_BLU",</v>
      </c>
      <c r="GU2" s="48" t="str">
        <f t="shared" si="5"/>
        <v>"cl_WHI",</v>
      </c>
      <c r="GV2" s="48" t="str">
        <f t="shared" si="5"/>
        <v>"cl_RED",</v>
      </c>
      <c r="GW2" s="48" t="str">
        <f t="shared" si="5"/>
        <v/>
      </c>
      <c r="GX2" s="48" t="str">
        <f t="shared" si="5"/>
        <v/>
      </c>
      <c r="GY2" s="48" t="str">
        <f t="shared" si="5"/>
        <v/>
      </c>
      <c r="GZ2" s="48" t="str">
        <f t="shared" si="5"/>
        <v/>
      </c>
      <c r="HA2" s="48" t="str">
        <f t="shared" si="5"/>
        <v/>
      </c>
      <c r="HB2" s="48" t="str">
        <f t="shared" si="5"/>
        <v/>
      </c>
      <c r="HC2" s="48" t="str">
        <f>SUBSTITUTE("["&amp;_xlfn.CONCAT(GT2:HB2)&amp;"]",",]","]")</f>
        <v>["cl_BLU","cl_WHI","cl_RED"]</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links: "https://en.wikipedia.org/wiki/Flag_of_the_Northern_Mariana_Islands"},</v>
      </c>
      <c r="HG2" s="73" t="str">
        <f>"{couname:"&amp;CT2&amp;(IF(HK2&lt;&gt;"",",subtype:"&amp;CHAR(34)&amp;HK2&amp;CHAR(34),""))&amp;",year:"&amp;HJ2&amp;",region:"&amp;CU2&amp;",Colors:"&amp;HC2&amp;",Items:"&amp;GS2&amp;",Flag:"&amp;CV2&amp;",HDFlag:"&amp;CHAR(34)&amp;E2&amp;CHAR(34)&amp;",type:"&amp;GP2&amp;", describe: "&amp;HI2&amp;", links: "&amp;HL2&amp;"},"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links: "https://en.wikipedia.org/wiki/Flag_of_the_Northern_Mariana_Islands"},</v>
      </c>
      <c r="HH2" s="48" t="str">
        <f>IF(P2&lt;&gt;"",CHAR(34)&amp;"\n"&amp;P2&amp;CHAR(34),CHAR(34)&amp;CHAR(34))</f>
        <v>"\nThe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v>
      </c>
      <c r="HI2" s="48" t="str">
        <f>IF(J2=0,CHAR(34)&amp;CHAR(34),HH2)</f>
        <v>"\nThe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v>
      </c>
      <c r="HJ2" s="48" t="str">
        <f>CHAR(34)&amp;O2&amp;CHAR(34)</f>
        <v>"1985 "</v>
      </c>
      <c r="HL2" s="48" t="str">
        <f>CHAR(34)&amp;I2&amp;CHAR(34)</f>
        <v>"https://en.wikipedia.org/wiki/Flag_of_the_Northern_Mariana_Islands"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 "links": "https://en.wikipedia.org/wiki/Flag_of_the_Northern_Mariana_Islands"},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{"couname":"Northern Mariana Islands","year":"1985 ","region":"rgn_Oceania","Colors":["cl_BLU","cl_WHI","cl_RED"],"Items":["3Color","words2","words3","lets22","startN","LUEDHI","year19","smallc","NoBand","Circle","Plants","Center","Wavess","staWHI","NO_GRE","NO_YEL","NO_BLA","myrBLU","island","englis","unjack","HasSta","1Stars"],"Flag":"https://upload.wikimedia.org/wikipedia/commons/thumb/e/e0/Flag_of_the_Northern_Mariana_Islands.svg/1200px-Flag_of_the_Northern_Mariana_Islands.svg.png","HDFlag":"https://upload.wikimedia.org/wikipedia/commons/thumb/e/e0/Flag_of_the_Northern_Mariana_Islands.svg/2560px-Flag_of_the_Northern_Mariana_Islands.svg.png","type":"", "describe": "\nThe flag consists of three symbols: a white star representing the United States, a gray latte stone representing the Chamorro people, and a multi-colored mwarmwar (floral wreath) representing the Carolinians. The mwarmwar is made from the green ylang-ylang (langilang; Cananga odorata), the white plumeria (flores mayo or seyúr; Plumeria alba), the red peacock flower (angagha; Caesalpinia pulcherrima), and the pink Pacific basil (teibwo; Ocimum tenuiflorum). Its dark blue background represents the Pacific Ocean and the Mariana Trench.", "isnew": ".", "links": "https://en.wikipedia.org/wiki/Flag_of_the_Northern_Mariana_Islands"},</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t="s">
        <v>173</v>
      </c>
      <c r="IC2" s="77"/>
      <c r="ID2" s="77"/>
      <c r="IE2" s="77"/>
      <c r="IF2" s="77"/>
      <c r="IG2" s="77"/>
      <c r="IH2" s="77"/>
      <c r="II2" s="77"/>
      <c r="IJ2" s="77"/>
      <c r="IK2" s="77"/>
      <c r="IL2" s="48">
        <f>SUM(IC2:IK2)</f>
        <v>0</v>
      </c>
      <c r="IM2" s="45">
        <f>COUNTIF(IC2:IK2,"&gt;0")-CG2</f>
        <v>-3</v>
      </c>
      <c r="IN2" s="78" t="str">
        <f>"http://mkweb.bcgsc.ca/color-summarizer/?url="&amp;D2&amp;"&amp;precision=low&amp;num_clusters="&amp;CG2&amp;"&amp;text=1"</f>
        <v>http://mkweb.bcgsc.ca/color-summarizer/?url=https://upload.wikimedia.org/wikipedia/commons/thumb/e/e0/Flag_of_the_Northern_Mariana_Islands.svg/1200px-Flag_of_the_Northern_Mariana_Islands.svg.png&amp;precision=low&amp;num_clusters=3&amp;text=1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{"url":"http://mkweb.bcgsc.ca/color-summarizer/?url=https://upload.wikimedia.org/wikipedia/commons/thumb/e/e0/Flag_of_the_Northern_Mariana_Islands.svg/1200px-Flag_of_the_Northern_Mariana_Islands.svg.png&amp;precision=low&amp;num_clusters=3&amp;text=1","name":"Northern Mariana Islands"},</v>
      </c>
      <c r="IY2" s="48">
        <v>52</v>
      </c>
    </row>
    <row r="3" spans="1:259" s="48" customFormat="1" ht="38.4" customHeight="1" thickBot="1" x14ac:dyDescent="0.35">
      <c r="A3" s="81" t="s">
        <v>776</v>
      </c>
      <c r="B3" s="40" t="e" vm="88">
        <v>#VALUE!</v>
      </c>
      <c r="C3" s="41">
        <v>3</v>
      </c>
      <c r="D3" s="42" t="s">
        <v>777</v>
      </c>
      <c r="E3" s="43" t="s">
        <v>778</v>
      </c>
      <c r="F3" s="44" t="s">
        <v>166</v>
      </c>
      <c r="G3" s="45">
        <f>COUNTIF($A$1:$A$8229,A3)</f>
        <v>1</v>
      </c>
      <c r="H3" s="46" t="s">
        <v>779</v>
      </c>
      <c r="I3" s="47" t="s">
        <v>780</v>
      </c>
      <c r="J3" s="48" t="str">
        <f>""</f>
        <v/>
      </c>
      <c r="K3" s="49"/>
      <c r="L3" s="50"/>
      <c r="M3" s="50"/>
      <c r="N3" s="51" t="s">
        <v>169</v>
      </c>
      <c r="O3" s="52">
        <v>1976</v>
      </c>
      <c r="P3" s="53" t="s">
        <v>781</v>
      </c>
      <c r="Q3" s="54">
        <v>4</v>
      </c>
      <c r="R3" s="55" t="s">
        <v>169</v>
      </c>
      <c r="S3" s="56">
        <v>0</v>
      </c>
      <c r="T3" s="57" t="s">
        <v>173</v>
      </c>
      <c r="U3" s="58" t="s">
        <v>173</v>
      </c>
      <c r="V3" s="58" t="s">
        <v>173</v>
      </c>
      <c r="W3" s="58" t="s">
        <v>173</v>
      </c>
      <c r="X3" s="58" t="s">
        <v>173</v>
      </c>
      <c r="Y3" s="58" t="s">
        <v>173</v>
      </c>
      <c r="Z3" s="58" t="s">
        <v>173</v>
      </c>
      <c r="AA3" s="58" t="s">
        <v>173</v>
      </c>
      <c r="AB3" s="58" t="s">
        <v>173</v>
      </c>
      <c r="AC3" s="58" t="s">
        <v>173</v>
      </c>
      <c r="AD3" s="58" t="s">
        <v>173</v>
      </c>
      <c r="AE3" s="58" t="s">
        <v>173</v>
      </c>
      <c r="AF3" s="59" t="s">
        <v>173</v>
      </c>
      <c r="AG3" s="59" t="s">
        <v>172</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1</v>
      </c>
      <c r="AU3" s="59" t="s">
        <v>677</v>
      </c>
      <c r="AV3" s="59" t="str">
        <f>IF(LEFT(A3,1)="[",LEFT(A3,5)&amp;AU3&amp;A3,"")</f>
        <v>[MNP]Historical[MNP] Northern Mariana Islands (1976-1981)</v>
      </c>
      <c r="AW3" s="59" t="str">
        <f>C3&amp;H3&amp;A3</f>
        <v>3[MNP] Other[MNP] Northern Mariana Islands (1976-1981)</v>
      </c>
      <c r="AX3" s="61"/>
      <c r="AY3" s="61"/>
      <c r="AZ3" s="62" t="s">
        <v>159</v>
      </c>
      <c r="BA3" s="62"/>
      <c r="BB3" s="62"/>
      <c r="BC3" s="63"/>
      <c r="BD3" s="64" t="s">
        <v>408</v>
      </c>
      <c r="BE3" s="47"/>
      <c r="BF3" s="64" t="s">
        <v>152</v>
      </c>
      <c r="BG3" s="64" t="s">
        <v>153</v>
      </c>
      <c r="BH3" s="64" t="s">
        <v>152</v>
      </c>
      <c r="BI3" s="64"/>
      <c r="BJ3" s="64"/>
      <c r="BK3" s="47"/>
      <c r="BL3" s="64" t="s">
        <v>151</v>
      </c>
      <c r="BM3" s="64" t="s">
        <v>152</v>
      </c>
      <c r="BN3" s="64" t="s">
        <v>153</v>
      </c>
      <c r="BO3" s="64" t="s">
        <v>154</v>
      </c>
      <c r="BP3" s="64" t="s">
        <v>155</v>
      </c>
      <c r="BQ3" s="64" t="s">
        <v>156</v>
      </c>
      <c r="BR3" s="64" t="s">
        <v>157</v>
      </c>
      <c r="BS3" s="64" t="s">
        <v>192</v>
      </c>
      <c r="BT3" s="64" t="s">
        <v>159</v>
      </c>
      <c r="BU3" s="65"/>
      <c r="BV3" s="66"/>
      <c r="BW3" s="66">
        <v>0</v>
      </c>
      <c r="BX3" s="47"/>
      <c r="BY3" s="48" t="s">
        <v>173</v>
      </c>
      <c r="CB3" s="6"/>
      <c r="CC3" s="6"/>
      <c r="CD3" s="67">
        <v>0</v>
      </c>
      <c r="CE3" s="67">
        <v>1</v>
      </c>
      <c r="CF3" s="67" t="e">
        <v>#REF!</v>
      </c>
      <c r="CG3" s="68" cm="1">
        <f t="array" ref="CG3">SUMPRODUCT(--(LEN(TRIM(BL3:BT3))&gt;0))</f>
        <v>8</v>
      </c>
      <c r="CH3" s="59" t="str">
        <f t="shared" ref="CH3:CH4" si="6">IF(CG3=2,"y","n")</f>
        <v>n</v>
      </c>
      <c r="CI3" s="59" t="str">
        <f t="shared" ref="CI3:CI4" si="7">IF(CG3=3,"y","n")</f>
        <v>n</v>
      </c>
      <c r="CJ3" s="59" t="str">
        <f t="shared" ref="CJ3:CJ4" si="8">IF(CG3=4,"y","n")</f>
        <v>n</v>
      </c>
      <c r="CK3" s="59" t="str">
        <f t="shared" ref="CK3:CK4" si="9">IF(CG3&gt;4,"y","n")</f>
        <v>y</v>
      </c>
      <c r="CL3" s="59" t="str">
        <f t="shared" ref="CL3:CL4" si="10">IF(S3=0,"y","n")</f>
        <v>y</v>
      </c>
      <c r="CM3" s="59" t="str">
        <f t="shared" ref="CM3:CM4" si="11">IF(S3=2,"y","n")</f>
        <v>n</v>
      </c>
      <c r="CN3" s="59" t="str">
        <f t="shared" ref="CN3:CN4" si="12">IF(S3=3,"y","n")</f>
        <v>n</v>
      </c>
      <c r="CO3" s="59" t="str">
        <f t="shared" ref="CO3:CO4" si="13">IF(S3&gt;=4,"y","n")</f>
        <v>n</v>
      </c>
      <c r="CP3" s="59" t="str">
        <f t="shared" ref="CP3:CP4" si="14">IF(AT3=0,"y","n")</f>
        <v>n</v>
      </c>
      <c r="CQ3" s="59" t="str">
        <f t="shared" ref="CQ3:CQ4" si="15">IF(AT3=1,"y","n")</f>
        <v>y</v>
      </c>
      <c r="CR3" s="59" t="str">
        <f t="shared" ref="CR3:CR4" si="16">IF(AT3=2,"y","n")</f>
        <v>n</v>
      </c>
      <c r="CS3" s="59" t="str">
        <f t="shared" ref="CS3:CS4" si="17">IF(AT3&gt;=3,"y","n")</f>
        <v>n</v>
      </c>
      <c r="CT3" s="69" t="str">
        <f t="shared" ref="CT3:CT4" si="18">CHAR(34)&amp;A3&amp;CHAR(34)</f>
        <v>"[MNP] Northern Mariana Islands (1976-1981)"</v>
      </c>
      <c r="CU3" s="70" t="str">
        <f t="shared" ref="CU3:CU4" si="19">CHAR(34)&amp;"rgn_"&amp;R3&amp;CHAR(34)</f>
        <v>"rgn_Oceania"</v>
      </c>
      <c r="CV3" s="48" t="str">
        <f t="shared" ref="CV3:CV4" si="20">CHAR(34)&amp;D3&amp;CHAR(34)</f>
        <v>"https://upload.wikimedia.org/wikipedia/commons/thumb/5/55/Flag_of_the_Northern_Mariana_Islands_%281972%29.svg/640px-Flag_of_the_Northern_Mariana_Islands_%281972%29.svg.png"</v>
      </c>
      <c r="CW3" s="48" t="str">
        <f t="shared" si="0"/>
        <v/>
      </c>
      <c r="CX3" s="48" t="str">
        <f t="shared" si="0"/>
        <v/>
      </c>
      <c r="CY3" s="48" t="str">
        <f t="shared" si="0"/>
        <v/>
      </c>
      <c r="CZ3" s="48" t="str">
        <f t="shared" si="0"/>
        <v>"5+Colo",</v>
      </c>
      <c r="DA3" s="48" t="str">
        <f t="shared" ref="DA3:DA4" si="21">IF(Q3&gt;1,CHAR(34)&amp;"words2"&amp;CHAR(34)&amp;",","")</f>
        <v>"words2",</v>
      </c>
      <c r="DB3" s="48" t="str">
        <f t="shared" ref="DB3:DB4" si="22">IF(Q3&gt;2,CHAR(34)&amp;"words3"&amp;CHAR(34)&amp;",","")</f>
        <v>"words3",</v>
      </c>
      <c r="DD3" s="48" t="str">
        <f t="shared" ref="DD3:DD4" si="23">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"lets32",</v>
      </c>
      <c r="DE3" s="48" t="str">
        <f t="shared" ref="DE3:DE4" si="24">CHAR(34)&amp;"start"&amp;IFERROR(LEFT(SUBSTITUTE(A3,"["&amp;MID(A3,FIND("[",A3)+1,FIND("]",A3)-FIND("[",A3)-1)&amp;"] ",""),1),LEFT(A3,1))&amp;CHAR(34)&amp;","</f>
        <v>"startN",</v>
      </c>
      <c r="DF3" s="48" t="str">
        <f t="shared" ref="DF3:DF4" si="25">IFERROR(IF(SEARCH("tan",A3)&gt;0,CHAR(34)&amp;"withtn"&amp;CHAR(34)&amp;",",""),"")</f>
        <v/>
      </c>
      <c r="DG3" s="48" t="str">
        <f t="shared" ref="DG3:DG4" si="26">IFERROR(IF(SEARCH("q",A3)&gt;0,CHAR(34)&amp;"with_q"&amp;CHAR(34)&amp;",",""),"")</f>
        <v/>
      </c>
      <c r="DH3" s="48" t="str">
        <f t="shared" ref="DH3:DH4" si="27">IFERROR(IF(SEARCH("v",A3)&gt;0,CHAR(34)&amp;"with_v"&amp;CHAR(34)&amp;",",""),"")</f>
        <v/>
      </c>
      <c r="DI3" s="48" t="str">
        <f t="shared" ref="DI3:DI4" si="28">IFERROR(IF(SEARCH("w",A3)&gt;0,CHAR(34)&amp;"with_w"&amp;CHAR(34)&amp;",",""),"")</f>
        <v/>
      </c>
      <c r="DJ3" s="48" t="str">
        <f t="shared" ref="DJ3:DJ4" si="29">IFERROR(IF(SEARCH("y",A3)&gt;0,CHAR(34)&amp;"with_y"&amp;CHAR(34)&amp;",",""),"")</f>
        <v/>
      </c>
      <c r="DK3" s="48" t="str">
        <f t="shared" ref="DK3:DK4" si="30">IFERROR(IF(SEARCH("z",A3)&gt;0,CHAR(34)&amp;"with_z"&amp;CHAR(34)&amp;",",""),"")</f>
        <v/>
      </c>
      <c r="DL3" s="48" t="str">
        <f t="shared" ref="DL3:DL4" si="31">IF(CG3=2, CHAR(34) &amp; _xlfn.TEXTJOIN("", TRUE, _xlfn._xlws.SORT(HP3:HX3)) &amp; CHAR(34) &amp; ",", "")</f>
        <v/>
      </c>
      <c r="DM3" s="48" t="str" cm="1">
        <f t="array" ref="DM3">IF(CG3=3,CHAR(34) &amp; _xlfn.TEXTJOIN("", TRUE, RIGHT(HP3:HX3, 2)) &amp; CHAR(34) &amp; ",", "")</f>
        <v/>
      </c>
      <c r="DN3" s="48" t="str">
        <f t="shared" ref="DN3:DN4" si="32">IF(AND(ISNUMBER(SEARCH("18", O3)), ISERROR(SEARCH("1918", O3)), ISERROR(SEARCH("2018", O3))), CHAR(34) &amp; "year18" &amp; CHAR(34) &amp; ",", "")</f>
        <v/>
      </c>
      <c r="DO3" s="48" t="str">
        <f t="shared" ref="DO3:DO4" si="33">IF(AND(ISNUMBER(SEARCH("19", O3)), ISERROR(SEARCH("1819", O3)),  ISERROR(SEARCH("1219", O3)),ISERROR(SEARCH("1119", O3)),ISERROR(SEARCH("1190", O3)),ISERROR(SEARCH("2019", O3))), CHAR(34) &amp; "year19" &amp; CHAR(34) &amp; ",", "")</f>
        <v>"year19",</v>
      </c>
      <c r="DP3" s="6" t="str">
        <f t="shared" ref="DP3:DP4" si="34">IF(AND(ISNUMBER(SEARCH("20", O3)), ISERROR(SEARCH("1920", O3))), CHAR(34)&amp;"year00"&amp;CHAR(34)&amp;",", "")</f>
        <v/>
      </c>
      <c r="DQ3" s="6" t="str">
        <f t="shared" ref="DQ3:DQ4" si="35">IF(CC3="y",CHAR(34)&amp;"soviet"&amp;CHAR(34)&amp;",","")</f>
        <v/>
      </c>
      <c r="DR3" s="6" t="str">
        <f t="shared" ref="DR3:DR4" si="36">IF(BY3="y",CHAR(34)&amp;"dgband"&amp;CHAR(34)&amp;",","")</f>
        <v/>
      </c>
      <c r="DS3" s="6" t="str">
        <f t="shared" ref="DS3:DS4" si="37">IF(W3="y",IF(AND(V3="n",BY3&lt;&gt;"y"),CHAR(34)&amp;"allver"&amp;CHAR(34)&amp;",",""),"")</f>
        <v/>
      </c>
      <c r="DT3" s="6" t="str">
        <f t="shared" ref="DT3:DT4" si="38">IF(V3="y",IF(AND(W3="n",BY3&lt;&gt;"y"),CHAR(34)&amp;"allhor"&amp;CHAR(34)&amp;",",""),"")</f>
        <v/>
      </c>
      <c r="DU3" s="6" t="str">
        <f t="shared" ref="DU3:DU4" si="39">IF(BY3="y",IF(AND(W3="n",V3="n"),CHAR(34)&amp;"alldia"&amp;CHAR(34)&amp;",",""),"")</f>
        <v/>
      </c>
      <c r="DW3" s="48" t="str">
        <f t="shared" si="1"/>
        <v>"NoBand",</v>
      </c>
      <c r="DX3" s="48" t="str">
        <f t="shared" si="1"/>
        <v/>
      </c>
      <c r="DY3" s="48" t="str">
        <f t="shared" si="1"/>
        <v/>
      </c>
      <c r="DZ3" s="48" t="str">
        <f t="shared" si="1"/>
        <v/>
      </c>
      <c r="EA3" s="48" t="str">
        <f t="shared" si="2"/>
        <v/>
      </c>
      <c r="EB3" s="48" t="str">
        <f t="shared" si="2"/>
        <v/>
      </c>
      <c r="EC3" s="48" t="str">
        <f t="shared" si="2"/>
        <v/>
      </c>
      <c r="ED3" s="48" t="str">
        <f t="shared" si="2"/>
        <v/>
      </c>
      <c r="EE3" s="48" t="str">
        <f t="shared" si="2"/>
        <v/>
      </c>
      <c r="EF3" s="48" t="str">
        <f t="shared" ref="EF3:EF4" si="40">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"Unequa",</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FA4" si="41">IF(AT3&gt;0,CHAR(34)&amp;"sta"&amp;AZ3&amp;CHAR(34)&amp;",","")</f>
        <v>"staWHI",</v>
      </c>
      <c r="FB3" s="48" t="str">
        <f t="shared" ref="FB3:FB4" si="42">IF(AND(AT3&gt;0,BA3&lt;&gt;""),CHAR(34)&amp;"sta"&amp;BA3&amp;CHAR(34)&amp;",","")</f>
        <v/>
      </c>
      <c r="FD3" s="48" t="str">
        <f t="shared" ref="FD3:FD4" si="43">IF(BV3="n",CHAR(34)&amp;"tcWHYE"&amp;CHAR(34)&amp;",",IF(BV3="y",CHAR(34)&amp;FD$1&amp;CHAR(34)&amp;",",""))</f>
        <v/>
      </c>
      <c r="FE3" s="48" t="str">
        <f t="shared" ref="FE3:FE4" si="44">IF(COUNTIF(BL3:BT3,"BLU")=0,CHAR(34)&amp;"NO_BLU"&amp;CHAR(34)&amp;",", "")</f>
        <v/>
      </c>
      <c r="FF3" s="48" t="str">
        <f t="shared" ref="FF3:FF4" si="45">IF(COUNTIF(BL3:BT3,"WHI")=0,CHAR(34)&amp;"NO_WHI"&amp;CHAR(34)&amp;",", "")</f>
        <v/>
      </c>
      <c r="FG3" s="48" t="str">
        <f t="shared" ref="FG3:FG4" si="46">IF(COUNTIF(BL3:BT3,"RED")=0,CHAR(34)&amp;"NO_RED"&amp;CHAR(34)&amp;",", "")</f>
        <v/>
      </c>
      <c r="FH3" s="48" t="str">
        <f t="shared" ref="FH3:FH4" si="47">IF(COUNTIF(BL3:BS3,"GRE")=0,CHAR(34)&amp;"NO_GRE"&amp;CHAR(34)&amp;",", "")</f>
        <v/>
      </c>
      <c r="FI3" s="48" t="str">
        <f t="shared" ref="FI3:FI4" si="48">IF(COUNTIF(BL3:BT3,"YEL")=0,CHAR(34)&amp;"NO_YEL"&amp;CHAR(34)&amp;",", "")</f>
        <v/>
      </c>
      <c r="FJ3" s="48" t="str">
        <f t="shared" ref="FJ3:FJ4" si="49">IF(COUNTIF(BL3:BT3,"BLA")=0,CHAR(34)&amp;"NO_BLA"&amp;CHAR(34)&amp;",", "")</f>
        <v/>
      </c>
      <c r="FK3" s="48" t="str">
        <f t="shared" ref="FK3:FK4" si="50">IF(AND(FH3&lt;&gt;"",FF3&lt;&gt;""),CHAR(34)&amp;"WHGRNO"&amp;CHAR(34)&amp;",","")</f>
        <v/>
      </c>
      <c r="FL3" s="48" t="str">
        <f t="shared" ref="FL3:FL4" si="51">IF(AND(FI3&lt;&gt;"",FF3&lt;&gt;""),CHAR(34)&amp;"WHYENO"&amp;CHAR(34)&amp;",","")</f>
        <v/>
      </c>
      <c r="FM3" s="48" t="str">
        <f t="shared" ref="FM3:FM4" si="52">IF(AND(FJ3&lt;&gt;"",FF3&lt;&gt;""),CHAR(34)&amp;"BAWHNO"&amp;CHAR(34)&amp;",","")</f>
        <v/>
      </c>
      <c r="FN3" s="48" t="str">
        <f t="shared" ref="FN3:FN4" si="53">IF(AND(FE3&lt;&gt;"",FF3&lt;&gt;""),CHAR(34)&amp;"BLWHNO"&amp;CHAR(34)&amp;",","")</f>
        <v/>
      </c>
      <c r="FO3" s="48" t="str">
        <f t="shared" ref="FO3:FO4" si="54">IF(AND(FE3&lt;&gt;"",FG3&lt;&gt;""),CHAR(34)&amp;"BLRENO"&amp;CHAR(34)&amp;",","")</f>
        <v/>
      </c>
      <c r="FP3" s="48" t="str">
        <f t="shared" ref="FP3:FP4" si="55">IF(AND(FF3&lt;&gt;"",FF3&lt;&gt;""),CHAR(34)&amp;"WHRENO"&amp;CHAR(34)&amp;",","")</f>
        <v/>
      </c>
      <c r="FQ3" s="48" t="str">
        <f t="shared" ref="FQ3:FQ4" si="56">IF(LEN(BF3)=3,CHAR(34)&amp;"001"&amp;BF3&amp;CHAR(34)&amp;",","")</f>
        <v>"001BLU",</v>
      </c>
      <c r="FR3" s="48" t="str">
        <f t="shared" ref="FR3:FR4" si="57">IF(LEN(BG3)=3,CHAR(34)&amp;"002"&amp;BG3&amp;CHAR(34)&amp;",","")</f>
        <v>"002GRE",</v>
      </c>
      <c r="FS3" s="48" t="str">
        <f t="shared" ref="FS3:FS4" si="58">IF(LEN(BH3)=3,CHAR(34)&amp;"003"&amp;BH3&amp;CHAR(34)&amp;",","")</f>
        <v>"003BLU",</v>
      </c>
      <c r="FT3" s="48" t="str">
        <f t="shared" ref="FT3:FT4" si="59">CHAR(34)&amp;"myr"&amp;BD3&amp;CHAR(34)&amp;","</f>
        <v>"myrEQ",</v>
      </c>
      <c r="FU3" s="48" t="str">
        <f t="shared" ref="FU3:FU4" si="60">IF(AY3="y",CHAR(34)&amp;"island"&amp;CHAR(34)&amp;",","")</f>
        <v/>
      </c>
      <c r="FV3" s="48" t="str">
        <f t="shared" ref="FV3:FV4" si="61">IF(BZ3="y",CHAR(34)&amp;"landlo"&amp;CHAR(34)&amp;",","")</f>
        <v/>
      </c>
      <c r="FW3" s="48" t="str">
        <f t="shared" ref="FW3:FW4" si="62">IF(CA3="y",CHAR(34)&amp;"eunion"&amp;CHAR(34)&amp;",","")</f>
        <v/>
      </c>
      <c r="FY3" s="48" t="str">
        <f t="shared" ref="FY3:FY4" si="63">IFERROR(IF(SEARCH("Arabic",CB3)&gt;0,CHAR(34)&amp;"arabic"&amp;CHAR(34)&amp;",",""),"")</f>
        <v/>
      </c>
      <c r="FZ3" s="48" t="str">
        <f t="shared" ref="FZ3:FZ4" si="64">IFERROR(IF(SEARCH("English",CB3)&gt;0,CHAR(34)&amp;"englis"&amp;CHAR(34)&amp;",",""),"")</f>
        <v/>
      </c>
      <c r="GA3" s="48" t="str">
        <f t="shared" ref="GA3:GA4" si="65">IFERROR(IF(SEARCH("French",CB3)&gt;0,CHAR(34)&amp;"french"&amp;CHAR(34)&amp;",",""),"")</f>
        <v/>
      </c>
      <c r="GB3" s="48" t="str">
        <f t="shared" ref="GB3:GB4" si="66">IFERROR(IF(SEARCH("Spanish",CB3)&gt;0,CHAR(34)&amp;"spanis"&amp;CHAR(34)&amp;",",""),"")</f>
        <v/>
      </c>
      <c r="GE3" s="48" t="str">
        <f t="shared" ref="GE3:GE4" si="67">IFERROR(IF(SEARCH("Dutch",CB3)&gt;0,CHAR(34)&amp;"dutchs"&amp;CHAR(34)&amp;",",""),"")</f>
        <v/>
      </c>
      <c r="GF3" s="48" t="str">
        <f t="shared" ref="GF3:GF4" si="68">IFERROR(IF(SEARCH("Historical",AU3)&gt;0,CHAR(34)&amp;"histor"&amp;CHAR(34)&amp;",",""),"")</f>
        <v>"histor",</v>
      </c>
      <c r="GG3" s="48" t="str">
        <f t="shared" ref="GG3:GG4" si="69">IF(BU3="y",CHAR(34)&amp;"unjack"&amp;CHAR(34)&amp;",","")</f>
        <v/>
      </c>
      <c r="GH3" s="48" t="str">
        <f t="shared" ref="GH3:GH4" si="70">IF(CD3=1,CHAR(34)&amp;"southc"&amp;CHAR(34)&amp;",","")</f>
        <v/>
      </c>
      <c r="GI3" s="48" t="str">
        <f t="shared" ref="GI3:GI4" si="71">IF(CE3=1,CHAR(34)&amp;"hasmap"&amp;CHAR(34)&amp;",","")</f>
        <v>"hasmap",</v>
      </c>
      <c r="GJ3" s="48" t="str">
        <f t="shared" ref="GJ3:GJ4" si="72">IF(CP3="y",CHAR(34)&amp;CP$1&amp;CHAR(34)&amp;",","")</f>
        <v/>
      </c>
      <c r="GK3" s="48" t="str">
        <f t="shared" ref="GK3:GK4" si="73">IF(GJ3="",CHAR(34)&amp;"HasSta"&amp;CHAR(34)&amp;",","")</f>
        <v>"HasSta",</v>
      </c>
      <c r="GL3" s="48" t="str">
        <f t="shared" si="4"/>
        <v>"1Stars",</v>
      </c>
      <c r="GM3" s="48" t="str">
        <f t="shared" si="4"/>
        <v/>
      </c>
      <c r="GN3" s="48" t="str">
        <f t="shared" si="4"/>
        <v/>
      </c>
      <c r="GP3" s="48" t="str">
        <f t="shared" ref="GP3:GP4" si="74">CHAR(34)&amp;AU3&amp;CHAR(34)</f>
        <v>"Historical"</v>
      </c>
      <c r="GS3" s="48" t="str">
        <f t="shared" ref="GS3:GS4" si="75">SUBSTITUTE("["&amp;_xlfn.CONCAT(CW3:GN3)&amp;"]",",]","]")</f>
        <v>["5+Colo","words2","words3","lets32","startN","year19","NoBand","Unequa","Center","staWHI","001BLU","002GRE","003BLU","myrEQ","histor","hasmap","HasSta","1Stars"]</v>
      </c>
      <c r="GT3" s="48" t="str">
        <f t="shared" si="5"/>
        <v>"cl_BLA",</v>
      </c>
      <c r="GU3" s="48" t="str">
        <f t="shared" si="5"/>
        <v>"cl_BLU",</v>
      </c>
      <c r="GV3" s="48" t="str">
        <f t="shared" si="5"/>
        <v>"cl_GRE",</v>
      </c>
      <c r="GW3" s="48" t="str">
        <f t="shared" si="5"/>
        <v>"cl_RED",</v>
      </c>
      <c r="GX3" s="48" t="str">
        <f t="shared" si="5"/>
        <v>"cl_YEL",</v>
      </c>
      <c r="GY3" s="48" t="str">
        <f t="shared" si="5"/>
        <v>"cl_ORA",</v>
      </c>
      <c r="GZ3" s="48" t="str">
        <f t="shared" si="5"/>
        <v>"cl_BRO",</v>
      </c>
      <c r="HA3" s="48" t="str">
        <f t="shared" si="5"/>
        <v/>
      </c>
      <c r="HB3" s="48" t="str">
        <f t="shared" si="5"/>
        <v>"cl_WHI",</v>
      </c>
      <c r="HC3" s="48" t="str">
        <f t="shared" ref="HC3:HC4" si="76">SUBSTITUTE("["&amp;_xlfn.CONCAT(GT3:HB3)&amp;"]",",]","]")</f>
        <v>["cl_BLA","cl_BLU","cl_GRE","cl_RED","cl_YEL","cl_ORA","cl_BRO","cl_WHI"]</v>
      </c>
      <c r="HE3" s="71"/>
      <c r="HF3" s="72" t="str">
        <f t="shared" ref="HF3:HF4" si="77">"{couname:"&amp;CT3&amp;(IF(HK3&lt;&gt;"",",subtype:"&amp;CHAR(34)&amp;HK3&amp;CHAR(34),""))&amp;",year:"&amp;HJ3&amp;",region:"&amp;CU3&amp;",Colors:"&amp;HC3&amp;",Items:"&amp;GS3&amp;",Flag:"&amp;CV3&amp;",HDFlag:"&amp;CHAR(34)&amp;E3&amp;CHAR(34)&amp;",type:"&amp;GP3&amp;", describe: "&amp;HH3&amp;", isnew:"&amp;CHAR(34)&amp;F3&amp;CHAR(34)&amp;", links: "&amp;HL3&amp;"},"</f>
        <v>{couname:"[MNP] Northern Mariana Islands (1976-1981)",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links: "https://en.m.wikipedia.org/wiki/Flag_of_the_Northern_Mariana_Islands"},</v>
      </c>
      <c r="HG3" s="73" t="str">
        <f t="shared" ref="HG3:HG4" si="78">"{couname:"&amp;CT3&amp;(IF(HK3&lt;&gt;"",",subtype:"&amp;CHAR(34)&amp;HK3&amp;CHAR(34),""))&amp;",year:"&amp;HJ3&amp;",region:"&amp;CU3&amp;",Colors:"&amp;HC3&amp;",Items:"&amp;GS3&amp;",Flag:"&amp;CV3&amp;",HDFlag:"&amp;CHAR(34)&amp;E3&amp;CHAR(34)&amp;",type:"&amp;GP3&amp;", describe: "&amp;HI3&amp;", links: "&amp;HL3&amp;"},"</f>
        <v>{couname:"[MNP] Northern Mariana Islands (1976-1981)",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links: "https://en.m.wikipedia.org/wiki/Flag_of_the_Northern_Mariana_Islands"},</v>
      </c>
      <c r="HH3" s="48" t="str">
        <f t="shared" ref="HH3:HH4" si="79">IF(P3&lt;&gt;"",CHAR(34)&amp;"\n"&amp;P3&amp;CHAR(34),CHAR(34)&amp;CHAR(34))</f>
        <v>"\nA latte stone with a white star superimposed over it, on a blue field."</v>
      </c>
      <c r="HI3" s="48" t="str">
        <f t="shared" ref="HI3:HI4" si="80">IF(J3=0,CHAR(34)&amp;CHAR(34),HH3)</f>
        <v>"\nA latte stone with a white star superimposed over it, on a blue field."</v>
      </c>
      <c r="HJ3" s="48" t="str">
        <f t="shared" ref="HJ3:HJ4" si="81">CHAR(34)&amp;O3&amp;CHAR(34)</f>
        <v>"1976"</v>
      </c>
      <c r="HL3" s="48" t="str">
        <f t="shared" ref="HL3:HL4" si="82">CHAR(34)&amp;I3&amp;CHAR(34)</f>
        <v>"https://en.m.wikipedia.org/wiki/Flag_of_the_Northern_Mariana_Islands"</v>
      </c>
      <c r="HM3" s="72" t="str">
        <f t="shared" ref="HM3:HM4" si="83">"{"&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{"couname":"[MNP] Northern Mariana Islands (1976-1981)","subtype":"[MNP] Other","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 "links": "https://en.m.wikipedia.org/wiki/Flag_of_the_Northern_Mariana_Islands"},</v>
      </c>
      <c r="HN3" s="74" t="str">
        <f t="shared" ref="HN3:HN4" si="84">"{"&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{"couname":"[MNP] Northern Mariana Islands (1976-1981)","subtype":"[MNP] Other","year":"1976","region":"rgn_Oceania","Colors":["cl_BLA","cl_BLU","cl_GRE","cl_RED","cl_YEL","cl_ORA","cl_BRO","cl_WHI"],"Items":["5+Colo","words2","words3","lets32","startN","year19","NoBand","Unequa","Center","staWHI","001BLU","002GRE","003BLU","myrEQ","histor","hasmap","HasSta","1Stars"],"Flag":"https://upload.wikimedia.org/wikipedia/commons/thumb/5/55/Flag_of_the_Northern_Mariana_Islands_%281972%29.svg/640px-Flag_of_the_Northern_Mariana_Islands_%281972%29.svg.png","HDFlag":"https://upload.wikimedia.org/wikipedia/commons/thumb/5/55/Flag_of_the_Northern_Mariana_Islands_%281972%29.svg/1280px-Flag_of_the_Northern_Mariana_Islands_%281972%29.svg.png","type":"Historical", "describe": "\nA latte stone with a white star superimposed over it, on a blue field.", "isnew": ".", "links": "https://en.m.wikipedia.org/wiki/Flag_of_the_Northern_Mariana_Islands"},</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ref="IM3:IM4" si="85">COUNTIF(IC3:IK3,"&gt;0")-CG3</f>
        <v>-8</v>
      </c>
      <c r="IN3" s="78" t="str">
        <f t="shared" ref="IN3:IN4" si="86">"http://mkweb.bcgsc.ca/color-summarizer/?url="&amp;D3&amp;"&amp;precision=low&amp;num_clusters="&amp;CG3&amp;"&amp;text=1"</f>
        <v>http://mkweb.bcgsc.ca/color-summarizer/?url=https://upload.wikimedia.org/wikipedia/commons/thumb/5/55/Flag_of_the_Northern_Mariana_Islands_%281972%29.svg/640px-Flag_of_the_Northern_Mariana_Islands_%281972%29.svg.png&amp;precision=low&amp;num_clusters=8&amp;text=1</v>
      </c>
      <c r="IO3" s="48" t="str">
        <f t="shared" ref="IO3:IO4" si="87">IF(HP3&lt;&gt;"",CHAR(34)&amp;"black"&amp;CHAR(34),"")</f>
        <v>"black"</v>
      </c>
      <c r="IP3" s="48" t="str">
        <f t="shared" ref="IP3:IP4" si="88">IF(HQ3&lt;&gt;"",CHAR(34)&amp;"blue"&amp;CHAR(34),"")</f>
        <v>"blue"</v>
      </c>
      <c r="IQ3" s="48" t="str">
        <f t="shared" ref="IQ3:IQ4" si="89">IF(HR3&lt;&gt;"",CHAR(34)&amp;"green"&amp;CHAR(34),"")</f>
        <v>"green"</v>
      </c>
      <c r="IR3" s="48" t="str">
        <f t="shared" ref="IR3:IR4" si="90">IF(HS3&lt;&gt;"",CHAR(34)&amp;"red"&amp;CHAR(34),"")</f>
        <v>"red"</v>
      </c>
      <c r="IS3" s="48" t="str">
        <f t="shared" ref="IS3:IS4" si="91">IF(HT3&lt;&gt;"",CHAR(34)&amp;"yellow"&amp;CHAR(34),"")</f>
        <v>"yellow"</v>
      </c>
      <c r="IT3" s="48" t="str">
        <f t="shared" ref="IT3:IT4" si="92">IF(HU3&lt;&gt;"",CHAR(34)&amp;"orange"&amp;CHAR(34),"")</f>
        <v>"orange"</v>
      </c>
      <c r="IU3" s="48" t="str">
        <f t="shared" ref="IU3:IU4" si="93">IF(HV3&lt;&gt;"",CHAR(34)&amp;"brown"&amp;CHAR(34),"")</f>
        <v>"brown"</v>
      </c>
      <c r="IV3" s="48" t="str">
        <f t="shared" ref="IV3:IV4" si="94">IF(HW3&lt;&gt;"",CHAR(34)&amp;"purple"&amp;CHAR(34),"")</f>
        <v/>
      </c>
      <c r="IW3" s="48" t="str">
        <f t="shared" ref="IW3:IW4" si="95">IF(HX3&lt;&gt;"",CHAR(34)&amp;"white"&amp;CHAR(34),"")</f>
        <v>"white"</v>
      </c>
      <c r="IX3" s="48" t="str">
        <f t="shared" ref="IX3:IX4" si="96">"{"&amp;CHAR(34)&amp;"url"&amp;CHAR(34)&amp;":"&amp;CHAR(34)&amp;IN3&amp;CHAR(34)&amp;","&amp;CHAR(34)&amp;"name"&amp;CHAR(34)&amp;":"&amp;CHAR(34)&amp;A3&amp;CHAR(34)&amp;"},"</f>
        <v>{"url":"http://mkweb.bcgsc.ca/color-summarizer/?url=https://upload.wikimedia.org/wikipedia/commons/thumb/5/55/Flag_of_the_Northern_Mariana_Islands_%281972%29.svg/640px-Flag_of_the_Northern_Mariana_Islands_%281972%29.svg.png&amp;precision=low&amp;num_clusters=8&amp;text=1","name":"[MNP] Northern Mariana Islands (1976-1981)"},</v>
      </c>
      <c r="IY3" s="48">
        <v>1476</v>
      </c>
    </row>
    <row r="4" spans="1:259" s="48" customFormat="1" ht="38.4" customHeight="1" thickBot="1" x14ac:dyDescent="0.35">
      <c r="A4" s="81" t="s">
        <v>782</v>
      </c>
      <c r="B4" s="82" t="e" vm="89">
        <v>#VALUE!</v>
      </c>
      <c r="C4" s="41">
        <v>3</v>
      </c>
      <c r="D4" s="42" t="s">
        <v>783</v>
      </c>
      <c r="E4" s="43" t="s">
        <v>784</v>
      </c>
      <c r="F4" s="44" t="s">
        <v>166</v>
      </c>
      <c r="G4" s="45">
        <f>COUNTIF($A$1:$A$8229,A4)</f>
        <v>1</v>
      </c>
      <c r="H4" s="46" t="s">
        <v>779</v>
      </c>
      <c r="I4" s="47" t="s">
        <v>780</v>
      </c>
      <c r="J4" s="48" t="str">
        <f>""</f>
        <v/>
      </c>
      <c r="K4" s="49"/>
      <c r="L4" s="50"/>
      <c r="M4" s="50"/>
      <c r="N4" s="51" t="s">
        <v>169</v>
      </c>
      <c r="O4" s="52">
        <v>1976</v>
      </c>
      <c r="P4" s="53" t="s">
        <v>785</v>
      </c>
      <c r="Q4" s="54">
        <v>4</v>
      </c>
      <c r="R4" s="55" t="s">
        <v>169</v>
      </c>
      <c r="S4" s="56">
        <v>0</v>
      </c>
      <c r="T4" s="57" t="s">
        <v>173</v>
      </c>
      <c r="U4" s="58" t="s">
        <v>173</v>
      </c>
      <c r="V4" s="58" t="s">
        <v>173</v>
      </c>
      <c r="W4" s="58" t="s">
        <v>173</v>
      </c>
      <c r="X4" s="58" t="s">
        <v>172</v>
      </c>
      <c r="Y4" s="58" t="s">
        <v>173</v>
      </c>
      <c r="Z4" s="58" t="s">
        <v>173</v>
      </c>
      <c r="AA4" s="58" t="s">
        <v>172</v>
      </c>
      <c r="AB4" s="58" t="s">
        <v>173</v>
      </c>
      <c r="AC4" s="58" t="s">
        <v>173</v>
      </c>
      <c r="AD4" s="58" t="s">
        <v>173</v>
      </c>
      <c r="AE4" s="58" t="s">
        <v>173</v>
      </c>
      <c r="AF4" s="59" t="s">
        <v>173</v>
      </c>
      <c r="AG4" s="59" t="s">
        <v>172</v>
      </c>
      <c r="AH4" s="59" t="s">
        <v>172</v>
      </c>
      <c r="AI4" s="59" t="s">
        <v>173</v>
      </c>
      <c r="AJ4" s="59" t="s">
        <v>173</v>
      </c>
      <c r="AK4" s="59" t="s">
        <v>173</v>
      </c>
      <c r="AL4" s="59" t="s">
        <v>173</v>
      </c>
      <c r="AM4" s="59" t="s">
        <v>173</v>
      </c>
      <c r="AN4" s="59" t="s">
        <v>173</v>
      </c>
      <c r="AO4" s="59" t="s">
        <v>173</v>
      </c>
      <c r="AP4" s="59" t="s">
        <v>173</v>
      </c>
      <c r="AQ4" s="59" t="s">
        <v>173</v>
      </c>
      <c r="AR4" s="59" t="s">
        <v>173</v>
      </c>
      <c r="AS4" s="59" t="s">
        <v>173</v>
      </c>
      <c r="AT4" s="60">
        <v>1</v>
      </c>
      <c r="AU4" s="59" t="s">
        <v>677</v>
      </c>
      <c r="AV4" s="59" t="str">
        <f>IF(LEFT(A4,1)="[",LEFT(A4,5)&amp;AU4&amp;A4,"")</f>
        <v>[MNP]Historical[MNP] Northern Mariana Islands (1976-1989)</v>
      </c>
      <c r="AW4" s="59" t="str">
        <f>C4&amp;H4&amp;A4</f>
        <v>3[MNP] Other[MNP] Northern Mariana Islands (1976-1989)</v>
      </c>
      <c r="AX4" s="61"/>
      <c r="AY4" s="61"/>
      <c r="AZ4" s="62" t="s">
        <v>192</v>
      </c>
      <c r="BA4" s="62" t="s">
        <v>192</v>
      </c>
      <c r="BB4" s="62"/>
      <c r="BC4" s="63"/>
      <c r="BD4" s="64" t="s">
        <v>152</v>
      </c>
      <c r="BE4" s="47"/>
      <c r="BF4" s="64" t="s">
        <v>154</v>
      </c>
      <c r="BG4" s="64" t="s">
        <v>192</v>
      </c>
      <c r="BH4" s="64" t="s">
        <v>152</v>
      </c>
      <c r="BI4" s="64"/>
      <c r="BJ4" s="64"/>
      <c r="BK4" s="47"/>
      <c r="BL4" s="64" t="s">
        <v>192</v>
      </c>
      <c r="BM4" s="64" t="s">
        <v>152</v>
      </c>
      <c r="BN4" s="64" t="s">
        <v>192</v>
      </c>
      <c r="BO4" s="64" t="s">
        <v>154</v>
      </c>
      <c r="BP4" s="64" t="s">
        <v>155</v>
      </c>
      <c r="BQ4" s="64" t="s">
        <v>192</v>
      </c>
      <c r="BR4" s="64" t="s">
        <v>192</v>
      </c>
      <c r="BS4" s="64" t="s">
        <v>192</v>
      </c>
      <c r="BT4" s="64" t="s">
        <v>159</v>
      </c>
      <c r="BU4" s="65"/>
      <c r="BV4" s="66"/>
      <c r="BW4" s="66">
        <v>0</v>
      </c>
      <c r="BX4" s="47"/>
      <c r="CB4" s="6"/>
      <c r="CC4" s="6"/>
      <c r="CD4" s="67">
        <v>0</v>
      </c>
      <c r="CE4" s="67">
        <v>0</v>
      </c>
      <c r="CF4" s="67" t="e">
        <v>#REF!</v>
      </c>
      <c r="CG4" s="68" cm="1">
        <f t="array" ref="CG4">SUMPRODUCT(--(LEN(TRIM(BL4:BT4))&gt;0))</f>
        <v>4</v>
      </c>
      <c r="CH4" s="59" t="str">
        <f t="shared" si="6"/>
        <v>n</v>
      </c>
      <c r="CI4" s="59" t="str">
        <f t="shared" si="7"/>
        <v>n</v>
      </c>
      <c r="CJ4" s="59" t="str">
        <f t="shared" si="8"/>
        <v>y</v>
      </c>
      <c r="CK4" s="59" t="str">
        <f t="shared" si="9"/>
        <v>n</v>
      </c>
      <c r="CL4" s="59" t="str">
        <f t="shared" si="10"/>
        <v>y</v>
      </c>
      <c r="CM4" s="59" t="str">
        <f t="shared" si="11"/>
        <v>n</v>
      </c>
      <c r="CN4" s="59" t="str">
        <f t="shared" si="12"/>
        <v>n</v>
      </c>
      <c r="CO4" s="59" t="str">
        <f t="shared" si="13"/>
        <v>n</v>
      </c>
      <c r="CP4" s="59" t="str">
        <f t="shared" si="14"/>
        <v>n</v>
      </c>
      <c r="CQ4" s="59" t="str">
        <f t="shared" si="15"/>
        <v>y</v>
      </c>
      <c r="CR4" s="59" t="str">
        <f t="shared" si="16"/>
        <v>n</v>
      </c>
      <c r="CS4" s="59" t="str">
        <f t="shared" si="17"/>
        <v>n</v>
      </c>
      <c r="CT4" s="69" t="str">
        <f t="shared" si="18"/>
        <v>"[MNP] Northern Mariana Islands (1976-1989)"</v>
      </c>
      <c r="CU4" s="70" t="str">
        <f t="shared" si="19"/>
        <v>"rgn_Oceania"</v>
      </c>
      <c r="CV4" s="48" t="str">
        <f t="shared" si="20"/>
        <v>"https://upload.wikimedia.org/wikipedia/commons/thumb/0/04/Flag_of_the_Northern_Mariana_Islands_%281976%E2%80%931989%29.svg/640px-Flag_of_the_Northern_Mariana_Islands_%281976%E2%80%931989%29.svg.png"</v>
      </c>
      <c r="CW4" s="48" t="str">
        <f t="shared" si="0"/>
        <v/>
      </c>
      <c r="CX4" s="48" t="str">
        <f t="shared" si="0"/>
        <v/>
      </c>
      <c r="CY4" s="48" t="str">
        <f t="shared" si="0"/>
        <v>"4Color",</v>
      </c>
      <c r="CZ4" s="48" t="str">
        <f t="shared" si="0"/>
        <v/>
      </c>
      <c r="DA4" s="48" t="str">
        <f t="shared" si="21"/>
        <v>"words2",</v>
      </c>
      <c r="DB4" s="48" t="str">
        <f t="shared" si="22"/>
        <v>"words3",</v>
      </c>
      <c r="DD4" s="48" t="str">
        <f t="shared" si="23"/>
        <v>"lets32",</v>
      </c>
      <c r="DE4" s="48" t="str">
        <f t="shared" si="24"/>
        <v>"startN",</v>
      </c>
      <c r="DF4" s="48" t="str">
        <f t="shared" si="25"/>
        <v/>
      </c>
      <c r="DG4" s="48" t="str">
        <f t="shared" si="26"/>
        <v/>
      </c>
      <c r="DH4" s="48" t="str">
        <f t="shared" si="27"/>
        <v/>
      </c>
      <c r="DI4" s="48" t="str">
        <f t="shared" si="28"/>
        <v/>
      </c>
      <c r="DJ4" s="48" t="str">
        <f t="shared" si="29"/>
        <v/>
      </c>
      <c r="DK4" s="48" t="str">
        <f t="shared" si="30"/>
        <v/>
      </c>
      <c r="DL4" s="48" t="str">
        <f t="shared" si="31"/>
        <v/>
      </c>
      <c r="DM4" s="48" t="str" cm="1">
        <f t="array" ref="DM4">IF(CG4=3,CHAR(34) &amp; _xlfn.TEXTJOIN("", TRUE, RIGHT(HP4:HX4, 2)) &amp; CHAR(34) &amp; ",", "")</f>
        <v/>
      </c>
      <c r="DN4" s="48" t="str">
        <f t="shared" si="32"/>
        <v/>
      </c>
      <c r="DO4" s="48" t="str">
        <f t="shared" si="33"/>
        <v>"year19",</v>
      </c>
      <c r="DP4" s="6" t="str">
        <f t="shared" si="34"/>
        <v/>
      </c>
      <c r="DQ4" s="6" t="str">
        <f t="shared" si="35"/>
        <v/>
      </c>
      <c r="DR4" s="6" t="str">
        <f t="shared" si="36"/>
        <v/>
      </c>
      <c r="DS4" s="6" t="str">
        <f t="shared" si="37"/>
        <v/>
      </c>
      <c r="DT4" s="6" t="str">
        <f t="shared" si="38"/>
        <v/>
      </c>
      <c r="DU4" s="6" t="str">
        <f t="shared" si="39"/>
        <v/>
      </c>
      <c r="DW4" s="48" t="str">
        <f t="shared" si="1"/>
        <v>"NoBand",</v>
      </c>
      <c r="DX4" s="48" t="str">
        <f t="shared" si="1"/>
        <v/>
      </c>
      <c r="DY4" s="48" t="str">
        <f t="shared" si="1"/>
        <v/>
      </c>
      <c r="DZ4" s="48" t="str">
        <f t="shared" si="1"/>
        <v/>
      </c>
      <c r="EA4" s="48" t="str">
        <f t="shared" si="2"/>
        <v/>
      </c>
      <c r="EB4" s="48" t="str">
        <f t="shared" si="2"/>
        <v/>
      </c>
      <c r="EC4" s="48" t="str">
        <f t="shared" si="2"/>
        <v/>
      </c>
      <c r="ED4" s="48" t="str">
        <f t="shared" si="2"/>
        <v/>
      </c>
      <c r="EE4" s="48" t="str">
        <f t="shared" si="2"/>
        <v>"Circle",</v>
      </c>
      <c r="EF4" s="48" t="str">
        <f t="shared" si="40"/>
        <v/>
      </c>
      <c r="EG4" s="48" t="str">
        <f t="shared" si="3"/>
        <v/>
      </c>
      <c r="EH4" s="48" t="str">
        <f t="shared" si="3"/>
        <v>"Plants",</v>
      </c>
      <c r="EI4" s="48" t="str">
        <f t="shared" si="3"/>
        <v/>
      </c>
      <c r="EJ4" s="48" t="str">
        <f t="shared" si="3"/>
        <v/>
      </c>
      <c r="EK4" s="48" t="str">
        <f t="shared" si="3"/>
        <v/>
      </c>
      <c r="EL4" s="48" t="str">
        <f t="shared" si="3"/>
        <v/>
      </c>
      <c r="EM4" s="48" t="str">
        <f t="shared" si="3"/>
        <v/>
      </c>
      <c r="EN4" s="48" t="str">
        <f t="shared" si="3"/>
        <v>"Unequa",</v>
      </c>
      <c r="EO4" s="48" t="str">
        <f t="shared" si="3"/>
        <v>"Center",</v>
      </c>
      <c r="EP4" s="48" t="str">
        <f t="shared" si="3"/>
        <v/>
      </c>
      <c r="EQ4" s="48" t="str">
        <f t="shared" si="3"/>
        <v/>
      </c>
      <c r="ER4" s="48" t="str">
        <f t="shared" si="3"/>
        <v/>
      </c>
      <c r="ES4" s="48" t="str">
        <f t="shared" si="3"/>
        <v/>
      </c>
      <c r="ET4" s="48" t="str">
        <f t="shared" si="3"/>
        <v/>
      </c>
      <c r="EU4" s="48" t="str">
        <f t="shared" si="3"/>
        <v/>
      </c>
      <c r="EV4" s="48" t="str">
        <f t="shared" si="3"/>
        <v/>
      </c>
      <c r="EW4" s="48" t="str">
        <f t="shared" si="3"/>
        <v/>
      </c>
      <c r="EX4" s="48" t="str">
        <f t="shared" si="3"/>
        <v/>
      </c>
      <c r="EY4" s="48" t="str">
        <f t="shared" si="3"/>
        <v/>
      </c>
      <c r="EZ4" s="48" t="str">
        <f t="shared" si="3"/>
        <v/>
      </c>
      <c r="FA4" s="48" t="str">
        <f t="shared" si="41"/>
        <v>"sta",</v>
      </c>
      <c r="FB4" s="48" t="str">
        <f t="shared" si="42"/>
        <v/>
      </c>
      <c r="FD4" s="48" t="str">
        <f t="shared" si="43"/>
        <v/>
      </c>
      <c r="FE4" s="48" t="str">
        <f t="shared" si="44"/>
        <v/>
      </c>
      <c r="FF4" s="48" t="str">
        <f t="shared" si="45"/>
        <v/>
      </c>
      <c r="FG4" s="48" t="str">
        <f t="shared" si="46"/>
        <v/>
      </c>
      <c r="FH4" s="48" t="str">
        <f t="shared" si="47"/>
        <v>"NO_GRE",</v>
      </c>
      <c r="FI4" s="48" t="str">
        <f t="shared" si="48"/>
        <v/>
      </c>
      <c r="FJ4" s="48" t="str">
        <f t="shared" si="49"/>
        <v>"NO_BLA",</v>
      </c>
      <c r="FK4" s="48" t="str">
        <f t="shared" si="50"/>
        <v/>
      </c>
      <c r="FL4" s="48" t="str">
        <f t="shared" si="51"/>
        <v/>
      </c>
      <c r="FM4" s="48" t="str">
        <f t="shared" si="52"/>
        <v/>
      </c>
      <c r="FN4" s="48" t="str">
        <f t="shared" si="53"/>
        <v/>
      </c>
      <c r="FO4" s="48" t="str">
        <f t="shared" si="54"/>
        <v/>
      </c>
      <c r="FP4" s="48" t="str">
        <f t="shared" si="55"/>
        <v/>
      </c>
      <c r="FQ4" s="48" t="str">
        <f t="shared" si="56"/>
        <v>"001RED",</v>
      </c>
      <c r="FR4" s="48" t="str">
        <f t="shared" si="57"/>
        <v/>
      </c>
      <c r="FS4" s="48" t="str">
        <f t="shared" si="58"/>
        <v>"003BLU",</v>
      </c>
      <c r="FT4" s="48" t="str">
        <f t="shared" si="59"/>
        <v>"myrBLU",</v>
      </c>
      <c r="FU4" s="48" t="str">
        <f t="shared" si="60"/>
        <v/>
      </c>
      <c r="FV4" s="48" t="str">
        <f t="shared" si="61"/>
        <v/>
      </c>
      <c r="FW4" s="48" t="str">
        <f t="shared" si="62"/>
        <v/>
      </c>
      <c r="FY4" s="48" t="str">
        <f t="shared" si="63"/>
        <v/>
      </c>
      <c r="FZ4" s="48" t="str">
        <f t="shared" si="64"/>
        <v/>
      </c>
      <c r="GA4" s="48" t="str">
        <f t="shared" si="65"/>
        <v/>
      </c>
      <c r="GB4" s="48" t="str">
        <f t="shared" si="66"/>
        <v/>
      </c>
      <c r="GE4" s="48" t="str">
        <f t="shared" si="67"/>
        <v/>
      </c>
      <c r="GF4" s="48" t="str">
        <f t="shared" si="68"/>
        <v>"histor",</v>
      </c>
      <c r="GG4" s="48" t="str">
        <f t="shared" si="69"/>
        <v/>
      </c>
      <c r="GH4" s="48" t="str">
        <f t="shared" si="70"/>
        <v/>
      </c>
      <c r="GI4" s="48" t="str">
        <f t="shared" si="71"/>
        <v/>
      </c>
      <c r="GJ4" s="48" t="str">
        <f t="shared" si="72"/>
        <v/>
      </c>
      <c r="GK4" s="48" t="str">
        <f t="shared" si="73"/>
        <v>"HasSta",</v>
      </c>
      <c r="GL4" s="48" t="str">
        <f t="shared" si="4"/>
        <v>"1Stars",</v>
      </c>
      <c r="GM4" s="48" t="str">
        <f t="shared" si="4"/>
        <v/>
      </c>
      <c r="GN4" s="48" t="str">
        <f t="shared" si="4"/>
        <v/>
      </c>
      <c r="GP4" s="48" t="str">
        <f t="shared" si="74"/>
        <v>"Historical"</v>
      </c>
      <c r="GS4" s="48" t="str">
        <f t="shared" si="75"/>
        <v>["4Color","words2","words3","lets32","startN","year19","NoBand","Circle","Plants","Unequa","Center","sta","NO_GRE","NO_BLA","001RED","003BLU","myrBLU","histor","HasSta","1Stars"]</v>
      </c>
      <c r="GT4" s="48" t="str">
        <f t="shared" si="5"/>
        <v/>
      </c>
      <c r="GU4" s="48" t="str">
        <f t="shared" si="5"/>
        <v>"cl_BLU",</v>
      </c>
      <c r="GV4" s="48" t="str">
        <f t="shared" si="5"/>
        <v/>
      </c>
      <c r="GW4" s="48" t="str">
        <f t="shared" si="5"/>
        <v>"cl_RED",</v>
      </c>
      <c r="GX4" s="48" t="str">
        <f t="shared" si="5"/>
        <v>"cl_YEL",</v>
      </c>
      <c r="GY4" s="48" t="str">
        <f t="shared" si="5"/>
        <v/>
      </c>
      <c r="GZ4" s="48" t="str">
        <f t="shared" si="5"/>
        <v/>
      </c>
      <c r="HA4" s="48" t="str">
        <f t="shared" si="5"/>
        <v/>
      </c>
      <c r="HB4" s="48" t="str">
        <f t="shared" si="5"/>
        <v>"cl_WHI",</v>
      </c>
      <c r="HC4" s="48" t="str">
        <f t="shared" si="76"/>
        <v>["cl_BLU","cl_RED","cl_YEL","cl_WHI"]</v>
      </c>
      <c r="HE4" s="71"/>
      <c r="HF4" s="72" t="str">
        <f t="shared" si="77"/>
        <v>{couname:"[MNP] Northern Mariana Islands (1976-1989)",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links: "https://en.m.wikipedia.org/wiki/Flag_of_the_Northern_Mariana_Islands"},</v>
      </c>
      <c r="HG4" s="73" t="str">
        <f t="shared" si="78"/>
        <v>{couname:"[MNP] Northern Mariana Islands (1976-1989)",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links: "https://en.m.wikipedia.org/wiki/Flag_of_the_Northern_Mariana_Islands"},</v>
      </c>
      <c r="HH4" s="48" t="str">
        <f t="shared" si="79"/>
        <v>"\nA circle of flowers and plants with a grey latte stone and a white star on a blue field."</v>
      </c>
      <c r="HI4" s="48" t="str">
        <f t="shared" si="80"/>
        <v>"\nA circle of flowers and plants with a grey latte stone and a white star on a blue field."</v>
      </c>
      <c r="HJ4" s="48" t="str">
        <f t="shared" si="81"/>
        <v>"1976"</v>
      </c>
      <c r="HL4" s="48" t="str">
        <f t="shared" si="82"/>
        <v>"https://en.m.wikipedia.org/wiki/Flag_of_the_Northern_Mariana_Islands"</v>
      </c>
      <c r="HM4" s="72" t="str">
        <f t="shared" si="83"/>
        <v>{"couname":"[MNP] Northern Mariana Islands (1976-1989)","subtype":"[MNP] Other","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 "links": "https://en.m.wikipedia.org/wiki/Flag_of_the_Northern_Mariana_Islands"},</v>
      </c>
      <c r="HN4" s="74" t="str">
        <f t="shared" si="84"/>
        <v>{"couname":"[MNP] Northern Mariana Islands (1976-1989)","subtype":"[MNP] Other","year":"1976","region":"rgn_Oceania","Colors":["cl_BLU","cl_RED","cl_YEL","cl_WHI"],"Items":["4Color","words2","words3","lets32","startN","year19","NoBand","Circle","Plants","Unequa","Center","sta","NO_GRE","NO_BLA","001RED","003BLU","myrBLU","histor","HasSta","1Stars"],"Flag":"https://upload.wikimedia.org/wikipedia/commons/thumb/0/04/Flag_of_the_Northern_Mariana_Islands_%281976%E2%80%931989%29.svg/640px-Flag_of_the_Northern_Mariana_Islands_%281976%E2%80%931989%29.svg.png","HDFlag":"https://upload.wikimedia.org/wikipedia/commons/thumb/0/04/Flag_of_the_Northern_Mariana_Islands_%281976%E2%80%931989%29.svg/1280px-Flag_of_the_Northern_Mariana_Islands_%281976%E2%80%931989%29.svg.png","type":"Historical", "describe": "\nA circle of flowers and plants with a grey latte stone and a white star on a blue field.", "isnew": ".", "links": "https://en.m.wikipedia.org/wiki/Flag_of_the_Northern_Mariana_Islands"},</v>
      </c>
      <c r="HO4" s="75">
        <v>45610</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85"/>
        <v>-4</v>
      </c>
      <c r="IN4" s="78" t="str">
        <f t="shared" si="86"/>
        <v>http://mkweb.bcgsc.ca/color-summarizer/?url=https://upload.wikimedia.org/wikipedia/commons/thumb/0/04/Flag_of_the_Northern_Mariana_Islands_%281976%E2%80%931989%29.svg/640px-Flag_of_the_Northern_Mariana_Islands_%281976%E2%80%931989%29.svg.png&amp;precision=low&amp;num_clusters=4&amp;text=1</v>
      </c>
      <c r="IO4" s="48" t="str">
        <f t="shared" si="87"/>
        <v/>
      </c>
      <c r="IP4" s="48" t="str">
        <f t="shared" si="88"/>
        <v>"blue"</v>
      </c>
      <c r="IQ4" s="48" t="str">
        <f t="shared" si="89"/>
        <v/>
      </c>
      <c r="IR4" s="48" t="str">
        <f t="shared" si="90"/>
        <v>"red"</v>
      </c>
      <c r="IS4" s="48" t="str">
        <f t="shared" si="91"/>
        <v>"yellow"</v>
      </c>
      <c r="IT4" s="48" t="str">
        <f t="shared" si="92"/>
        <v/>
      </c>
      <c r="IU4" s="48" t="str">
        <f t="shared" si="93"/>
        <v/>
      </c>
      <c r="IV4" s="48" t="str">
        <f t="shared" si="94"/>
        <v/>
      </c>
      <c r="IW4" s="48" t="str">
        <f t="shared" si="95"/>
        <v>"white"</v>
      </c>
      <c r="IX4" s="48" t="str">
        <f t="shared" si="96"/>
        <v>{"url":"http://mkweb.bcgsc.ca/color-summarizer/?url=https://upload.wikimedia.org/wikipedia/commons/thumb/0/04/Flag_of_the_Northern_Mariana_Islands_%281976%E2%80%931989%29.svg/640px-Flag_of_the_Northern_Mariana_Islands_%281976%E2%80%931989%29.svg.png&amp;precision=low&amp;num_clusters=4&amp;text=1","name":"[MNP] Northern Mariana Islands (1976-1989)"},</v>
      </c>
      <c r="IY4" s="48">
        <v>1477</v>
      </c>
    </row>
  </sheetData>
  <conditionalFormatting sqref="H1 CW1:GS1 IA1:IB1">
    <cfRule type="cellIs" dxfId="3728" priority="143" operator="greaterThan">
      <formula>0</formula>
    </cfRule>
  </conditionalFormatting>
  <conditionalFormatting sqref="H1">
    <cfRule type="cellIs" dxfId="3727" priority="109" stopIfTrue="1" operator="notEqual">
      <formula>""</formula>
    </cfRule>
  </conditionalFormatting>
  <conditionalFormatting sqref="T1:BK1">
    <cfRule type="cellIs" dxfId="3726" priority="146" operator="greaterThan">
      <formula>0</formula>
    </cfRule>
  </conditionalFormatting>
  <conditionalFormatting sqref="BV1:BW1">
    <cfRule type="cellIs" dxfId="3725" priority="145" operator="equal">
      <formula>"nc"</formula>
    </cfRule>
  </conditionalFormatting>
  <conditionalFormatting sqref="HF1:HG1">
    <cfRule type="cellIs" dxfId="3724" priority="147" operator="greaterThan">
      <formula>0</formula>
    </cfRule>
  </conditionalFormatting>
  <conditionalFormatting sqref="HK1">
    <cfRule type="cellIs" dxfId="3723" priority="144" operator="greaterThan">
      <formula>0</formula>
    </cfRule>
  </conditionalFormatting>
  <conditionalFormatting sqref="HP1:HX1">
    <cfRule type="cellIs" dxfId="3722" priority="121" operator="equal">
      <formula>"PIN"</formula>
    </cfRule>
    <cfRule type="cellIs" dxfId="3721" priority="122" operator="equal">
      <formula>"ORA"</formula>
    </cfRule>
    <cfRule type="cellIs" dxfId="3720" priority="123" operator="equal">
      <formula>"GRA"</formula>
    </cfRule>
    <cfRule type="cellIs" dxfId="3719" priority="124" operator="equal">
      <formula>"PUR"</formula>
    </cfRule>
    <cfRule type="cellIs" dxfId="3718" priority="125" operator="equal">
      <formula>"BRO"</formula>
    </cfRule>
    <cfRule type="cellIs" dxfId="3717" priority="126" operator="equal">
      <formula>"YEL"</formula>
    </cfRule>
    <cfRule type="cellIs" dxfId="3716" priority="127" operator="equal">
      <formula>"BLU"</formula>
    </cfRule>
    <cfRule type="cellIs" dxfId="3715" priority="128" operator="equal">
      <formula>"WHI"</formula>
    </cfRule>
    <cfRule type="cellIs" dxfId="3714" priority="129" operator="equal">
      <formula>"GRE"</formula>
    </cfRule>
    <cfRule type="cellIs" dxfId="3713" priority="130" operator="equal">
      <formula>"RED"</formula>
    </cfRule>
    <cfRule type="cellIs" dxfId="3712" priority="131" operator="equal">
      <formula>"BLA"</formula>
    </cfRule>
  </conditionalFormatting>
  <conditionalFormatting sqref="IC1:IK1">
    <cfRule type="cellIs" dxfId="3711" priority="132" operator="equal">
      <formula>"PIN"</formula>
    </cfRule>
    <cfRule type="cellIs" dxfId="3710" priority="133" operator="equal">
      <formula>"ORA"</formula>
    </cfRule>
    <cfRule type="cellIs" dxfId="3709" priority="134" operator="equal">
      <formula>"GRA"</formula>
    </cfRule>
    <cfRule type="cellIs" dxfId="3708" priority="135" operator="equal">
      <formula>"PUR"</formula>
    </cfRule>
    <cfRule type="cellIs" dxfId="3707" priority="136" operator="equal">
      <formula>"BRO"</formula>
    </cfRule>
    <cfRule type="cellIs" dxfId="3706" priority="137" operator="equal">
      <formula>"YEL"</formula>
    </cfRule>
    <cfRule type="cellIs" dxfId="3705" priority="138" operator="equal">
      <formula>"BLU"</formula>
    </cfRule>
    <cfRule type="cellIs" dxfId="3704" priority="139" operator="equal">
      <formula>"WHI"</formula>
    </cfRule>
    <cfRule type="cellIs" dxfId="3703" priority="140" operator="equal">
      <formula>"GRE"</formula>
    </cfRule>
    <cfRule type="cellIs" dxfId="3702" priority="141" operator="equal">
      <formula>"RED"</formula>
    </cfRule>
    <cfRule type="cellIs" dxfId="3701" priority="142" operator="equal">
      <formula>"BLA"</formula>
    </cfRule>
  </conditionalFormatting>
  <conditionalFormatting sqref="IO1:IW1">
    <cfRule type="cellIs" dxfId="3700" priority="110" operator="equal">
      <formula>"PIN"</formula>
    </cfRule>
    <cfRule type="cellIs" dxfId="3699" priority="111" operator="equal">
      <formula>"ORA"</formula>
    </cfRule>
    <cfRule type="cellIs" dxfId="3698" priority="112" operator="equal">
      <formula>"GRA"</formula>
    </cfRule>
    <cfRule type="cellIs" dxfId="3697" priority="113" operator="equal">
      <formula>"PUR"</formula>
    </cfRule>
    <cfRule type="cellIs" dxfId="3696" priority="114" operator="equal">
      <formula>"BRO"</formula>
    </cfRule>
    <cfRule type="cellIs" dxfId="3695" priority="115" operator="equal">
      <formula>"YEL"</formula>
    </cfRule>
    <cfRule type="cellIs" dxfId="3694" priority="116" operator="equal">
      <formula>"BLU"</formula>
    </cfRule>
    <cfRule type="cellIs" dxfId="3693" priority="117" operator="equal">
      <formula>"WHI"</formula>
    </cfRule>
    <cfRule type="cellIs" dxfId="3692" priority="118" operator="equal">
      <formula>"GRE"</formula>
    </cfRule>
    <cfRule type="cellIs" dxfId="3691" priority="119" operator="equal">
      <formula>"RED"</formula>
    </cfRule>
    <cfRule type="cellIs" dxfId="3690" priority="120" operator="equal">
      <formula>"BLA"</formula>
    </cfRule>
  </conditionalFormatting>
  <conditionalFormatting sqref="H2">
    <cfRule type="cellIs" dxfId="3689" priority="78" stopIfTrue="1" operator="notEqual">
      <formula>""</formula>
    </cfRule>
  </conditionalFormatting>
  <conditionalFormatting sqref="R2 CU2">
    <cfRule type="cellIs" dxfId="3688" priority="80" operator="greaterThan">
      <formula>0</formula>
    </cfRule>
  </conditionalFormatting>
  <conditionalFormatting sqref="T2:AS2 CH2:CS2">
    <cfRule type="cellIs" dxfId="3687" priority="75" stopIfTrue="1" operator="equal">
      <formula>"n"</formula>
    </cfRule>
    <cfRule type="cellIs" dxfId="3686" priority="76" stopIfTrue="1" operator="equal">
      <formula>"y"</formula>
    </cfRule>
    <cfRule type="cellIs" dxfId="3685" priority="77" operator="greaterThan">
      <formula>0</formula>
    </cfRule>
  </conditionalFormatting>
  <conditionalFormatting sqref="AZ2:BB2">
    <cfRule type="expression" dxfId="3684" priority="74">
      <formula>$AT2=0</formula>
    </cfRule>
  </conditionalFormatting>
  <conditionalFormatting sqref="AZ2:BU2">
    <cfRule type="cellIs" dxfId="3683" priority="83" operator="equal">
      <formula>"PIN"</formula>
    </cfRule>
    <cfRule type="cellIs" dxfId="3682" priority="84" operator="equal">
      <formula>"ORA"</formula>
    </cfRule>
    <cfRule type="cellIs" dxfId="3681" priority="85" operator="equal">
      <formula>"GRA"</formula>
    </cfRule>
    <cfRule type="cellIs" dxfId="3680" priority="86" operator="equal">
      <formula>"PUR"</formula>
    </cfRule>
    <cfRule type="cellIs" dxfId="3679" priority="87" operator="equal">
      <formula>"BRO"</formula>
    </cfRule>
    <cfRule type="cellIs" dxfId="3678" priority="88" operator="equal">
      <formula>"YEL"</formula>
    </cfRule>
    <cfRule type="cellIs" dxfId="3677" priority="89" operator="equal">
      <formula>"BLU"</formula>
    </cfRule>
    <cfRule type="cellIs" dxfId="3676" priority="90" operator="equal">
      <formula>"WHI"</formula>
    </cfRule>
    <cfRule type="cellIs" dxfId="3675" priority="91" operator="equal">
      <formula>"GRE"</formula>
    </cfRule>
    <cfRule type="cellIs" dxfId="3674" priority="92" operator="equal">
      <formula>"RED"</formula>
    </cfRule>
    <cfRule type="cellIs" dxfId="3673" priority="93" operator="equal">
      <formula>"BLA"</formula>
    </cfRule>
  </conditionalFormatting>
  <conditionalFormatting sqref="BV2">
    <cfRule type="cellIs" dxfId="3672" priority="105" operator="equal">
      <formula>"nc"</formula>
    </cfRule>
  </conditionalFormatting>
  <conditionalFormatting sqref="BX2:CA2 CD2:CF2">
    <cfRule type="cellIs" dxfId="3671" priority="79" operator="equal">
      <formula>"y"</formula>
    </cfRule>
    <cfRule type="cellIs" dxfId="3670" priority="94" operator="equal">
      <formula>"PIN"</formula>
    </cfRule>
    <cfRule type="cellIs" dxfId="3669" priority="95" operator="equal">
      <formula>"ORA"</formula>
    </cfRule>
    <cfRule type="cellIs" dxfId="3668" priority="96" operator="equal">
      <formula>"GRA"</formula>
    </cfRule>
    <cfRule type="cellIs" dxfId="3667" priority="97" operator="equal">
      <formula>"PUR"</formula>
    </cfRule>
    <cfRule type="cellIs" dxfId="3666" priority="98" operator="equal">
      <formula>"BRO"</formula>
    </cfRule>
    <cfRule type="cellIs" dxfId="3665" priority="99" operator="equal">
      <formula>"YEL"</formula>
    </cfRule>
    <cfRule type="cellIs" dxfId="3664" priority="100" operator="equal">
      <formula>"BLU"</formula>
    </cfRule>
    <cfRule type="cellIs" dxfId="3663" priority="101" operator="equal">
      <formula>"WHI"</formula>
    </cfRule>
    <cfRule type="cellIs" dxfId="3662" priority="102" operator="equal">
      <formula>"GRE"</formula>
    </cfRule>
    <cfRule type="cellIs" dxfId="3661" priority="103" operator="equal">
      <formula>"RED"</formula>
    </cfRule>
    <cfRule type="cellIs" dxfId="3660" priority="104" operator="equal">
      <formula>"BLA"</formula>
    </cfRule>
  </conditionalFormatting>
  <conditionalFormatting sqref="BZ2:CA2 CD2:CF2">
    <cfRule type="cellIs" dxfId="3659" priority="81" operator="greaterThan">
      <formula>0</formula>
    </cfRule>
  </conditionalFormatting>
  <conditionalFormatting sqref="IC2:IK2">
    <cfRule type="expression" dxfId="3658" priority="82">
      <formula>$IL2&gt;0</formula>
    </cfRule>
  </conditionalFormatting>
  <conditionalFormatting sqref="S2">
    <cfRule type="colorScale" priority="106">
      <colorScale>
        <cfvo type="min"/>
        <cfvo type="max"/>
        <color rgb="FFFCFCFF"/>
        <color rgb="FF754BFB"/>
      </colorScale>
    </cfRule>
  </conditionalFormatting>
  <conditionalFormatting sqref="AT2">
    <cfRule type="colorScale" priority="107">
      <colorScale>
        <cfvo type="min"/>
        <cfvo type="max"/>
        <color rgb="FFFCFCFF"/>
        <color theme="8" tint="0.39997558519241921"/>
      </colorScale>
    </cfRule>
  </conditionalFormatting>
  <conditionalFormatting sqref="CG2">
    <cfRule type="colorScale" priority="108">
      <colorScale>
        <cfvo type="min"/>
        <cfvo type="max"/>
        <color rgb="FFFCFCFF"/>
        <color rgb="FF63BE7B"/>
      </colorScale>
    </cfRule>
  </conditionalFormatting>
  <conditionalFormatting sqref="J2">
    <cfRule type="colorScale" priority="73">
      <colorScale>
        <cfvo type="min"/>
        <cfvo type="percentile" val="50"/>
        <cfvo type="max"/>
        <color rgb="FFF8696B"/>
        <color rgb="FFFFEB84"/>
        <color rgb="FF63BE7B"/>
      </colorScale>
    </cfRule>
  </conditionalFormatting>
  <conditionalFormatting sqref="H3">
    <cfRule type="cellIs" dxfId="415" priority="41" stopIfTrue="1" operator="notEqual">
      <formula>""</formula>
    </cfRule>
  </conditionalFormatting>
  <conditionalFormatting sqref="R3 CU3">
    <cfRule type="cellIs" dxfId="414" priority="43" operator="greaterThan">
      <formula>0</formula>
    </cfRule>
  </conditionalFormatting>
  <conditionalFormatting sqref="T3:AS3 CH3:CS3">
    <cfRule type="cellIs" dxfId="413" priority="38" stopIfTrue="1" operator="equal">
      <formula>"n"</formula>
    </cfRule>
    <cfRule type="cellIs" dxfId="412" priority="39" stopIfTrue="1" operator="equal">
      <formula>"y"</formula>
    </cfRule>
    <cfRule type="cellIs" dxfId="411" priority="40" operator="greaterThan">
      <formula>0</formula>
    </cfRule>
  </conditionalFormatting>
  <conditionalFormatting sqref="AZ3:BB3">
    <cfRule type="expression" dxfId="410" priority="37">
      <formula>$AT3=0</formula>
    </cfRule>
  </conditionalFormatting>
  <conditionalFormatting sqref="AZ3:BU3">
    <cfRule type="cellIs" dxfId="409" priority="46" operator="equal">
      <formula>"PIN"</formula>
    </cfRule>
    <cfRule type="cellIs" dxfId="408" priority="47" operator="equal">
      <formula>"ORA"</formula>
    </cfRule>
    <cfRule type="cellIs" dxfId="407" priority="48" operator="equal">
      <formula>"GRA"</formula>
    </cfRule>
    <cfRule type="cellIs" dxfId="406" priority="49" operator="equal">
      <formula>"PUR"</formula>
    </cfRule>
    <cfRule type="cellIs" dxfId="405" priority="50" operator="equal">
      <formula>"BRO"</formula>
    </cfRule>
    <cfRule type="cellIs" dxfId="404" priority="51" operator="equal">
      <formula>"YEL"</formula>
    </cfRule>
    <cfRule type="cellIs" dxfId="403" priority="52" operator="equal">
      <formula>"BLU"</formula>
    </cfRule>
    <cfRule type="cellIs" dxfId="402" priority="53" operator="equal">
      <formula>"WHI"</formula>
    </cfRule>
    <cfRule type="cellIs" dxfId="401" priority="54" operator="equal">
      <formula>"GRE"</formula>
    </cfRule>
    <cfRule type="cellIs" dxfId="400" priority="55" operator="equal">
      <formula>"RED"</formula>
    </cfRule>
    <cfRule type="cellIs" dxfId="399" priority="56" operator="equal">
      <formula>"BLA"</formula>
    </cfRule>
  </conditionalFormatting>
  <conditionalFormatting sqref="BV3">
    <cfRule type="cellIs" dxfId="398" priority="68" operator="equal">
      <formula>"nc"</formula>
    </cfRule>
  </conditionalFormatting>
  <conditionalFormatting sqref="BX3:CA3 CD3:CF3">
    <cfRule type="cellIs" dxfId="397" priority="42" operator="equal">
      <formula>"y"</formula>
    </cfRule>
    <cfRule type="cellIs" dxfId="396" priority="57" operator="equal">
      <formula>"PIN"</formula>
    </cfRule>
    <cfRule type="cellIs" dxfId="395" priority="58" operator="equal">
      <formula>"ORA"</formula>
    </cfRule>
    <cfRule type="cellIs" dxfId="394" priority="59" operator="equal">
      <formula>"GRA"</formula>
    </cfRule>
    <cfRule type="cellIs" dxfId="393" priority="60" operator="equal">
      <formula>"PUR"</formula>
    </cfRule>
    <cfRule type="cellIs" dxfId="392" priority="61" operator="equal">
      <formula>"BRO"</formula>
    </cfRule>
    <cfRule type="cellIs" dxfId="391" priority="62" operator="equal">
      <formula>"YEL"</formula>
    </cfRule>
    <cfRule type="cellIs" dxfId="390" priority="63" operator="equal">
      <formula>"BLU"</formula>
    </cfRule>
    <cfRule type="cellIs" dxfId="389" priority="64" operator="equal">
      <formula>"WHI"</formula>
    </cfRule>
    <cfRule type="cellIs" dxfId="388" priority="65" operator="equal">
      <formula>"GRE"</formula>
    </cfRule>
    <cfRule type="cellIs" dxfId="387" priority="66" operator="equal">
      <formula>"RED"</formula>
    </cfRule>
    <cfRule type="cellIs" dxfId="386" priority="67" operator="equal">
      <formula>"BLA"</formula>
    </cfRule>
  </conditionalFormatting>
  <conditionalFormatting sqref="BZ3:CA3 CD3:CF3">
    <cfRule type="cellIs" dxfId="385" priority="44" operator="greaterThan">
      <formula>0</formula>
    </cfRule>
  </conditionalFormatting>
  <conditionalFormatting sqref="IC3:IK3">
    <cfRule type="expression" dxfId="384" priority="45">
      <formula>$IL3&gt;0</formula>
    </cfRule>
  </conditionalFormatting>
  <conditionalFormatting sqref="J3">
    <cfRule type="colorScale" priority="69">
      <colorScale>
        <cfvo type="min"/>
        <cfvo type="percentile" val="50"/>
        <cfvo type="max"/>
        <color rgb="FFF8696B"/>
        <color rgb="FFFFEB84"/>
        <color rgb="FF63BE7B"/>
      </colorScale>
    </cfRule>
  </conditionalFormatting>
  <conditionalFormatting sqref="S3">
    <cfRule type="colorScale" priority="70">
      <colorScale>
        <cfvo type="min"/>
        <cfvo type="max"/>
        <color rgb="FFFCFCFF"/>
        <color rgb="FF754BFB"/>
      </colorScale>
    </cfRule>
  </conditionalFormatting>
  <conditionalFormatting sqref="AT3">
    <cfRule type="colorScale" priority="71">
      <colorScale>
        <cfvo type="min"/>
        <cfvo type="max"/>
        <color rgb="FFFCFCFF"/>
        <color theme="8" tint="0.39997558519241921"/>
      </colorScale>
    </cfRule>
  </conditionalFormatting>
  <conditionalFormatting sqref="CG3">
    <cfRule type="colorScale" priority="72">
      <colorScale>
        <cfvo type="min"/>
        <cfvo type="max"/>
        <color rgb="FFFCFCFF"/>
        <color rgb="FF63BE7B"/>
      </colorScale>
    </cfRule>
  </conditionalFormatting>
  <conditionalFormatting sqref="H4">
    <cfRule type="cellIs" dxfId="383" priority="5" stopIfTrue="1" operator="notEqual">
      <formula>""</formula>
    </cfRule>
  </conditionalFormatting>
  <conditionalFormatting sqref="R4 CU4">
    <cfRule type="cellIs" dxfId="382" priority="7" operator="greaterThan">
      <formula>0</formula>
    </cfRule>
  </conditionalFormatting>
  <conditionalFormatting sqref="T4:AS4 CH4:CS4">
    <cfRule type="cellIs" dxfId="381" priority="2" stopIfTrue="1" operator="equal">
      <formula>"n"</formula>
    </cfRule>
    <cfRule type="cellIs" dxfId="380" priority="3" stopIfTrue="1" operator="equal">
      <formula>"y"</formula>
    </cfRule>
    <cfRule type="cellIs" dxfId="379" priority="4" operator="greaterThan">
      <formula>0</formula>
    </cfRule>
  </conditionalFormatting>
  <conditionalFormatting sqref="AZ4:BB4">
    <cfRule type="expression" dxfId="378" priority="1">
      <formula>$AT4=0</formula>
    </cfRule>
  </conditionalFormatting>
  <conditionalFormatting sqref="AZ4:BU4">
    <cfRule type="cellIs" dxfId="377" priority="10" operator="equal">
      <formula>"PIN"</formula>
    </cfRule>
    <cfRule type="cellIs" dxfId="376" priority="11" operator="equal">
      <formula>"ORA"</formula>
    </cfRule>
    <cfRule type="cellIs" dxfId="375" priority="12" operator="equal">
      <formula>"GRA"</formula>
    </cfRule>
    <cfRule type="cellIs" dxfId="374" priority="13" operator="equal">
      <formula>"PUR"</formula>
    </cfRule>
    <cfRule type="cellIs" dxfId="373" priority="14" operator="equal">
      <formula>"BRO"</formula>
    </cfRule>
    <cfRule type="cellIs" dxfId="372" priority="15" operator="equal">
      <formula>"YEL"</formula>
    </cfRule>
    <cfRule type="cellIs" dxfId="371" priority="16" operator="equal">
      <formula>"BLU"</formula>
    </cfRule>
    <cfRule type="cellIs" dxfId="370" priority="17" operator="equal">
      <formula>"WHI"</formula>
    </cfRule>
    <cfRule type="cellIs" dxfId="369" priority="18" operator="equal">
      <formula>"GRE"</formula>
    </cfRule>
    <cfRule type="cellIs" dxfId="368" priority="19" operator="equal">
      <formula>"RED"</formula>
    </cfRule>
    <cfRule type="cellIs" dxfId="367" priority="20" operator="equal">
      <formula>"BLA"</formula>
    </cfRule>
  </conditionalFormatting>
  <conditionalFormatting sqref="BV4">
    <cfRule type="cellIs" dxfId="366" priority="32" operator="equal">
      <formula>"nc"</formula>
    </cfRule>
  </conditionalFormatting>
  <conditionalFormatting sqref="BX4:CA4 CD4:CF4">
    <cfRule type="cellIs" dxfId="365" priority="6" operator="equal">
      <formula>"y"</formula>
    </cfRule>
    <cfRule type="cellIs" dxfId="364" priority="21" operator="equal">
      <formula>"PIN"</formula>
    </cfRule>
    <cfRule type="cellIs" dxfId="363" priority="22" operator="equal">
      <formula>"ORA"</formula>
    </cfRule>
    <cfRule type="cellIs" dxfId="362" priority="23" operator="equal">
      <formula>"GRA"</formula>
    </cfRule>
    <cfRule type="cellIs" dxfId="361" priority="24" operator="equal">
      <formula>"PUR"</formula>
    </cfRule>
    <cfRule type="cellIs" dxfId="360" priority="25" operator="equal">
      <formula>"BRO"</formula>
    </cfRule>
    <cfRule type="cellIs" dxfId="359" priority="26" operator="equal">
      <formula>"YEL"</formula>
    </cfRule>
    <cfRule type="cellIs" dxfId="358" priority="27" operator="equal">
      <formula>"BLU"</formula>
    </cfRule>
    <cfRule type="cellIs" dxfId="357" priority="28" operator="equal">
      <formula>"WHI"</formula>
    </cfRule>
    <cfRule type="cellIs" dxfId="356" priority="29" operator="equal">
      <formula>"GRE"</formula>
    </cfRule>
    <cfRule type="cellIs" dxfId="355" priority="30" operator="equal">
      <formula>"RED"</formula>
    </cfRule>
    <cfRule type="cellIs" dxfId="354" priority="31" operator="equal">
      <formula>"BLA"</formula>
    </cfRule>
  </conditionalFormatting>
  <conditionalFormatting sqref="BZ4:CA4 CD4:CF4">
    <cfRule type="cellIs" dxfId="353" priority="8" operator="greaterThan">
      <formula>0</formula>
    </cfRule>
  </conditionalFormatting>
  <conditionalFormatting sqref="IC4:IK4">
    <cfRule type="expression" dxfId="352" priority="9">
      <formula>$IL4&gt;0</formula>
    </cfRule>
  </conditionalFormatting>
  <conditionalFormatting sqref="J4">
    <cfRule type="colorScale" priority="33">
      <colorScale>
        <cfvo type="min"/>
        <cfvo type="percentile" val="50"/>
        <cfvo type="max"/>
        <color rgb="FFF8696B"/>
        <color rgb="FFFFEB84"/>
        <color rgb="FF63BE7B"/>
      </colorScale>
    </cfRule>
  </conditionalFormatting>
  <conditionalFormatting sqref="S4">
    <cfRule type="colorScale" priority="34">
      <colorScale>
        <cfvo type="min"/>
        <cfvo type="max"/>
        <color rgb="FFFCFCFF"/>
        <color rgb="FF754BFB"/>
      </colorScale>
    </cfRule>
  </conditionalFormatting>
  <conditionalFormatting sqref="AT4">
    <cfRule type="colorScale" priority="35">
      <colorScale>
        <cfvo type="min"/>
        <cfvo type="max"/>
        <color rgb="FFFCFCFF"/>
        <color theme="8" tint="0.39997558519241921"/>
      </colorScale>
    </cfRule>
  </conditionalFormatting>
  <conditionalFormatting sqref="CG4">
    <cfRule type="colorScale" priority="36">
      <colorScale>
        <cfvo type="min"/>
        <cfvo type="max"/>
        <color rgb="FFFCFCFF"/>
        <color rgb="FF63BE7B"/>
      </colorScale>
    </cfRule>
  </conditionalFormatting>
  <hyperlinks>
    <hyperlink ref="E2" r:id="rId1" xr:uid="{C043ED39-619E-489D-8417-42883BD9A794}"/>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8EA8E5-6BE5-4A91-91CF-66AB22CE115F}">
  <dimension ref="A1:IY11"/>
  <sheetViews>
    <sheetView zoomScale="70" zoomScaleNormal="70" workbookViewId="0">
      <selection activeCell="A11" sqref="A11:XFD11"/>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290</v>
      </c>
      <c r="B2" s="40" t="e" vm="90">
        <v>#VALUE!</v>
      </c>
      <c r="C2" s="41">
        <v>1</v>
      </c>
      <c r="D2" s="42" t="s">
        <v>291</v>
      </c>
      <c r="E2" s="43" t="s">
        <v>292</v>
      </c>
      <c r="F2" s="44" t="s">
        <v>166</v>
      </c>
      <c r="G2" s="45">
        <f>COUNTIF($A$1:$A$8249,A2)</f>
        <v>1</v>
      </c>
      <c r="H2" s="46"/>
      <c r="I2" s="47" t="s">
        <v>293</v>
      </c>
      <c r="J2" s="48" t="str">
        <f>""</f>
        <v/>
      </c>
      <c r="K2" s="49">
        <v>18058</v>
      </c>
      <c r="L2" s="50">
        <v>41277</v>
      </c>
      <c r="M2" s="50" t="s">
        <v>294</v>
      </c>
      <c r="N2" s="51" t="s">
        <v>169</v>
      </c>
      <c r="O2" s="52" t="s">
        <v>295</v>
      </c>
      <c r="P2" s="53" t="s">
        <v>296</v>
      </c>
      <c r="Q2" s="54">
        <v>1</v>
      </c>
      <c r="R2" s="55" t="s">
        <v>169</v>
      </c>
      <c r="S2" s="56">
        <v>0</v>
      </c>
      <c r="T2" s="57" t="s">
        <v>173</v>
      </c>
      <c r="U2" s="58" t="s">
        <v>173</v>
      </c>
      <c r="V2" s="58" t="s">
        <v>173</v>
      </c>
      <c r="W2" s="58" t="s">
        <v>173</v>
      </c>
      <c r="X2" s="58" t="s">
        <v>172</v>
      </c>
      <c r="Y2" s="58" t="s">
        <v>173</v>
      </c>
      <c r="Z2" s="58" t="s">
        <v>173</v>
      </c>
      <c r="AA2" s="58" t="s">
        <v>173</v>
      </c>
      <c r="AB2" s="58" t="s">
        <v>173</v>
      </c>
      <c r="AC2" s="58" t="s">
        <v>173</v>
      </c>
      <c r="AD2" s="58" t="s">
        <v>173</v>
      </c>
      <c r="AE2" s="58" t="s">
        <v>172</v>
      </c>
      <c r="AF2" s="59" t="s">
        <v>173</v>
      </c>
      <c r="AG2" s="59" t="s">
        <v>173</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0</v>
      </c>
      <c r="AU2" s="59"/>
      <c r="AV2" s="59" t="str">
        <f>IF(LEFT(A2,1)="[",LEFT(A2,5)&amp;AU2&amp;A2,"")</f>
        <v/>
      </c>
      <c r="AW2" s="59" t="str">
        <f>C2&amp;H2&amp;A2</f>
        <v>1Palau</v>
      </c>
      <c r="AX2" s="61"/>
      <c r="AY2" s="61"/>
      <c r="AZ2" s="62" t="s">
        <v>192</v>
      </c>
      <c r="BA2" s="62" t="s">
        <v>192</v>
      </c>
      <c r="BB2" s="62"/>
      <c r="BC2" s="63"/>
      <c r="BD2" s="64" t="s">
        <v>154</v>
      </c>
      <c r="BE2" s="47"/>
      <c r="BF2" s="64" t="s">
        <v>154</v>
      </c>
      <c r="BG2" s="64" t="s">
        <v>159</v>
      </c>
      <c r="BH2" s="64" t="s">
        <v>154</v>
      </c>
      <c r="BI2" s="64"/>
      <c r="BJ2" s="64"/>
      <c r="BK2" s="47"/>
      <c r="BL2" s="64" t="s">
        <v>192</v>
      </c>
      <c r="BM2" s="64" t="s">
        <v>152</v>
      </c>
      <c r="BN2" s="64" t="s">
        <v>153</v>
      </c>
      <c r="BO2" s="64" t="s">
        <v>154</v>
      </c>
      <c r="BP2" s="64" t="s">
        <v>155</v>
      </c>
      <c r="BQ2" s="64" t="s">
        <v>192</v>
      </c>
      <c r="BR2" s="64" t="s">
        <v>157</v>
      </c>
      <c r="BS2" s="64" t="s">
        <v>192</v>
      </c>
      <c r="BT2" s="64" t="s">
        <v>159</v>
      </c>
      <c r="BU2" s="65" t="s">
        <v>172</v>
      </c>
      <c r="BV2" s="66"/>
      <c r="BW2" s="66">
        <v>0</v>
      </c>
      <c r="BX2" s="47"/>
      <c r="BY2" s="48" t="s">
        <v>173</v>
      </c>
      <c r="CB2" s="6"/>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"Palau"</v>
      </c>
      <c r="CU2" s="70" t="str">
        <f>CHAR(34)&amp;"rgn_"&amp;R2&amp;CHAR(34)</f>
        <v>"rgn_Oceania"</v>
      </c>
      <c r="CV2" s="48" t="str">
        <f>CHAR(34)&amp;D2&amp;CHAR(34)</f>
        <v>"https://i.ibb.co/v1H7J0V/Palau-Flag.png"</v>
      </c>
      <c r="CW2" s="48" t="str">
        <f t="shared" ref="CW2:CZ11" si="0">IF(CH2="y",CHAR(34)&amp;CH$1&amp;CHAR(34)&amp;",","")</f>
        <v/>
      </c>
      <c r="CX2" s="48" t="str">
        <f t="shared" si="0"/>
        <v/>
      </c>
      <c r="CY2" s="48" t="str">
        <f t="shared" si="0"/>
        <v/>
      </c>
      <c r="CZ2" s="48" t="str">
        <f t="shared" si="0"/>
        <v>"5+Colo",</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"lets05",</v>
      </c>
      <c r="DE2" s="48" t="str">
        <f>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11" si="1">IF(CL2="y",CHAR(34)&amp;CL$1&amp;CHAR(34)&amp;",","")</f>
        <v>"NoBand",</v>
      </c>
      <c r="DX2" s="48" t="str">
        <f t="shared" si="1"/>
        <v/>
      </c>
      <c r="DY2" s="48" t="str">
        <f t="shared" si="1"/>
        <v/>
      </c>
      <c r="DZ2" s="48" t="str">
        <f t="shared" si="1"/>
        <v/>
      </c>
      <c r="EA2" s="48" t="str">
        <f t="shared" ref="EA2:EE11" si="2">IF(T2="y",CHAR(34)&amp;T$1&amp;CHAR(34)&amp;",","")</f>
        <v/>
      </c>
      <c r="EB2" s="48" t="str">
        <f t="shared" si="2"/>
        <v/>
      </c>
      <c r="EC2" s="48" t="str">
        <f t="shared" si="2"/>
        <v/>
      </c>
      <c r="ED2" s="48" t="str">
        <f t="shared" si="2"/>
        <v/>
      </c>
      <c r="EE2" s="48" t="str">
        <f t="shared" si="2"/>
        <v>"Circle",</v>
      </c>
      <c r="EF2" s="48" t="str">
        <f>IF(AND(Y2&lt;&gt;"n",Y2&lt;&gt;""),CHAR(34)&amp;Y$1&amp;CHAR(34)&amp;",","")</f>
        <v/>
      </c>
      <c r="EG2" s="48" t="str">
        <f t="shared" ref="EG2:EZ11" si="3">IF(Z2="y",CHAR(34)&amp;Z$1&amp;CHAR(34)&amp;",","")</f>
        <v/>
      </c>
      <c r="EH2" s="48" t="str">
        <f t="shared" si="3"/>
        <v/>
      </c>
      <c r="EI2" s="48" t="str">
        <f t="shared" si="3"/>
        <v/>
      </c>
      <c r="EJ2" s="48" t="str">
        <f t="shared" si="3"/>
        <v/>
      </c>
      <c r="EK2" s="48" t="str">
        <f t="shared" si="3"/>
        <v/>
      </c>
      <c r="EL2" s="48" t="str">
        <f t="shared" si="3"/>
        <v>"IsMoon",</v>
      </c>
      <c r="EM2" s="48" t="str">
        <f t="shared" si="3"/>
        <v/>
      </c>
      <c r="EN2" s="48" t="str">
        <f t="shared" si="3"/>
        <v/>
      </c>
      <c r="EO2" s="48" t="str">
        <f t="shared" si="3"/>
        <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"unjack",</v>
      </c>
      <c r="GH2" s="48" t="str">
        <f>IF(CD2=1,CHAR(34)&amp;"southc"&amp;CHAR(34)&amp;",","")</f>
        <v/>
      </c>
      <c r="GI2" s="48" t="str">
        <f>IF(CE2=1,CHAR(34)&amp;"hasmap"&amp;CHAR(34)&amp;",","")</f>
        <v/>
      </c>
      <c r="GJ2" s="48" t="str">
        <f>IF(CP2="y",CHAR(34)&amp;CP$1&amp;CHAR(34)&amp;",","")</f>
        <v>"NoStar",</v>
      </c>
      <c r="GK2" s="48" t="str">
        <f>IF(GJ2="",CHAR(34)&amp;"HasSta"&amp;CHAR(34)&amp;",","")</f>
        <v/>
      </c>
      <c r="GL2" s="48" t="str">
        <f t="shared" ref="GL2:GN11" si="4">IF(CQ2="y",CHAR(34)&amp;CQ$1&amp;CHAR(34)&amp;",","")</f>
        <v/>
      </c>
      <c r="GM2" s="48" t="str">
        <f t="shared" si="4"/>
        <v/>
      </c>
      <c r="GN2" s="48" t="str">
        <f t="shared" si="4"/>
        <v/>
      </c>
      <c r="GP2" s="48" t="str">
        <f>CHAR(34)&amp;AU2&amp;CHAR(34)</f>
        <v>""</v>
      </c>
      <c r="GS2" s="48" t="str">
        <f>SUBSTITUTE("["&amp;_xlfn.CONCAT(CW2:GN2)&amp;"]",",]","]")</f>
        <v>["5+Colo","lets05","startP","year19","NoBand","Circle","IsMoon","NO_BLA","001RED","002WHI","003RED","myrRED","unjack","NoStar"]</v>
      </c>
      <c r="GT2" s="48" t="str">
        <f t="shared" ref="GT2:HB11" si="5">IF(BL2&lt;&gt;"",CHAR(34)&amp;"cl_"&amp;BL2&amp;CHAR(34)&amp;",","")</f>
        <v/>
      </c>
      <c r="GU2" s="48" t="str">
        <f t="shared" si="5"/>
        <v>"cl_BLU",</v>
      </c>
      <c r="GV2" s="48" t="str">
        <f t="shared" si="5"/>
        <v>"cl_GRE",</v>
      </c>
      <c r="GW2" s="48" t="str">
        <f t="shared" si="5"/>
        <v>"cl_RED",</v>
      </c>
      <c r="GX2" s="48" t="str">
        <f t="shared" si="5"/>
        <v>"cl_YEL",</v>
      </c>
      <c r="GY2" s="48" t="str">
        <f t="shared" si="5"/>
        <v/>
      </c>
      <c r="GZ2" s="48" t="str">
        <f t="shared" si="5"/>
        <v>"cl_BRO",</v>
      </c>
      <c r="HA2" s="48" t="str">
        <f t="shared" si="5"/>
        <v/>
      </c>
      <c r="HB2" s="48" t="str">
        <f t="shared" si="5"/>
        <v>"cl_WHI",</v>
      </c>
      <c r="HC2" s="48" t="str">
        <f>SUBSTITUTE("["&amp;_xlfn.CONCAT(GT2:HB2)&amp;"]",",]","]")</f>
        <v>["cl_BLU","cl_GRE","cl_RED","cl_YEL","cl_BRO","cl_WHI"]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links: "https://en.wikipedia.org/wiki/Flag_of_Palau"},</v>
      </c>
      <c r="HG2" s="73" t="str">
        <f>"{couname:"&amp;CT2&amp;(IF(HK2&lt;&gt;"",",subtype:"&amp;CHAR(34)&amp;HK2&amp;CHAR(34),""))&amp;",year:"&amp;HJ2&amp;",region:"&amp;CU2&amp;",Colors:"&amp;HC2&amp;",Items:"&amp;GS2&amp;",Flag:"&amp;CV2&amp;",HDFlag:"&amp;CHAR(34)&amp;E2&amp;CHAR(34)&amp;",type:"&amp;GP2&amp;", describe: "&amp;HI2&amp;", links: "&amp;HL2&amp;"},"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links: "https://en.wikipedia.org/wiki/Flag_of_Palau"},</v>
      </c>
      <c r="HH2" s="48" t="str">
        <f>IF(P2&lt;&gt;"",CHAR(34)&amp;"\n"&amp;P2&amp;CHAR(34),CHAR(34)&amp;CHAR(34))</f>
        <v>"\nThe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v>
      </c>
      <c r="HI2" s="48" t="str">
        <f>IF(J2=0,CHAR(34)&amp;CHAR(34),HH2)</f>
        <v>"\nThe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v>
      </c>
      <c r="HJ2" s="48" t="str">
        <f>CHAR(34)&amp;O2&amp;CHAR(34)</f>
        <v>"1981 "</v>
      </c>
      <c r="HL2" s="48" t="str">
        <f>CHAR(34)&amp;I2&amp;CHAR(34)</f>
        <v>"https://en.wikipedia.org/wiki/Flag_of_Palau"</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 "links": "https://en.wikipedia.org/wiki/Flag_of_Palau"},</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{"couname":"Palau","year":"1981 ","region":"rgn_Oceania","Colors":["cl_BLU","cl_GRE","cl_RED","cl_YEL","cl_BRO","cl_WHI"],"Items":["5+Colo","lets05","startP","year19","NoBand","Circle","IsMoon","NO_BLA","001RED","002WHI","003RED","myrRED","unjack","NoStar"],"Flag":"https://i.ibb.co/v1H7J0V/Palau-Flag.png","HDFlag":"https://upload.wikimedia.org/wikipedia/commons/thumb/4/48/Flag_of_Palau.svg/2560px-Flag_of_Palau.svg.png","type":"", "describe": "\nThe light blue of the field symbolizes the Pacific Ocean, and also represents the transition from foreign domination to self-government. The golden disk, which sits slightly off-center toward the hoist, represents the full moon. The Palauans consider the full moon to be the optimum time for human activity.", "isnew": ".", "links": "https://en.wikipedia.org/wiki/Flag_of_Palau"},</v>
      </c>
      <c r="HO2" s="75">
        <v>45618</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-6</v>
      </c>
      <c r="IN2" s="78" t="str">
        <f>"http://mkweb.bcgsc.ca/color-summarizer/?url="&amp;D2&amp;"&amp;precision=low&amp;num_clusters="&amp;CG2&amp;"&amp;text=1"</f>
        <v>http://mkweb.bcgsc.ca/color-summarizer/?url=https://i.ibb.co/v1H7J0V/Palau-Flag.png&amp;precision=low&amp;num_clusters=6&amp;text=1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{"url":"http://mkweb.bcgsc.ca/color-summarizer/?url=https://i.ibb.co/v1H7J0V/Palau-Flag.png&amp;precision=low&amp;num_clusters=6&amp;text=1","name":"Palau"},</v>
      </c>
      <c r="IY2" s="48">
        <v>968</v>
      </c>
    </row>
    <row r="3" spans="1:259" s="48" customFormat="1" ht="38.4" customHeight="1" thickBot="1" x14ac:dyDescent="0.35">
      <c r="A3" s="79" t="s">
        <v>510</v>
      </c>
      <c r="B3" s="40" t="e" vm="91">
        <v>#VALUE!</v>
      </c>
      <c r="C3" s="41">
        <v>2</v>
      </c>
      <c r="D3" s="42" t="s">
        <v>511</v>
      </c>
      <c r="E3" s="43" t="s">
        <v>512</v>
      </c>
      <c r="F3" s="44" t="s">
        <v>166</v>
      </c>
      <c r="G3" s="45">
        <f>COUNTIF($A$1:$A$8249,A3)</f>
        <v>1</v>
      </c>
      <c r="H3" s="46"/>
      <c r="I3" s="47" t="s">
        <v>513</v>
      </c>
      <c r="J3" s="48" t="str">
        <f>""</f>
        <v/>
      </c>
      <c r="K3" s="49"/>
      <c r="L3" s="50"/>
      <c r="M3" s="50"/>
      <c r="N3" s="51" t="s">
        <v>169</v>
      </c>
      <c r="O3" s="52" t="s">
        <v>355</v>
      </c>
      <c r="P3" s="53" t="s">
        <v>514</v>
      </c>
      <c r="Q3" s="54">
        <v>1</v>
      </c>
      <c r="R3" s="55" t="s">
        <v>169</v>
      </c>
      <c r="S3" s="56">
        <v>3</v>
      </c>
      <c r="T3" s="57" t="s">
        <v>173</v>
      </c>
      <c r="U3" s="58" t="s">
        <v>173</v>
      </c>
      <c r="V3" s="58" t="s">
        <v>172</v>
      </c>
      <c r="W3" s="58" t="s">
        <v>173</v>
      </c>
      <c r="X3" s="58" t="s">
        <v>173</v>
      </c>
      <c r="Y3" s="58" t="s">
        <v>173</v>
      </c>
      <c r="Z3" s="58" t="s">
        <v>173</v>
      </c>
      <c r="AA3" s="58" t="s">
        <v>173</v>
      </c>
      <c r="AB3" s="58" t="s">
        <v>173</v>
      </c>
      <c r="AC3" s="58" t="s">
        <v>173</v>
      </c>
      <c r="AD3" s="58" t="s">
        <v>173</v>
      </c>
      <c r="AE3" s="58" t="s">
        <v>173</v>
      </c>
      <c r="AF3" s="59" t="s">
        <v>173</v>
      </c>
      <c r="AG3" s="59" t="s">
        <v>172</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5</v>
      </c>
      <c r="AU3" s="59" t="s">
        <v>363</v>
      </c>
      <c r="AV3" s="59" t="str">
        <f>IF(LEFT(A3,1)="[",LEFT(A3,5)&amp;AU3&amp;A3,"")</f>
        <v>[PAU]State[PAU] Aimelik</v>
      </c>
      <c r="AW3" s="59" t="str">
        <f>C3&amp;H3&amp;A3</f>
        <v>2[PAU] Aimelik</v>
      </c>
      <c r="AX3" s="61"/>
      <c r="AY3" s="61"/>
      <c r="AZ3" s="62" t="s">
        <v>192</v>
      </c>
      <c r="BA3" s="62" t="s">
        <v>192</v>
      </c>
      <c r="BB3" s="62"/>
      <c r="BC3" s="63"/>
      <c r="BD3" s="64" t="s">
        <v>408</v>
      </c>
      <c r="BE3" s="47"/>
      <c r="BF3" s="64" t="s">
        <v>154</v>
      </c>
      <c r="BG3" s="64" t="s">
        <v>159</v>
      </c>
      <c r="BH3" s="64" t="s">
        <v>152</v>
      </c>
      <c r="BI3" s="64"/>
      <c r="BJ3" s="64"/>
      <c r="BK3" s="47"/>
      <c r="BL3" s="64" t="s">
        <v>151</v>
      </c>
      <c r="BM3" s="64" t="s">
        <v>152</v>
      </c>
      <c r="BN3" s="64" t="s">
        <v>192</v>
      </c>
      <c r="BO3" s="64" t="s">
        <v>154</v>
      </c>
      <c r="BP3" s="64" t="s">
        <v>155</v>
      </c>
      <c r="BQ3" s="64" t="s">
        <v>192</v>
      </c>
      <c r="BR3" s="64" t="s">
        <v>157</v>
      </c>
      <c r="BS3" s="64" t="s">
        <v>192</v>
      </c>
      <c r="BT3" s="64" t="s">
        <v>159</v>
      </c>
      <c r="BU3" s="65"/>
      <c r="BV3" s="66"/>
      <c r="BW3" s="66">
        <v>0</v>
      </c>
      <c r="BX3" s="47"/>
      <c r="CB3" s="6"/>
      <c r="CC3" s="6"/>
      <c r="CD3" s="67">
        <v>0</v>
      </c>
      <c r="CE3" s="67">
        <v>0</v>
      </c>
      <c r="CF3" s="67" t="e">
        <v>#REF!</v>
      </c>
      <c r="CG3" s="68" cm="1">
        <f t="array" ref="CG3">SUMPRODUCT(--(LEN(TRIM(BL3:BT3))&gt;0))</f>
        <v>6</v>
      </c>
      <c r="CH3" s="59" t="str">
        <f t="shared" ref="CH3:CH7" si="6">IF(CG3=2,"y","n")</f>
        <v>n</v>
      </c>
      <c r="CI3" s="59" t="str">
        <f t="shared" ref="CI3:CI7" si="7">IF(CG3=3,"y","n")</f>
        <v>n</v>
      </c>
      <c r="CJ3" s="59" t="str">
        <f t="shared" ref="CJ3:CJ7" si="8">IF(CG3=4,"y","n")</f>
        <v>n</v>
      </c>
      <c r="CK3" s="59" t="str">
        <f t="shared" ref="CK3:CK7" si="9">IF(CG3&gt;4,"y","n")</f>
        <v>y</v>
      </c>
      <c r="CL3" s="59" t="str">
        <f t="shared" ref="CL3:CL7" si="10">IF(S3=0,"y","n")</f>
        <v>n</v>
      </c>
      <c r="CM3" s="59" t="str">
        <f t="shared" ref="CM3:CM7" si="11">IF(S3=2,"y","n")</f>
        <v>n</v>
      </c>
      <c r="CN3" s="59" t="str">
        <f t="shared" ref="CN3:CN7" si="12">IF(S3=3,"y","n")</f>
        <v>y</v>
      </c>
      <c r="CO3" s="59" t="str">
        <f t="shared" ref="CO3:CO7" si="13">IF(S3&gt;=4,"y","n")</f>
        <v>n</v>
      </c>
      <c r="CP3" s="59" t="str">
        <f t="shared" ref="CP3:CP7" si="14">IF(AT3=0,"y","n")</f>
        <v>n</v>
      </c>
      <c r="CQ3" s="59" t="str">
        <f t="shared" ref="CQ3:CQ7" si="15">IF(AT3=1,"y","n")</f>
        <v>n</v>
      </c>
      <c r="CR3" s="59" t="str">
        <f t="shared" ref="CR3:CR7" si="16">IF(AT3=2,"y","n")</f>
        <v>n</v>
      </c>
      <c r="CS3" s="59" t="str">
        <f t="shared" ref="CS3:CS7" si="17">IF(AT3&gt;=3,"y","n")</f>
        <v>y</v>
      </c>
      <c r="CT3" s="69" t="str">
        <f t="shared" ref="CT3:CT7" si="18">CHAR(34)&amp;A3&amp;CHAR(34)</f>
        <v>"[PAU] Aimelik"</v>
      </c>
      <c r="CU3" s="70" t="str">
        <f t="shared" ref="CU3:CU7" si="19">CHAR(34)&amp;"rgn_"&amp;R3&amp;CHAR(34)</f>
        <v>"rgn_Oceania"</v>
      </c>
      <c r="CV3" s="48" t="str">
        <f t="shared" ref="CV3:CV7" si="20">CHAR(34)&amp;D3&amp;CHAR(34)</f>
        <v>"https://upload.wikimedia.org/wikipedia/commons/thumb/3/31/Flag_of_Aimeliik.svg/1024px-Flag_of_Aimeliik.svg.png"</v>
      </c>
      <c r="CW3" s="48" t="str">
        <f t="shared" si="0"/>
        <v/>
      </c>
      <c r="CX3" s="48" t="str">
        <f t="shared" si="0"/>
        <v/>
      </c>
      <c r="CY3" s="48" t="str">
        <f t="shared" si="0"/>
        <v/>
      </c>
      <c r="CZ3" s="48" t="str">
        <f t="shared" si="0"/>
        <v>"5+Colo",</v>
      </c>
      <c r="DA3" s="48" t="str">
        <f t="shared" ref="DA3:DA7" si="21">IF(Q3&gt;1,CHAR(34)&amp;"words2"&amp;CHAR(34)&amp;",","")</f>
        <v/>
      </c>
      <c r="DB3" s="48" t="str">
        <f t="shared" ref="DB3:DB7" si="22">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"lets07",</v>
      </c>
      <c r="DE3" s="48" t="str">
        <f>CHAR(34)&amp;"start"&amp;IFERROR(LEFT(SUBSTITUTE(A3,"["&amp;MID(A3,FIND("[",A3)+1,FIND("]",A3)-FIND("[",A3)-1)&amp;"] ",""),1),LEFT(A3,1))&amp;CHAR(34)&amp;","</f>
        <v>"startA",</v>
      </c>
      <c r="DF3" s="48" t="str">
        <f t="shared" ref="DF3:DF7" si="23">IFERROR(IF(SEARCH("tan",A3)&gt;0,CHAR(34)&amp;"withtn"&amp;CHAR(34)&amp;",",""),"")</f>
        <v/>
      </c>
      <c r="DG3" s="48" t="str">
        <f t="shared" ref="DG3:DG7" si="24">IFERROR(IF(SEARCH("q",A3)&gt;0,CHAR(34)&amp;"with_q"&amp;CHAR(34)&amp;",",""),"")</f>
        <v/>
      </c>
      <c r="DH3" s="48" t="str">
        <f t="shared" ref="DH3:DH7" si="25">IFERROR(IF(SEARCH("v",A3)&gt;0,CHAR(34)&amp;"with_v"&amp;CHAR(34)&amp;",",""),"")</f>
        <v/>
      </c>
      <c r="DI3" s="48" t="str">
        <f t="shared" ref="DI3:DI7" si="26">IFERROR(IF(SEARCH("w",A3)&gt;0,CHAR(34)&amp;"with_w"&amp;CHAR(34)&amp;",",""),"")</f>
        <v/>
      </c>
      <c r="DJ3" s="48" t="str">
        <f t="shared" ref="DJ3:DJ7" si="27">IFERROR(IF(SEARCH("y",A3)&gt;0,CHAR(34)&amp;"with_y"&amp;CHAR(34)&amp;",",""),"")</f>
        <v/>
      </c>
      <c r="DK3" s="48" t="str">
        <f t="shared" ref="DK3:DK7" si="28">IFERROR(IF(SEARCH("z",A3)&gt;0,CHAR(34)&amp;"with_z"&amp;CHAR(34)&amp;",",""),"")</f>
        <v/>
      </c>
      <c r="DL3" s="48" t="str">
        <f t="shared" ref="DL3:DL7" si="29">IF(CG3=2, CHAR(34) &amp; _xlfn.TEXTJOIN("", TRUE, _xlfn._xlws.SORT(HP3:HX3)) &amp; CHAR(34) &amp; ",", "")</f>
        <v/>
      </c>
      <c r="DM3" s="48" t="str" cm="1">
        <f t="array" ref="DM3">IF(CG3=3,CHAR(34) &amp; _xlfn.TEXTJOIN("", TRUE, RIGHT(HP3:HX3, 2)) &amp; CHAR(34) &amp; ",", "")</f>
        <v/>
      </c>
      <c r="DN3" s="48" t="str">
        <f t="shared" ref="DN3:DN7" si="30">IF(AND(ISNUMBER(SEARCH("18", O3)), ISERROR(SEARCH("1918", O3)), ISERROR(SEARCH("2018", O3))), CHAR(34) &amp; "year18" &amp; CHAR(34) &amp; ",", "")</f>
        <v/>
      </c>
      <c r="DO3" s="48" t="str">
        <f t="shared" ref="DO3:DO7" si="31">IF(AND(ISNUMBER(SEARCH("19", O3)), ISERROR(SEARCH("1819", O3)),  ISERROR(SEARCH("1219", O3)),ISERROR(SEARCH("1119", O3)),ISERROR(SEARCH("1190", O3)),ISERROR(SEARCH("2019", O3))), CHAR(34) &amp; "year19" &amp; CHAR(34) &amp; ",", "")</f>
        <v/>
      </c>
      <c r="DP3" s="6" t="str">
        <f t="shared" ref="DP3:DP7" si="32">IF(AND(ISNUMBER(SEARCH("20", O3)), ISERROR(SEARCH("1920", O3))), CHAR(34)&amp;"year00"&amp;CHAR(34)&amp;",", "")</f>
        <v/>
      </c>
      <c r="DQ3" s="6" t="str">
        <f t="shared" ref="DQ3:DQ7" si="33">IF(CC3="y",CHAR(34)&amp;"soviet"&amp;CHAR(34)&amp;",","")</f>
        <v/>
      </c>
      <c r="DR3" s="6" t="str">
        <f t="shared" ref="DR3:DR7" si="34">IF(BY3="y",CHAR(34)&amp;"dgband"&amp;CHAR(34)&amp;",","")</f>
        <v/>
      </c>
      <c r="DS3" s="6" t="str">
        <f t="shared" ref="DS3:DS7" si="35">IF(W3="y",IF(AND(V3="n",BY3&lt;&gt;"y"),CHAR(34)&amp;"allver"&amp;CHAR(34)&amp;",",""),"")</f>
        <v/>
      </c>
      <c r="DT3" s="6" t="str">
        <f t="shared" ref="DT3:DT7" si="36">IF(V3="y",IF(AND(W3="n",BY3&lt;&gt;"y"),CHAR(34)&amp;"allhor"&amp;CHAR(34)&amp;",",""),"")</f>
        <v>"allhor",</v>
      </c>
      <c r="DU3" s="6" t="str">
        <f t="shared" ref="DU3:DU7" si="37">IF(BY3="y",IF(AND(W3="n",V3="n"),CHAR(34)&amp;"alldia"&amp;CHAR(34)&amp;",",""),"")</f>
        <v/>
      </c>
      <c r="DW3" s="48" t="str">
        <f t="shared" si="1"/>
        <v/>
      </c>
      <c r="DX3" s="48" t="str">
        <f t="shared" si="1"/>
        <v/>
      </c>
      <c r="DY3" s="48" t="str">
        <f t="shared" si="1"/>
        <v>"3Bands",</v>
      </c>
      <c r="DZ3" s="48" t="str">
        <f t="shared" si="1"/>
        <v/>
      </c>
      <c r="EA3" s="48" t="str">
        <f t="shared" si="2"/>
        <v/>
      </c>
      <c r="EB3" s="48" t="str">
        <f t="shared" si="2"/>
        <v/>
      </c>
      <c r="EC3" s="48" t="str">
        <f t="shared" si="2"/>
        <v>"Horizo",</v>
      </c>
      <c r="ED3" s="48" t="str">
        <f t="shared" si="2"/>
        <v/>
      </c>
      <c r="EE3" s="48" t="str">
        <f t="shared" si="2"/>
        <v/>
      </c>
      <c r="EF3" s="48" t="str">
        <f t="shared" ref="EF3:EF7" si="38">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"Unequa",</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FA7" si="39">IF(AT3&gt;0,CHAR(34)&amp;"sta"&amp;AZ3&amp;CHAR(34)&amp;",","")</f>
        <v>"sta",</v>
      </c>
      <c r="FB3" s="48" t="str">
        <f t="shared" ref="FB3:FB7" si="40">IF(AND(AT3&gt;0,BA3&lt;&gt;""),CHAR(34)&amp;"sta"&amp;BA3&amp;CHAR(34)&amp;",","")</f>
        <v/>
      </c>
      <c r="FD3" s="48" t="str">
        <f t="shared" ref="FD3:FD7" si="41">IF(BV3="n",CHAR(34)&amp;"tcWHYE"&amp;CHAR(34)&amp;",",IF(BV3="y",CHAR(34)&amp;FD$1&amp;CHAR(34)&amp;",",""))</f>
        <v/>
      </c>
      <c r="FE3" s="48" t="str">
        <f t="shared" ref="FE3:FE7" si="42">IF(COUNTIF(BL3:BT3,"BLU")=0,CHAR(34)&amp;"NO_BLU"&amp;CHAR(34)&amp;",", "")</f>
        <v/>
      </c>
      <c r="FF3" s="48" t="str">
        <f t="shared" ref="FF3:FF7" si="43">IF(COUNTIF(BL3:BT3,"WHI")=0,CHAR(34)&amp;"NO_WHI"&amp;CHAR(34)&amp;",", "")</f>
        <v/>
      </c>
      <c r="FG3" s="48" t="str">
        <f t="shared" ref="FG3:FG7" si="44">IF(COUNTIF(BL3:BT3,"RED")=0,CHAR(34)&amp;"NO_RED"&amp;CHAR(34)&amp;",", "")</f>
        <v/>
      </c>
      <c r="FH3" s="48" t="str">
        <f t="shared" ref="FH3:FH7" si="45">IF(COUNTIF(BL3:BS3,"GRE")=0,CHAR(34)&amp;"NO_GRE"&amp;CHAR(34)&amp;",", "")</f>
        <v>"NO_GRE",</v>
      </c>
      <c r="FI3" s="48" t="str">
        <f t="shared" ref="FI3:FI7" si="46">IF(COUNTIF(BL3:BT3,"YEL")=0,CHAR(34)&amp;"NO_YEL"&amp;CHAR(34)&amp;",", "")</f>
        <v/>
      </c>
      <c r="FJ3" s="48" t="str">
        <f t="shared" ref="FJ3:FJ7" si="47">IF(COUNTIF(BL3:BT3,"BLA")=0,CHAR(34)&amp;"NO_BLA"&amp;CHAR(34)&amp;",", "")</f>
        <v/>
      </c>
      <c r="FK3" s="48" t="str">
        <f t="shared" ref="FK3:FK7" si="48">IF(AND(FH3&lt;&gt;"",FF3&lt;&gt;""),CHAR(34)&amp;"WHGRNO"&amp;CHAR(34)&amp;",","")</f>
        <v/>
      </c>
      <c r="FL3" s="48" t="str">
        <f t="shared" ref="FL3:FL7" si="49">IF(AND(FI3&lt;&gt;"",FF3&lt;&gt;""),CHAR(34)&amp;"WHYENO"&amp;CHAR(34)&amp;",","")</f>
        <v/>
      </c>
      <c r="FM3" s="48" t="str">
        <f t="shared" ref="FM3:FM7" si="50">IF(AND(FJ3&lt;&gt;"",FF3&lt;&gt;""),CHAR(34)&amp;"BAWHNO"&amp;CHAR(34)&amp;",","")</f>
        <v/>
      </c>
      <c r="FN3" s="48" t="str">
        <f t="shared" ref="FN3:FN7" si="51">IF(AND(FE3&lt;&gt;"",FF3&lt;&gt;""),CHAR(34)&amp;"BLWHNO"&amp;CHAR(34)&amp;",","")</f>
        <v/>
      </c>
      <c r="FO3" s="48" t="str">
        <f t="shared" ref="FO3:FO7" si="52">IF(AND(FE3&lt;&gt;"",FG3&lt;&gt;""),CHAR(34)&amp;"BLRENO"&amp;CHAR(34)&amp;",","")</f>
        <v/>
      </c>
      <c r="FP3" s="48" t="str">
        <f t="shared" ref="FP3:FP7" si="53">IF(AND(FF3&lt;&gt;"",FF3&lt;&gt;""),CHAR(34)&amp;"WHRENO"&amp;CHAR(34)&amp;",","")</f>
        <v/>
      </c>
      <c r="FQ3" s="48" t="str">
        <f t="shared" ref="FQ3:FQ7" si="54">IF(LEN(BF3)=3,CHAR(34)&amp;"001"&amp;BF3&amp;CHAR(34)&amp;",","")</f>
        <v>"001RED",</v>
      </c>
      <c r="FR3" s="48" t="str">
        <f t="shared" ref="FR3:FR7" si="55">IF(LEN(BG3)=3,CHAR(34)&amp;"002"&amp;BG3&amp;CHAR(34)&amp;",","")</f>
        <v>"002WHI",</v>
      </c>
      <c r="FS3" s="48" t="str">
        <f t="shared" ref="FS3:FS7" si="56">IF(LEN(BH3)=3,CHAR(34)&amp;"003"&amp;BH3&amp;CHAR(34)&amp;",","")</f>
        <v>"003BLU",</v>
      </c>
      <c r="FT3" s="48" t="str">
        <f t="shared" ref="FT3:FT7" si="57">CHAR(34)&amp;"myr"&amp;BD3&amp;CHAR(34)&amp;","</f>
        <v>"myrEQ",</v>
      </c>
      <c r="FU3" s="48" t="str">
        <f t="shared" ref="FU3:FU7" si="58">IF(AY3="y",CHAR(34)&amp;"island"&amp;CHAR(34)&amp;",","")</f>
        <v/>
      </c>
      <c r="FV3" s="48" t="str">
        <f t="shared" ref="FV3:FV7" si="59">IF(BZ3="y",CHAR(34)&amp;"landlo"&amp;CHAR(34)&amp;",","")</f>
        <v/>
      </c>
      <c r="FW3" s="48" t="str">
        <f t="shared" ref="FW3:FW7" si="60">IF(CA3="y",CHAR(34)&amp;"eunion"&amp;CHAR(34)&amp;",","")</f>
        <v/>
      </c>
      <c r="FY3" s="48" t="str">
        <f t="shared" ref="FY3:FY7" si="61">IFERROR(IF(SEARCH("Arabic",CB3)&gt;0,CHAR(34)&amp;"arabic"&amp;CHAR(34)&amp;",",""),"")</f>
        <v/>
      </c>
      <c r="FZ3" s="48" t="str">
        <f t="shared" ref="FZ3:FZ7" si="62">IFERROR(IF(SEARCH("English",CB3)&gt;0,CHAR(34)&amp;"englis"&amp;CHAR(34)&amp;",",""),"")</f>
        <v/>
      </c>
      <c r="GA3" s="48" t="str">
        <f t="shared" ref="GA3:GA7" si="63">IFERROR(IF(SEARCH("French",CB3)&gt;0,CHAR(34)&amp;"french"&amp;CHAR(34)&amp;",",""),"")</f>
        <v/>
      </c>
      <c r="GB3" s="48" t="str">
        <f t="shared" ref="GB3:GB7" si="64">IFERROR(IF(SEARCH("Spanish",CB3)&gt;0,CHAR(34)&amp;"spanis"&amp;CHAR(34)&amp;",",""),"")</f>
        <v/>
      </c>
      <c r="GE3" s="48" t="str">
        <f t="shared" ref="GE3:GE7" si="65">IFERROR(IF(SEARCH("Dutch",CB3)&gt;0,CHAR(34)&amp;"dutchs"&amp;CHAR(34)&amp;",",""),"")</f>
        <v/>
      </c>
      <c r="GF3" s="48" t="str">
        <f>IFERROR(IF(SEARCH("Historical",AU3)&gt;0,CHAR(34)&amp;"histor"&amp;CHAR(34)&amp;",",""),"")</f>
        <v/>
      </c>
      <c r="GG3" s="48" t="str">
        <f t="shared" ref="GG3:GG7" si="66">IF(BU3="y",CHAR(34)&amp;"unjack"&amp;CHAR(34)&amp;",","")</f>
        <v/>
      </c>
      <c r="GH3" s="48" t="str">
        <f t="shared" ref="GH3:GH7" si="67">IF(CD3=1,CHAR(34)&amp;"southc"&amp;CHAR(34)&amp;",","")</f>
        <v/>
      </c>
      <c r="GI3" s="48" t="str">
        <f t="shared" ref="GI3:GI7" si="68">IF(CE3=1,CHAR(34)&amp;"hasmap"&amp;CHAR(34)&amp;",","")</f>
        <v/>
      </c>
      <c r="GJ3" s="48" t="str">
        <f t="shared" ref="GJ3:GJ7" si="69">IF(CP3="y",CHAR(34)&amp;CP$1&amp;CHAR(34)&amp;",","")</f>
        <v/>
      </c>
      <c r="GK3" s="48" t="str">
        <f t="shared" ref="GK3:GK7" si="70">IF(GJ3="",CHAR(34)&amp;"HasSta"&amp;CHAR(34)&amp;",","")</f>
        <v>"HasSta",</v>
      </c>
      <c r="GL3" s="48" t="str">
        <f t="shared" si="4"/>
        <v/>
      </c>
      <c r="GM3" s="48" t="str">
        <f t="shared" si="4"/>
        <v/>
      </c>
      <c r="GN3" s="48" t="str">
        <f t="shared" si="4"/>
        <v>"3+Star",</v>
      </c>
      <c r="GP3" s="48" t="str">
        <f t="shared" ref="GP3:GP7" si="71">CHAR(34)&amp;AU3&amp;CHAR(34)</f>
        <v>"State"</v>
      </c>
      <c r="GS3" s="48" t="str">
        <f t="shared" ref="GS3:GS7" si="72">SUBSTITUTE("["&amp;_xlfn.CONCAT(CW3:GN3)&amp;"]",",]","]")</f>
        <v>["5+Colo","lets07","startA","allhor","3Bands","Horizo","Unequa","Center","sta","NO_GRE","001RED","002WHI","003BLU","myrEQ","HasSta","3+Star"]</v>
      </c>
      <c r="GT3" s="48" t="str">
        <f t="shared" si="5"/>
        <v>"cl_BLA",</v>
      </c>
      <c r="GU3" s="48" t="str">
        <f t="shared" si="5"/>
        <v>"cl_BLU",</v>
      </c>
      <c r="GV3" s="48" t="str">
        <f t="shared" si="5"/>
        <v/>
      </c>
      <c r="GW3" s="48" t="str">
        <f t="shared" si="5"/>
        <v>"cl_RED",</v>
      </c>
      <c r="GX3" s="48" t="str">
        <f t="shared" si="5"/>
        <v>"cl_YEL",</v>
      </c>
      <c r="GY3" s="48" t="str">
        <f t="shared" si="5"/>
        <v/>
      </c>
      <c r="GZ3" s="48" t="str">
        <f t="shared" si="5"/>
        <v>"cl_BRO",</v>
      </c>
      <c r="HA3" s="48" t="str">
        <f t="shared" si="5"/>
        <v/>
      </c>
      <c r="HB3" s="48" t="str">
        <f t="shared" si="5"/>
        <v>"cl_WHI",</v>
      </c>
      <c r="HC3" s="48" t="str">
        <f t="shared" ref="HC3:HC7" si="73">SUBSTITUTE("["&amp;_xlfn.CONCAT(GT3:HB3)&amp;"]",",]","]")</f>
        <v>["cl_BLA","cl_BLU","cl_RED","cl_YEL","cl_BRO","cl_WHI"]</v>
      </c>
      <c r="HE3" s="71"/>
      <c r="HF3" s="72" t="str">
        <f t="shared" ref="HF3:HF7" si="74">"{couname:"&amp;CT3&amp;(IF(HK3&lt;&gt;"",",subtype:"&amp;CHAR(34)&amp;HK3&amp;CHAR(34),""))&amp;",year:"&amp;HJ3&amp;",region:"&amp;CU3&amp;",Colors:"&amp;HC3&amp;",Items:"&amp;GS3&amp;",Flag:"&amp;CV3&amp;",HDFlag:"&amp;CHAR(34)&amp;E3&amp;CHAR(34)&amp;",type:"&amp;GP3&amp;", describe: "&amp;HH3&amp;", isnew:"&amp;CHAR(34)&amp;F3&amp;CHAR(34)&amp;", links: "&amp;HL3&amp;"},"</f>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links: "https://en.wikipedia.org/wiki/Flags_of_the_states_of_Palau#"},</v>
      </c>
      <c r="HG3" s="73" t="str">
        <f t="shared" ref="HG3:HG7" si="75">"{couname:"&amp;CT3&amp;(IF(HK3&lt;&gt;"",",subtype:"&amp;CHAR(34)&amp;HK3&amp;CHAR(34),""))&amp;",year:"&amp;HJ3&amp;",region:"&amp;CU3&amp;",Colors:"&amp;HC3&amp;",Items:"&amp;GS3&amp;",Flag:"&amp;CV3&amp;",HDFlag:"&amp;CHAR(34)&amp;E3&amp;CHAR(34)&amp;",type:"&amp;GP3&amp;", describe: "&amp;HI3&amp;", links: "&amp;HL3&amp;"},"</f>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links: "https://en.wikipedia.org/wiki/Flags_of_the_states_of_Palau#"},</v>
      </c>
      <c r="HH3" s="48" t="str">
        <f t="shared" ref="HH3:HH7" si="76">IF(P3&lt;&gt;"",CHAR(34)&amp;"\n"&amp;P3&amp;CHAR(34),CHAR(34)&amp;CHAR(34))</f>
        <v>"\nThe five stars represent the five hamlets of Aimeliik. The green stripe represents Aimeliik's rainforest, the black stripe represents the fact that it was not conquered and the blue represents Aimeliik's large fishing area."</v>
      </c>
      <c r="HI3" s="48" t="str">
        <f t="shared" ref="HI3:HI7" si="77">IF(J3=0,CHAR(34)&amp;CHAR(34),HH3)</f>
        <v>"\nThe five stars represent the five hamlets of Aimeliik. The green stripe represents Aimeliik's rainforest, the black stripe represents the fact that it was not conquered and the blue represents Aimeliik's large fishing area."</v>
      </c>
      <c r="HJ3" s="48" t="str">
        <f t="shared" ref="HJ3:HJ7" si="78">CHAR(34)&amp;O3&amp;CHAR(34)</f>
        <v>"???"</v>
      </c>
      <c r="HL3" s="48" t="str">
        <f t="shared" ref="HL3:HL7" si="79">CHAR(34)&amp;I3&amp;CHAR(34)</f>
        <v>"https://en.wikipedia.org/wiki/Flags_of_the_states_of_Palau#"</v>
      </c>
      <c r="HM3" s="72" t="str">
        <f t="shared" ref="HM3:HM7" si="8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 "links": "https://en.wikipedia.org/wiki/Flags_of_the_states_of_Palau#"},</v>
      </c>
      <c r="HN3" s="74" t="str">
        <f t="shared" ref="HN3:HN7" si="81">"{"&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{"couname":"[PAU] Aimelik","year":"???","region":"rgn_Oceania","Colors":["cl_BLA","cl_BLU","cl_RED","cl_YEL","cl_BRO","cl_WHI"],"Items":["5+Colo","lets07","startA","allhor","3Bands","Horizo","Unequa","Center","sta","NO_GRE","001RED","002WHI","003BLU","myrEQ","HasSta","3+Star"],"Flag":"https://upload.wikimedia.org/wikipedia/commons/thumb/3/31/Flag_of_Aimeliik.svg/1024px-Flag_of_Aimeliik.svg.png","HDFlag":"https://upload.wikimedia.org/wikipedia/commons/thumb/3/31/Flag_of_Aimeliik.svg/2560px-Flag_of_Aimeliik.svg.png","type":"State", "describe": "\nThe five stars represent the five hamlets of Aimeliik. The green stripe represents Aimeliik's rainforest, the black stripe represents the fact that it was not conquered and the blue represents Aimeliik's large fishing area.", "isnew": ".", "links": "https://en.wikipedia.org/wiki/Flags_of_the_states_of_Palau#"},</v>
      </c>
      <c r="HO3" s="75">
        <v>45618</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BRO</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ref="IM3:IM7" si="82">COUNTIF(IC3:IK3,"&gt;0")-CG3</f>
        <v>-6</v>
      </c>
      <c r="IN3" s="78" t="str">
        <f t="shared" ref="IN3:IN7" si="83">"http://mkweb.bcgsc.ca/color-summarizer/?url="&amp;D3&amp;"&amp;precision=low&amp;num_clusters="&amp;CG3&amp;"&amp;text=1"</f>
        <v>http://mkweb.bcgsc.ca/color-summarizer/?url=https://upload.wikimedia.org/wikipedia/commons/thumb/3/31/Flag_of_Aimeliik.svg/1024px-Flag_of_Aimeliik.svg.png&amp;precision=low&amp;num_clusters=6&amp;text=1</v>
      </c>
      <c r="IO3" s="48" t="str">
        <f t="shared" ref="IO3:IO7" si="84">IF(HP3&lt;&gt;"",CHAR(34)&amp;"black"&amp;CHAR(34),"")</f>
        <v>"black"</v>
      </c>
      <c r="IP3" s="48" t="str">
        <f t="shared" ref="IP3:IP7" si="85">IF(HQ3&lt;&gt;"",CHAR(34)&amp;"blue"&amp;CHAR(34),"")</f>
        <v>"blue"</v>
      </c>
      <c r="IQ3" s="48" t="str">
        <f t="shared" ref="IQ3:IQ7" si="86">IF(HR3&lt;&gt;"",CHAR(34)&amp;"green"&amp;CHAR(34),"")</f>
        <v/>
      </c>
      <c r="IR3" s="48" t="str">
        <f t="shared" ref="IR3:IR7" si="87">IF(HS3&lt;&gt;"",CHAR(34)&amp;"red"&amp;CHAR(34),"")</f>
        <v>"red"</v>
      </c>
      <c r="IS3" s="48" t="str">
        <f t="shared" ref="IS3:IS7" si="88">IF(HT3&lt;&gt;"",CHAR(34)&amp;"yellow"&amp;CHAR(34),"")</f>
        <v>"yellow"</v>
      </c>
      <c r="IT3" s="48" t="str">
        <f t="shared" ref="IT3:IT7" si="89">IF(HU3&lt;&gt;"",CHAR(34)&amp;"orange"&amp;CHAR(34),"")</f>
        <v/>
      </c>
      <c r="IU3" s="48" t="str">
        <f t="shared" ref="IU3:IU7" si="90">IF(HV3&lt;&gt;"",CHAR(34)&amp;"brown"&amp;CHAR(34),"")</f>
        <v>"brown"</v>
      </c>
      <c r="IV3" s="48" t="str">
        <f t="shared" ref="IV3:IV7" si="91">IF(HW3&lt;&gt;"",CHAR(34)&amp;"purple"&amp;CHAR(34),"")</f>
        <v/>
      </c>
      <c r="IW3" s="48" t="str">
        <f t="shared" ref="IW3:IW7" si="92">IF(HX3&lt;&gt;"",CHAR(34)&amp;"white"&amp;CHAR(34),"")</f>
        <v>"white"</v>
      </c>
      <c r="IX3" s="48" t="str">
        <f t="shared" ref="IX3:IX7" si="93">"{"&amp;CHAR(34)&amp;"url"&amp;CHAR(34)&amp;":"&amp;CHAR(34)&amp;IN3&amp;CHAR(34)&amp;","&amp;CHAR(34)&amp;"name"&amp;CHAR(34)&amp;":"&amp;CHAR(34)&amp;A3&amp;CHAR(34)&amp;"},"</f>
        <v>{"url":"http://mkweb.bcgsc.ca/color-summarizer/?url=https://upload.wikimedia.org/wikipedia/commons/thumb/3/31/Flag_of_Aimeliik.svg/1024px-Flag_of_Aimeliik.svg.png&amp;precision=low&amp;num_clusters=6&amp;text=1","name":"[PAU] Aimelik"},</v>
      </c>
      <c r="IY3" s="48">
        <v>938</v>
      </c>
    </row>
    <row r="4" spans="1:259" s="48" customFormat="1" ht="38.4" customHeight="1" thickBot="1" x14ac:dyDescent="0.35">
      <c r="A4" s="79" t="s">
        <v>515</v>
      </c>
      <c r="B4" s="40" t="e" vm="92">
        <v>#VALUE!</v>
      </c>
      <c r="C4" s="41">
        <v>2</v>
      </c>
      <c r="D4" s="42" t="s">
        <v>516</v>
      </c>
      <c r="E4" s="43" t="s">
        <v>517</v>
      </c>
      <c r="F4" s="44" t="s">
        <v>166</v>
      </c>
      <c r="G4" s="45">
        <f>COUNTIF($A$1:$A$8249,A4)</f>
        <v>1</v>
      </c>
      <c r="H4" s="46"/>
      <c r="I4" s="47" t="s">
        <v>513</v>
      </c>
      <c r="J4" s="48" t="str">
        <f>""</f>
        <v/>
      </c>
      <c r="K4" s="49"/>
      <c r="L4" s="50"/>
      <c r="M4" s="50"/>
      <c r="N4" s="51" t="s">
        <v>169</v>
      </c>
      <c r="O4" s="52" t="s">
        <v>355</v>
      </c>
      <c r="P4" s="53" t="s">
        <v>518</v>
      </c>
      <c r="Q4" s="54">
        <v>1</v>
      </c>
      <c r="R4" s="55" t="s">
        <v>169</v>
      </c>
      <c r="S4" s="56">
        <v>0</v>
      </c>
      <c r="T4" s="57" t="s">
        <v>173</v>
      </c>
      <c r="U4" s="58" t="s">
        <v>173</v>
      </c>
      <c r="V4" s="58" t="s">
        <v>173</v>
      </c>
      <c r="W4" s="58" t="s">
        <v>173</v>
      </c>
      <c r="X4" s="58" t="s">
        <v>172</v>
      </c>
      <c r="Y4" s="58" t="s">
        <v>172</v>
      </c>
      <c r="Z4" s="58" t="s">
        <v>173</v>
      </c>
      <c r="AA4" s="58" t="s">
        <v>172</v>
      </c>
      <c r="AB4" s="58" t="s">
        <v>173</v>
      </c>
      <c r="AC4" s="58" t="s">
        <v>173</v>
      </c>
      <c r="AD4" s="58" t="s">
        <v>173</v>
      </c>
      <c r="AE4" s="58" t="s">
        <v>173</v>
      </c>
      <c r="AF4" s="59" t="s">
        <v>173</v>
      </c>
      <c r="AG4" s="59" t="s">
        <v>173</v>
      </c>
      <c r="AH4" s="59" t="s">
        <v>172</v>
      </c>
      <c r="AI4" s="59" t="s">
        <v>173</v>
      </c>
      <c r="AJ4" s="59" t="s">
        <v>173</v>
      </c>
      <c r="AK4" s="59" t="s">
        <v>173</v>
      </c>
      <c r="AL4" s="59" t="s">
        <v>173</v>
      </c>
      <c r="AM4" s="59" t="s">
        <v>173</v>
      </c>
      <c r="AN4" s="59" t="s">
        <v>173</v>
      </c>
      <c r="AO4" s="59" t="s">
        <v>173</v>
      </c>
      <c r="AP4" s="59" t="s">
        <v>173</v>
      </c>
      <c r="AQ4" s="59" t="s">
        <v>173</v>
      </c>
      <c r="AR4" s="59" t="s">
        <v>173</v>
      </c>
      <c r="AS4" s="59" t="s">
        <v>173</v>
      </c>
      <c r="AT4" s="60">
        <v>6</v>
      </c>
      <c r="AU4" s="59" t="s">
        <v>363</v>
      </c>
      <c r="AV4" s="59" t="str">
        <f>IF(LEFT(A4,1)="[",LEFT(A4,5)&amp;AU4&amp;A4,"")</f>
        <v>[PAU]State[PAU] Airai</v>
      </c>
      <c r="AW4" s="59" t="str">
        <f>C4&amp;H4&amp;A4</f>
        <v>2[PAU] Airai</v>
      </c>
      <c r="AX4" s="61"/>
      <c r="AY4" s="61"/>
      <c r="AZ4" s="62" t="s">
        <v>192</v>
      </c>
      <c r="BA4" s="62" t="s">
        <v>192</v>
      </c>
      <c r="BB4" s="62"/>
      <c r="BC4" s="63"/>
      <c r="BD4" s="64" t="s">
        <v>152</v>
      </c>
      <c r="BE4" s="47"/>
      <c r="BF4" s="64" t="s">
        <v>152</v>
      </c>
      <c r="BG4" s="64" t="s">
        <v>154</v>
      </c>
      <c r="BH4" s="64" t="s">
        <v>152</v>
      </c>
      <c r="BI4" s="64"/>
      <c r="BJ4" s="64"/>
      <c r="BK4" s="47"/>
      <c r="BL4" s="64" t="s">
        <v>192</v>
      </c>
      <c r="BM4" s="64" t="s">
        <v>152</v>
      </c>
      <c r="BN4" s="64" t="s">
        <v>192</v>
      </c>
      <c r="BO4" s="64" t="s">
        <v>154</v>
      </c>
      <c r="BP4" s="64" t="s">
        <v>155</v>
      </c>
      <c r="BQ4" s="64" t="s">
        <v>192</v>
      </c>
      <c r="BR4" s="64" t="s">
        <v>192</v>
      </c>
      <c r="BS4" s="64" t="s">
        <v>192</v>
      </c>
      <c r="BT4" s="64" t="s">
        <v>159</v>
      </c>
      <c r="BU4" s="65"/>
      <c r="BV4" s="66"/>
      <c r="BW4" s="66">
        <v>0</v>
      </c>
      <c r="BX4" s="47"/>
      <c r="CB4" s="6"/>
      <c r="CC4" s="6"/>
      <c r="CD4" s="67">
        <v>0</v>
      </c>
      <c r="CE4" s="67">
        <v>0</v>
      </c>
      <c r="CF4" s="67" t="e">
        <v>#REF!</v>
      </c>
      <c r="CG4" s="68" cm="1">
        <f t="array" ref="CG4">SUMPRODUCT(--(LEN(TRIM(BL4:BT4))&gt;0))</f>
        <v>4</v>
      </c>
      <c r="CH4" s="59" t="str">
        <f t="shared" si="6"/>
        <v>n</v>
      </c>
      <c r="CI4" s="59" t="str">
        <f t="shared" si="7"/>
        <v>n</v>
      </c>
      <c r="CJ4" s="59" t="str">
        <f t="shared" si="8"/>
        <v>y</v>
      </c>
      <c r="CK4" s="59" t="str">
        <f t="shared" si="9"/>
        <v>n</v>
      </c>
      <c r="CL4" s="59" t="str">
        <f t="shared" si="10"/>
        <v>y</v>
      </c>
      <c r="CM4" s="59" t="str">
        <f t="shared" si="11"/>
        <v>n</v>
      </c>
      <c r="CN4" s="59" t="str">
        <f t="shared" si="12"/>
        <v>n</v>
      </c>
      <c r="CO4" s="59" t="str">
        <f t="shared" si="13"/>
        <v>n</v>
      </c>
      <c r="CP4" s="59" t="str">
        <f t="shared" si="14"/>
        <v>n</v>
      </c>
      <c r="CQ4" s="59" t="str">
        <f t="shared" si="15"/>
        <v>n</v>
      </c>
      <c r="CR4" s="59" t="str">
        <f t="shared" si="16"/>
        <v>n</v>
      </c>
      <c r="CS4" s="59" t="str">
        <f t="shared" si="17"/>
        <v>y</v>
      </c>
      <c r="CT4" s="69" t="str">
        <f t="shared" si="18"/>
        <v>"[PAU] Airai"</v>
      </c>
      <c r="CU4" s="70" t="str">
        <f t="shared" si="19"/>
        <v>"rgn_Oceania"</v>
      </c>
      <c r="CV4" s="48" t="str">
        <f t="shared" si="20"/>
        <v>"https://upload.wikimedia.org/wikipedia/commons/thumb/d/d8/Flag_of_Airai_State.png/640px-Flag_of_Airai_State.png"</v>
      </c>
      <c r="CW4" s="48" t="str">
        <f t="shared" si="0"/>
        <v/>
      </c>
      <c r="CX4" s="48" t="str">
        <f t="shared" si="0"/>
        <v/>
      </c>
      <c r="CY4" s="48" t="str">
        <f t="shared" si="0"/>
        <v>"4Color",</v>
      </c>
      <c r="CZ4" s="48" t="str">
        <f t="shared" si="0"/>
        <v/>
      </c>
      <c r="DA4" s="48" t="str">
        <f t="shared" si="21"/>
        <v/>
      </c>
      <c r="DB4" s="48" t="str">
        <f t="shared" si="22"/>
        <v/>
      </c>
      <c r="DD4" s="48" t="str">
        <f>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"lets05",</v>
      </c>
      <c r="DE4" s="48" t="str">
        <f>CHAR(34)&amp;"start"&amp;IFERROR(LEFT(SUBSTITUTE(A4,"["&amp;MID(A4,FIND("[",A4)+1,FIND("]",A4)-FIND("[",A4)-1)&amp;"] ",""),1),LEFT(A4,1))&amp;CHAR(34)&amp;","</f>
        <v>"startA",</v>
      </c>
      <c r="DF4" s="48" t="str">
        <f t="shared" si="23"/>
        <v/>
      </c>
      <c r="DG4" s="48" t="str">
        <f t="shared" si="24"/>
        <v/>
      </c>
      <c r="DH4" s="48" t="str">
        <f t="shared" si="25"/>
        <v/>
      </c>
      <c r="DI4" s="48" t="str">
        <f t="shared" si="26"/>
        <v/>
      </c>
      <c r="DJ4" s="48" t="str">
        <f t="shared" si="27"/>
        <v/>
      </c>
      <c r="DK4" s="48" t="str">
        <f t="shared" si="28"/>
        <v/>
      </c>
      <c r="DL4" s="48" t="str">
        <f t="shared" si="29"/>
        <v/>
      </c>
      <c r="DM4" s="48" t="str" cm="1">
        <f t="array" ref="DM4">IF(CG4=3,CHAR(34) &amp; _xlfn.TEXTJOIN("", TRUE, RIGHT(HP4:HX4, 2)) &amp; CHAR(34) &amp; ",", "")</f>
        <v/>
      </c>
      <c r="DN4" s="48" t="str">
        <f t="shared" si="30"/>
        <v/>
      </c>
      <c r="DO4" s="48" t="str">
        <f t="shared" si="31"/>
        <v/>
      </c>
      <c r="DP4" s="6" t="str">
        <f t="shared" si="32"/>
        <v/>
      </c>
      <c r="DQ4" s="6" t="str">
        <f t="shared" si="33"/>
        <v/>
      </c>
      <c r="DR4" s="6" t="str">
        <f t="shared" si="34"/>
        <v/>
      </c>
      <c r="DS4" s="6" t="str">
        <f t="shared" si="35"/>
        <v/>
      </c>
      <c r="DT4" s="6" t="str">
        <f t="shared" si="36"/>
        <v/>
      </c>
      <c r="DU4" s="6" t="str">
        <f t="shared" si="37"/>
        <v/>
      </c>
      <c r="DW4" s="48" t="str">
        <f t="shared" si="1"/>
        <v>"NoBand",</v>
      </c>
      <c r="DX4" s="48" t="str">
        <f t="shared" si="1"/>
        <v/>
      </c>
      <c r="DY4" s="48" t="str">
        <f t="shared" si="1"/>
        <v/>
      </c>
      <c r="DZ4" s="48" t="str">
        <f t="shared" si="1"/>
        <v/>
      </c>
      <c r="EA4" s="48" t="str">
        <f t="shared" si="2"/>
        <v/>
      </c>
      <c r="EB4" s="48" t="str">
        <f t="shared" si="2"/>
        <v/>
      </c>
      <c r="EC4" s="48" t="str">
        <f t="shared" si="2"/>
        <v/>
      </c>
      <c r="ED4" s="48" t="str">
        <f t="shared" si="2"/>
        <v/>
      </c>
      <c r="EE4" s="48" t="str">
        <f t="shared" si="2"/>
        <v>"Circle",</v>
      </c>
      <c r="EF4" s="48" t="str">
        <f t="shared" si="38"/>
        <v>"Animal",</v>
      </c>
      <c r="EG4" s="48" t="str">
        <f t="shared" si="3"/>
        <v/>
      </c>
      <c r="EH4" s="48" t="str">
        <f t="shared" si="3"/>
        <v>"Plants",</v>
      </c>
      <c r="EI4" s="48" t="str">
        <f t="shared" si="3"/>
        <v/>
      </c>
      <c r="EJ4" s="48" t="str">
        <f t="shared" si="3"/>
        <v/>
      </c>
      <c r="EK4" s="48" t="str">
        <f t="shared" si="3"/>
        <v/>
      </c>
      <c r="EL4" s="48" t="str">
        <f t="shared" si="3"/>
        <v/>
      </c>
      <c r="EM4" s="48" t="str">
        <f t="shared" si="3"/>
        <v/>
      </c>
      <c r="EN4" s="48" t="str">
        <f t="shared" si="3"/>
        <v/>
      </c>
      <c r="EO4" s="48" t="str">
        <f t="shared" si="3"/>
        <v>"Center",</v>
      </c>
      <c r="EP4" s="48" t="str">
        <f t="shared" si="3"/>
        <v/>
      </c>
      <c r="EQ4" s="48" t="str">
        <f t="shared" si="3"/>
        <v/>
      </c>
      <c r="ER4" s="48" t="str">
        <f t="shared" si="3"/>
        <v/>
      </c>
      <c r="ES4" s="48" t="str">
        <f t="shared" si="3"/>
        <v/>
      </c>
      <c r="ET4" s="48" t="str">
        <f t="shared" si="3"/>
        <v/>
      </c>
      <c r="EU4" s="48" t="str">
        <f t="shared" si="3"/>
        <v/>
      </c>
      <c r="EV4" s="48" t="str">
        <f t="shared" si="3"/>
        <v/>
      </c>
      <c r="EW4" s="48" t="str">
        <f t="shared" si="3"/>
        <v/>
      </c>
      <c r="EX4" s="48" t="str">
        <f t="shared" si="3"/>
        <v/>
      </c>
      <c r="EY4" s="48" t="str">
        <f t="shared" si="3"/>
        <v/>
      </c>
      <c r="EZ4" s="48" t="str">
        <f t="shared" si="3"/>
        <v/>
      </c>
      <c r="FA4" s="48" t="str">
        <f t="shared" si="39"/>
        <v>"sta",</v>
      </c>
      <c r="FB4" s="48" t="str">
        <f t="shared" si="40"/>
        <v/>
      </c>
      <c r="FD4" s="48" t="str">
        <f t="shared" si="41"/>
        <v/>
      </c>
      <c r="FE4" s="48" t="str">
        <f t="shared" si="42"/>
        <v/>
      </c>
      <c r="FF4" s="48" t="str">
        <f t="shared" si="43"/>
        <v/>
      </c>
      <c r="FG4" s="48" t="str">
        <f t="shared" si="44"/>
        <v/>
      </c>
      <c r="FH4" s="48" t="str">
        <f t="shared" si="45"/>
        <v>"NO_GRE",</v>
      </c>
      <c r="FI4" s="48" t="str">
        <f t="shared" si="46"/>
        <v/>
      </c>
      <c r="FJ4" s="48" t="str">
        <f t="shared" si="47"/>
        <v>"NO_BLA",</v>
      </c>
      <c r="FK4" s="48" t="str">
        <f t="shared" si="48"/>
        <v/>
      </c>
      <c r="FL4" s="48" t="str">
        <f t="shared" si="49"/>
        <v/>
      </c>
      <c r="FM4" s="48" t="str">
        <f t="shared" si="50"/>
        <v/>
      </c>
      <c r="FN4" s="48" t="str">
        <f t="shared" si="51"/>
        <v/>
      </c>
      <c r="FO4" s="48" t="str">
        <f t="shared" si="52"/>
        <v/>
      </c>
      <c r="FP4" s="48" t="str">
        <f t="shared" si="53"/>
        <v/>
      </c>
      <c r="FQ4" s="48" t="str">
        <f t="shared" si="54"/>
        <v>"001BLU",</v>
      </c>
      <c r="FR4" s="48" t="str">
        <f t="shared" si="55"/>
        <v>"002RED",</v>
      </c>
      <c r="FS4" s="48" t="str">
        <f t="shared" si="56"/>
        <v>"003BLU",</v>
      </c>
      <c r="FT4" s="48" t="str">
        <f t="shared" si="57"/>
        <v>"myrBLU",</v>
      </c>
      <c r="FU4" s="48" t="str">
        <f t="shared" si="58"/>
        <v/>
      </c>
      <c r="FV4" s="48" t="str">
        <f t="shared" si="59"/>
        <v/>
      </c>
      <c r="FW4" s="48" t="str">
        <f t="shared" si="60"/>
        <v/>
      </c>
      <c r="FY4" s="48" t="str">
        <f t="shared" si="61"/>
        <v/>
      </c>
      <c r="FZ4" s="48" t="str">
        <f t="shared" si="62"/>
        <v/>
      </c>
      <c r="GA4" s="48" t="str">
        <f t="shared" si="63"/>
        <v/>
      </c>
      <c r="GB4" s="48" t="str">
        <f t="shared" si="64"/>
        <v/>
      </c>
      <c r="GE4" s="48" t="str">
        <f t="shared" si="65"/>
        <v/>
      </c>
      <c r="GF4" s="48" t="str">
        <f>IFERROR(IF(SEARCH("Historical",AU4)&gt;0,CHAR(34)&amp;"histor"&amp;CHAR(34)&amp;",",""),"")</f>
        <v/>
      </c>
      <c r="GG4" s="48" t="str">
        <f t="shared" si="66"/>
        <v/>
      </c>
      <c r="GH4" s="48" t="str">
        <f t="shared" si="67"/>
        <v/>
      </c>
      <c r="GI4" s="48" t="str">
        <f t="shared" si="68"/>
        <v/>
      </c>
      <c r="GJ4" s="48" t="str">
        <f t="shared" si="69"/>
        <v/>
      </c>
      <c r="GK4" s="48" t="str">
        <f t="shared" si="70"/>
        <v>"HasSta",</v>
      </c>
      <c r="GL4" s="48" t="str">
        <f t="shared" si="4"/>
        <v/>
      </c>
      <c r="GM4" s="48" t="str">
        <f t="shared" si="4"/>
        <v/>
      </c>
      <c r="GN4" s="48" t="str">
        <f t="shared" si="4"/>
        <v>"3+Star",</v>
      </c>
      <c r="GP4" s="48" t="str">
        <f t="shared" si="71"/>
        <v>"State"</v>
      </c>
      <c r="GS4" s="48" t="str">
        <f t="shared" si="72"/>
        <v>["4Color","lets05","startA","NoBand","Circle","Animal","Plants","Center","sta","NO_GRE","NO_BLA","001BLU","002RED","003BLU","myrBLU","HasSta","3+Star"]</v>
      </c>
      <c r="GT4" s="48" t="str">
        <f t="shared" si="5"/>
        <v/>
      </c>
      <c r="GU4" s="48" t="str">
        <f t="shared" si="5"/>
        <v>"cl_BLU",</v>
      </c>
      <c r="GV4" s="48" t="str">
        <f t="shared" si="5"/>
        <v/>
      </c>
      <c r="GW4" s="48" t="str">
        <f t="shared" si="5"/>
        <v>"cl_RED",</v>
      </c>
      <c r="GX4" s="48" t="str">
        <f t="shared" si="5"/>
        <v>"cl_YEL",</v>
      </c>
      <c r="GY4" s="48" t="str">
        <f t="shared" si="5"/>
        <v/>
      </c>
      <c r="GZ4" s="48" t="str">
        <f t="shared" si="5"/>
        <v/>
      </c>
      <c r="HA4" s="48" t="str">
        <f t="shared" si="5"/>
        <v/>
      </c>
      <c r="HB4" s="48" t="str">
        <f t="shared" si="5"/>
        <v>"cl_WHI",</v>
      </c>
      <c r="HC4" s="48" t="str">
        <f t="shared" si="73"/>
        <v>["cl_BLU","cl_RED","cl_YEL","cl_WHI"]</v>
      </c>
      <c r="HE4" s="71"/>
      <c r="HF4" s="72" t="str">
        <f t="shared" si="74"/>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links: "https://en.wikipedia.org/wiki/Flags_of_the_states_of_Palau#"},</v>
      </c>
      <c r="HG4" s="73" t="str">
        <f t="shared" si="75"/>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links: "https://en.wikipedia.org/wiki/Flags_of_the_states_of_Palau#"},</v>
      </c>
      <c r="HH4" s="48" t="str">
        <f t="shared" si="76"/>
        <v>"\nThe blue background represents the ocean and the white circle represents peace. The six stars stand for the six hamlets of Airai and the six fish for the six chiefs. In the centre is a ti plant"</v>
      </c>
      <c r="HI4" s="48" t="str">
        <f t="shared" si="77"/>
        <v>"\nThe blue background represents the ocean and the white circle represents peace. The six stars stand for the six hamlets of Airai and the six fish for the six chiefs. In the centre is a ti plant"</v>
      </c>
      <c r="HJ4" s="48" t="str">
        <f t="shared" si="78"/>
        <v>"???"</v>
      </c>
      <c r="HL4" s="48" t="str">
        <f t="shared" si="79"/>
        <v>"https://en.wikipedia.org/wiki/Flags_of_the_states_of_Palau#"</v>
      </c>
      <c r="HM4" s="72" t="str">
        <f t="shared" si="80"/>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 "links": "https://en.wikipedia.org/wiki/Flags_of_the_states_of_Palau#"},</v>
      </c>
      <c r="HN4" s="74" t="str">
        <f t="shared" si="81"/>
        <v>{"couname":"[PAU] Airai","year":"???","region":"rgn_Oceania","Colors":["cl_BLU","cl_RED","cl_YEL","cl_WHI"],"Items":["4Color","lets05","startA","NoBand","Circle","Animal","Plants","Center","sta","NO_GRE","NO_BLA","001BLU","002RED","003BLU","myrBLU","HasSta","3+Star"],"Flag":"https://upload.wikimedia.org/wikipedia/commons/thumb/d/d8/Flag_of_Airai_State.png/640px-Flag_of_Airai_State.png","HDFlag":"https://upload.wikimedia.org/wikipedia/commons/d/d8/Flag_of_Airai_State.png","type":"State", "describe": "\nThe blue background represents the ocean and the white circle represents peace. The six stars stand for the six hamlets of Airai and the six fish for the six chiefs. In the centre is a ti plant", "isnew": ".", "links": "https://en.wikipedia.org/wiki/Flags_of_the_states_of_Palau#"},</v>
      </c>
      <c r="HO4" s="75">
        <v>45618</v>
      </c>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82"/>
        <v>-4</v>
      </c>
      <c r="IN4" s="78" t="str">
        <f t="shared" si="83"/>
        <v>http://mkweb.bcgsc.ca/color-summarizer/?url=https://upload.wikimedia.org/wikipedia/commons/thumb/d/d8/Flag_of_Airai_State.png/640px-Flag_of_Airai_State.png&amp;precision=low&amp;num_clusters=4&amp;text=1</v>
      </c>
      <c r="IO4" s="48" t="str">
        <f t="shared" si="84"/>
        <v/>
      </c>
      <c r="IP4" s="48" t="str">
        <f t="shared" si="85"/>
        <v>"blue"</v>
      </c>
      <c r="IQ4" s="48" t="str">
        <f t="shared" si="86"/>
        <v/>
      </c>
      <c r="IR4" s="48" t="str">
        <f t="shared" si="87"/>
        <v>"red"</v>
      </c>
      <c r="IS4" s="48" t="str">
        <f t="shared" si="88"/>
        <v>"yellow"</v>
      </c>
      <c r="IT4" s="48" t="str">
        <f t="shared" si="89"/>
        <v/>
      </c>
      <c r="IU4" s="48" t="str">
        <f t="shared" si="90"/>
        <v/>
      </c>
      <c r="IV4" s="48" t="str">
        <f t="shared" si="91"/>
        <v/>
      </c>
      <c r="IW4" s="48" t="str">
        <f t="shared" si="92"/>
        <v>"white"</v>
      </c>
      <c r="IX4" s="48" t="str">
        <f t="shared" si="93"/>
        <v>{"url":"http://mkweb.bcgsc.ca/color-summarizer/?url=https://upload.wikimedia.org/wikipedia/commons/thumb/d/d8/Flag_of_Airai_State.png/640px-Flag_of_Airai_State.png&amp;precision=low&amp;num_clusters=4&amp;text=1","name":"[PAU] Airai"},</v>
      </c>
      <c r="IY4" s="48">
        <v>939</v>
      </c>
    </row>
    <row r="5" spans="1:259" s="48" customFormat="1" ht="38.4" customHeight="1" thickBot="1" x14ac:dyDescent="0.35">
      <c r="A5" s="79" t="s">
        <v>519</v>
      </c>
      <c r="B5" s="40" t="e" vm="93">
        <v>#VALUE!</v>
      </c>
      <c r="C5" s="41">
        <v>2</v>
      </c>
      <c r="D5" s="42" t="s">
        <v>520</v>
      </c>
      <c r="E5" s="43" t="s">
        <v>520</v>
      </c>
      <c r="F5" s="44" t="s">
        <v>166</v>
      </c>
      <c r="G5" s="45">
        <f>COUNTIF($A$1:$A$8249,A5)</f>
        <v>1</v>
      </c>
      <c r="H5" s="46"/>
      <c r="I5" s="47" t="s">
        <v>513</v>
      </c>
      <c r="J5" s="48" t="str">
        <f>""</f>
        <v/>
      </c>
      <c r="K5" s="49"/>
      <c r="L5" s="50"/>
      <c r="M5" s="50"/>
      <c r="N5" s="51" t="s">
        <v>169</v>
      </c>
      <c r="O5" s="52" t="s">
        <v>355</v>
      </c>
      <c r="P5" s="53" t="s">
        <v>521</v>
      </c>
      <c r="Q5" s="54">
        <v>1</v>
      </c>
      <c r="R5" s="55" t="s">
        <v>169</v>
      </c>
      <c r="S5" s="56">
        <v>4</v>
      </c>
      <c r="T5" s="57" t="s">
        <v>173</v>
      </c>
      <c r="U5" s="58" t="s">
        <v>173</v>
      </c>
      <c r="V5" s="58" t="s">
        <v>172</v>
      </c>
      <c r="W5" s="58" t="s">
        <v>173</v>
      </c>
      <c r="X5" s="58" t="s">
        <v>172</v>
      </c>
      <c r="Y5" s="58" t="s">
        <v>173</v>
      </c>
      <c r="Z5" s="58" t="s">
        <v>173</v>
      </c>
      <c r="AA5" s="58" t="s">
        <v>172</v>
      </c>
      <c r="AB5" s="58" t="s">
        <v>173</v>
      </c>
      <c r="AC5" s="58" t="s">
        <v>173</v>
      </c>
      <c r="AD5" s="58" t="s">
        <v>173</v>
      </c>
      <c r="AE5" s="58" t="s">
        <v>173</v>
      </c>
      <c r="AF5" s="59" t="s">
        <v>173</v>
      </c>
      <c r="AG5" s="59" t="s">
        <v>172</v>
      </c>
      <c r="AH5" s="59" t="s">
        <v>172</v>
      </c>
      <c r="AI5" s="59" t="s">
        <v>173</v>
      </c>
      <c r="AJ5" s="59" t="s">
        <v>173</v>
      </c>
      <c r="AK5" s="59" t="s">
        <v>173</v>
      </c>
      <c r="AL5" s="59" t="s">
        <v>173</v>
      </c>
      <c r="AM5" s="59" t="s">
        <v>173</v>
      </c>
      <c r="AN5" s="59" t="s">
        <v>173</v>
      </c>
      <c r="AO5" s="59" t="s">
        <v>173</v>
      </c>
      <c r="AP5" s="59" t="s">
        <v>173</v>
      </c>
      <c r="AQ5" s="59" t="s">
        <v>173</v>
      </c>
      <c r="AR5" s="59" t="s">
        <v>173</v>
      </c>
      <c r="AS5" s="59" t="s">
        <v>173</v>
      </c>
      <c r="AT5" s="60">
        <v>0</v>
      </c>
      <c r="AU5" s="59" t="s">
        <v>363</v>
      </c>
      <c r="AV5" s="59" t="str">
        <f>IF(LEFT(A5,1)="[",LEFT(A5,5)&amp;AU5&amp;A5,"")</f>
        <v>[PAU]State[PAU] Angaur</v>
      </c>
      <c r="AW5" s="59" t="str">
        <f>C5&amp;H5&amp;A5</f>
        <v>2[PAU] Angaur</v>
      </c>
      <c r="AX5" s="61"/>
      <c r="AY5" s="61"/>
      <c r="AZ5" s="62" t="s">
        <v>159</v>
      </c>
      <c r="BA5" s="62"/>
      <c r="BB5" s="62"/>
      <c r="BC5" s="63"/>
      <c r="BD5" s="64" t="s">
        <v>156</v>
      </c>
      <c r="BE5" s="47"/>
      <c r="BF5" s="64" t="s">
        <v>156</v>
      </c>
      <c r="BG5" s="64" t="s">
        <v>159</v>
      </c>
      <c r="BH5" s="64" t="s">
        <v>152</v>
      </c>
      <c r="BI5" s="64"/>
      <c r="BJ5" s="64"/>
      <c r="BK5" s="47"/>
      <c r="BL5" s="64" t="s">
        <v>156</v>
      </c>
      <c r="BM5" s="64" t="s">
        <v>159</v>
      </c>
      <c r="BN5" s="64" t="s">
        <v>152</v>
      </c>
      <c r="BO5" s="64"/>
      <c r="BP5" s="64"/>
      <c r="BQ5" s="64"/>
      <c r="BR5" s="64"/>
      <c r="BS5" s="64"/>
      <c r="BT5" s="64"/>
      <c r="BU5" s="65"/>
      <c r="BV5" s="66"/>
      <c r="BW5" s="66">
        <v>0</v>
      </c>
      <c r="BX5" s="47"/>
      <c r="BY5" s="48" t="s">
        <v>172</v>
      </c>
      <c r="CB5" s="6"/>
      <c r="CC5" s="6"/>
      <c r="CD5" s="67">
        <v>1</v>
      </c>
      <c r="CE5" s="67">
        <v>0</v>
      </c>
      <c r="CF5" s="67" t="e">
        <v>#REF!</v>
      </c>
      <c r="CG5" s="68" cm="1">
        <f t="array" ref="CG5">SUMPRODUCT(--(LEN(TRIM(BL5:BT5))&gt;0))</f>
        <v>3</v>
      </c>
      <c r="CH5" s="59" t="str">
        <f t="shared" si="6"/>
        <v>n</v>
      </c>
      <c r="CI5" s="59" t="str">
        <f t="shared" si="7"/>
        <v>y</v>
      </c>
      <c r="CJ5" s="59" t="str">
        <f t="shared" si="8"/>
        <v>n</v>
      </c>
      <c r="CK5" s="59" t="str">
        <f t="shared" si="9"/>
        <v>n</v>
      </c>
      <c r="CL5" s="59" t="str">
        <f t="shared" si="10"/>
        <v>n</v>
      </c>
      <c r="CM5" s="59" t="str">
        <f t="shared" si="11"/>
        <v>n</v>
      </c>
      <c r="CN5" s="59" t="str">
        <f t="shared" si="12"/>
        <v>n</v>
      </c>
      <c r="CO5" s="59" t="str">
        <f t="shared" si="13"/>
        <v>y</v>
      </c>
      <c r="CP5" s="59" t="str">
        <f t="shared" si="14"/>
        <v>y</v>
      </c>
      <c r="CQ5" s="59" t="str">
        <f t="shared" si="15"/>
        <v>n</v>
      </c>
      <c r="CR5" s="59" t="str">
        <f t="shared" si="16"/>
        <v>n</v>
      </c>
      <c r="CS5" s="59" t="str">
        <f t="shared" si="17"/>
        <v>n</v>
      </c>
      <c r="CT5" s="69" t="str">
        <f t="shared" si="18"/>
        <v>"[PAU] Angaur"</v>
      </c>
      <c r="CU5" s="70" t="str">
        <f t="shared" si="19"/>
        <v>"rgn_Oceania"</v>
      </c>
      <c r="CV5" s="48" t="str">
        <f t="shared" si="20"/>
        <v>"https://upload.wikimedia.org/wikipedia/commons/thumb/8/86/Flag_of_Angaur_State.svg/2560px-Flag_of_Angaur_State.svg.png"</v>
      </c>
      <c r="CW5" s="48" t="str">
        <f t="shared" si="0"/>
        <v/>
      </c>
      <c r="CX5" s="48" t="str">
        <f t="shared" si="0"/>
        <v>"3Color",</v>
      </c>
      <c r="CY5" s="48" t="str">
        <f t="shared" si="0"/>
        <v/>
      </c>
      <c r="CZ5" s="48" t="str">
        <f t="shared" si="0"/>
        <v/>
      </c>
      <c r="DA5" s="48" t="str">
        <f t="shared" si="21"/>
        <v/>
      </c>
      <c r="DB5" s="48" t="str">
        <f t="shared" si="22"/>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"lets06",</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"startA",</v>
      </c>
      <c r="DF5" s="48" t="str">
        <f t="shared" si="23"/>
        <v/>
      </c>
      <c r="DG5" s="48" t="str">
        <f t="shared" si="24"/>
        <v/>
      </c>
      <c r="DH5" s="48" t="str">
        <f t="shared" si="25"/>
        <v/>
      </c>
      <c r="DI5" s="48" t="str">
        <f t="shared" si="26"/>
        <v/>
      </c>
      <c r="DJ5" s="48" t="str">
        <f t="shared" si="27"/>
        <v/>
      </c>
      <c r="DK5" s="48" t="str">
        <f t="shared" si="28"/>
        <v/>
      </c>
      <c r="DL5" s="48" t="str">
        <f t="shared" si="29"/>
        <v/>
      </c>
      <c r="DM5" s="48" t="str" cm="1">
        <f t="array" ref="DM5">IF(CG5=3,CHAR(34) &amp; _xlfn.TEXTJOIN("", TRUE, RIGHT(HP5:HX5, 2)) &amp; CHAR(34) &amp; ",", "")</f>
        <v>"LURAHI",</v>
      </c>
      <c r="DN5" s="48" t="str">
        <f t="shared" si="30"/>
        <v/>
      </c>
      <c r="DO5" s="48" t="str">
        <f t="shared" si="31"/>
        <v/>
      </c>
      <c r="DP5" s="6" t="str">
        <f t="shared" si="32"/>
        <v/>
      </c>
      <c r="DQ5" s="6" t="str">
        <f t="shared" si="33"/>
        <v/>
      </c>
      <c r="DR5" s="6" t="str">
        <f t="shared" si="34"/>
        <v>"dgband",</v>
      </c>
      <c r="DS5" s="6" t="str">
        <f t="shared" si="35"/>
        <v/>
      </c>
      <c r="DT5" s="6" t="str">
        <f t="shared" si="36"/>
        <v/>
      </c>
      <c r="DU5" s="6" t="str">
        <f t="shared" si="37"/>
        <v/>
      </c>
      <c r="DV5" s="48" t="str">
        <f>IF(IA5&lt;&gt;"",(IF(IA5="y",CHAR(34)&amp;"largec"&amp;CHAR(34)&amp;",",CHAR(34)&amp;"smallc"&amp;CHAR(34)&amp;",")),"")</f>
        <v/>
      </c>
      <c r="DW5" s="48" t="str">
        <f t="shared" si="1"/>
        <v/>
      </c>
      <c r="DX5" s="48" t="str">
        <f t="shared" si="1"/>
        <v/>
      </c>
      <c r="DY5" s="48" t="str">
        <f t="shared" si="1"/>
        <v/>
      </c>
      <c r="DZ5" s="48" t="str">
        <f t="shared" si="1"/>
        <v>"4+Band",</v>
      </c>
      <c r="EA5" s="48" t="str">
        <f t="shared" si="2"/>
        <v/>
      </c>
      <c r="EB5" s="48" t="str">
        <f t="shared" si="2"/>
        <v/>
      </c>
      <c r="EC5" s="48" t="str">
        <f t="shared" si="2"/>
        <v>"Horizo",</v>
      </c>
      <c r="ED5" s="48" t="str">
        <f t="shared" si="2"/>
        <v/>
      </c>
      <c r="EE5" s="48" t="str">
        <f t="shared" si="2"/>
        <v>"Circle",</v>
      </c>
      <c r="EF5" s="48" t="str">
        <f t="shared" si="38"/>
        <v/>
      </c>
      <c r="EG5" s="48" t="str">
        <f t="shared" si="3"/>
        <v/>
      </c>
      <c r="EH5" s="48" t="str">
        <f t="shared" si="3"/>
        <v>"Plants",</v>
      </c>
      <c r="EI5" s="48" t="str">
        <f t="shared" si="3"/>
        <v/>
      </c>
      <c r="EJ5" s="48" t="str">
        <f t="shared" si="3"/>
        <v/>
      </c>
      <c r="EK5" s="48" t="str">
        <f t="shared" si="3"/>
        <v/>
      </c>
      <c r="EL5" s="48" t="str">
        <f t="shared" si="3"/>
        <v/>
      </c>
      <c r="EM5" s="48" t="str">
        <f t="shared" si="3"/>
        <v/>
      </c>
      <c r="EN5" s="48" t="str">
        <f t="shared" si="3"/>
        <v>"Unequa",</v>
      </c>
      <c r="EO5" s="48" t="str">
        <f t="shared" si="3"/>
        <v>"Center",</v>
      </c>
      <c r="EP5" s="48" t="str">
        <f t="shared" si="3"/>
        <v/>
      </c>
      <c r="EQ5" s="48" t="str">
        <f t="shared" si="3"/>
        <v/>
      </c>
      <c r="ER5" s="48" t="str">
        <f t="shared" si="3"/>
        <v/>
      </c>
      <c r="ES5" s="48" t="str">
        <f t="shared" si="3"/>
        <v/>
      </c>
      <c r="ET5" s="48" t="str">
        <f t="shared" si="3"/>
        <v/>
      </c>
      <c r="EU5" s="48" t="str">
        <f t="shared" si="3"/>
        <v/>
      </c>
      <c r="EV5" s="48" t="str">
        <f t="shared" si="3"/>
        <v/>
      </c>
      <c r="EW5" s="48" t="str">
        <f t="shared" si="3"/>
        <v/>
      </c>
      <c r="EX5" s="48" t="str">
        <f t="shared" si="3"/>
        <v/>
      </c>
      <c r="EY5" s="48" t="str">
        <f t="shared" si="3"/>
        <v/>
      </c>
      <c r="EZ5" s="48" t="str">
        <f t="shared" si="3"/>
        <v/>
      </c>
      <c r="FA5" s="48" t="str">
        <f t="shared" si="39"/>
        <v/>
      </c>
      <c r="FB5" s="48" t="str">
        <f t="shared" si="40"/>
        <v/>
      </c>
      <c r="FC5" s="48" t="str">
        <f>IF(AND(AT5&gt;0,BB5&lt;&gt;""),CHAR(34)&amp;"sta"&amp;BB5&amp;CHAR(34)&amp;",","")</f>
        <v/>
      </c>
      <c r="FD5" s="48" t="str">
        <f t="shared" si="41"/>
        <v/>
      </c>
      <c r="FE5" s="48" t="str">
        <f t="shared" si="42"/>
        <v/>
      </c>
      <c r="FF5" s="48" t="str">
        <f t="shared" si="43"/>
        <v/>
      </c>
      <c r="FG5" s="48" t="str">
        <f t="shared" si="44"/>
        <v>"NO_RED",</v>
      </c>
      <c r="FH5" s="48" t="str">
        <f t="shared" si="45"/>
        <v>"NO_GRE",</v>
      </c>
      <c r="FI5" s="48" t="str">
        <f t="shared" si="46"/>
        <v>"NO_YEL",</v>
      </c>
      <c r="FJ5" s="48" t="str">
        <f t="shared" si="47"/>
        <v>"NO_BLA",</v>
      </c>
      <c r="FK5" s="48" t="str">
        <f t="shared" si="48"/>
        <v/>
      </c>
      <c r="FL5" s="48" t="str">
        <f t="shared" si="49"/>
        <v/>
      </c>
      <c r="FM5" s="48" t="str">
        <f t="shared" si="50"/>
        <v/>
      </c>
      <c r="FN5" s="48" t="str">
        <f t="shared" si="51"/>
        <v/>
      </c>
      <c r="FO5" s="48" t="str">
        <f t="shared" si="52"/>
        <v/>
      </c>
      <c r="FP5" s="48" t="str">
        <f t="shared" si="53"/>
        <v/>
      </c>
      <c r="FQ5" s="48" t="str">
        <f t="shared" si="54"/>
        <v>"001ORA",</v>
      </c>
      <c r="FR5" s="48" t="str">
        <f t="shared" si="55"/>
        <v>"002WHI",</v>
      </c>
      <c r="FS5" s="48" t="str">
        <f t="shared" si="56"/>
        <v>"003BLU",</v>
      </c>
      <c r="FT5" s="48" t="str">
        <f t="shared" si="57"/>
        <v>"myrORA",</v>
      </c>
      <c r="FU5" s="48" t="str">
        <f t="shared" si="58"/>
        <v/>
      </c>
      <c r="FV5" s="48" t="str">
        <f t="shared" si="59"/>
        <v/>
      </c>
      <c r="FW5" s="48" t="str">
        <f t="shared" si="60"/>
        <v/>
      </c>
      <c r="FX5" s="48" t="str">
        <f>SUBSTITUTE(IFERROR(SEARCH("[",A5),IFERROR(IF(AND(CA5&lt;&gt;"y",SEARCH("Europe",R5)&gt;0),CHAR(34)&amp;"noeuni"&amp;CHAR(34)&amp;",",""),"")),"1","")</f>
        <v/>
      </c>
      <c r="FY5" s="48" t="str">
        <f t="shared" si="61"/>
        <v/>
      </c>
      <c r="FZ5" s="48" t="str">
        <f t="shared" si="62"/>
        <v/>
      </c>
      <c r="GA5" s="48" t="str">
        <f t="shared" si="63"/>
        <v/>
      </c>
      <c r="GB5" s="48" t="str">
        <f t="shared" si="64"/>
        <v/>
      </c>
      <c r="GC5" s="48" t="str">
        <f>IFERROR(IF(SEARCH("Portuguese",CB5)&gt;0,CHAR(34)&amp;"portug"&amp;CHAR(34)&amp;",",""),"")</f>
        <v/>
      </c>
      <c r="GD5" s="48" t="str">
        <f>IFERROR(IF(SEARCH("German",CB5)&gt;0,CHAR(34)&amp;"german"&amp;CHAR(34)&amp;",",""),"")</f>
        <v/>
      </c>
      <c r="GE5" s="48" t="str">
        <f t="shared" si="65"/>
        <v/>
      </c>
      <c r="GF5" s="48" t="str">
        <f>IFERROR(IF(SEARCH("Histor",AU5)&gt;0,CHAR(34)&amp;"histor"&amp;CHAR(34)&amp;",",""),"")</f>
        <v/>
      </c>
      <c r="GG5" s="48" t="str">
        <f t="shared" si="66"/>
        <v/>
      </c>
      <c r="GH5" s="48" t="str">
        <f t="shared" si="67"/>
        <v>"southc",</v>
      </c>
      <c r="GI5" s="48" t="str">
        <f t="shared" si="68"/>
        <v/>
      </c>
      <c r="GJ5" s="48" t="str">
        <f t="shared" si="69"/>
        <v>"NoStar",</v>
      </c>
      <c r="GK5" s="48" t="str">
        <f t="shared" si="70"/>
        <v/>
      </c>
      <c r="GL5" s="48" t="str">
        <f t="shared" si="4"/>
        <v/>
      </c>
      <c r="GM5" s="48" t="str">
        <f t="shared" si="4"/>
        <v/>
      </c>
      <c r="GN5" s="48" t="str">
        <f t="shared" si="4"/>
        <v/>
      </c>
      <c r="GP5" s="48" t="str">
        <f t="shared" si="71"/>
        <v>"State"</v>
      </c>
      <c r="GS5" s="48" t="str">
        <f t="shared" si="72"/>
        <v>["3Color","lets06","startA","LURAHI","dgband","4+Band","Horizo","Circle","Plants","Unequa","Center","NO_RED","NO_GRE","NO_YEL","NO_BLA","001ORA","002WHI","003BLU","myrORA","southc","NoStar"]</v>
      </c>
      <c r="GT5" s="48" t="str">
        <f t="shared" si="5"/>
        <v>"cl_ORA",</v>
      </c>
      <c r="GU5" s="48" t="str">
        <f t="shared" si="5"/>
        <v>"cl_WHI",</v>
      </c>
      <c r="GV5" s="48" t="str">
        <f t="shared" si="5"/>
        <v>"cl_BLU",</v>
      </c>
      <c r="GW5" s="48" t="str">
        <f t="shared" si="5"/>
        <v/>
      </c>
      <c r="GX5" s="48" t="str">
        <f t="shared" si="5"/>
        <v/>
      </c>
      <c r="GY5" s="48" t="str">
        <f t="shared" si="5"/>
        <v/>
      </c>
      <c r="GZ5" s="48" t="str">
        <f t="shared" si="5"/>
        <v/>
      </c>
      <c r="HA5" s="48" t="str">
        <f t="shared" si="5"/>
        <v/>
      </c>
      <c r="HB5" s="48" t="str">
        <f t="shared" si="5"/>
        <v/>
      </c>
      <c r="HC5" s="48" t="str">
        <f t="shared" si="73"/>
        <v>["cl_ORA","cl_WHI","cl_BLU"]</v>
      </c>
      <c r="HE5" s="71"/>
      <c r="HF5" s="72" t="str">
        <f t="shared" si="74"/>
        <v>{couname:"[PAU] Angaur",subtype:"[·] Antarctica",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links: "https://en.wikipedia.org/wiki/Flags_of_the_states_of_Palau#"},</v>
      </c>
      <c r="HG5" s="73" t="str">
        <f t="shared" si="75"/>
        <v>{couname:"[PAU] Angaur",subtype:"[·] Antarctica",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links: "https://en.wikipedia.org/wiki/Flags_of_the_states_of_Palau#"},</v>
      </c>
      <c r="HH5" s="48" t="str">
        <f t="shared" si="76"/>
        <v>"\nThe four stripes stand for the four hamlets of Angaur. In the center is a kelau flower."</v>
      </c>
      <c r="HI5" s="48" t="str">
        <f t="shared" si="77"/>
        <v>"\nThe four stripes stand for the four hamlets of Angaur. In the center is a kelau flower."</v>
      </c>
      <c r="HJ5" s="48" t="str">
        <f t="shared" si="78"/>
        <v>"???"</v>
      </c>
      <c r="HK5" s="48" t="s">
        <v>522</v>
      </c>
      <c r="HL5" s="48" t="str">
        <f t="shared" si="79"/>
        <v>"https://en.wikipedia.org/wiki/Flags_of_the_states_of_Palau#"</v>
      </c>
      <c r="HM5" s="72" t="str">
        <f t="shared" si="80"/>
        <v>{"couname":"[PAU] Angaur","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 "links": "https://en.wikipedia.org/wiki/Flags_of_the_states_of_Palau#"},</v>
      </c>
      <c r="HN5" s="74" t="str">
        <f t="shared" si="81"/>
        <v>{"couname":"[PAU] Angaur","year":"???","region":"rgn_Oceania","Colors":["cl_ORA","cl_WHI","cl_BLU"],"Items":["3Color","lets06","startA","LURAHI","dgband","4+Band","Horizo","Circle","Plants","Unequa","Center","NO_RED","NO_GRE","NO_YEL","NO_BLA","001ORA","002WHI","003BLU","myrORA","southc","NoStar"],"Flag":"https://upload.wikimedia.org/wikipedia/commons/thumb/8/86/Flag_of_Angaur_State.svg/2560px-Flag_of_Angaur_State.svg.png","HDFlag":"https://upload.wikimedia.org/wikipedia/commons/thumb/8/86/Flag_of_Angaur_State.svg/2560px-Flag_of_Angaur_State.svg.png","type":"State", "describe": "\nThe four stripes stand for the four hamlets of Angaur. In the center is a kelau flower.", "isnew": ".", "links": "https://en.wikipedia.org/wiki/Flags_of_the_states_of_Palau#"},</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ORA</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SUM(IC5:IK5)</f>
        <v>0</v>
      </c>
      <c r="IM5" s="45">
        <f t="shared" si="82"/>
        <v>-3</v>
      </c>
      <c r="IN5" s="78" t="str">
        <f t="shared" si="83"/>
        <v>http://mkweb.bcgsc.ca/color-summarizer/?url=https://upload.wikimedia.org/wikipedia/commons/thumb/8/86/Flag_of_Angaur_State.svg/2560px-Flag_of_Angaur_State.svg.png&amp;precision=low&amp;num_clusters=3&amp;text=1</v>
      </c>
      <c r="IO5" s="48" t="str">
        <f t="shared" si="84"/>
        <v/>
      </c>
      <c r="IP5" s="48" t="str">
        <f t="shared" si="85"/>
        <v>"blue"</v>
      </c>
      <c r="IQ5" s="48" t="str">
        <f t="shared" si="86"/>
        <v/>
      </c>
      <c r="IR5" s="48" t="str">
        <f t="shared" si="87"/>
        <v/>
      </c>
      <c r="IS5" s="48" t="str">
        <f t="shared" si="88"/>
        <v/>
      </c>
      <c r="IT5" s="48" t="str">
        <f t="shared" si="89"/>
        <v>"orange"</v>
      </c>
      <c r="IU5" s="48" t="str">
        <f t="shared" si="90"/>
        <v/>
      </c>
      <c r="IV5" s="48" t="str">
        <f t="shared" si="91"/>
        <v/>
      </c>
      <c r="IW5" s="48" t="str">
        <f t="shared" si="92"/>
        <v>"white"</v>
      </c>
      <c r="IX5" s="48" t="str">
        <f t="shared" si="93"/>
        <v>{"url":"http://mkweb.bcgsc.ca/color-summarizer/?url=https://upload.wikimedia.org/wikipedia/commons/thumb/8/86/Flag_of_Angaur_State.svg/2560px-Flag_of_Angaur_State.svg.png&amp;precision=low&amp;num_clusters=3&amp;text=1","name":"[PAU] Angaur"},</v>
      </c>
      <c r="IY5" s="48">
        <v>282</v>
      </c>
    </row>
    <row r="6" spans="1:259" s="48" customFormat="1" ht="38.4" customHeight="1" thickBot="1" x14ac:dyDescent="0.35">
      <c r="A6" s="79" t="s">
        <v>523</v>
      </c>
      <c r="B6" s="40" t="e" vm="94">
        <v>#VALUE!</v>
      </c>
      <c r="C6" s="41">
        <v>2</v>
      </c>
      <c r="D6" s="42" t="s">
        <v>524</v>
      </c>
      <c r="E6" s="43" t="s">
        <v>525</v>
      </c>
      <c r="F6" s="44" t="s">
        <v>166</v>
      </c>
      <c r="G6" s="45">
        <f>COUNTIF($A$1:$A$8249,A6)</f>
        <v>1</v>
      </c>
      <c r="H6" s="46"/>
      <c r="I6" s="47" t="s">
        <v>513</v>
      </c>
      <c r="J6" s="48" t="str">
        <f>""</f>
        <v/>
      </c>
      <c r="K6" s="49"/>
      <c r="L6" s="50"/>
      <c r="M6" s="50"/>
      <c r="N6" s="51" t="s">
        <v>169</v>
      </c>
      <c r="O6" s="52" t="s">
        <v>355</v>
      </c>
      <c r="P6" s="53" t="s">
        <v>526</v>
      </c>
      <c r="Q6" s="54">
        <v>1</v>
      </c>
      <c r="R6" s="55" t="s">
        <v>169</v>
      </c>
      <c r="S6" s="56">
        <v>0</v>
      </c>
      <c r="T6" s="57" t="s">
        <v>173</v>
      </c>
      <c r="U6" s="58" t="s">
        <v>173</v>
      </c>
      <c r="V6" s="58" t="s">
        <v>173</v>
      </c>
      <c r="W6" s="58" t="s">
        <v>173</v>
      </c>
      <c r="X6" s="58" t="s">
        <v>173</v>
      </c>
      <c r="Y6" s="58" t="s">
        <v>172</v>
      </c>
      <c r="Z6" s="58" t="s">
        <v>173</v>
      </c>
      <c r="AA6" s="58" t="s">
        <v>173</v>
      </c>
      <c r="AB6" s="58" t="s">
        <v>173</v>
      </c>
      <c r="AC6" s="58" t="s">
        <v>173</v>
      </c>
      <c r="AD6" s="58" t="s">
        <v>173</v>
      </c>
      <c r="AE6" s="58" t="s">
        <v>173</v>
      </c>
      <c r="AF6" s="59" t="s">
        <v>173</v>
      </c>
      <c r="AG6" s="59" t="s">
        <v>173</v>
      </c>
      <c r="AH6" s="59" t="s">
        <v>173</v>
      </c>
      <c r="AI6" s="59" t="s">
        <v>173</v>
      </c>
      <c r="AJ6" s="59" t="s">
        <v>173</v>
      </c>
      <c r="AK6" s="59" t="s">
        <v>173</v>
      </c>
      <c r="AL6" s="59" t="s">
        <v>173</v>
      </c>
      <c r="AM6" s="59" t="s">
        <v>173</v>
      </c>
      <c r="AN6" s="59" t="s">
        <v>173</v>
      </c>
      <c r="AO6" s="59" t="s">
        <v>173</v>
      </c>
      <c r="AP6" s="59" t="s">
        <v>173</v>
      </c>
      <c r="AQ6" s="59" t="s">
        <v>173</v>
      </c>
      <c r="AR6" s="59" t="s">
        <v>173</v>
      </c>
      <c r="AS6" s="59" t="s">
        <v>173</v>
      </c>
      <c r="AT6" s="60">
        <v>3</v>
      </c>
      <c r="AU6" s="59" t="s">
        <v>363</v>
      </c>
      <c r="AV6" s="59" t="str">
        <f>IF(LEFT(A6,1)="[",LEFT(A6,5)&amp;AU6&amp;A6,"")</f>
        <v>[PAU]State[PAU] Hatohobei</v>
      </c>
      <c r="AW6" s="59" t="str">
        <f>C6&amp;H6&amp;A6</f>
        <v>2[PAU] Hatohobei</v>
      </c>
      <c r="AX6" s="61"/>
      <c r="AY6" s="61"/>
      <c r="AZ6" s="62" t="s">
        <v>192</v>
      </c>
      <c r="BA6" s="62" t="s">
        <v>192</v>
      </c>
      <c r="BB6" s="62"/>
      <c r="BC6" s="63"/>
      <c r="BD6" s="64" t="s">
        <v>159</v>
      </c>
      <c r="BE6" s="47"/>
      <c r="BF6" s="64" t="s">
        <v>159</v>
      </c>
      <c r="BG6" s="64" t="s">
        <v>152</v>
      </c>
      <c r="BH6" s="64" t="s">
        <v>159</v>
      </c>
      <c r="BI6" s="64"/>
      <c r="BJ6" s="64"/>
      <c r="BK6" s="47"/>
      <c r="BL6" s="64" t="s">
        <v>192</v>
      </c>
      <c r="BM6" s="64" t="s">
        <v>152</v>
      </c>
      <c r="BN6" s="64" t="s">
        <v>192</v>
      </c>
      <c r="BO6" s="64" t="s">
        <v>192</v>
      </c>
      <c r="BP6" s="64" t="s">
        <v>192</v>
      </c>
      <c r="BQ6" s="64" t="s">
        <v>192</v>
      </c>
      <c r="BR6" s="64" t="s">
        <v>192</v>
      </c>
      <c r="BS6" s="64" t="s">
        <v>192</v>
      </c>
      <c r="BT6" s="64" t="s">
        <v>159</v>
      </c>
      <c r="BU6" s="65"/>
      <c r="BV6" s="66"/>
      <c r="BW6" s="66">
        <v>0</v>
      </c>
      <c r="BX6" s="47"/>
      <c r="CB6" s="6"/>
      <c r="CC6" s="6"/>
      <c r="CD6" s="67">
        <v>0</v>
      </c>
      <c r="CE6" s="67">
        <v>0</v>
      </c>
      <c r="CF6" s="67" t="e">
        <v>#REF!</v>
      </c>
      <c r="CG6" s="68" cm="1">
        <f t="array" ref="CG6">SUMPRODUCT(--(LEN(TRIM(BL6:BT6))&gt;0))</f>
        <v>2</v>
      </c>
      <c r="CH6" s="59" t="str">
        <f t="shared" si="6"/>
        <v>y</v>
      </c>
      <c r="CI6" s="59" t="str">
        <f t="shared" si="7"/>
        <v>n</v>
      </c>
      <c r="CJ6" s="59" t="str">
        <f t="shared" si="8"/>
        <v>n</v>
      </c>
      <c r="CK6" s="59" t="str">
        <f t="shared" si="9"/>
        <v>n</v>
      </c>
      <c r="CL6" s="59" t="str">
        <f t="shared" si="10"/>
        <v>y</v>
      </c>
      <c r="CM6" s="59" t="str">
        <f t="shared" si="11"/>
        <v>n</v>
      </c>
      <c r="CN6" s="59" t="str">
        <f t="shared" si="12"/>
        <v>n</v>
      </c>
      <c r="CO6" s="59" t="str">
        <f t="shared" si="13"/>
        <v>n</v>
      </c>
      <c r="CP6" s="59" t="str">
        <f t="shared" si="14"/>
        <v>n</v>
      </c>
      <c r="CQ6" s="59" t="str">
        <f t="shared" si="15"/>
        <v>n</v>
      </c>
      <c r="CR6" s="59" t="str">
        <f t="shared" si="16"/>
        <v>n</v>
      </c>
      <c r="CS6" s="59" t="str">
        <f t="shared" si="17"/>
        <v>y</v>
      </c>
      <c r="CT6" s="69" t="str">
        <f t="shared" si="18"/>
        <v>"[PAU] Hatohobei"</v>
      </c>
      <c r="CU6" s="70" t="str">
        <f t="shared" si="19"/>
        <v>"rgn_Oceania"</v>
      </c>
      <c r="CV6" s="48" t="str">
        <f t="shared" si="20"/>
        <v>"https://upload.wikimedia.org/wikipedia/commons/thumb/e/e9/Flag_of_Hatohobei.svg/640px-Flag_of_Hatohobei.svg.png"</v>
      </c>
      <c r="CW6" s="48" t="str">
        <f t="shared" si="0"/>
        <v>"2Color",</v>
      </c>
      <c r="CX6" s="48" t="str">
        <f t="shared" si="0"/>
        <v/>
      </c>
      <c r="CY6" s="48" t="str">
        <f t="shared" si="0"/>
        <v/>
      </c>
      <c r="CZ6" s="48" t="str">
        <f t="shared" si="0"/>
        <v/>
      </c>
      <c r="DA6" s="48" t="str">
        <f t="shared" si="21"/>
        <v/>
      </c>
      <c r="DB6" s="48" t="str">
        <f t="shared" si="22"/>
        <v/>
      </c>
      <c r="DD6" s="48" t="str">
        <f>IF(LEN(CHAR(34)&amp;"lets"&amp;LEN(SUBSTITUTE(SUBSTITUTE(IFERROR(TRIM(SUBSTITUTE(A6,MID(A6,FIND("[",A6),FIND("]",A6)-FIND("[",A6)+1),"")),A6)," ",""),"-",""))&amp;CHAR(34)&amp;",")=9,CHAR(34)&amp;"lets"&amp;LEN(SUBSTITUTE(SUBSTITUTE(IFERROR(TRIM(SUBSTITUTE(A6,MID(A6,FIND("[",A6),FIND("]",A6)-FIND("[",A6)+1),"")),A6)," ",""),"-",""))&amp;CHAR(34)&amp;",",CHAR(34)&amp;"lets0"&amp;LEN(SUBSTITUTE(SUBSTITUTE(IFERROR(TRIM(SUBSTITUTE(A6,MID(A6,FIND("[",A6),FIND("]",A6)-FIND("[",A6)+1),"")),A6)," ",""),"-",""))&amp;CHAR(34)&amp;",")</f>
        <v>"lets09",</v>
      </c>
      <c r="DE6" s="48" t="str">
        <f>CHAR(34)&amp;"start"&amp;IFERROR(LEFT(SUBSTITUTE(A6,"["&amp;MID(A6,FIND("[",A6)+1,FIND("]",A6)-FIND("[",A6)-1)&amp;"] ",""),1),LEFT(A6,1))&amp;CHAR(34)&amp;","</f>
        <v>"startH",</v>
      </c>
      <c r="DF6" s="48" t="str">
        <f t="shared" si="23"/>
        <v/>
      </c>
      <c r="DG6" s="48" t="str">
        <f t="shared" si="24"/>
        <v/>
      </c>
      <c r="DH6" s="48" t="str">
        <f t="shared" si="25"/>
        <v/>
      </c>
      <c r="DI6" s="48" t="str">
        <f t="shared" si="26"/>
        <v/>
      </c>
      <c r="DJ6" s="48" t="str">
        <f t="shared" si="27"/>
        <v/>
      </c>
      <c r="DK6" s="48" t="str">
        <f t="shared" si="28"/>
        <v/>
      </c>
      <c r="DL6" s="48" t="str">
        <f t="shared" si="29"/>
        <v>"BLUWHI",</v>
      </c>
      <c r="DM6" s="48" t="str" cm="1">
        <f t="array" ref="DM6">IF(CG6=3,CHAR(34) &amp; _xlfn.TEXTJOIN("", TRUE, RIGHT(HP6:HX6, 2)) &amp; CHAR(34) &amp; ",", "")</f>
        <v/>
      </c>
      <c r="DN6" s="48" t="str">
        <f t="shared" si="30"/>
        <v/>
      </c>
      <c r="DO6" s="48" t="str">
        <f t="shared" si="31"/>
        <v/>
      </c>
      <c r="DP6" s="6" t="str">
        <f t="shared" si="32"/>
        <v/>
      </c>
      <c r="DQ6" s="6" t="str">
        <f t="shared" si="33"/>
        <v/>
      </c>
      <c r="DR6" s="6" t="str">
        <f t="shared" si="34"/>
        <v/>
      </c>
      <c r="DS6" s="6" t="str">
        <f t="shared" si="35"/>
        <v/>
      </c>
      <c r="DT6" s="6" t="str">
        <f t="shared" si="36"/>
        <v/>
      </c>
      <c r="DU6" s="6" t="str">
        <f t="shared" si="37"/>
        <v/>
      </c>
      <c r="DW6" s="48" t="str">
        <f t="shared" si="1"/>
        <v>"NoBand",</v>
      </c>
      <c r="DX6" s="48" t="str">
        <f t="shared" si="1"/>
        <v/>
      </c>
      <c r="DY6" s="48" t="str">
        <f t="shared" si="1"/>
        <v/>
      </c>
      <c r="DZ6" s="48" t="str">
        <f t="shared" si="1"/>
        <v/>
      </c>
      <c r="EA6" s="48" t="str">
        <f t="shared" si="2"/>
        <v/>
      </c>
      <c r="EB6" s="48" t="str">
        <f t="shared" si="2"/>
        <v/>
      </c>
      <c r="EC6" s="48" t="str">
        <f t="shared" si="2"/>
        <v/>
      </c>
      <c r="ED6" s="48" t="str">
        <f t="shared" si="2"/>
        <v/>
      </c>
      <c r="EE6" s="48" t="str">
        <f t="shared" si="2"/>
        <v/>
      </c>
      <c r="EF6" s="48" t="str">
        <f t="shared" si="38"/>
        <v>"Animal",</v>
      </c>
      <c r="EG6" s="48" t="str">
        <f t="shared" si="3"/>
        <v/>
      </c>
      <c r="EH6" s="48" t="str">
        <f t="shared" si="3"/>
        <v/>
      </c>
      <c r="EI6" s="48" t="str">
        <f t="shared" si="3"/>
        <v/>
      </c>
      <c r="EJ6" s="48" t="str">
        <f t="shared" si="3"/>
        <v/>
      </c>
      <c r="EK6" s="48" t="str">
        <f t="shared" si="3"/>
        <v/>
      </c>
      <c r="EL6" s="48" t="str">
        <f t="shared" si="3"/>
        <v/>
      </c>
      <c r="EM6" s="48" t="str">
        <f t="shared" si="3"/>
        <v/>
      </c>
      <c r="EN6" s="48" t="str">
        <f t="shared" si="3"/>
        <v/>
      </c>
      <c r="EO6" s="48" t="str">
        <f t="shared" si="3"/>
        <v/>
      </c>
      <c r="EP6" s="48" t="str">
        <f t="shared" si="3"/>
        <v/>
      </c>
      <c r="EQ6" s="48" t="str">
        <f t="shared" si="3"/>
        <v/>
      </c>
      <c r="ER6" s="48" t="str">
        <f t="shared" si="3"/>
        <v/>
      </c>
      <c r="ES6" s="48" t="str">
        <f t="shared" si="3"/>
        <v/>
      </c>
      <c r="ET6" s="48" t="str">
        <f t="shared" si="3"/>
        <v/>
      </c>
      <c r="EU6" s="48" t="str">
        <f t="shared" si="3"/>
        <v/>
      </c>
      <c r="EV6" s="48" t="str">
        <f t="shared" si="3"/>
        <v/>
      </c>
      <c r="EW6" s="48" t="str">
        <f t="shared" si="3"/>
        <v/>
      </c>
      <c r="EX6" s="48" t="str">
        <f t="shared" si="3"/>
        <v/>
      </c>
      <c r="EY6" s="48" t="str">
        <f t="shared" si="3"/>
        <v/>
      </c>
      <c r="EZ6" s="48" t="str">
        <f t="shared" si="3"/>
        <v/>
      </c>
      <c r="FA6" s="48" t="str">
        <f t="shared" si="39"/>
        <v>"sta",</v>
      </c>
      <c r="FB6" s="48" t="str">
        <f t="shared" si="40"/>
        <v/>
      </c>
      <c r="FD6" s="48" t="str">
        <f t="shared" si="41"/>
        <v/>
      </c>
      <c r="FE6" s="48" t="str">
        <f t="shared" si="42"/>
        <v/>
      </c>
      <c r="FF6" s="48" t="str">
        <f t="shared" si="43"/>
        <v/>
      </c>
      <c r="FG6" s="48" t="str">
        <f t="shared" si="44"/>
        <v>"NO_RED",</v>
      </c>
      <c r="FH6" s="48" t="str">
        <f t="shared" si="45"/>
        <v>"NO_GRE",</v>
      </c>
      <c r="FI6" s="48" t="str">
        <f t="shared" si="46"/>
        <v>"NO_YEL",</v>
      </c>
      <c r="FJ6" s="48" t="str">
        <f t="shared" si="47"/>
        <v>"NO_BLA",</v>
      </c>
      <c r="FK6" s="48" t="str">
        <f t="shared" si="48"/>
        <v/>
      </c>
      <c r="FL6" s="48" t="str">
        <f t="shared" si="49"/>
        <v/>
      </c>
      <c r="FM6" s="48" t="str">
        <f t="shared" si="50"/>
        <v/>
      </c>
      <c r="FN6" s="48" t="str">
        <f t="shared" si="51"/>
        <v/>
      </c>
      <c r="FO6" s="48" t="str">
        <f t="shared" si="52"/>
        <v/>
      </c>
      <c r="FP6" s="48" t="str">
        <f t="shared" si="53"/>
        <v/>
      </c>
      <c r="FQ6" s="48" t="str">
        <f t="shared" si="54"/>
        <v>"001WHI",</v>
      </c>
      <c r="FR6" s="48" t="str">
        <f t="shared" si="55"/>
        <v>"002BLU",</v>
      </c>
      <c r="FS6" s="48" t="str">
        <f t="shared" si="56"/>
        <v>"003WHI",</v>
      </c>
      <c r="FT6" s="48" t="str">
        <f t="shared" si="57"/>
        <v>"myrWHI",</v>
      </c>
      <c r="FU6" s="48" t="str">
        <f t="shared" si="58"/>
        <v/>
      </c>
      <c r="FV6" s="48" t="str">
        <f t="shared" si="59"/>
        <v/>
      </c>
      <c r="FW6" s="48" t="str">
        <f t="shared" si="60"/>
        <v/>
      </c>
      <c r="FY6" s="48" t="str">
        <f t="shared" si="61"/>
        <v/>
      </c>
      <c r="FZ6" s="48" t="str">
        <f t="shared" si="62"/>
        <v/>
      </c>
      <c r="GA6" s="48" t="str">
        <f t="shared" si="63"/>
        <v/>
      </c>
      <c r="GB6" s="48" t="str">
        <f t="shared" si="64"/>
        <v/>
      </c>
      <c r="GE6" s="48" t="str">
        <f t="shared" si="65"/>
        <v/>
      </c>
      <c r="GF6" s="48" t="str">
        <f>IFERROR(IF(SEARCH("Historical",AU6)&gt;0,CHAR(34)&amp;"histor"&amp;CHAR(34)&amp;",",""),"")</f>
        <v/>
      </c>
      <c r="GG6" s="48" t="str">
        <f t="shared" si="66"/>
        <v/>
      </c>
      <c r="GH6" s="48" t="str">
        <f t="shared" si="67"/>
        <v/>
      </c>
      <c r="GI6" s="48" t="str">
        <f t="shared" si="68"/>
        <v/>
      </c>
      <c r="GJ6" s="48" t="str">
        <f t="shared" si="69"/>
        <v/>
      </c>
      <c r="GK6" s="48" t="str">
        <f t="shared" si="70"/>
        <v>"HasSta",</v>
      </c>
      <c r="GL6" s="48" t="str">
        <f t="shared" si="4"/>
        <v/>
      </c>
      <c r="GM6" s="48" t="str">
        <f t="shared" si="4"/>
        <v/>
      </c>
      <c r="GN6" s="48" t="str">
        <f t="shared" si="4"/>
        <v>"3+Star",</v>
      </c>
      <c r="GP6" s="48" t="str">
        <f t="shared" si="71"/>
        <v>"State"</v>
      </c>
      <c r="GS6" s="48" t="str">
        <f t="shared" si="72"/>
        <v>["2Color","lets09","startH","BLUWHI","NoBand","Animal","sta","NO_RED","NO_GRE","NO_YEL","NO_BLA","001WHI","002BLU","003WHI","myrWHI","HasSta","3+Star"]</v>
      </c>
      <c r="GT6" s="48" t="str">
        <f t="shared" si="5"/>
        <v/>
      </c>
      <c r="GU6" s="48" t="str">
        <f t="shared" si="5"/>
        <v>"cl_BLU",</v>
      </c>
      <c r="GV6" s="48" t="str">
        <f t="shared" si="5"/>
        <v/>
      </c>
      <c r="GW6" s="48" t="str">
        <f t="shared" si="5"/>
        <v/>
      </c>
      <c r="GX6" s="48" t="str">
        <f t="shared" si="5"/>
        <v/>
      </c>
      <c r="GY6" s="48" t="str">
        <f t="shared" si="5"/>
        <v/>
      </c>
      <c r="GZ6" s="48" t="str">
        <f t="shared" si="5"/>
        <v/>
      </c>
      <c r="HA6" s="48" t="str">
        <f t="shared" si="5"/>
        <v/>
      </c>
      <c r="HB6" s="48" t="str">
        <f t="shared" si="5"/>
        <v>"cl_WHI",</v>
      </c>
      <c r="HC6" s="48" t="str">
        <f t="shared" si="73"/>
        <v>["cl_BLU","cl_WHI"]</v>
      </c>
      <c r="HE6" s="71"/>
      <c r="HF6" s="72" t="str">
        <f t="shared" si="74"/>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links: "https://en.wikipedia.org/wiki/Flags_of_the_states_of_Palau#"},</v>
      </c>
      <c r="HG6" s="73" t="str">
        <f t="shared" si="75"/>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links: "https://en.wikipedia.org/wiki/Flags_of_the_states_of_Palau#"},</v>
      </c>
      <c r="HH6" s="48" t="str">
        <f t="shared" si="76"/>
        <v>"\nThe stars represent the three islands that make up the state. The clam shell represents Romohparuh, the first person on Hatohobei, who claimed ownership of the island by burying a clam shell."</v>
      </c>
      <c r="HI6" s="48" t="str">
        <f t="shared" si="77"/>
        <v>"\nThe stars represent the three islands that make up the state. The clam shell represents Romohparuh, the first person on Hatohobei, who claimed ownership of the island by burying a clam shell."</v>
      </c>
      <c r="HJ6" s="48" t="str">
        <f t="shared" si="78"/>
        <v>"???"</v>
      </c>
      <c r="HL6" s="48" t="str">
        <f t="shared" si="79"/>
        <v>"https://en.wikipedia.org/wiki/Flags_of_the_states_of_Palau#"</v>
      </c>
      <c r="HM6" s="72" t="str">
        <f t="shared" si="80"/>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 "links": "https://en.wikipedia.org/wiki/Flags_of_the_states_of_Palau#"},</v>
      </c>
      <c r="HN6" s="74" t="str">
        <f t="shared" si="81"/>
        <v>{"couname":"[PAU] Hatohobei","year":"???","region":"rgn_Oceania","Colors":["cl_BLU","cl_WHI"],"Items":["2Color","lets09","startH","BLUWHI","NoBand","Animal","sta","NO_RED","NO_GRE","NO_YEL","NO_BLA","001WHI","002BLU","003WHI","myrWHI","HasSta","3+Star"],"Flag":"https://upload.wikimedia.org/wikipedia/commons/thumb/e/e9/Flag_of_Hatohobei.svg/640px-Flag_of_Hatohobei.svg.png","HDFlag":"https://upload.wikimedia.org/wikipedia/commons/thumb/e/e9/Flag_of_Hatohobei.svg/2560px-Flag_of_Hatohobei.svg.png","type":"State", "describe": "\nThe stars represent the three islands that make up the state. The clam shell represents Romohparuh, the first person on Hatohobei, who claimed ownership of the island by burying a clam shell.", "isnew": ".", "links": "https://en.wikipedia.org/wiki/Flags_of_the_states_of_Palau#"},</v>
      </c>
      <c r="HO6" s="75">
        <v>45618</v>
      </c>
      <c r="HP6" s="48" t="str" cm="1">
        <f t="array" ref="HP6">IF(_xlfn.TEXTJOIN(", ", TRUE, IF(ISNUMBER(SEARCH("BLA", BL6:BT6)), COLUMN(BL6:BT6) - COLUMN(BL6) + 1, ""))&lt;&gt;"","BLA","")</f>
        <v/>
      </c>
      <c r="HQ6" s="48" t="str" cm="1">
        <f t="array" ref="HQ6">IF(_xlfn.TEXTJOIN(", ", TRUE, IF(ISNUMBER(SEARCH("BLU", BL6:BT6)), COLUMN(BL6:BT6) - COLUMN(BL6) + 1, ""))&lt;&gt;"","BLU","")</f>
        <v>BLU</v>
      </c>
      <c r="HR6" s="48" t="str" cm="1">
        <f t="array" ref="HR6">IF(_xlfn.TEXTJOIN(", ", TRUE, IF(ISNUMBER(SEARCH("GRE", BL6:BT6)), COLUMN(BL6:BT6) - COLUMN(BL6) + 1, ""))&lt;&gt;"","GRE","")</f>
        <v/>
      </c>
      <c r="HS6" s="48" t="str" cm="1">
        <f t="array" ref="HS6">IF(_xlfn.TEXTJOIN(", ", TRUE, IF(ISNUMBER(SEARCH("RED", BL6:BT6)), COLUMN(BL6:BT6) - COLUMN(BL6) + 1, ""))&lt;&gt;"","RED","")</f>
        <v/>
      </c>
      <c r="HT6" s="48" t="str" cm="1">
        <f t="array" ref="HT6">IF(_xlfn.TEXTJOIN(", ", TRUE, IF(ISNUMBER(SEARCH("YEL", BL6:BT6)), COLUMN(BL6:BT6) - COLUMN(BL6) + 1, ""))&lt;&gt;"","YEL","")</f>
        <v/>
      </c>
      <c r="HU6" s="48" t="str" cm="1">
        <f t="array" ref="HU6">IF(_xlfn.TEXTJOIN(", ", TRUE, IF(ISNUMBER(SEARCH("ORA", BL6:BT6)), COLUMN(BL6:BT6) - COLUMN(BL6) + 1, ""))&lt;&gt;"","ORA","")</f>
        <v/>
      </c>
      <c r="HV6" s="48" t="str" cm="1">
        <f t="array" ref="HV6">IF(_xlfn.TEXTJOIN(", ", TRUE, IF(ISNUMBER(SEARCH("BRO", BL6:BT6)), COLUMN(BL6:BT6) - COLUMN(BL6) + 1, ""))&lt;&gt;"","BRO","")</f>
        <v/>
      </c>
      <c r="HW6" s="48" t="str" cm="1">
        <f t="array" ref="HW6">IF(_xlfn.TEXTJOIN(", ", TRUE, IF(ISNUMBER(SEARCH("PUR", BL6:BT6)), COLUMN(BL6:BT6) - COLUMN(BL6) + 1, ""))&lt;&gt;"","PUR","")</f>
        <v/>
      </c>
      <c r="HX6" s="48" t="str" cm="1">
        <f t="array" ref="HX6">IF(_xlfn.TEXTJOIN(", ", TRUE, IF(ISNUMBER(SEARCH("WHI", BL6:BT6)), COLUMN(BL6:BT6) - COLUMN(BL6) + 1, ""))&lt;&gt;"","WHI","")</f>
        <v>WHI</v>
      </c>
      <c r="HY6" s="76"/>
      <c r="HZ6" s="76"/>
      <c r="IA6" s="6"/>
      <c r="IB6" s="6"/>
      <c r="IC6" s="77"/>
      <c r="ID6" s="77"/>
      <c r="IE6" s="77"/>
      <c r="IF6" s="77"/>
      <c r="IG6" s="77"/>
      <c r="IH6" s="77"/>
      <c r="II6" s="77"/>
      <c r="IJ6" s="77"/>
      <c r="IK6" s="77"/>
      <c r="IM6" s="45">
        <f t="shared" si="82"/>
        <v>-2</v>
      </c>
      <c r="IN6" s="78" t="str">
        <f t="shared" si="83"/>
        <v>http://mkweb.bcgsc.ca/color-summarizer/?url=https://upload.wikimedia.org/wikipedia/commons/thumb/e/e9/Flag_of_Hatohobei.svg/640px-Flag_of_Hatohobei.svg.png&amp;precision=low&amp;num_clusters=2&amp;text=1</v>
      </c>
      <c r="IO6" s="48" t="str">
        <f t="shared" si="84"/>
        <v/>
      </c>
      <c r="IP6" s="48" t="str">
        <f t="shared" si="85"/>
        <v>"blue"</v>
      </c>
      <c r="IQ6" s="48" t="str">
        <f t="shared" si="86"/>
        <v/>
      </c>
      <c r="IR6" s="48" t="str">
        <f t="shared" si="87"/>
        <v/>
      </c>
      <c r="IS6" s="48" t="str">
        <f t="shared" si="88"/>
        <v/>
      </c>
      <c r="IT6" s="48" t="str">
        <f t="shared" si="89"/>
        <v/>
      </c>
      <c r="IU6" s="48" t="str">
        <f t="shared" si="90"/>
        <v/>
      </c>
      <c r="IV6" s="48" t="str">
        <f t="shared" si="91"/>
        <v/>
      </c>
      <c r="IW6" s="48" t="str">
        <f t="shared" si="92"/>
        <v>"white"</v>
      </c>
      <c r="IX6" s="48" t="str">
        <f t="shared" si="93"/>
        <v>{"url":"http://mkweb.bcgsc.ca/color-summarizer/?url=https://upload.wikimedia.org/wikipedia/commons/thumb/e/e9/Flag_of_Hatohobei.svg/640px-Flag_of_Hatohobei.svg.png&amp;precision=low&amp;num_clusters=2&amp;text=1","name":"[PAU] Hatohobei"},</v>
      </c>
      <c r="IY6" s="48">
        <v>940</v>
      </c>
    </row>
    <row r="7" spans="1:259" s="48" customFormat="1" ht="38.4" customHeight="1" thickBot="1" x14ac:dyDescent="0.35">
      <c r="A7" s="79" t="s">
        <v>527</v>
      </c>
      <c r="B7" s="40" t="e" vm="95">
        <v>#VALUE!</v>
      </c>
      <c r="C7" s="41">
        <v>2</v>
      </c>
      <c r="D7" s="42" t="s">
        <v>528</v>
      </c>
      <c r="E7" s="43" t="s">
        <v>528</v>
      </c>
      <c r="F7" s="44" t="s">
        <v>166</v>
      </c>
      <c r="G7" s="45">
        <f>COUNTIF($A$1:$A$8249,A7)</f>
        <v>1</v>
      </c>
      <c r="H7" s="46"/>
      <c r="I7" s="47" t="s">
        <v>513</v>
      </c>
      <c r="J7" s="48" t="str">
        <f>""</f>
        <v/>
      </c>
      <c r="K7" s="49"/>
      <c r="L7" s="50"/>
      <c r="M7" s="50"/>
      <c r="N7" s="51" t="s">
        <v>169</v>
      </c>
      <c r="O7" s="52" t="s">
        <v>355</v>
      </c>
      <c r="P7" s="53" t="s">
        <v>529</v>
      </c>
      <c r="Q7" s="54">
        <v>1</v>
      </c>
      <c r="R7" s="55" t="s">
        <v>169</v>
      </c>
      <c r="S7" s="56">
        <v>0</v>
      </c>
      <c r="T7" s="57" t="s">
        <v>173</v>
      </c>
      <c r="U7" s="58" t="s">
        <v>173</v>
      </c>
      <c r="V7" s="58" t="s">
        <v>173</v>
      </c>
      <c r="W7" s="58" t="s">
        <v>172</v>
      </c>
      <c r="X7" s="58" t="s">
        <v>172</v>
      </c>
      <c r="Y7" s="58" t="s">
        <v>173</v>
      </c>
      <c r="Z7" s="58" t="s">
        <v>173</v>
      </c>
      <c r="AA7" s="58" t="s">
        <v>172</v>
      </c>
      <c r="AB7" s="58" t="s">
        <v>173</v>
      </c>
      <c r="AC7" s="58" t="s">
        <v>173</v>
      </c>
      <c r="AD7" s="58" t="s">
        <v>173</v>
      </c>
      <c r="AE7" s="58" t="s">
        <v>173</v>
      </c>
      <c r="AF7" s="59" t="s">
        <v>173</v>
      </c>
      <c r="AG7" s="59" t="s">
        <v>173</v>
      </c>
      <c r="AH7" s="59" t="s">
        <v>172</v>
      </c>
      <c r="AI7" s="59" t="s">
        <v>173</v>
      </c>
      <c r="AJ7" s="59" t="s">
        <v>173</v>
      </c>
      <c r="AK7" s="59" t="s">
        <v>173</v>
      </c>
      <c r="AL7" s="59" t="s">
        <v>173</v>
      </c>
      <c r="AM7" s="59" t="s">
        <v>173</v>
      </c>
      <c r="AN7" s="59" t="s">
        <v>173</v>
      </c>
      <c r="AO7" s="59" t="s">
        <v>173</v>
      </c>
      <c r="AP7" s="59" t="s">
        <v>173</v>
      </c>
      <c r="AQ7" s="59" t="s">
        <v>173</v>
      </c>
      <c r="AR7" s="59" t="s">
        <v>173</v>
      </c>
      <c r="AS7" s="59" t="s">
        <v>173</v>
      </c>
      <c r="AT7" s="60">
        <v>0</v>
      </c>
      <c r="AU7" s="59" t="s">
        <v>363</v>
      </c>
      <c r="AV7" s="59" t="str">
        <f>IF(LEFT(A7,1)="[",LEFT(A7,5)&amp;AU7&amp;A7,"")</f>
        <v>[PAU]State[PAU] Kayangel</v>
      </c>
      <c r="AW7" s="59" t="str">
        <f>C7&amp;H7&amp;A7</f>
        <v>2[PAU] Kayangel</v>
      </c>
      <c r="AX7" s="61"/>
      <c r="AY7" s="61"/>
      <c r="AZ7" s="62" t="s">
        <v>192</v>
      </c>
      <c r="BA7" s="62"/>
      <c r="BB7" s="62"/>
      <c r="BC7" s="63"/>
      <c r="BD7" s="64" t="s">
        <v>152</v>
      </c>
      <c r="BE7" s="47"/>
      <c r="BF7" s="64" t="s">
        <v>152</v>
      </c>
      <c r="BG7" s="64" t="s">
        <v>159</v>
      </c>
      <c r="BH7" s="64" t="s">
        <v>155</v>
      </c>
      <c r="BI7" s="64"/>
      <c r="BJ7" s="64"/>
      <c r="BK7" s="47"/>
      <c r="BL7" s="64" t="s">
        <v>192</v>
      </c>
      <c r="BM7" s="64" t="s">
        <v>152</v>
      </c>
      <c r="BN7" s="64" t="s">
        <v>192</v>
      </c>
      <c r="BO7" s="64" t="s">
        <v>192</v>
      </c>
      <c r="BP7" s="64" t="s">
        <v>155</v>
      </c>
      <c r="BQ7" s="64" t="s">
        <v>192</v>
      </c>
      <c r="BR7" s="64" t="s">
        <v>192</v>
      </c>
      <c r="BS7" s="64" t="s">
        <v>192</v>
      </c>
      <c r="BT7" s="64" t="s">
        <v>159</v>
      </c>
      <c r="BU7" s="65"/>
      <c r="BV7" s="66"/>
      <c r="BW7" s="66">
        <v>0</v>
      </c>
      <c r="BX7" s="47"/>
      <c r="CB7" s="6"/>
      <c r="CC7" s="6"/>
      <c r="CD7" s="67">
        <v>0</v>
      </c>
      <c r="CE7" s="67">
        <v>0</v>
      </c>
      <c r="CF7" s="67" t="e">
        <v>#REF!</v>
      </c>
      <c r="CG7" s="68" cm="1">
        <f t="array" ref="CG7">SUMPRODUCT(--(LEN(TRIM(BL7:BT7))&gt;0))</f>
        <v>3</v>
      </c>
      <c r="CH7" s="59" t="str">
        <f t="shared" si="6"/>
        <v>n</v>
      </c>
      <c r="CI7" s="59" t="str">
        <f t="shared" si="7"/>
        <v>y</v>
      </c>
      <c r="CJ7" s="59" t="str">
        <f t="shared" si="8"/>
        <v>n</v>
      </c>
      <c r="CK7" s="59" t="str">
        <f t="shared" si="9"/>
        <v>n</v>
      </c>
      <c r="CL7" s="59" t="str">
        <f t="shared" si="10"/>
        <v>y</v>
      </c>
      <c r="CM7" s="59" t="str">
        <f t="shared" si="11"/>
        <v>n</v>
      </c>
      <c r="CN7" s="59" t="str">
        <f t="shared" si="12"/>
        <v>n</v>
      </c>
      <c r="CO7" s="59" t="str">
        <f t="shared" si="13"/>
        <v>n</v>
      </c>
      <c r="CP7" s="59" t="str">
        <f t="shared" si="14"/>
        <v>y</v>
      </c>
      <c r="CQ7" s="59" t="str">
        <f t="shared" si="15"/>
        <v>n</v>
      </c>
      <c r="CR7" s="59" t="str">
        <f t="shared" si="16"/>
        <v>n</v>
      </c>
      <c r="CS7" s="59" t="str">
        <f t="shared" si="17"/>
        <v>n</v>
      </c>
      <c r="CT7" s="69" t="str">
        <f t="shared" si="18"/>
        <v>"[PAU] Kayangel"</v>
      </c>
      <c r="CU7" s="70" t="str">
        <f t="shared" si="19"/>
        <v>"rgn_Oceania"</v>
      </c>
      <c r="CV7" s="48" t="str">
        <f t="shared" si="20"/>
        <v>"https://upload.wikimedia.org/wikipedia/commons/thumb/3/35/Flag_of_Kayangel.svg/2560px-Flag_of_Kayangel.svg.png"</v>
      </c>
      <c r="CW7" s="48" t="str">
        <f t="shared" si="0"/>
        <v/>
      </c>
      <c r="CX7" s="48" t="str">
        <f t="shared" si="0"/>
        <v>"3Color",</v>
      </c>
      <c r="CY7" s="48" t="str">
        <f t="shared" si="0"/>
        <v/>
      </c>
      <c r="CZ7" s="48" t="str">
        <f t="shared" si="0"/>
        <v/>
      </c>
      <c r="DA7" s="48" t="str">
        <f t="shared" si="21"/>
        <v/>
      </c>
      <c r="DB7" s="48" t="str">
        <f t="shared" si="22"/>
        <v/>
      </c>
      <c r="DC7" s="48" t="str">
        <f>IF(Q7=2,CHAR(34)&amp;"exact2"&amp;CHAR(34)&amp;",","")</f>
        <v/>
      </c>
      <c r="DD7" s="48" t="str">
        <f>IF(LEN(CHAR(34)&amp;"lets"&amp;LEN(SUBSTITUTE(SUBSTITUTE(IFERROR(TRIM(SUBSTITUTE(SUBSTITUTE(SUBSTITUTE(IFERROR(TRIM(SUBSTITUTE(A7,MID(A7,FIND("(",A7),FIND(")",A7)-FIND("(",A7)+1),"")),A7),"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",""),"-",""))&amp;CHAR(34)&amp;",")=9,CHAR(34)&amp;"lets"&amp;LEN(SUBSTITUTE(SUBSTITUTE(IFERROR(TRIM(SUBSTITUTE(SUBSTITUTE(SUBSTITUTE(IFERROR(TRIM(SUBSTITUTE(A7,MID(A7,FIND("(",A7),FIND(")",A7)-FIND("(",A7)+1),"")),A7),"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",""),"-",""))&amp;CHAR(34)&amp;",",CHAR(34)&amp;"lets0"&amp;LEN(SUBSTITUTE(SUBSTITUTE(IFERROR(TRIM(SUBSTITUTE(SUBSTITUTE(SUBSTITUTE(IFERROR(TRIM(SUBSTITUTE(A7,MID(A7,FIND("(",A7),FIND(")",A7)-FIND("(",A7)+1),"")),A7)," ",""),"-",""),MID(SUBSTITUTE(SUBSTITUTE(IFERROR(TRIM(SUBSTITUTE(A7,MID(A7,FIND("(",A7),FIND(")",A7)-FIND("(",A7)+1),"")),A7)," ",""),"-",""),FIND("[",SUBSTITUTE(SUBSTITUTE(IFERROR(TRIM(SUBSTITUTE(A7,MID(A7,FIND("(",A7),FIND(")",A7)-FIND("(",A7)+1),"")),A7)," ",""),"-","")),FIND("]",SUBSTITUTE(SUBSTITUTE(IFERROR(TRIM(SUBSTITUTE(A7,MID(A7,FIND("(",A7),FIND(")",A7)-FIND("(",A7)+1),"")),A7)," ",""),"-",""))-FIND("[",SUBSTITUTE(SUBSTITUTE(IFERROR(TRIM(SUBSTITUTE(A7,MID(A7,FIND("(",A7),FIND(")",A7)-FIND("(",A7)+1),"")),A7)," ",""),"-",""))+1),"")),SUBSTITUTE(SUBSTITUTE(IFERROR(TRIM(SUBSTITUTE(A7,MID(A7,FIND("(",A7),FIND(")",A7)-FIND("(",A7)+1),"")),A7)," ",""),"-",""))," ",""),"-",""))&amp;CHAR(34)&amp;",")</f>
        <v>"lets08",</v>
      </c>
      <c r="DE7" s="48" t="str">
        <f>IFERROR(CHAR(34)&amp;"start"&amp;LEFT(TRIM(SUBSTITUTE(SUBSTITUTE(TRIM(SUBSTITUTE(SUBSTITUTE(A7, MID(A7, FIND("[", A7), FIND("]", A7) - FIND("[", A7) + 1), ""), "  ", " ")), MID(TRIM(SUBSTITUTE(SUBSTITUTE(A7, MID(A7, FIND("[", A7), FIND("]", A7) - FIND("[", A7) + 1), ""), "  ", " ")), FIND("[", TRIM(SUBSTITUTE(SUBSTITUTE(A7, MID(A7, FIND("[", A7), FIND("]", A7) - FIND("[", A7) + 1), ""), "  ", " "))), FIND("]", TRIM(SUBSTITUTE(SUBSTITUTE(A7, MID(A7, FIND("[", A7), FIND("]", A7) - FIND("[", A7) + 1), ""), "  ", " "))) - FIND("[", TRIM(SUBSTITUTE(SUBSTITUTE(A7, MID(A7, FIND("[", A7), FIND("]", A7) - FIND("[", A7) + 1), ""), "  ", " "))) + 1), ""), "  ", " ")),1)&amp;CHAR(34)&amp;",",CHAR(34)&amp;"start"&amp;IFERROR(LEFT(SUBSTITUTE(A7,"["&amp;MID(A7,FIND("[",A7)+1,FIND("]",A7)-FIND("[",A7)-1)&amp;"] ",""),1),LEFT(A7,1))&amp;CHAR(34)&amp;",")</f>
        <v>"startK",</v>
      </c>
      <c r="DF7" s="48" t="str">
        <f t="shared" si="23"/>
        <v/>
      </c>
      <c r="DG7" s="48" t="str">
        <f t="shared" si="24"/>
        <v/>
      </c>
      <c r="DH7" s="48" t="str">
        <f t="shared" si="25"/>
        <v/>
      </c>
      <c r="DI7" s="48" t="str">
        <f t="shared" si="26"/>
        <v/>
      </c>
      <c r="DJ7" s="48" t="str">
        <f t="shared" si="27"/>
        <v>"with_y",</v>
      </c>
      <c r="DK7" s="48" t="str">
        <f t="shared" si="28"/>
        <v/>
      </c>
      <c r="DL7" s="48" t="str">
        <f t="shared" si="29"/>
        <v/>
      </c>
      <c r="DM7" s="48" t="str" cm="1">
        <f t="array" ref="DM7">IF(CG7=3,CHAR(34) &amp; _xlfn.TEXTJOIN("", TRUE, RIGHT(HP7:HX7, 2)) &amp; CHAR(34) &amp; ",", "")</f>
        <v>"LUELHI",</v>
      </c>
      <c r="DN7" s="48" t="str">
        <f t="shared" si="30"/>
        <v/>
      </c>
      <c r="DO7" s="48" t="str">
        <f t="shared" si="31"/>
        <v/>
      </c>
      <c r="DP7" s="6" t="str">
        <f t="shared" si="32"/>
        <v/>
      </c>
      <c r="DQ7" s="6" t="str">
        <f t="shared" si="33"/>
        <v/>
      </c>
      <c r="DR7" s="6" t="str">
        <f t="shared" si="34"/>
        <v/>
      </c>
      <c r="DS7" s="6" t="str">
        <f t="shared" si="35"/>
        <v>"allver",</v>
      </c>
      <c r="DT7" s="6" t="str">
        <f t="shared" si="36"/>
        <v/>
      </c>
      <c r="DU7" s="6" t="str">
        <f t="shared" si="37"/>
        <v/>
      </c>
      <c r="DV7" s="48" t="str">
        <f>IF(IA7&lt;&gt;"",(IF(IA7="y",CHAR(34)&amp;"largec"&amp;CHAR(34)&amp;",",CHAR(34)&amp;"smallc"&amp;CHAR(34)&amp;",")),"")</f>
        <v/>
      </c>
      <c r="DW7" s="48" t="str">
        <f t="shared" si="1"/>
        <v>"NoBand",</v>
      </c>
      <c r="DX7" s="48" t="str">
        <f t="shared" si="1"/>
        <v/>
      </c>
      <c r="DY7" s="48" t="str">
        <f t="shared" si="1"/>
        <v/>
      </c>
      <c r="DZ7" s="48" t="str">
        <f t="shared" si="1"/>
        <v/>
      </c>
      <c r="EA7" s="48" t="str">
        <f t="shared" si="2"/>
        <v/>
      </c>
      <c r="EB7" s="48" t="str">
        <f t="shared" si="2"/>
        <v/>
      </c>
      <c r="EC7" s="48" t="str">
        <f t="shared" si="2"/>
        <v/>
      </c>
      <c r="ED7" s="48" t="str">
        <f t="shared" si="2"/>
        <v>"Vertic",</v>
      </c>
      <c r="EE7" s="48" t="str">
        <f t="shared" si="2"/>
        <v>"Circle",</v>
      </c>
      <c r="EF7" s="48" t="str">
        <f t="shared" si="38"/>
        <v/>
      </c>
      <c r="EG7" s="48" t="str">
        <f t="shared" si="3"/>
        <v/>
      </c>
      <c r="EH7" s="48" t="str">
        <f t="shared" si="3"/>
        <v>"Plants",</v>
      </c>
      <c r="EI7" s="48" t="str">
        <f t="shared" si="3"/>
        <v/>
      </c>
      <c r="EJ7" s="48" t="str">
        <f t="shared" si="3"/>
        <v/>
      </c>
      <c r="EK7" s="48" t="str">
        <f t="shared" si="3"/>
        <v/>
      </c>
      <c r="EL7" s="48" t="str">
        <f t="shared" si="3"/>
        <v/>
      </c>
      <c r="EM7" s="48" t="str">
        <f t="shared" si="3"/>
        <v/>
      </c>
      <c r="EN7" s="48" t="str">
        <f t="shared" si="3"/>
        <v/>
      </c>
      <c r="EO7" s="48" t="str">
        <f t="shared" si="3"/>
        <v>"Center",</v>
      </c>
      <c r="EP7" s="48" t="str">
        <f t="shared" si="3"/>
        <v/>
      </c>
      <c r="EQ7" s="48" t="str">
        <f t="shared" si="3"/>
        <v/>
      </c>
      <c r="ER7" s="48" t="str">
        <f t="shared" si="3"/>
        <v/>
      </c>
      <c r="ES7" s="48" t="str">
        <f t="shared" si="3"/>
        <v/>
      </c>
      <c r="ET7" s="48" t="str">
        <f t="shared" si="3"/>
        <v/>
      </c>
      <c r="EU7" s="48" t="str">
        <f t="shared" si="3"/>
        <v/>
      </c>
      <c r="EV7" s="48" t="str">
        <f t="shared" si="3"/>
        <v/>
      </c>
      <c r="EW7" s="48" t="str">
        <f t="shared" si="3"/>
        <v/>
      </c>
      <c r="EX7" s="48" t="str">
        <f t="shared" si="3"/>
        <v/>
      </c>
      <c r="EY7" s="48" t="str">
        <f t="shared" si="3"/>
        <v/>
      </c>
      <c r="EZ7" s="48" t="str">
        <f t="shared" si="3"/>
        <v/>
      </c>
      <c r="FA7" s="48" t="str">
        <f t="shared" si="39"/>
        <v/>
      </c>
      <c r="FB7" s="48" t="str">
        <f t="shared" si="40"/>
        <v/>
      </c>
      <c r="FC7" s="48" t="str">
        <f>IF(AND(AT7&gt;0,BB7&lt;&gt;""),CHAR(34)&amp;"sta"&amp;BB7&amp;CHAR(34)&amp;",","")</f>
        <v/>
      </c>
      <c r="FD7" s="48" t="str">
        <f t="shared" si="41"/>
        <v/>
      </c>
      <c r="FE7" s="48" t="str">
        <f t="shared" si="42"/>
        <v/>
      </c>
      <c r="FF7" s="48" t="str">
        <f t="shared" si="43"/>
        <v/>
      </c>
      <c r="FG7" s="48" t="str">
        <f t="shared" si="44"/>
        <v>"NO_RED",</v>
      </c>
      <c r="FH7" s="48" t="str">
        <f t="shared" si="45"/>
        <v>"NO_GRE",</v>
      </c>
      <c r="FI7" s="48" t="str">
        <f t="shared" si="46"/>
        <v/>
      </c>
      <c r="FJ7" s="48" t="str">
        <f t="shared" si="47"/>
        <v>"NO_BLA",</v>
      </c>
      <c r="FK7" s="48" t="str">
        <f t="shared" si="48"/>
        <v/>
      </c>
      <c r="FL7" s="48" t="str">
        <f t="shared" si="49"/>
        <v/>
      </c>
      <c r="FM7" s="48" t="str">
        <f t="shared" si="50"/>
        <v/>
      </c>
      <c r="FN7" s="48" t="str">
        <f t="shared" si="51"/>
        <v/>
      </c>
      <c r="FO7" s="48" t="str">
        <f t="shared" si="52"/>
        <v/>
      </c>
      <c r="FP7" s="48" t="str">
        <f t="shared" si="53"/>
        <v/>
      </c>
      <c r="FQ7" s="48" t="str">
        <f t="shared" si="54"/>
        <v>"001BLU",</v>
      </c>
      <c r="FR7" s="48" t="str">
        <f t="shared" si="55"/>
        <v>"002WHI",</v>
      </c>
      <c r="FS7" s="48" t="str">
        <f t="shared" si="56"/>
        <v>"003YEL",</v>
      </c>
      <c r="FT7" s="48" t="str">
        <f t="shared" si="57"/>
        <v>"myrBLU",</v>
      </c>
      <c r="FU7" s="48" t="str">
        <f t="shared" si="58"/>
        <v/>
      </c>
      <c r="FV7" s="48" t="str">
        <f t="shared" si="59"/>
        <v/>
      </c>
      <c r="FW7" s="48" t="str">
        <f t="shared" si="60"/>
        <v/>
      </c>
      <c r="FX7" s="48" t="str">
        <f>SUBSTITUTE(IFERROR(SEARCH("[",A7),IFERROR(IF(AND(CA7&lt;&gt;"y",SEARCH("Europe",R7)&gt;0),CHAR(34)&amp;"noeuni"&amp;CHAR(34)&amp;",",""),"")),"1","")</f>
        <v/>
      </c>
      <c r="FY7" s="48" t="str">
        <f t="shared" si="61"/>
        <v/>
      </c>
      <c r="FZ7" s="48" t="str">
        <f t="shared" si="62"/>
        <v/>
      </c>
      <c r="GA7" s="48" t="str">
        <f t="shared" si="63"/>
        <v/>
      </c>
      <c r="GB7" s="48" t="str">
        <f t="shared" si="64"/>
        <v/>
      </c>
      <c r="GC7" s="48" t="str">
        <f>IFERROR(IF(SEARCH("Portuguese",CB7)&gt;0,CHAR(34)&amp;"portug"&amp;CHAR(34)&amp;",",""),"")</f>
        <v/>
      </c>
      <c r="GD7" s="48" t="str">
        <f>IFERROR(IF(SEARCH("German",CB7)&gt;0,CHAR(34)&amp;"german"&amp;CHAR(34)&amp;",",""),"")</f>
        <v/>
      </c>
      <c r="GE7" s="48" t="str">
        <f t="shared" si="65"/>
        <v/>
      </c>
      <c r="GF7" s="48" t="str">
        <f>IFERROR(IF(SEARCH("Historical",AU7)&gt;0,CHAR(34)&amp;"histor"&amp;CHAR(34)&amp;",",""),"")</f>
        <v/>
      </c>
      <c r="GG7" s="48" t="str">
        <f t="shared" si="66"/>
        <v/>
      </c>
      <c r="GH7" s="48" t="str">
        <f t="shared" si="67"/>
        <v/>
      </c>
      <c r="GI7" s="48" t="str">
        <f t="shared" si="68"/>
        <v/>
      </c>
      <c r="GJ7" s="48" t="str">
        <f t="shared" si="69"/>
        <v>"NoStar",</v>
      </c>
      <c r="GK7" s="48" t="str">
        <f t="shared" si="70"/>
        <v/>
      </c>
      <c r="GL7" s="48" t="str">
        <f t="shared" si="4"/>
        <v/>
      </c>
      <c r="GM7" s="48" t="str">
        <f t="shared" si="4"/>
        <v/>
      </c>
      <c r="GN7" s="48" t="str">
        <f t="shared" si="4"/>
        <v/>
      </c>
      <c r="GP7" s="48" t="str">
        <f t="shared" si="71"/>
        <v>"State"</v>
      </c>
      <c r="GS7" s="48" t="str">
        <f t="shared" si="72"/>
        <v>["3Color","lets08","startK","with_y","LUELHI","allver","NoBand","Vertic","Circle","Plants","Center","NO_RED","NO_GRE","NO_BLA","001BLU","002WHI","003YEL","myrBLU","NoStar"]</v>
      </c>
      <c r="GT7" s="48" t="str">
        <f t="shared" si="5"/>
        <v/>
      </c>
      <c r="GU7" s="48" t="str">
        <f t="shared" si="5"/>
        <v>"cl_BLU",</v>
      </c>
      <c r="GV7" s="48" t="str">
        <f t="shared" si="5"/>
        <v/>
      </c>
      <c r="GW7" s="48" t="str">
        <f t="shared" si="5"/>
        <v/>
      </c>
      <c r="GX7" s="48" t="str">
        <f t="shared" si="5"/>
        <v>"cl_YEL",</v>
      </c>
      <c r="GY7" s="48" t="str">
        <f t="shared" si="5"/>
        <v/>
      </c>
      <c r="GZ7" s="48" t="str">
        <f t="shared" si="5"/>
        <v/>
      </c>
      <c r="HA7" s="48" t="str">
        <f t="shared" si="5"/>
        <v/>
      </c>
      <c r="HB7" s="48" t="str">
        <f t="shared" si="5"/>
        <v>"cl_WHI",</v>
      </c>
      <c r="HC7" s="48" t="str">
        <f t="shared" si="73"/>
        <v>["cl_BLU","cl_YEL","cl_WHI"]</v>
      </c>
      <c r="HE7" s="71"/>
      <c r="HF7" s="72" t="str">
        <f t="shared" si="74"/>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links: "https://en.wikipedia.org/wiki/Flags_of_the_states_of_Palau#"},</v>
      </c>
      <c r="HG7" s="73" t="str">
        <f t="shared" si="75"/>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links: "https://en.wikipedia.org/wiki/Flags_of_the_states_of_Palau#"},</v>
      </c>
      <c r="HH7" s="48" t="str">
        <f t="shared" si="76"/>
        <v>"\nThe flag is blue with a yellow triangle. It features an oar and two hibiscus vines"</v>
      </c>
      <c r="HI7" s="48" t="str">
        <f t="shared" si="77"/>
        <v>"\nThe flag is blue with a yellow triangle. It features an oar and two hibiscus vines"</v>
      </c>
      <c r="HJ7" s="48" t="str">
        <f t="shared" si="78"/>
        <v>"???"</v>
      </c>
      <c r="HL7" s="48" t="str">
        <f t="shared" si="79"/>
        <v>"https://en.wikipedia.org/wiki/Flags_of_the_states_of_Palau#"</v>
      </c>
      <c r="HM7" s="72" t="str">
        <f t="shared" si="80"/>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 "links": "https://en.wikipedia.org/wiki/Flags_of_the_states_of_Palau#"},</v>
      </c>
      <c r="HN7" s="74" t="str">
        <f t="shared" si="81"/>
        <v>{"couname":"[PAU] Kayangel","year":"???","region":"rgn_Oceania","Colors":["cl_BLU","cl_YEL","cl_WHI"],"Items":["3Color","lets08","startK","with_y","LUELHI","allver","NoBand","Vertic","Circle","Plants","Center","NO_RED","NO_GRE","NO_BLA","001BLU","002WHI","003YEL","myrBLU","NoStar"],"Flag":"https://upload.wikimedia.org/wikipedia/commons/thumb/3/35/Flag_of_Kayangel.svg/2560px-Flag_of_Kayangel.svg.png","HDFlag":"https://upload.wikimedia.org/wikipedia/commons/thumb/3/35/Flag_of_Kayangel.svg/2560px-Flag_of_Kayangel.svg.png","type":"State", "describe": "\nThe flag is blue with a yellow triangle. It features an oar and two hibiscus vines", "isnew": ".", "links": "https://en.wikipedia.org/wiki/Flags_of_the_states_of_Palau#"},</v>
      </c>
      <c r="HO7" s="75">
        <v>45583</v>
      </c>
      <c r="HP7" s="48" t="str" cm="1">
        <f t="array" ref="HP7">IF(_xlfn.TEXTJOIN(", ", TRUE, IF(ISNUMBER(SEARCH("BLA", BL7:BT7)), COLUMN(BL7:BT7) - COLUMN(BL7) + 1, ""))&lt;&gt;"","BLA","")</f>
        <v/>
      </c>
      <c r="HQ7" s="48" t="str" cm="1">
        <f t="array" ref="HQ7">IF(_xlfn.TEXTJOIN(", ", TRUE, IF(ISNUMBER(SEARCH("BLU", BL7:BT7)), COLUMN(BL7:BT7) - COLUMN(BL7) + 1, ""))&lt;&gt;"","BLU","")</f>
        <v>BLU</v>
      </c>
      <c r="HR7" s="48" t="str" cm="1">
        <f t="array" ref="HR7">IF(_xlfn.TEXTJOIN(", ", TRUE, IF(ISNUMBER(SEARCH("GRE", BL7:BT7)), COLUMN(BL7:BT7) - COLUMN(BL7) + 1, ""))&lt;&gt;"","GRE","")</f>
        <v/>
      </c>
      <c r="HS7" s="48" t="str" cm="1">
        <f t="array" ref="HS7">IF(_xlfn.TEXTJOIN(", ", TRUE, IF(ISNUMBER(SEARCH("RED", BL7:BT7)), COLUMN(BL7:BT7) - COLUMN(BL7) + 1, ""))&lt;&gt;"","RED","")</f>
        <v/>
      </c>
      <c r="HT7" s="48" t="str" cm="1">
        <f t="array" ref="HT7">IF(_xlfn.TEXTJOIN(", ", TRUE, IF(ISNUMBER(SEARCH("YEL", BL7:BT7)), COLUMN(BL7:BT7) - COLUMN(BL7) + 1, ""))&lt;&gt;"","YEL","")</f>
        <v>YEL</v>
      </c>
      <c r="HU7" s="48" t="str" cm="1">
        <f t="array" ref="HU7">IF(_xlfn.TEXTJOIN(", ", TRUE, IF(ISNUMBER(SEARCH("ORA", BL7:BT7)), COLUMN(BL7:BT7) - COLUMN(BL7) + 1, ""))&lt;&gt;"","ORA","")</f>
        <v/>
      </c>
      <c r="HV7" s="48" t="str" cm="1">
        <f t="array" ref="HV7">IF(_xlfn.TEXTJOIN(", ", TRUE, IF(ISNUMBER(SEARCH("BRO", BL7:BT7)), COLUMN(BL7:BT7) - COLUMN(BL7) + 1, ""))&lt;&gt;"","BRO","")</f>
        <v/>
      </c>
      <c r="HW7" s="48" t="str" cm="1">
        <f t="array" ref="HW7">IF(_xlfn.TEXTJOIN(", ", TRUE, IF(ISNUMBER(SEARCH("PUR", BL7:BT7)), COLUMN(BL7:BT7) - COLUMN(BL7) + 1, ""))&lt;&gt;"","PUR","")</f>
        <v/>
      </c>
      <c r="HX7" s="48" t="str" cm="1">
        <f t="array" ref="HX7">IF(_xlfn.TEXTJOIN(", ", TRUE, IF(ISNUMBER(SEARCH("WHI", BL7:BT7)), COLUMN(BL7:BT7) - COLUMN(BL7) + 1, ""))&lt;&gt;"","WHI","")</f>
        <v>WHI</v>
      </c>
      <c r="HY7" s="76"/>
      <c r="HZ7" s="76"/>
      <c r="IA7" s="6"/>
      <c r="IB7" s="6"/>
      <c r="IC7" s="77"/>
      <c r="ID7" s="77"/>
      <c r="IE7" s="77"/>
      <c r="IF7" s="77"/>
      <c r="IG7" s="77"/>
      <c r="IH7" s="77"/>
      <c r="II7" s="77"/>
      <c r="IJ7" s="77"/>
      <c r="IK7" s="77"/>
      <c r="IL7" s="48">
        <f>SUM(IC7:IK7)</f>
        <v>0</v>
      </c>
      <c r="IM7" s="45">
        <f t="shared" si="82"/>
        <v>-3</v>
      </c>
      <c r="IN7" s="78" t="str">
        <f t="shared" si="83"/>
        <v>http://mkweb.bcgsc.ca/color-summarizer/?url=https://upload.wikimedia.org/wikipedia/commons/thumb/3/35/Flag_of_Kayangel.svg/2560px-Flag_of_Kayangel.svg.png&amp;precision=low&amp;num_clusters=3&amp;text=1</v>
      </c>
      <c r="IO7" s="48" t="str">
        <f t="shared" si="84"/>
        <v/>
      </c>
      <c r="IP7" s="48" t="str">
        <f t="shared" si="85"/>
        <v>"blue"</v>
      </c>
      <c r="IQ7" s="48" t="str">
        <f t="shared" si="86"/>
        <v/>
      </c>
      <c r="IR7" s="48" t="str">
        <f t="shared" si="87"/>
        <v/>
      </c>
      <c r="IS7" s="48" t="str">
        <f t="shared" si="88"/>
        <v>"yellow"</v>
      </c>
      <c r="IT7" s="48" t="str">
        <f t="shared" si="89"/>
        <v/>
      </c>
      <c r="IU7" s="48" t="str">
        <f t="shared" si="90"/>
        <v/>
      </c>
      <c r="IV7" s="48" t="str">
        <f t="shared" si="91"/>
        <v/>
      </c>
      <c r="IW7" s="48" t="str">
        <f t="shared" si="92"/>
        <v>"white"</v>
      </c>
      <c r="IX7" s="48" t="str">
        <f t="shared" si="93"/>
        <v>{"url":"http://mkweb.bcgsc.ca/color-summarizer/?url=https://upload.wikimedia.org/wikipedia/commons/thumb/3/35/Flag_of_Kayangel.svg/2560px-Flag_of_Kayangel.svg.png&amp;precision=low&amp;num_clusters=3&amp;text=1","name":"[PAU] Kayangel"},</v>
      </c>
      <c r="IY7" s="48">
        <v>281</v>
      </c>
    </row>
    <row r="8" spans="1:259" s="48" customFormat="1" ht="38.4" customHeight="1" thickBot="1" x14ac:dyDescent="0.35">
      <c r="A8" s="79" t="s">
        <v>530</v>
      </c>
      <c r="B8" s="40" t="e" vm="96">
        <v>#VALUE!</v>
      </c>
      <c r="C8" s="41">
        <v>2</v>
      </c>
      <c r="D8" s="42" t="s">
        <v>531</v>
      </c>
      <c r="E8" s="43" t="s">
        <v>532</v>
      </c>
      <c r="F8" s="44" t="s">
        <v>166</v>
      </c>
      <c r="G8" s="45">
        <f>COUNTIF($A$1:$A$8249,A8)</f>
        <v>1</v>
      </c>
      <c r="H8" s="46"/>
      <c r="I8" s="47" t="s">
        <v>513</v>
      </c>
      <c r="J8" s="48" t="str">
        <f>""</f>
        <v/>
      </c>
      <c r="K8" s="49"/>
      <c r="L8" s="50"/>
      <c r="M8" s="50"/>
      <c r="N8" s="51" t="s">
        <v>169</v>
      </c>
      <c r="O8" s="52">
        <v>1997</v>
      </c>
      <c r="P8" s="53" t="s">
        <v>533</v>
      </c>
      <c r="Q8" s="54">
        <v>1</v>
      </c>
      <c r="R8" s="55" t="s">
        <v>169</v>
      </c>
      <c r="S8" s="56">
        <v>0</v>
      </c>
      <c r="T8" s="57" t="s">
        <v>173</v>
      </c>
      <c r="U8" s="58" t="s">
        <v>173</v>
      </c>
      <c r="V8" s="58" t="s">
        <v>172</v>
      </c>
      <c r="W8" s="58" t="s">
        <v>172</v>
      </c>
      <c r="X8" s="58" t="s">
        <v>172</v>
      </c>
      <c r="Y8" s="58" t="s">
        <v>172</v>
      </c>
      <c r="Z8" s="58" t="s">
        <v>173</v>
      </c>
      <c r="AA8" s="58" t="s">
        <v>173</v>
      </c>
      <c r="AB8" s="58" t="s">
        <v>173</v>
      </c>
      <c r="AC8" s="58" t="s">
        <v>173</v>
      </c>
      <c r="AD8" s="58" t="s">
        <v>173</v>
      </c>
      <c r="AE8" s="58" t="s">
        <v>172</v>
      </c>
      <c r="AF8" s="59" t="s">
        <v>173</v>
      </c>
      <c r="AG8" s="59" t="s">
        <v>173</v>
      </c>
      <c r="AH8" s="59" t="s">
        <v>172</v>
      </c>
      <c r="AI8" s="59" t="s">
        <v>173</v>
      </c>
      <c r="AJ8" s="59" t="s">
        <v>173</v>
      </c>
      <c r="AK8" s="59" t="s">
        <v>173</v>
      </c>
      <c r="AL8" s="59" t="s">
        <v>173</v>
      </c>
      <c r="AM8" s="59" t="s">
        <v>173</v>
      </c>
      <c r="AN8" s="59" t="s">
        <v>172</v>
      </c>
      <c r="AO8" s="59" t="s">
        <v>172</v>
      </c>
      <c r="AP8" s="59" t="s">
        <v>173</v>
      </c>
      <c r="AQ8" s="59" t="s">
        <v>173</v>
      </c>
      <c r="AR8" s="59" t="s">
        <v>173</v>
      </c>
      <c r="AS8" s="59" t="s">
        <v>173</v>
      </c>
      <c r="AT8" s="60">
        <v>7</v>
      </c>
      <c r="AU8" s="59" t="s">
        <v>363</v>
      </c>
      <c r="AV8" s="59" t="str">
        <f>IF(LEFT(A8,1)="[",LEFT(A8,5)&amp;AU8&amp;A8,"")</f>
        <v>[PAU]State[PAU] Koror</v>
      </c>
      <c r="AW8" s="59" t="str">
        <f>C8&amp;H8&amp;A8</f>
        <v>2[PAU] Koror</v>
      </c>
      <c r="AX8" s="61" t="str">
        <f>_xlfn.TEXTJOIN(";",TRUE,AU8:AW8)</f>
        <v>State;[PAU]State[PAU] Koror;2[PAU] Koror</v>
      </c>
      <c r="AY8" s="61"/>
      <c r="AZ8" s="62"/>
      <c r="BA8" s="62"/>
      <c r="BB8" s="62"/>
      <c r="BC8" s="63"/>
      <c r="BD8" s="64" t="s">
        <v>408</v>
      </c>
      <c r="BE8" s="47"/>
      <c r="BF8" s="64" t="s">
        <v>154</v>
      </c>
      <c r="BG8" s="64" t="s">
        <v>155</v>
      </c>
      <c r="BH8" s="64" t="s">
        <v>153</v>
      </c>
      <c r="BI8" s="64"/>
      <c r="BJ8" s="64"/>
      <c r="BK8" s="47"/>
      <c r="BL8" s="64" t="s">
        <v>154</v>
      </c>
      <c r="BM8" s="64" t="s">
        <v>155</v>
      </c>
      <c r="BN8" s="64" t="s">
        <v>153</v>
      </c>
      <c r="BO8" s="64"/>
      <c r="BP8" s="64"/>
      <c r="BQ8" s="64"/>
      <c r="BR8" s="64"/>
      <c r="BS8" s="64"/>
      <c r="BT8" s="64"/>
      <c r="BU8" s="65"/>
      <c r="BV8" s="66" t="s">
        <v>183</v>
      </c>
      <c r="BW8" s="66">
        <v>0</v>
      </c>
      <c r="BX8" s="47"/>
      <c r="BZ8" s="48" t="s">
        <v>172</v>
      </c>
      <c r="CB8" s="6" t="s">
        <v>138</v>
      </c>
      <c r="CC8" s="6"/>
      <c r="CD8" s="67">
        <v>0</v>
      </c>
      <c r="CE8" s="67">
        <v>0</v>
      </c>
      <c r="CF8" s="67" t="e">
        <v>#REF!</v>
      </c>
      <c r="CG8" s="68" cm="1">
        <f t="array" ref="CG8">SUMPRODUCT(--(LEN(TRIM(BL8:BT8))&gt;0))</f>
        <v>3</v>
      </c>
      <c r="CH8" s="59" t="str">
        <f>IF(CG8=2,"y","n")</f>
        <v>n</v>
      </c>
      <c r="CI8" s="59" t="str">
        <f>IF(CG8=3,"y","n")</f>
        <v>y</v>
      </c>
      <c r="CJ8" s="59" t="str">
        <f>IF(CG8=4,"y","n")</f>
        <v>n</v>
      </c>
      <c r="CK8" s="59" t="str">
        <f>IF(CG8&gt;4,"y","n")</f>
        <v>n</v>
      </c>
      <c r="CL8" s="59" t="str">
        <f>IF(S8=0,"y","n")</f>
        <v>y</v>
      </c>
      <c r="CM8" s="59" t="str">
        <f>IF(S8=2,"y","n")</f>
        <v>n</v>
      </c>
      <c r="CN8" s="59" t="str">
        <f>IF(S8=3,"y","n")</f>
        <v>n</v>
      </c>
      <c r="CO8" s="59" t="str">
        <f>IF(S8&gt;=4,"y","n")</f>
        <v>n</v>
      </c>
      <c r="CP8" s="59" t="str">
        <f>IF(AT8=0,"y","n")</f>
        <v>n</v>
      </c>
      <c r="CQ8" s="59" t="str">
        <f>IF(AT8=1,"y","n")</f>
        <v>n</v>
      </c>
      <c r="CR8" s="59" t="str">
        <f>IF(AT8=2,"y","n")</f>
        <v>n</v>
      </c>
      <c r="CS8" s="59" t="str">
        <f>IF(AT8&gt;=3,"y","n")</f>
        <v>y</v>
      </c>
      <c r="CT8" s="69" t="str">
        <f>CHAR(34)&amp;A8&amp;CHAR(34)</f>
        <v>"[PAU] Koror"</v>
      </c>
      <c r="CU8" s="70" t="str">
        <f>CHAR(34)&amp;"rgn_"&amp;R8&amp;CHAR(34)</f>
        <v>"rgn_Oceania"</v>
      </c>
      <c r="CV8" s="48" t="str">
        <f>CHAR(34)&amp;D8&amp;CHAR(34)</f>
        <v>"https://upload.wikimedia.org/wikipedia/commons/thumb/1/1b/Flag_of_Koror_State.png/640px-Flag_of_Koror_State.png"</v>
      </c>
      <c r="CW8" s="48" t="str">
        <f t="shared" si="0"/>
        <v/>
      </c>
      <c r="CX8" s="48" t="str">
        <f t="shared" si="0"/>
        <v>"3Color",</v>
      </c>
      <c r="CY8" s="48" t="str">
        <f t="shared" si="0"/>
        <v/>
      </c>
      <c r="CZ8" s="48" t="str">
        <f t="shared" si="0"/>
        <v/>
      </c>
      <c r="DA8" s="48" t="str">
        <f>IF(Q8&gt;1,CHAR(34)&amp;"words2"&amp;CHAR(34)&amp;",","")</f>
        <v/>
      </c>
      <c r="DB8" s="48" t="str">
        <f>IF(Q8&gt;2,CHAR(34)&amp;"words3"&amp;CHAR(34)&amp;",","")</f>
        <v/>
      </c>
      <c r="DC8" s="48" t="str">
        <f>IF(Q8=2,CHAR(34)&amp;"exact2"&amp;CHAR(34)&amp;",","")</f>
        <v/>
      </c>
      <c r="DD8" s="48" t="str">
        <f>IF(LEN(CHAR(34)&amp;"lets"&amp;LEN(SUBSTITUTE(SUBSTITUTE(IFERROR(TRIM(SUBSTITUTE(SUBSTITUTE(SUBSTITUTE(IFERROR(TRIM(SUBSTITUTE(A8,MID(A8,FIND("(",A8),FIND(")",A8)-FIND("(",A8)+1),"")),A8),"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",""),"-",""))&amp;CHAR(34)&amp;",")=9,CHAR(34)&amp;"lets"&amp;LEN(SUBSTITUTE(SUBSTITUTE(IFERROR(TRIM(SUBSTITUTE(SUBSTITUTE(SUBSTITUTE(IFERROR(TRIM(SUBSTITUTE(A8,MID(A8,FIND("(",A8),FIND(")",A8)-FIND("(",A8)+1),"")),A8),"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",""),"-",""))&amp;CHAR(34)&amp;",",CHAR(34)&amp;"lets0"&amp;LEN(SUBSTITUTE(SUBSTITUTE(IFERROR(TRIM(SUBSTITUTE(SUBSTITUTE(SUBSTITUTE(IFERROR(TRIM(SUBSTITUTE(A8,MID(A8,FIND("(",A8),FIND(")",A8)-FIND("(",A8)+1),"")),A8)," ",""),"-",""),MID(SUBSTITUTE(SUBSTITUTE(IFERROR(TRIM(SUBSTITUTE(A8,MID(A8,FIND("(",A8),FIND(")",A8)-FIND("(",A8)+1),"")),A8)," ",""),"-",""),FIND("[",SUBSTITUTE(SUBSTITUTE(IFERROR(TRIM(SUBSTITUTE(A8,MID(A8,FIND("(",A8),FIND(")",A8)-FIND("(",A8)+1),"")),A8)," ",""),"-","")),FIND("]",SUBSTITUTE(SUBSTITUTE(IFERROR(TRIM(SUBSTITUTE(A8,MID(A8,FIND("(",A8),FIND(")",A8)-FIND("(",A8)+1),"")),A8)," ",""),"-",""))-FIND("[",SUBSTITUTE(SUBSTITUTE(IFERROR(TRIM(SUBSTITUTE(A8,MID(A8,FIND("(",A8),FIND(")",A8)-FIND("(",A8)+1),"")),A8)," ",""),"-",""))+1),"")),SUBSTITUTE(SUBSTITUTE(IFERROR(TRIM(SUBSTITUTE(A8,MID(A8,FIND("(",A8),FIND(")",A8)-FIND("(",A8)+1),"")),A8)," ",""),"-",""))," ",""),"-",""))&amp;CHAR(34)&amp;",")</f>
        <v>"lets05",</v>
      </c>
      <c r="DE8" s="48" t="str">
        <f>IFERROR(CHAR(34)&amp;"start"&amp;LEFT(TRIM(SUBSTITUTE(SUBSTITUTE(TRIM(SUBSTITUTE(SUBSTITUTE(A8, MID(A8, FIND("[", A8), FIND("]", A8) - FIND("[", A8) + 1), ""), "  ", " ")), MID(TRIM(SUBSTITUTE(SUBSTITUTE(A8, MID(A8, FIND("[", A8), FIND("]", A8) - FIND("[", A8) + 1), ""), "  ", " ")), FIND("[", TRIM(SUBSTITUTE(SUBSTITUTE(A8, MID(A8, FIND("[", A8), FIND("]", A8) - FIND("[", A8) + 1), ""), "  ", " "))), FIND("]", TRIM(SUBSTITUTE(SUBSTITUTE(A8, MID(A8, FIND("[", A8), FIND("]", A8) - FIND("[", A8) + 1), ""), "  ", " "))) - FIND("[", TRIM(SUBSTITUTE(SUBSTITUTE(A8, MID(A8, FIND("[", A8), FIND("]", A8) - FIND("[", A8) + 1), ""), "  ", " "))) + 1), ""), "  ", " ")),1)&amp;CHAR(34)&amp;",",CHAR(34)&amp;"start"&amp;IFERROR(LEFT(SUBSTITUTE(A8,"["&amp;MID(A8,FIND("[",A8)+1,FIND("]",A8)-FIND("[",A8)-1)&amp;"] ",""),1),LEFT(A8,1))&amp;CHAR(34)&amp;",")</f>
        <v>"startK",</v>
      </c>
      <c r="DF8" s="48" t="str">
        <f>IFERROR(IF(SEARCH("tan",A8)&gt;0,CHAR(34)&amp;"withtn"&amp;CHAR(34)&amp;",",""),"")</f>
        <v/>
      </c>
      <c r="DG8" s="48" t="str">
        <f>IFERROR(IF(SEARCH("q",A8)&gt;0,CHAR(34)&amp;"with_q"&amp;CHAR(34)&amp;",",""),"")</f>
        <v/>
      </c>
      <c r="DH8" s="48" t="str">
        <f>IFERROR(IF(SEARCH("v",A8)&gt;0,CHAR(34)&amp;"with_v"&amp;CHAR(34)&amp;",",""),"")</f>
        <v/>
      </c>
      <c r="DI8" s="48" t="str">
        <f>IFERROR(IF(SEARCH("w",A8)&gt;0,CHAR(34)&amp;"with_w"&amp;CHAR(34)&amp;",",""),"")</f>
        <v/>
      </c>
      <c r="DJ8" s="48" t="str">
        <f>IFERROR(IF(SEARCH("y",A8)&gt;0,CHAR(34)&amp;"with_y"&amp;CHAR(34)&amp;",",""),"")</f>
        <v/>
      </c>
      <c r="DK8" s="48" t="str">
        <f>IFERROR(IF(SEARCH("z",A8)&gt;0,CHAR(34)&amp;"with_z"&amp;CHAR(34)&amp;",",""),"")</f>
        <v/>
      </c>
      <c r="DL8" s="48" t="str">
        <f>IF(CG8=2, CHAR(34) &amp; _xlfn.TEXTJOIN("", TRUE, _xlfn._xlws.SORT(HP8:HX8)) &amp; CHAR(34) &amp; ",", "")</f>
        <v/>
      </c>
      <c r="DM8" s="48" t="str" cm="1">
        <f t="array" ref="DM8">IF(CG8=3,CHAR(34) &amp; _xlfn.TEXTJOIN("", TRUE, RIGHT(HP8:HX8, 2)) &amp; CHAR(34) &amp; ",", "")</f>
        <v>"REEDEL",</v>
      </c>
      <c r="DN8" s="48" t="str">
        <f>IF(AND(ISNUMBER(SEARCH("18", O8)), ISERROR(SEARCH("1918", O8)), ISERROR(SEARCH("2018", O8))), CHAR(34) &amp; "year18" &amp; CHAR(34) &amp; ",", "")</f>
        <v/>
      </c>
      <c r="DO8" s="48" t="str">
        <f>IF(AND(ISNUMBER(SEARCH("19", O8)), ISERROR(SEARCH("1819", O8)),  ISERROR(SEARCH("1219", O8)),ISERROR(SEARCH("1119", O8)),ISERROR(SEARCH("1190", O8)),ISERROR(SEARCH("2019", O8))), CHAR(34) &amp; "year19" &amp; CHAR(34) &amp; ",", "")</f>
        <v>"year19",</v>
      </c>
      <c r="DP8" s="6" t="str">
        <f>IF(AND(ISNUMBER(SEARCH("20", O8)), ISERROR(SEARCH("1920", O8))), CHAR(34)&amp;"year00"&amp;CHAR(34)&amp;",", "")</f>
        <v/>
      </c>
      <c r="DQ8" s="6" t="str">
        <f>IF(CC8="y",CHAR(34)&amp;"soviet"&amp;CHAR(34)&amp;",","")</f>
        <v/>
      </c>
      <c r="DR8" s="6" t="str">
        <f>IF(BY8="y",CHAR(34)&amp;"dgband"&amp;CHAR(34)&amp;",","")</f>
        <v/>
      </c>
      <c r="DS8" s="6" t="str">
        <f>IF(W8="y",IF(AND(V8="n",BY8&lt;&gt;"y"),CHAR(34)&amp;"allver"&amp;CHAR(34)&amp;",",""),"")</f>
        <v/>
      </c>
      <c r="DT8" s="6" t="str">
        <f>IF(V8="y",IF(AND(W8="n",BY8&lt;&gt;"y"),CHAR(34)&amp;"allhor"&amp;CHAR(34)&amp;",",""),"")</f>
        <v/>
      </c>
      <c r="DU8" s="6" t="str">
        <f>IF(BY8="y",IF(AND(W8="n",V8="n"),CHAR(34)&amp;"alldia"&amp;CHAR(34)&amp;",",""),"")</f>
        <v/>
      </c>
      <c r="DV8" s="48" t="str">
        <f>IF(IA8&lt;&gt;"",(IF(IA8="y",CHAR(34)&amp;"largec"&amp;CHAR(34)&amp;",",CHAR(34)&amp;"smallc"&amp;CHAR(34)&amp;",")),"")</f>
        <v/>
      </c>
      <c r="DW8" s="48" t="str">
        <f t="shared" si="1"/>
        <v>"NoBand",</v>
      </c>
      <c r="DX8" s="48" t="str">
        <f t="shared" si="1"/>
        <v/>
      </c>
      <c r="DY8" s="48" t="str">
        <f t="shared" si="1"/>
        <v/>
      </c>
      <c r="DZ8" s="48" t="str">
        <f t="shared" si="1"/>
        <v/>
      </c>
      <c r="EA8" s="48" t="str">
        <f t="shared" si="2"/>
        <v/>
      </c>
      <c r="EB8" s="48" t="str">
        <f t="shared" si="2"/>
        <v/>
      </c>
      <c r="EC8" s="48" t="str">
        <f t="shared" si="2"/>
        <v>"Horizo",</v>
      </c>
      <c r="ED8" s="48" t="str">
        <f t="shared" si="2"/>
        <v>"Vertic",</v>
      </c>
      <c r="EE8" s="48" t="str">
        <f t="shared" si="2"/>
        <v>"Circle",</v>
      </c>
      <c r="EF8" s="48" t="str">
        <f>IF(AND(Y8&lt;&gt;"n",Y8&lt;&gt;""),CHAR(34)&amp;Y$1&amp;CHAR(34)&amp;",","")</f>
        <v>"Animal",</v>
      </c>
      <c r="EG8" s="48" t="str">
        <f t="shared" si="3"/>
        <v/>
      </c>
      <c r="EH8" s="48" t="str">
        <f t="shared" si="3"/>
        <v/>
      </c>
      <c r="EI8" s="48" t="str">
        <f t="shared" si="3"/>
        <v/>
      </c>
      <c r="EJ8" s="48" t="str">
        <f t="shared" si="3"/>
        <v/>
      </c>
      <c r="EK8" s="48" t="str">
        <f t="shared" si="3"/>
        <v/>
      </c>
      <c r="EL8" s="48" t="str">
        <f t="shared" si="3"/>
        <v>"IsMoon",</v>
      </c>
      <c r="EM8" s="48" t="str">
        <f t="shared" si="3"/>
        <v/>
      </c>
      <c r="EN8" s="48" t="str">
        <f t="shared" si="3"/>
        <v/>
      </c>
      <c r="EO8" s="48" t="str">
        <f t="shared" si="3"/>
        <v>"Center",</v>
      </c>
      <c r="EP8" s="48" t="str">
        <f t="shared" si="3"/>
        <v/>
      </c>
      <c r="EQ8" s="48" t="str">
        <f t="shared" si="3"/>
        <v/>
      </c>
      <c r="ER8" s="48" t="str">
        <f t="shared" si="3"/>
        <v/>
      </c>
      <c r="ES8" s="48" t="str">
        <f t="shared" si="3"/>
        <v/>
      </c>
      <c r="ET8" s="48" t="str">
        <f t="shared" si="3"/>
        <v/>
      </c>
      <c r="EU8" s="48" t="str">
        <f t="shared" si="3"/>
        <v>"Humans",</v>
      </c>
      <c r="EV8" s="48" t="str">
        <f t="shared" si="3"/>
        <v>"Builds",</v>
      </c>
      <c r="EW8" s="48" t="str">
        <f t="shared" si="3"/>
        <v/>
      </c>
      <c r="EX8" s="48" t="str">
        <f t="shared" si="3"/>
        <v/>
      </c>
      <c r="EY8" s="48" t="str">
        <f t="shared" si="3"/>
        <v/>
      </c>
      <c r="EZ8" s="48" t="str">
        <f t="shared" si="3"/>
        <v/>
      </c>
      <c r="FA8" s="48" t="str">
        <f>IF(AT8&gt;0,CHAR(34)&amp;"sta"&amp;AZ8&amp;CHAR(34)&amp;",","")</f>
        <v>"sta",</v>
      </c>
      <c r="FB8" s="48" t="str">
        <f>IF(AND(AT8&gt;0,BA8&lt;&gt;""),CHAR(34)&amp;"sta"&amp;BA8&amp;CHAR(34)&amp;",","")</f>
        <v/>
      </c>
      <c r="FC8" s="48" t="str">
        <f>IF(AND(AT8&gt;0,BB8&lt;&gt;""),CHAR(34)&amp;"sta"&amp;BB8&amp;CHAR(34)&amp;",","")</f>
        <v/>
      </c>
      <c r="FD8" s="48" t="str">
        <f>IF(BV8="n",CHAR(34)&amp;"tcWHYE"&amp;CHAR(34)&amp;",",IF(BV8="y",CHAR(34)&amp;FD$1&amp;CHAR(34)&amp;",",""))</f>
        <v/>
      </c>
      <c r="FE8" s="48" t="str">
        <f>IF(COUNTIF(BL8:BT8,"BLU")=0,CHAR(34)&amp;"NO_BLU"&amp;CHAR(34)&amp;",", "")</f>
        <v>"NO_BLU",</v>
      </c>
      <c r="FF8" s="48" t="str">
        <f>IF(COUNTIF(BL8:BT8,"WHI")=0,CHAR(34)&amp;"NO_WHI"&amp;CHAR(34)&amp;",", "")</f>
        <v>"NO_WHI",</v>
      </c>
      <c r="FG8" s="48" t="str">
        <f>IF(COUNTIF(BL8:BT8,"RED")=0,CHAR(34)&amp;"NO_RED"&amp;CHAR(34)&amp;",", "")</f>
        <v/>
      </c>
      <c r="FH8" s="48" t="str">
        <f>IF(COUNTIF(BL8:BS8,"GRE")=0,CHAR(34)&amp;"NO_GRE"&amp;CHAR(34)&amp;",", "")</f>
        <v/>
      </c>
      <c r="FI8" s="48" t="str">
        <f>IF(COUNTIF(BL8:BT8,"YEL")=0,CHAR(34)&amp;"NO_YEL"&amp;CHAR(34)&amp;",", "")</f>
        <v/>
      </c>
      <c r="FJ8" s="48" t="str">
        <f>IF(COUNTIF(BL8:BT8,"BLA")=0,CHAR(34)&amp;"NO_BLA"&amp;CHAR(34)&amp;",", "")</f>
        <v>"NO_BLA",</v>
      </c>
      <c r="FK8" s="48" t="str">
        <f>IF(AND(FH8&lt;&gt;"",FF8&lt;&gt;""),CHAR(34)&amp;"WHGRNO"&amp;CHAR(34)&amp;",","")</f>
        <v/>
      </c>
      <c r="FL8" s="48" t="str">
        <f>IF(AND(FI8&lt;&gt;"",FF8&lt;&gt;""),CHAR(34)&amp;"WHYENO"&amp;CHAR(34)&amp;",","")</f>
        <v/>
      </c>
      <c r="FM8" s="48" t="str">
        <f>IF(AND(FJ8&lt;&gt;"",FF8&lt;&gt;""),CHAR(34)&amp;"BAWHNO"&amp;CHAR(34)&amp;",","")</f>
        <v>"BAWHNO",</v>
      </c>
      <c r="FN8" s="48" t="str">
        <f>IF(AND(FE8&lt;&gt;"",FF8&lt;&gt;""),CHAR(34)&amp;"BLWHNO"&amp;CHAR(34)&amp;",","")</f>
        <v>"BLWHNO",</v>
      </c>
      <c r="FO8" s="48" t="str">
        <f>IF(AND(FE8&lt;&gt;"",FG8&lt;&gt;""),CHAR(34)&amp;"BLRENO"&amp;CHAR(34)&amp;",","")</f>
        <v/>
      </c>
      <c r="FP8" s="48" t="str">
        <f>IF(AND(FF8&lt;&gt;"",FF8&lt;&gt;""),CHAR(34)&amp;"WHRENO"&amp;CHAR(34)&amp;",","")</f>
        <v>"WHRENO",</v>
      </c>
      <c r="FQ8" s="48" t="str">
        <f>IF(LEN(BF8)=3,CHAR(34)&amp;"001"&amp;BF8&amp;CHAR(34)&amp;",","")</f>
        <v>"001RED",</v>
      </c>
      <c r="FR8" s="48" t="str">
        <f>IF(LEN(BG8)=3,CHAR(34)&amp;"002"&amp;BG8&amp;CHAR(34)&amp;",","")</f>
        <v>"002YEL",</v>
      </c>
      <c r="FS8" s="48" t="str">
        <f>IF(LEN(BH8)=3,CHAR(34)&amp;"003"&amp;BH8&amp;CHAR(34)&amp;",","")</f>
        <v>"003GRE",</v>
      </c>
      <c r="FT8" s="48" t="str">
        <f>CHAR(34)&amp;"myr"&amp;BD8&amp;CHAR(34)&amp;","</f>
        <v>"myrEQ",</v>
      </c>
      <c r="FU8" s="48" t="str">
        <f>IF(AY8="y",CHAR(34)&amp;"island"&amp;CHAR(34)&amp;",","")</f>
        <v/>
      </c>
      <c r="FV8" s="48" t="str">
        <f>IF(BZ8="y",CHAR(34)&amp;"landlo"&amp;CHAR(34)&amp;",","")</f>
        <v>"landlo",</v>
      </c>
      <c r="FW8" s="48" t="str">
        <f>IF(CA8="y",CHAR(34)&amp;"eunion"&amp;CHAR(34)&amp;",","")</f>
        <v/>
      </c>
      <c r="FX8" s="48" t="str">
        <f>SUBSTITUTE(IFERROR(SEARCH("[",A8),IFERROR(IF(AND(CA8&lt;&gt;"y",SEARCH("Europe",R8)&gt;0),CHAR(34)&amp;"noeuni"&amp;CHAR(34)&amp;",",""),"")),"1","")</f>
        <v/>
      </c>
      <c r="FY8" s="48" t="str">
        <f>IFERROR(IF(SEARCH("Arabic",CB8)&gt;0,CHAR(34)&amp;"arabic"&amp;CHAR(34)&amp;",",""),"")</f>
        <v/>
      </c>
      <c r="FZ8" s="48" t="str">
        <f>IFERROR(IF(SEARCH("English",CB8)&gt;0,CHAR(34)&amp;"englis"&amp;CHAR(34)&amp;",",""),"")</f>
        <v/>
      </c>
      <c r="GA8" s="48" t="str">
        <f>IFERROR(IF(SEARCH("French",CB8)&gt;0,CHAR(34)&amp;"french"&amp;CHAR(34)&amp;",",""),"")</f>
        <v/>
      </c>
      <c r="GB8" s="48" t="str">
        <f>IFERROR(IF(SEARCH("Spanish",CB8)&gt;0,CHAR(34)&amp;"spanis"&amp;CHAR(34)&amp;",",""),"")</f>
        <v>"spanis",</v>
      </c>
      <c r="GC8" s="48" t="str">
        <f>IFERROR(IF(SEARCH("Portuguese",CB8)&gt;0,CHAR(34)&amp;"portug"&amp;CHAR(34)&amp;",",""),"")</f>
        <v/>
      </c>
      <c r="GD8" s="48" t="str">
        <f>IFERROR(IF(SEARCH("German",CB8)&gt;0,CHAR(34)&amp;"german"&amp;CHAR(34)&amp;",",""),"")</f>
        <v/>
      </c>
      <c r="GE8" s="48" t="str">
        <f>IFERROR(IF(SEARCH("Dutch",CB8)&gt;0,CHAR(34)&amp;"dutchs"&amp;CHAR(34)&amp;",",""),"")</f>
        <v/>
      </c>
      <c r="GF8" s="48" t="str">
        <f>IFERROR(IF(SEARCH("Histor",AU8)&gt;0,CHAR(34)&amp;"histor"&amp;CHAR(34)&amp;",",""),"")</f>
        <v/>
      </c>
      <c r="GG8" s="48" t="str">
        <f>IF(BU8="y",CHAR(34)&amp;"unjack"&amp;CHAR(34)&amp;",","")</f>
        <v/>
      </c>
      <c r="GH8" s="48" t="str">
        <f>IF(CD8=1,CHAR(34)&amp;"southc"&amp;CHAR(34)&amp;",","")</f>
        <v/>
      </c>
      <c r="GI8" s="48" t="str">
        <f>IF(CE8=1,CHAR(34)&amp;"hasmap"&amp;CHAR(34)&amp;",","")</f>
        <v/>
      </c>
      <c r="GJ8" s="48" t="str">
        <f>IF(CP8="y",CHAR(34)&amp;CP$1&amp;CHAR(34)&amp;",","")</f>
        <v/>
      </c>
      <c r="GK8" s="48" t="str">
        <f>IF(GJ8="",CHAR(34)&amp;"HasSta"&amp;CHAR(34)&amp;",","")</f>
        <v>"HasSta",</v>
      </c>
      <c r="GL8" s="48" t="str">
        <f t="shared" si="4"/>
        <v/>
      </c>
      <c r="GM8" s="48" t="str">
        <f t="shared" si="4"/>
        <v/>
      </c>
      <c r="GN8" s="48" t="str">
        <f t="shared" si="4"/>
        <v>"3+Star",</v>
      </c>
      <c r="GP8" s="48" t="str">
        <f>CHAR(34)&amp;AU8&amp;CHAR(34)</f>
        <v>"State"</v>
      </c>
      <c r="GS8" s="48" t="str">
        <f>SUBSTITUTE("["&amp;_xlfn.CONCAT(CW8:GN8)&amp;"]",",]","]")</f>
        <v>["3Color","lets05","startK","REEDEL","year19","NoBand","Horizo","Vertic","Circle","Animal","IsMoon","Center","Humans","Builds","sta","NO_BLU","NO_WHI","NO_BLA","BAWHNO","BLWHNO","WHRENO","001RED","002YEL","003GRE","myrEQ","landlo","spanis","HasSta","3+Star"]</v>
      </c>
      <c r="GT8" s="48" t="str">
        <f t="shared" si="5"/>
        <v>"cl_RED",</v>
      </c>
      <c r="GU8" s="48" t="str">
        <f t="shared" si="5"/>
        <v>"cl_YEL",</v>
      </c>
      <c r="GV8" s="48" t="str">
        <f t="shared" si="5"/>
        <v>"cl_GRE",</v>
      </c>
      <c r="GW8" s="48" t="str">
        <f t="shared" si="5"/>
        <v/>
      </c>
      <c r="GX8" s="48" t="str">
        <f t="shared" si="5"/>
        <v/>
      </c>
      <c r="GY8" s="48" t="str">
        <f t="shared" si="5"/>
        <v/>
      </c>
      <c r="GZ8" s="48" t="str">
        <f t="shared" si="5"/>
        <v/>
      </c>
      <c r="HA8" s="48" t="str">
        <f t="shared" si="5"/>
        <v/>
      </c>
      <c r="HB8" s="48" t="str">
        <f t="shared" si="5"/>
        <v/>
      </c>
      <c r="HC8" s="48" t="str">
        <f>SUBSTITUTE("["&amp;_xlfn.CONCAT(GT8:HB8)&amp;"]",",]","]")</f>
        <v>["cl_RED","cl_YEL","cl_GRE"]</v>
      </c>
      <c r="HE8" s="71"/>
      <c r="HF8" s="72" t="str">
        <f>"{couname:"&amp;CT8&amp;(IF(HK8&lt;&gt;"",",subtype:"&amp;CHAR(34)&amp;HK8&amp;CHAR(34),""))&amp;",year:"&amp;HJ8&amp;",region:"&amp;CU8&amp;",Colors:"&amp;HC8&amp;",Items:"&amp;GS8&amp;",Flag:"&amp;CV8&amp;",HDFlag:"&amp;CHAR(34)&amp;E8&amp;CHAR(34)&amp;",type:"&amp;GP8&amp;", describe: "&amp;HH8&amp;", isnew:"&amp;CHAR(34)&amp;F8&amp;CHAR(34)&amp;", links: "&amp;HL8&amp;"},"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links: "https://en.wikipedia.org/wiki/Flags_of_the_states_of_Palau#"},</v>
      </c>
      <c r="HG8" s="73" t="str">
        <f>"{couname:"&amp;CT8&amp;(IF(HK8&lt;&gt;"",",subtype:"&amp;CHAR(34)&amp;HK8&amp;CHAR(34),""))&amp;",year:"&amp;HJ8&amp;",region:"&amp;CU8&amp;",Colors:"&amp;HC8&amp;",Items:"&amp;GS8&amp;",Flag:"&amp;CV8&amp;",HDFlag:"&amp;CHAR(34)&amp;E8&amp;CHAR(34)&amp;",type:"&amp;GP8&amp;", describe: "&amp;HI8&amp;", links: "&amp;HL8&amp;"},"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links: "https://en.wikipedia.org/wiki/Flags_of_the_states_of_Palau#"},</v>
      </c>
      <c r="HH8" s="48" t="str">
        <f>IF(P8&lt;&gt;"",CHAR(34)&amp;"\n"&amp;P8&amp;CHAR(34),CHAR(34)&amp;CHAR(34))</f>
        <v>"\nThe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v>
      </c>
      <c r="HI8" s="48" t="str">
        <f>IF(J8=0,CHAR(34)&amp;CHAR(34),HH8)</f>
        <v>"\nThe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v>
      </c>
      <c r="HJ8" s="48" t="str">
        <f>CHAR(34)&amp;O8&amp;CHAR(34)</f>
        <v>"1997"</v>
      </c>
      <c r="HL8" s="48" t="str">
        <f>CHAR(34)&amp;I8&amp;CHAR(34)</f>
        <v>"https://en.wikipedia.org/wiki/Flags_of_the_states_of_Palau#"</v>
      </c>
      <c r="HM8" s="72"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"&amp;HH8&amp;", "&amp;CHAR(34)&amp;"isnew"&amp;CHAR(34)&amp;": "&amp;CHAR(34)&amp;F8&amp;CHAR(34)&amp;", "&amp;CHAR(34)&amp;"links"&amp;CHAR(34)&amp;": "&amp;HL8&amp;"},"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 "links": "https://en.wikipedia.org/wiki/Flags_of_the_states_of_Palau#"},</v>
      </c>
      <c r="HN8" s="74" t="str">
        <f>"{"&amp;CHAR(34)&amp;"couname"&amp;CHAR(34)&amp;":"&amp;CT8&amp;(IF(H8&lt;&gt;"",","&amp;CHAR(34)&amp;"subtype"&amp;CHAR(34)&amp;":"&amp;CHAR(34)&amp;H8&amp;CHAR(34),""))&amp;","&amp;CHAR(34)&amp;"year"&amp;CHAR(34)&amp;":"&amp;HJ8&amp;","&amp;CHAR(34)&amp;"region"&amp;CHAR(34)&amp;":"&amp;CU8&amp;","&amp;CHAR(34)&amp;"Colors"&amp;CHAR(34)&amp;":"&amp;HC8&amp;","&amp;CHAR(34)&amp;"Items"&amp;CHAR(34)&amp;":"&amp;GS8&amp;","&amp;CHAR(34)&amp;"Flag"&amp;CHAR(34)&amp;":"&amp;CV8&amp;","&amp;CHAR(34)&amp;"HDFlag"&amp;CHAR(34)&amp;":"&amp;CHAR(34)&amp;E8&amp;CHAR(34)&amp;","&amp;CHAR(34)&amp;"type"&amp;CHAR(34)&amp;":"&amp;GP8&amp;", "&amp;CHAR(34)&amp;"describe"&amp;CHAR(34)&amp;": "&amp;HI8&amp;", "&amp;CHAR(34)&amp;"isnew"&amp;CHAR(34)&amp;": "&amp;CHAR(34)&amp;F8&amp;CHAR(34)&amp;", "&amp;CHAR(34)&amp;"links"&amp;CHAR(34)&amp;": "&amp;HL8&amp;"},"</f>
        <v>{"couname":"[PAU] Koror","year":"1997","region":"rgn_Oceania","Colors":["cl_RED","cl_YEL","cl_GRE"],"Items":["3Color","lets05","startK","REEDEL","year19","NoBand","Horizo","Vertic","Circle","Animal","IsMoon","Center","Humans","Builds","sta","NO_BLU","NO_WHI","NO_BLA","BAWHNO","BLWHNO","WHRENO","001RED","002YEL","003GRE","myrEQ","landlo","spanis","HasSta","3+Star"],"Flag":"https://upload.wikimedia.org/wikipedia/commons/thumb/1/1b/Flag_of_Koror_State.png/640px-Flag_of_Koror_State.png","HDFlag":"https://upload.wikimedia.org/wikipedia/commons/1/1b/Flag_of_Koror_State.png","type":"State", "describe": "\nThe blue background represents the ocean and the golden moon represents the new government. The six stars represent the six hamlets of Koror State with the larger star in the middle representing the union of the NgaraMeketii and RubekulKeldeu. The traditional bai house is on a foundation of ten stones symbolic of the ten traditional chiefs.", "isnew": ".", "links": "https://en.wikipedia.org/wiki/Flags_of_the_states_of_Palau#"},</v>
      </c>
      <c r="HO8" s="75"/>
      <c r="HP8" s="48" t="str" cm="1">
        <f t="array" ref="HP8">IF(_xlfn.TEXTJOIN(", ", TRUE, IF(ISNUMBER(SEARCH("BLA", BL8:BT8)), COLUMN(BL8:BT8) - COLUMN(BL8) + 1, ""))&lt;&gt;"","BLA","")</f>
        <v/>
      </c>
      <c r="HQ8" s="48" t="str" cm="1">
        <f t="array" ref="HQ8">IF(_xlfn.TEXTJOIN(", ", TRUE, IF(ISNUMBER(SEARCH("BLU", BL8:BT8)), COLUMN(BL8:BT8) - COLUMN(BL8) + 1, ""))&lt;&gt;"","BLU","")</f>
        <v/>
      </c>
      <c r="HR8" s="48" t="str" cm="1">
        <f t="array" ref="HR8">IF(_xlfn.TEXTJOIN(", ", TRUE, IF(ISNUMBER(SEARCH("GRE", BL8:BT8)), COLUMN(BL8:BT8) - COLUMN(BL8) + 1, ""))&lt;&gt;"","GRE","")</f>
        <v>GRE</v>
      </c>
      <c r="HS8" s="48" t="str" cm="1">
        <f t="array" ref="HS8">IF(_xlfn.TEXTJOIN(", ", TRUE, IF(ISNUMBER(SEARCH("RED", BL8:BT8)), COLUMN(BL8:BT8) - COLUMN(BL8) + 1, ""))&lt;&gt;"","RED","")</f>
        <v>RED</v>
      </c>
      <c r="HT8" s="48" t="str" cm="1">
        <f t="array" ref="HT8">IF(_xlfn.TEXTJOIN(", ", TRUE, IF(ISNUMBER(SEARCH("YEL", BL8:BT8)), COLUMN(BL8:BT8) - COLUMN(BL8) + 1, ""))&lt;&gt;"","YEL","")</f>
        <v>YEL</v>
      </c>
      <c r="HU8" s="48" t="str" cm="1">
        <f t="array" ref="HU8">IF(_xlfn.TEXTJOIN(", ", TRUE, IF(ISNUMBER(SEARCH("ORA", BL8:BT8)), COLUMN(BL8:BT8) - COLUMN(BL8) + 1, ""))&lt;&gt;"","ORA","")</f>
        <v/>
      </c>
      <c r="HV8" s="48" t="str" cm="1">
        <f t="array" ref="HV8">IF(_xlfn.TEXTJOIN(", ", TRUE, IF(ISNUMBER(SEARCH("BRO", BL8:BT8)), COLUMN(BL8:BT8) - COLUMN(BL8) + 1, ""))&lt;&gt;"","BRO","")</f>
        <v/>
      </c>
      <c r="HW8" s="48" t="str" cm="1">
        <f t="array" ref="HW8">IF(_xlfn.TEXTJOIN(", ", TRUE, IF(ISNUMBER(SEARCH("PUR", BL8:BT8)), COLUMN(BL8:BT8) - COLUMN(BL8) + 1, ""))&lt;&gt;"","PUR","")</f>
        <v/>
      </c>
      <c r="HX8" s="48" t="str" cm="1">
        <f t="array" ref="HX8">IF(_xlfn.TEXTJOIN(", ", TRUE, IF(ISNUMBER(SEARCH("WHI", BL8:BT8)), COLUMN(BL8:BT8) - COLUMN(BL8) + 1, ""))&lt;&gt;"","WHI","")</f>
        <v/>
      </c>
      <c r="HY8" s="76"/>
      <c r="HZ8" s="76"/>
      <c r="IA8" s="6"/>
      <c r="IB8" s="6"/>
      <c r="IC8" s="77"/>
      <c r="ID8" s="77"/>
      <c r="IE8" s="77"/>
      <c r="IF8" s="77"/>
      <c r="IG8" s="77"/>
      <c r="IH8" s="77"/>
      <c r="II8" s="77"/>
      <c r="IJ8" s="77"/>
      <c r="IK8" s="77"/>
      <c r="IL8" s="48">
        <f>SUM(IC8:IK8)</f>
        <v>0</v>
      </c>
      <c r="IM8" s="45">
        <f>COUNTIF(IC8:IK8,"&gt;0")-CG8</f>
        <v>-3</v>
      </c>
      <c r="IN8" s="78" t="str">
        <f>"http://mkweb.bcgsc.ca/color-summarizer/?url="&amp;D8&amp;"&amp;precision=low&amp;num_clusters="&amp;CG8&amp;"&amp;text=1"</f>
        <v>http://mkweb.bcgsc.ca/color-summarizer/?url=https://upload.wikimedia.org/wikipedia/commons/thumb/1/1b/Flag_of_Koror_State.png/640px-Flag_of_Koror_State.png&amp;precision=low&amp;num_clusters=3&amp;text=1</v>
      </c>
      <c r="IO8" s="48" t="str">
        <f>IF(HP8&lt;&gt;"",CHAR(34)&amp;"black"&amp;CHAR(34),"")</f>
        <v/>
      </c>
      <c r="IP8" s="48" t="str">
        <f>IF(HQ8&lt;&gt;"",CHAR(34)&amp;"blue"&amp;CHAR(34),"")</f>
        <v/>
      </c>
      <c r="IQ8" s="48" t="str">
        <f>IF(HR8&lt;&gt;"",CHAR(34)&amp;"green"&amp;CHAR(34),"")</f>
        <v>"green"</v>
      </c>
      <c r="IR8" s="48" t="str">
        <f>IF(HS8&lt;&gt;"",CHAR(34)&amp;"red"&amp;CHAR(34),"")</f>
        <v>"red"</v>
      </c>
      <c r="IS8" s="48" t="str">
        <f>IF(HT8&lt;&gt;"",CHAR(34)&amp;"yellow"&amp;CHAR(34),"")</f>
        <v>"yellow"</v>
      </c>
      <c r="IT8" s="48" t="str">
        <f>IF(HU8&lt;&gt;"",CHAR(34)&amp;"orange"&amp;CHAR(34),"")</f>
        <v/>
      </c>
      <c r="IU8" s="48" t="str">
        <f>IF(HV8&lt;&gt;"",CHAR(34)&amp;"brown"&amp;CHAR(34),"")</f>
        <v/>
      </c>
      <c r="IV8" s="48" t="str">
        <f>IF(HW8&lt;&gt;"",CHAR(34)&amp;"purple"&amp;CHAR(34),"")</f>
        <v/>
      </c>
      <c r="IW8" s="48" t="str">
        <f>IF(HX8&lt;&gt;"",CHAR(34)&amp;"white"&amp;CHAR(34),"")</f>
        <v/>
      </c>
      <c r="IX8" s="48" t="str">
        <f>"{"&amp;CHAR(34)&amp;"url"&amp;CHAR(34)&amp;":"&amp;CHAR(34)&amp;IN8&amp;CHAR(34)&amp;","&amp;CHAR(34)&amp;"name"&amp;CHAR(34)&amp;":"&amp;CHAR(34)&amp;A8&amp;CHAR(34)&amp;"},"</f>
        <v>{"url":"http://mkweb.bcgsc.ca/color-summarizer/?url=https://upload.wikimedia.org/wikipedia/commons/thumb/1/1b/Flag_of_Koror_State.png/640px-Flag_of_Koror_State.png&amp;precision=low&amp;num_clusters=3&amp;text=1","name":"[PAU] Koror"},</v>
      </c>
      <c r="IY8" s="48">
        <v>27</v>
      </c>
    </row>
    <row r="9" spans="1:259" s="48" customFormat="1" ht="38.4" customHeight="1" thickBot="1" x14ac:dyDescent="0.35">
      <c r="A9" s="79" t="s">
        <v>534</v>
      </c>
      <c r="B9" s="40" t="e" vm="97">
        <v>#VALUE!</v>
      </c>
      <c r="C9" s="41">
        <v>2</v>
      </c>
      <c r="D9" s="42" t="s">
        <v>535</v>
      </c>
      <c r="E9" s="43" t="s">
        <v>536</v>
      </c>
      <c r="F9" s="44" t="s">
        <v>166</v>
      </c>
      <c r="G9" s="45">
        <f>COUNTIF($A$1:$A$8249,A9)</f>
        <v>1</v>
      </c>
      <c r="H9" s="46"/>
      <c r="I9" s="47" t="s">
        <v>513</v>
      </c>
      <c r="J9" s="48" t="str">
        <f>""</f>
        <v/>
      </c>
      <c r="K9" s="49"/>
      <c r="L9" s="50"/>
      <c r="M9" s="50"/>
      <c r="N9" s="51" t="s">
        <v>169</v>
      </c>
      <c r="O9" s="52" t="s">
        <v>355</v>
      </c>
      <c r="P9" s="53" t="s">
        <v>537</v>
      </c>
      <c r="Q9" s="54">
        <v>1</v>
      </c>
      <c r="R9" s="55" t="s">
        <v>169</v>
      </c>
      <c r="S9" s="56">
        <v>0</v>
      </c>
      <c r="T9" s="57" t="s">
        <v>172</v>
      </c>
      <c r="U9" s="58" t="s">
        <v>173</v>
      </c>
      <c r="V9" s="58" t="s">
        <v>173</v>
      </c>
      <c r="W9" s="58" t="s">
        <v>173</v>
      </c>
      <c r="X9" s="58" t="s">
        <v>172</v>
      </c>
      <c r="Y9" s="58" t="s">
        <v>172</v>
      </c>
      <c r="Z9" s="58" t="s">
        <v>173</v>
      </c>
      <c r="AA9" s="58" t="s">
        <v>173</v>
      </c>
      <c r="AB9" s="58" t="s">
        <v>173</v>
      </c>
      <c r="AC9" s="58" t="s">
        <v>173</v>
      </c>
      <c r="AD9" s="58" t="s">
        <v>172</v>
      </c>
      <c r="AE9" s="58" t="s">
        <v>173</v>
      </c>
      <c r="AF9" s="59" t="s">
        <v>173</v>
      </c>
      <c r="AG9" s="59" t="s">
        <v>173</v>
      </c>
      <c r="AH9" s="59" t="s">
        <v>172</v>
      </c>
      <c r="AI9" s="59" t="s">
        <v>173</v>
      </c>
      <c r="AJ9" s="59" t="s">
        <v>173</v>
      </c>
      <c r="AK9" s="59" t="s">
        <v>173</v>
      </c>
      <c r="AL9" s="59" t="s">
        <v>173</v>
      </c>
      <c r="AM9" s="59" t="s">
        <v>173</v>
      </c>
      <c r="AN9" s="59" t="s">
        <v>173</v>
      </c>
      <c r="AO9" s="59" t="s">
        <v>173</v>
      </c>
      <c r="AP9" s="59" t="s">
        <v>173</v>
      </c>
      <c r="AQ9" s="59" t="s">
        <v>173</v>
      </c>
      <c r="AR9" s="59" t="s">
        <v>173</v>
      </c>
      <c r="AS9" s="59" t="s">
        <v>173</v>
      </c>
      <c r="AT9" s="60">
        <v>0</v>
      </c>
      <c r="AU9" s="59" t="s">
        <v>363</v>
      </c>
      <c r="AV9" s="59" t="str">
        <f>IF(LEFT(A9,1)="[",LEFT(A9,5)&amp;AU9&amp;A9,"")</f>
        <v>[PAU]State[PAU] Melekeok</v>
      </c>
      <c r="AW9" s="59" t="str">
        <f>C9&amp;H9&amp;A9</f>
        <v>2[PAU] Melekeok</v>
      </c>
      <c r="AX9" s="61"/>
      <c r="AY9" s="61"/>
      <c r="AZ9" s="62" t="s">
        <v>155</v>
      </c>
      <c r="BA9" s="62"/>
      <c r="BB9" s="62"/>
      <c r="BC9" s="63"/>
      <c r="BD9" s="64" t="s">
        <v>408</v>
      </c>
      <c r="BE9" s="47"/>
      <c r="BF9" s="64" t="s">
        <v>154</v>
      </c>
      <c r="BG9" s="64" t="s">
        <v>155</v>
      </c>
      <c r="BH9" s="64" t="s">
        <v>153</v>
      </c>
      <c r="BI9" s="64"/>
      <c r="BJ9" s="64"/>
      <c r="BK9" s="47"/>
      <c r="BL9" s="64" t="s">
        <v>154</v>
      </c>
      <c r="BM9" s="64" t="s">
        <v>155</v>
      </c>
      <c r="BN9" s="64" t="s">
        <v>153</v>
      </c>
      <c r="BO9" s="64" t="s">
        <v>157</v>
      </c>
      <c r="BP9" s="64" t="s">
        <v>151</v>
      </c>
      <c r="BQ9" s="64" t="s">
        <v>159</v>
      </c>
      <c r="BR9" s="64" t="s">
        <v>152</v>
      </c>
      <c r="BS9" s="64" t="s">
        <v>156</v>
      </c>
      <c r="BT9" s="64" t="s">
        <v>538</v>
      </c>
      <c r="BU9" s="65"/>
      <c r="BV9" s="66"/>
      <c r="BW9" s="66">
        <v>0</v>
      </c>
      <c r="BX9" s="47"/>
      <c r="CB9" s="6"/>
      <c r="CC9" s="6"/>
      <c r="CD9" s="67">
        <v>0</v>
      </c>
      <c r="CE9" s="67">
        <v>0</v>
      </c>
      <c r="CF9" s="67" t="e">
        <v>#REF!</v>
      </c>
      <c r="CG9" s="68" cm="1">
        <f t="array" ref="CG9">SUMPRODUCT(--(LEN(TRIM(BL9:BT9))&gt;0))</f>
        <v>9</v>
      </c>
      <c r="CH9" s="59" t="str">
        <f>IF(CG9=2,"y","n")</f>
        <v>n</v>
      </c>
      <c r="CI9" s="59" t="str">
        <f>IF(CG9=3,"y","n")</f>
        <v>n</v>
      </c>
      <c r="CJ9" s="59" t="str">
        <f>IF(CG9=4,"y","n")</f>
        <v>n</v>
      </c>
      <c r="CK9" s="59" t="str">
        <f>IF(CG9&gt;4,"y","n")</f>
        <v>y</v>
      </c>
      <c r="CL9" s="59" t="str">
        <f>IF(S9=0,"y","n")</f>
        <v>y</v>
      </c>
      <c r="CM9" s="59" t="str">
        <f>IF(S9=2,"y","n")</f>
        <v>n</v>
      </c>
      <c r="CN9" s="59" t="str">
        <f>IF(S9=3,"y","n")</f>
        <v>n</v>
      </c>
      <c r="CO9" s="59" t="str">
        <f>IF(S9&gt;=4,"y","n")</f>
        <v>n</v>
      </c>
      <c r="CP9" s="59" t="str">
        <f>IF(AT9=0,"y","n")</f>
        <v>y</v>
      </c>
      <c r="CQ9" s="59" t="str">
        <f>IF(AT9=1,"y","n")</f>
        <v>n</v>
      </c>
      <c r="CR9" s="59" t="str">
        <f>IF(AT9=2,"y","n")</f>
        <v>n</v>
      </c>
      <c r="CS9" s="59" t="str">
        <f>IF(AT9&gt;=3,"y","n")</f>
        <v>n</v>
      </c>
      <c r="CT9" s="69" t="str">
        <f>CHAR(34)&amp;A9&amp;CHAR(34)</f>
        <v>"[PAU] Melekeok"</v>
      </c>
      <c r="CU9" s="70" t="str">
        <f>CHAR(34)&amp;"rgn_"&amp;R9&amp;CHAR(34)</f>
        <v>"rgn_Oceania"</v>
      </c>
      <c r="CV9" s="48" t="str">
        <f>CHAR(34)&amp;D9&amp;CHAR(34)</f>
        <v>"https://upload.wikimedia.org/wikipedia/commons/thumb/9/93/Flag_of_Melekeok.svg/640px-Flag_of_Melekeok.svg.png"</v>
      </c>
      <c r="CW9" s="48" t="str">
        <f t="shared" si="0"/>
        <v/>
      </c>
      <c r="CX9" s="48" t="str">
        <f t="shared" si="0"/>
        <v/>
      </c>
      <c r="CY9" s="48" t="str">
        <f t="shared" si="0"/>
        <v/>
      </c>
      <c r="CZ9" s="48" t="str">
        <f t="shared" si="0"/>
        <v>"5+Colo",</v>
      </c>
      <c r="DA9" s="48" t="str">
        <f>IF(Q9&gt;1,CHAR(34)&amp;"words2"&amp;CHAR(34)&amp;",","")</f>
        <v/>
      </c>
      <c r="DB9" s="48" t="str">
        <f>IF(Q9&gt;2,CHAR(34)&amp;"words3"&amp;CHAR(34)&amp;",","")</f>
        <v/>
      </c>
      <c r="DD9" s="48" t="str">
        <f>IF(LEN(CHAR(34)&amp;"lets"&amp;LEN(SUBSTITUTE(SUBSTITUTE(IFERROR(TRIM(SUBSTITUTE(A9,MID(A9,FIND("[",A9),FIND("]",A9)-FIND("[",A9)+1),"")),A9)," ",""),"-",""))&amp;CHAR(34)&amp;",")=9,CHAR(34)&amp;"lets"&amp;LEN(SUBSTITUTE(SUBSTITUTE(IFERROR(TRIM(SUBSTITUTE(A9,MID(A9,FIND("[",A9),FIND("]",A9)-FIND("[",A9)+1),"")),A9)," ",""),"-",""))&amp;CHAR(34)&amp;",",CHAR(34)&amp;"lets0"&amp;LEN(SUBSTITUTE(SUBSTITUTE(IFERROR(TRIM(SUBSTITUTE(A9,MID(A9,FIND("[",A9),FIND("]",A9)-FIND("[",A9)+1),"")),A9)," ",""),"-",""))&amp;CHAR(34)&amp;",")</f>
        <v>"lets08",</v>
      </c>
      <c r="DE9" s="48" t="str">
        <f>CHAR(34)&amp;"start"&amp;IFERROR(LEFT(SUBSTITUTE(A9,"["&amp;MID(A9,FIND("[",A9)+1,FIND("]",A9)-FIND("[",A9)-1)&amp;"] ",""),1),LEFT(A9,1))&amp;CHAR(34)&amp;","</f>
        <v>"startM",</v>
      </c>
      <c r="DF9" s="48" t="str">
        <f>IFERROR(IF(SEARCH("tan",A9)&gt;0,CHAR(34)&amp;"withtn"&amp;CHAR(34)&amp;",",""),"")</f>
        <v/>
      </c>
      <c r="DG9" s="48" t="str">
        <f>IFERROR(IF(SEARCH("q",A9)&gt;0,CHAR(34)&amp;"with_q"&amp;CHAR(34)&amp;",",""),"")</f>
        <v/>
      </c>
      <c r="DH9" s="48" t="str">
        <f>IFERROR(IF(SEARCH("v",A9)&gt;0,CHAR(34)&amp;"with_v"&amp;CHAR(34)&amp;",",""),"")</f>
        <v/>
      </c>
      <c r="DI9" s="48" t="str">
        <f>IFERROR(IF(SEARCH("w",A9)&gt;0,CHAR(34)&amp;"with_w"&amp;CHAR(34)&amp;",",""),"")</f>
        <v/>
      </c>
      <c r="DJ9" s="48" t="str">
        <f>IFERROR(IF(SEARCH("y",A9)&gt;0,CHAR(34)&amp;"with_y"&amp;CHAR(34)&amp;",",""),"")</f>
        <v/>
      </c>
      <c r="DK9" s="48" t="str">
        <f>IFERROR(IF(SEARCH("z",A9)&gt;0,CHAR(34)&amp;"with_z"&amp;CHAR(34)&amp;",",""),"")</f>
        <v/>
      </c>
      <c r="DL9" s="48" t="str">
        <f>IF(CG9=2, CHAR(34) &amp; _xlfn.TEXTJOIN("", TRUE, _xlfn._xlws.SORT(HP9:HX9)) &amp; CHAR(34) &amp; ",", "")</f>
        <v/>
      </c>
      <c r="DM9" s="48" t="str" cm="1">
        <f t="array" ref="DM9">IF(CG9=3,CHAR(34) &amp; _xlfn.TEXTJOIN("", TRUE, RIGHT(HP9:HX9, 2)) &amp; CHAR(34) &amp; ",", "")</f>
        <v/>
      </c>
      <c r="DN9" s="48" t="str">
        <f>IF(AND(ISNUMBER(SEARCH("18", O9)), ISERROR(SEARCH("1918", O9)), ISERROR(SEARCH("2018", O9))), CHAR(34) &amp; "year18" &amp; CHAR(34) &amp; ",", "")</f>
        <v/>
      </c>
      <c r="DO9" s="48" t="str">
        <f>IF(AND(ISNUMBER(SEARCH("19", O9)), ISERROR(SEARCH("1819", O9)),  ISERROR(SEARCH("1219", O9)),ISERROR(SEARCH("1119", O9)),ISERROR(SEARCH("1190", O9)),ISERROR(SEARCH("2019", O9))), CHAR(34) &amp; "year19" &amp; CHAR(34) &amp; ",", "")</f>
        <v/>
      </c>
      <c r="DP9" s="6" t="str">
        <f>IF(AND(ISNUMBER(SEARCH("20", O9)), ISERROR(SEARCH("1920", O9))), CHAR(34)&amp;"year00"&amp;CHAR(34)&amp;",", "")</f>
        <v/>
      </c>
      <c r="DQ9" s="6" t="str">
        <f>IF(CC9="y",CHAR(34)&amp;"soviet"&amp;CHAR(34)&amp;",","")</f>
        <v/>
      </c>
      <c r="DR9" s="6" t="str">
        <f>IF(BY9="y",CHAR(34)&amp;"dgband"&amp;CHAR(34)&amp;",","")</f>
        <v/>
      </c>
      <c r="DS9" s="6" t="str">
        <f>IF(W9="y",IF(AND(V9="n",BY9&lt;&gt;"y"),CHAR(34)&amp;"allver"&amp;CHAR(34)&amp;",",""),"")</f>
        <v/>
      </c>
      <c r="DT9" s="6" t="str">
        <f>IF(V9="y",IF(AND(W9="n",BY9&lt;&gt;"y"),CHAR(34)&amp;"allhor"&amp;CHAR(34)&amp;",",""),"")</f>
        <v/>
      </c>
      <c r="DU9" s="6" t="str">
        <f>IF(BY9="y",IF(AND(W9="n",V9="n"),CHAR(34)&amp;"alldia"&amp;CHAR(34)&amp;",",""),"")</f>
        <v/>
      </c>
      <c r="DW9" s="48" t="str">
        <f t="shared" si="1"/>
        <v>"NoBand",</v>
      </c>
      <c r="DX9" s="48" t="str">
        <f t="shared" si="1"/>
        <v/>
      </c>
      <c r="DY9" s="48" t="str">
        <f t="shared" si="1"/>
        <v/>
      </c>
      <c r="DZ9" s="48" t="str">
        <f t="shared" si="1"/>
        <v/>
      </c>
      <c r="EA9" s="48" t="str">
        <f t="shared" si="2"/>
        <v>"Diagon",</v>
      </c>
      <c r="EB9" s="48" t="str">
        <f t="shared" si="2"/>
        <v/>
      </c>
      <c r="EC9" s="48" t="str">
        <f t="shared" si="2"/>
        <v/>
      </c>
      <c r="ED9" s="48" t="str">
        <f t="shared" si="2"/>
        <v/>
      </c>
      <c r="EE9" s="48" t="str">
        <f t="shared" si="2"/>
        <v>"Circle",</v>
      </c>
      <c r="EF9" s="48" t="str">
        <f>IF(AND(Y9&lt;&gt;"n",Y9&lt;&gt;""),CHAR(34)&amp;Y$1&amp;CHAR(34)&amp;",","")</f>
        <v>"Animal",</v>
      </c>
      <c r="EG9" s="48" t="str">
        <f t="shared" si="3"/>
        <v/>
      </c>
      <c r="EH9" s="48" t="str">
        <f t="shared" si="3"/>
        <v/>
      </c>
      <c r="EI9" s="48" t="str">
        <f t="shared" si="3"/>
        <v/>
      </c>
      <c r="EJ9" s="48" t="str">
        <f t="shared" si="3"/>
        <v/>
      </c>
      <c r="EK9" s="48" t="str">
        <f t="shared" si="3"/>
        <v>"HasSun",</v>
      </c>
      <c r="EL9" s="48" t="str">
        <f t="shared" si="3"/>
        <v/>
      </c>
      <c r="EM9" s="48" t="str">
        <f t="shared" si="3"/>
        <v/>
      </c>
      <c r="EN9" s="48" t="str">
        <f t="shared" si="3"/>
        <v/>
      </c>
      <c r="EO9" s="48" t="str">
        <f t="shared" si="3"/>
        <v>"Center",</v>
      </c>
      <c r="EP9" s="48" t="str">
        <f t="shared" si="3"/>
        <v/>
      </c>
      <c r="EQ9" s="48" t="str">
        <f t="shared" si="3"/>
        <v/>
      </c>
      <c r="ER9" s="48" t="str">
        <f t="shared" si="3"/>
        <v/>
      </c>
      <c r="ES9" s="48" t="str">
        <f t="shared" si="3"/>
        <v/>
      </c>
      <c r="ET9" s="48" t="str">
        <f t="shared" si="3"/>
        <v/>
      </c>
      <c r="EU9" s="48" t="str">
        <f t="shared" si="3"/>
        <v/>
      </c>
      <c r="EV9" s="48" t="str">
        <f t="shared" si="3"/>
        <v/>
      </c>
      <c r="EW9" s="48" t="str">
        <f t="shared" si="3"/>
        <v/>
      </c>
      <c r="EX9" s="48" t="str">
        <f t="shared" si="3"/>
        <v/>
      </c>
      <c r="EY9" s="48" t="str">
        <f t="shared" si="3"/>
        <v/>
      </c>
      <c r="EZ9" s="48" t="str">
        <f t="shared" si="3"/>
        <v/>
      </c>
      <c r="FA9" s="48" t="str">
        <f>IF(AT9&gt;0,CHAR(34)&amp;"sta"&amp;AZ9&amp;CHAR(34)&amp;",","")</f>
        <v/>
      </c>
      <c r="FB9" s="48" t="str">
        <f>IF(AND(AT9&gt;0,BA9&lt;&gt;""),CHAR(34)&amp;"sta"&amp;BA9&amp;CHAR(34)&amp;",","")</f>
        <v/>
      </c>
      <c r="FD9" s="48" t="str">
        <f>IF(BV9="n",CHAR(34)&amp;"tcWHYE"&amp;CHAR(34)&amp;",",IF(BV9="y",CHAR(34)&amp;FD$1&amp;CHAR(34)&amp;",",""))</f>
        <v/>
      </c>
      <c r="FE9" s="48" t="str">
        <f>IF(COUNTIF(BL9:BT9,"BLU")=0,CHAR(34)&amp;"NO_BLU"&amp;CHAR(34)&amp;",", "")</f>
        <v/>
      </c>
      <c r="FF9" s="48" t="str">
        <f>IF(COUNTIF(BL9:BT9,"WHI")=0,CHAR(34)&amp;"NO_WHI"&amp;CHAR(34)&amp;",", "")</f>
        <v/>
      </c>
      <c r="FG9" s="48" t="str">
        <f>IF(COUNTIF(BL9:BT9,"RED")=0,CHAR(34)&amp;"NO_RED"&amp;CHAR(34)&amp;",", "")</f>
        <v/>
      </c>
      <c r="FH9" s="48" t="str">
        <f>IF(COUNTIF(BL9:BS9,"GRE")=0,CHAR(34)&amp;"NO_GRE"&amp;CHAR(34)&amp;",", "")</f>
        <v/>
      </c>
      <c r="FI9" s="48" t="str">
        <f>IF(COUNTIF(BL9:BT9,"YEL")=0,CHAR(34)&amp;"NO_YEL"&amp;CHAR(34)&amp;",", "")</f>
        <v/>
      </c>
      <c r="FJ9" s="48" t="str">
        <f>IF(COUNTIF(BL9:BT9,"BLA")=0,CHAR(34)&amp;"NO_BLA"&amp;CHAR(34)&amp;",", "")</f>
        <v/>
      </c>
      <c r="FK9" s="48" t="str">
        <f>IF(AND(FH9&lt;&gt;"",FF9&lt;&gt;""),CHAR(34)&amp;"WHGRNO"&amp;CHAR(34)&amp;",","")</f>
        <v/>
      </c>
      <c r="FL9" s="48" t="str">
        <f>IF(AND(FI9&lt;&gt;"",FF9&lt;&gt;""),CHAR(34)&amp;"WHYENO"&amp;CHAR(34)&amp;",","")</f>
        <v/>
      </c>
      <c r="FM9" s="48" t="str">
        <f>IF(AND(FJ9&lt;&gt;"",FF9&lt;&gt;""),CHAR(34)&amp;"BAWHNO"&amp;CHAR(34)&amp;",","")</f>
        <v/>
      </c>
      <c r="FN9" s="48" t="str">
        <f>IF(AND(FE9&lt;&gt;"",FF9&lt;&gt;""),CHAR(34)&amp;"BLWHNO"&amp;CHAR(34)&amp;",","")</f>
        <v/>
      </c>
      <c r="FO9" s="48" t="str">
        <f>IF(AND(FE9&lt;&gt;"",FG9&lt;&gt;""),CHAR(34)&amp;"BLRENO"&amp;CHAR(34)&amp;",","")</f>
        <v/>
      </c>
      <c r="FP9" s="48" t="str">
        <f>IF(AND(FF9&lt;&gt;"",FF9&lt;&gt;""),CHAR(34)&amp;"WHRENO"&amp;CHAR(34)&amp;",","")</f>
        <v/>
      </c>
      <c r="FQ9" s="48" t="str">
        <f>IF(LEN(BF9)=3,CHAR(34)&amp;"001"&amp;BF9&amp;CHAR(34)&amp;",","")</f>
        <v>"001RED",</v>
      </c>
      <c r="FR9" s="48" t="str">
        <f>IF(LEN(BG9)=3,CHAR(34)&amp;"002"&amp;BG9&amp;CHAR(34)&amp;",","")</f>
        <v>"002YEL",</v>
      </c>
      <c r="FS9" s="48" t="str">
        <f>IF(LEN(BH9)=3,CHAR(34)&amp;"003"&amp;BH9&amp;CHAR(34)&amp;",","")</f>
        <v>"003GRE",</v>
      </c>
      <c r="FT9" s="48" t="str">
        <f>CHAR(34)&amp;"myr"&amp;BD9&amp;CHAR(34)&amp;","</f>
        <v>"myrEQ",</v>
      </c>
      <c r="FU9" s="48" t="str">
        <f>IF(AY9="y",CHAR(34)&amp;"island"&amp;CHAR(34)&amp;",","")</f>
        <v/>
      </c>
      <c r="FV9" s="48" t="str">
        <f>IF(BZ9="y",CHAR(34)&amp;"landlo"&amp;CHAR(34)&amp;",","")</f>
        <v/>
      </c>
      <c r="FW9" s="48" t="str">
        <f>IF(CA9="y",CHAR(34)&amp;"eunion"&amp;CHAR(34)&amp;",","")</f>
        <v/>
      </c>
      <c r="FY9" s="48" t="str">
        <f>IFERROR(IF(SEARCH("Arabic",CB9)&gt;0,CHAR(34)&amp;"arabic"&amp;CHAR(34)&amp;",",""),"")</f>
        <v/>
      </c>
      <c r="FZ9" s="48" t="str">
        <f>IFERROR(IF(SEARCH("English",CB9)&gt;0,CHAR(34)&amp;"englis"&amp;CHAR(34)&amp;",",""),"")</f>
        <v/>
      </c>
      <c r="GA9" s="48" t="str">
        <f>IFERROR(IF(SEARCH("French",CB9)&gt;0,CHAR(34)&amp;"french"&amp;CHAR(34)&amp;",",""),"")</f>
        <v/>
      </c>
      <c r="GB9" s="48" t="str">
        <f>IFERROR(IF(SEARCH("Spanish",CB9)&gt;0,CHAR(34)&amp;"spanis"&amp;CHAR(34)&amp;",",""),"")</f>
        <v/>
      </c>
      <c r="GE9" s="48" t="str">
        <f>IFERROR(IF(SEARCH("Dutch",CB9)&gt;0,CHAR(34)&amp;"dutchs"&amp;CHAR(34)&amp;",",""),"")</f>
        <v/>
      </c>
      <c r="GF9" s="48" t="str">
        <f>IFERROR(IF(SEARCH("Historical",AU9)&gt;0,CHAR(34)&amp;"histor"&amp;CHAR(34)&amp;",",""),"")</f>
        <v/>
      </c>
      <c r="GG9" s="48" t="str">
        <f>IF(BU9="y",CHAR(34)&amp;"unjack"&amp;CHAR(34)&amp;",","")</f>
        <v/>
      </c>
      <c r="GH9" s="48" t="str">
        <f>IF(CD9=1,CHAR(34)&amp;"southc"&amp;CHAR(34)&amp;",","")</f>
        <v/>
      </c>
      <c r="GI9" s="48" t="str">
        <f>IF(CE9=1,CHAR(34)&amp;"hasmap"&amp;CHAR(34)&amp;",","")</f>
        <v/>
      </c>
      <c r="GJ9" s="48" t="str">
        <f>IF(CP9="y",CHAR(34)&amp;CP$1&amp;CHAR(34)&amp;",","")</f>
        <v>"NoStar",</v>
      </c>
      <c r="GK9" s="48" t="str">
        <f>IF(GJ9="",CHAR(34)&amp;"HasSta"&amp;CHAR(34)&amp;",","")</f>
        <v/>
      </c>
      <c r="GL9" s="48" t="str">
        <f t="shared" si="4"/>
        <v/>
      </c>
      <c r="GM9" s="48" t="str">
        <f t="shared" si="4"/>
        <v/>
      </c>
      <c r="GN9" s="48" t="str">
        <f t="shared" si="4"/>
        <v/>
      </c>
      <c r="GP9" s="48" t="str">
        <f>CHAR(34)&amp;AU9&amp;CHAR(34)</f>
        <v>"State"</v>
      </c>
      <c r="GS9" s="48" t="str">
        <f>SUBSTITUTE("["&amp;_xlfn.CONCAT(CW9:GN9)&amp;"]",",]","]")</f>
        <v>["5+Colo","lets08","startM","NoBand","Diagon","Circle","Animal","HasSun","Center","001RED","002YEL","003GRE","myrEQ","NoStar"]</v>
      </c>
      <c r="GT9" s="48" t="str">
        <f t="shared" si="5"/>
        <v>"cl_RED",</v>
      </c>
      <c r="GU9" s="48" t="str">
        <f t="shared" si="5"/>
        <v>"cl_YEL",</v>
      </c>
      <c r="GV9" s="48" t="str">
        <f t="shared" si="5"/>
        <v>"cl_GRE",</v>
      </c>
      <c r="GW9" s="48" t="str">
        <f t="shared" si="5"/>
        <v>"cl_BRO",</v>
      </c>
      <c r="GX9" s="48" t="str">
        <f t="shared" si="5"/>
        <v>"cl_BLA",</v>
      </c>
      <c r="GY9" s="48" t="str">
        <f t="shared" si="5"/>
        <v>"cl_WHI",</v>
      </c>
      <c r="GZ9" s="48" t="str">
        <f t="shared" si="5"/>
        <v>"cl_BLU",</v>
      </c>
      <c r="HA9" s="48" t="str">
        <f t="shared" si="5"/>
        <v>"cl_ORA",</v>
      </c>
      <c r="HB9" s="48" t="str">
        <f t="shared" si="5"/>
        <v>"cl_GRA",</v>
      </c>
      <c r="HC9" s="48" t="str">
        <f>SUBSTITUTE("["&amp;_xlfn.CONCAT(GT9:HB9)&amp;"]",",]","]")</f>
        <v>["cl_RED","cl_YEL","cl_GRE","cl_BRO","cl_BLA","cl_WHI","cl_BLU","cl_ORA","cl_GRA"]</v>
      </c>
      <c r="HE9" s="71"/>
      <c r="HF9" s="72" t="str">
        <f>"{couname:"&amp;CT9&amp;(IF(HK9&lt;&gt;"",",subtype:"&amp;CHAR(34)&amp;HK9&amp;CHAR(34),""))&amp;",year:"&amp;HJ9&amp;",region:"&amp;CU9&amp;",Colors:"&amp;HC9&amp;",Items:"&amp;GS9&amp;",Flag:"&amp;CV9&amp;",HDFlag:"&amp;CHAR(34)&amp;E9&amp;CHAR(34)&amp;",type:"&amp;GP9&amp;", describe: "&amp;HH9&amp;", isnew:"&amp;CHAR(34)&amp;F9&amp;CHAR(34)&amp;", links: "&amp;HL9&amp;"},"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links: "https://en.wikipedia.org/wiki/Flags_of_the_states_of_Palau#"},</v>
      </c>
      <c r="HG9" s="73" t="str">
        <f>"{couname:"&amp;CT9&amp;(IF(HK9&lt;&gt;"",",subtype:"&amp;CHAR(34)&amp;HK9&amp;CHAR(34),""))&amp;",year:"&amp;HJ9&amp;",region:"&amp;CU9&amp;",Colors:"&amp;HC9&amp;",Items:"&amp;GS9&amp;",Flag:"&amp;CV9&amp;",HDFlag:"&amp;CHAR(34)&amp;E9&amp;CHAR(34)&amp;",type:"&amp;GP9&amp;", describe: "&amp;HI9&amp;", links: "&amp;HL9&amp;"},"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links: "https://en.wikipedia.org/wiki/Flags_of_the_states_of_Palau#"},</v>
      </c>
      <c r="HH9" s="48" t="str">
        <f>IF(P9&lt;&gt;"",CHAR(34)&amp;"\n"&amp;P9&amp;CHAR(34),CHAR(34)&amp;CHAR(34))</f>
        <v>"\nThe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v>
      </c>
      <c r="HI9" s="48" t="str">
        <f>IF(J9=0,CHAR(34)&amp;CHAR(34),HH9)</f>
        <v>"\nThe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v>
      </c>
      <c r="HJ9" s="48" t="str">
        <f>CHAR(34)&amp;O9&amp;CHAR(34)</f>
        <v>"???"</v>
      </c>
      <c r="HL9" s="48" t="str">
        <f>CHAR(34)&amp;I9&amp;CHAR(34)</f>
        <v>"https://en.wikipedia.org/wiki/Flags_of_the_states_of_Palau#"</v>
      </c>
      <c r="HM9" s="72"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"&amp;HH9&amp;", "&amp;CHAR(34)&amp;"isnew"&amp;CHAR(34)&amp;": "&amp;CHAR(34)&amp;F9&amp;CHAR(34)&amp;", "&amp;CHAR(34)&amp;"links"&amp;CHAR(34)&amp;": "&amp;HL9&amp;"},"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 "links": "https://en.wikipedia.org/wiki/Flags_of_the_states_of_Palau#"},</v>
      </c>
      <c r="HN9" s="74" t="str">
        <f>"{"&amp;CHAR(34)&amp;"couname"&amp;CHAR(34)&amp;":"&amp;CT9&amp;(IF(H9&lt;&gt;"",","&amp;CHAR(34)&amp;"subtype"&amp;CHAR(34)&amp;":"&amp;CHAR(34)&amp;H9&amp;CHAR(34),""))&amp;","&amp;CHAR(34)&amp;"year"&amp;CHAR(34)&amp;":"&amp;HJ9&amp;","&amp;CHAR(34)&amp;"region"&amp;CHAR(34)&amp;":"&amp;CU9&amp;","&amp;CHAR(34)&amp;"Colors"&amp;CHAR(34)&amp;":"&amp;HC9&amp;","&amp;CHAR(34)&amp;"Items"&amp;CHAR(34)&amp;":"&amp;GS9&amp;","&amp;CHAR(34)&amp;"Flag"&amp;CHAR(34)&amp;":"&amp;CV9&amp;","&amp;CHAR(34)&amp;"HDFlag"&amp;CHAR(34)&amp;":"&amp;CHAR(34)&amp;E9&amp;CHAR(34)&amp;","&amp;CHAR(34)&amp;"type"&amp;CHAR(34)&amp;":"&amp;GP9&amp;", "&amp;CHAR(34)&amp;"describe"&amp;CHAR(34)&amp;": "&amp;HI9&amp;", "&amp;CHAR(34)&amp;"isnew"&amp;CHAR(34)&amp;": "&amp;CHAR(34)&amp;F9&amp;CHAR(34)&amp;", "&amp;CHAR(34)&amp;"links"&amp;CHAR(34)&amp;": "&amp;HL9&amp;"},"</f>
        <v>{"couname":"[PAU] Melekeok","year":"???","region":"rgn_Oceania","Colors":["cl_RED","cl_YEL","cl_GRE","cl_BRO","cl_BLA","cl_WHI","cl_BLU","cl_ORA","cl_GRA"],"Items":["5+Colo","lets08","startM","NoBand","Diagon","Circle","Animal","HasSun","Center","001RED","002YEL","003GRE","myrEQ","NoStar"],"Flag":"https://upload.wikimedia.org/wikipedia/commons/thumb/9/93/Flag_of_Melekeok.svg/640px-Flag_of_Melekeok.svg.png","HDFlag":"https://upload.wikimedia.org/wikipedia/commons/thumb/9/93/Flag_of_Melekeok.svg/2560px-Flag_of_Melekeok.svg.png","type":"State", "describe": "\nThe sun and its six (6) rays stands for the unity of the six (6) hamlets that now are united. The hamlets are Ngeburch,Ngeruliang, Ngermelech, Ukaeb, Ngerang, and Ngerubesang.The rays represents the hamlets and the sun indicates that Melekeok is facing the east where the sun rises and also indicates that Melekeok was the head of Eastern Confederacy of Palau.", "isnew": ".", "links": "https://en.wikipedia.org/wiki/Flags_of_the_states_of_Palau#"},</v>
      </c>
      <c r="HO9" s="75">
        <v>45596</v>
      </c>
      <c r="HP9" s="48" t="str" cm="1">
        <f t="array" ref="HP9">IF(_xlfn.TEXTJOIN(", ", TRUE, IF(ISNUMBER(SEARCH("BLA", BL9:BT9)), COLUMN(BL9:BT9) - COLUMN(BL9) + 1, ""))&lt;&gt;"","BLA","")</f>
        <v>BLA</v>
      </c>
      <c r="HQ9" s="48" t="str" cm="1">
        <f t="array" ref="HQ9">IF(_xlfn.TEXTJOIN(", ", TRUE, IF(ISNUMBER(SEARCH("BLU", BL9:BT9)), COLUMN(BL9:BT9) - COLUMN(BL9) + 1, ""))&lt;&gt;"","BLU","")</f>
        <v>BLU</v>
      </c>
      <c r="HR9" s="48" t="str" cm="1">
        <f t="array" ref="HR9">IF(_xlfn.TEXTJOIN(", ", TRUE, IF(ISNUMBER(SEARCH("GRE", BL9:BT9)), COLUMN(BL9:BT9) - COLUMN(BL9) + 1, ""))&lt;&gt;"","GRE","")</f>
        <v>GRE</v>
      </c>
      <c r="HS9" s="48" t="str" cm="1">
        <f t="array" ref="HS9">IF(_xlfn.TEXTJOIN(", ", TRUE, IF(ISNUMBER(SEARCH("RED", BL9:BT9)), COLUMN(BL9:BT9) - COLUMN(BL9) + 1, ""))&lt;&gt;"","RED","")</f>
        <v>RED</v>
      </c>
      <c r="HT9" s="48" t="str" cm="1">
        <f t="array" ref="HT9">IF(_xlfn.TEXTJOIN(", ", TRUE, IF(ISNUMBER(SEARCH("YEL", BL9:BT9)), COLUMN(BL9:BT9) - COLUMN(BL9) + 1, ""))&lt;&gt;"","YEL","")</f>
        <v>YEL</v>
      </c>
      <c r="HU9" s="48" t="str" cm="1">
        <f t="array" ref="HU9">IF(_xlfn.TEXTJOIN(", ", TRUE, IF(ISNUMBER(SEARCH("ORA", BL9:BT9)), COLUMN(BL9:BT9) - COLUMN(BL9) + 1, ""))&lt;&gt;"","ORA","")</f>
        <v>ORA</v>
      </c>
      <c r="HV9" s="48" t="str" cm="1">
        <f t="array" ref="HV9">IF(_xlfn.TEXTJOIN(", ", TRUE, IF(ISNUMBER(SEARCH("BRO", BL9:BT9)), COLUMN(BL9:BT9) - COLUMN(BL9) + 1, ""))&lt;&gt;"","BRO","")</f>
        <v>BRO</v>
      </c>
      <c r="HW9" s="48" t="str" cm="1">
        <f t="array" ref="HW9">IF(_xlfn.TEXTJOIN(", ", TRUE, IF(ISNUMBER(SEARCH("PUR", BL9:BT9)), COLUMN(BL9:BT9) - COLUMN(BL9) + 1, ""))&lt;&gt;"","PUR","")</f>
        <v/>
      </c>
      <c r="HX9" s="48" t="str" cm="1">
        <f t="array" ref="HX9">IF(_xlfn.TEXTJOIN(", ", TRUE, IF(ISNUMBER(SEARCH("WHI", BL9:BT9)), COLUMN(BL9:BT9) - COLUMN(BL9) + 1, ""))&lt;&gt;"","WHI","")</f>
        <v>WHI</v>
      </c>
      <c r="HY9" s="76"/>
      <c r="HZ9" s="76"/>
      <c r="IA9" s="6"/>
      <c r="IB9" s="6"/>
      <c r="IC9" s="77"/>
      <c r="ID9" s="77"/>
      <c r="IE9" s="77"/>
      <c r="IF9" s="77"/>
      <c r="IG9" s="77"/>
      <c r="IH9" s="77"/>
      <c r="II9" s="77"/>
      <c r="IJ9" s="77"/>
      <c r="IK9" s="77"/>
      <c r="IM9" s="45">
        <f>COUNTIF(IC9:IK9,"&gt;0")-CG9</f>
        <v>-9</v>
      </c>
      <c r="IN9" s="78" t="str">
        <f>"http://mkweb.bcgsc.ca/color-summarizer/?url="&amp;D9&amp;"&amp;precision=low&amp;num_clusters="&amp;CG9&amp;"&amp;text=1"</f>
        <v>http://mkweb.bcgsc.ca/color-summarizer/?url=https://upload.wikimedia.org/wikipedia/commons/thumb/9/93/Flag_of_Melekeok.svg/640px-Flag_of_Melekeok.svg.png&amp;precision=low&amp;num_clusters=9&amp;text=1</v>
      </c>
      <c r="IO9" s="48" t="str">
        <f>IF(HP9&lt;&gt;"",CHAR(34)&amp;"black"&amp;CHAR(34),"")</f>
        <v>"black"</v>
      </c>
      <c r="IP9" s="48" t="str">
        <f>IF(HQ9&lt;&gt;"",CHAR(34)&amp;"blue"&amp;CHAR(34),"")</f>
        <v>"blue"</v>
      </c>
      <c r="IQ9" s="48" t="str">
        <f>IF(HR9&lt;&gt;"",CHAR(34)&amp;"green"&amp;CHAR(34),"")</f>
        <v>"green"</v>
      </c>
      <c r="IR9" s="48" t="str">
        <f>IF(HS9&lt;&gt;"",CHAR(34)&amp;"red"&amp;CHAR(34),"")</f>
        <v>"red"</v>
      </c>
      <c r="IS9" s="48" t="str">
        <f>IF(HT9&lt;&gt;"",CHAR(34)&amp;"yellow"&amp;CHAR(34),"")</f>
        <v>"yellow"</v>
      </c>
      <c r="IT9" s="48" t="str">
        <f>IF(HU9&lt;&gt;"",CHAR(34)&amp;"orange"&amp;CHAR(34),"")</f>
        <v>"orange"</v>
      </c>
      <c r="IU9" s="48" t="str">
        <f>IF(HV9&lt;&gt;"",CHAR(34)&amp;"brown"&amp;CHAR(34),"")</f>
        <v>"brown"</v>
      </c>
      <c r="IV9" s="48" t="str">
        <f>IF(HW9&lt;&gt;"",CHAR(34)&amp;"purple"&amp;CHAR(34),"")</f>
        <v/>
      </c>
      <c r="IW9" s="48" t="str">
        <f>IF(HX9&lt;&gt;"",CHAR(34)&amp;"white"&amp;CHAR(34),"")</f>
        <v>"white"</v>
      </c>
      <c r="IX9" s="48" t="str">
        <f>"{"&amp;CHAR(34)&amp;"url"&amp;CHAR(34)&amp;":"&amp;CHAR(34)&amp;IN9&amp;CHAR(34)&amp;","&amp;CHAR(34)&amp;"name"&amp;CHAR(34)&amp;":"&amp;CHAR(34)&amp;A9&amp;CHAR(34)&amp;"},"</f>
        <v>{"url":"http://mkweb.bcgsc.ca/color-summarizer/?url=https://upload.wikimedia.org/wikipedia/commons/thumb/9/93/Flag_of_Melekeok.svg/640px-Flag_of_Melekeok.svg.png&amp;precision=low&amp;num_clusters=9&amp;text=1","name":"[PAU] Melekeok"},</v>
      </c>
      <c r="IY9" s="48">
        <v>1253</v>
      </c>
    </row>
    <row r="10" spans="1:259" s="48" customFormat="1" ht="38.4" customHeight="1" thickBot="1" x14ac:dyDescent="0.35">
      <c r="A10" s="79" t="s">
        <v>539</v>
      </c>
      <c r="B10" s="40" t="e" vm="98">
        <v>#VALUE!</v>
      </c>
      <c r="C10" s="41">
        <v>2</v>
      </c>
      <c r="D10" s="42" t="s">
        <v>540</v>
      </c>
      <c r="E10" s="43" t="s">
        <v>541</v>
      </c>
      <c r="F10" s="44" t="s">
        <v>166</v>
      </c>
      <c r="G10" s="45">
        <f>COUNTIF($A$1:$A$8249,A10)</f>
        <v>1</v>
      </c>
      <c r="H10" s="46"/>
      <c r="I10" s="47" t="s">
        <v>542</v>
      </c>
      <c r="J10" s="48" t="str">
        <f>""</f>
        <v/>
      </c>
      <c r="K10" s="49"/>
      <c r="L10" s="50"/>
      <c r="M10" s="50"/>
      <c r="N10" s="51" t="s">
        <v>169</v>
      </c>
      <c r="O10" s="52" t="s">
        <v>355</v>
      </c>
      <c r="P10" s="53" t="s">
        <v>543</v>
      </c>
      <c r="Q10" s="54">
        <v>1</v>
      </c>
      <c r="R10" s="55" t="s">
        <v>169</v>
      </c>
      <c r="S10" s="56">
        <v>3</v>
      </c>
      <c r="T10" s="57" t="s">
        <v>172</v>
      </c>
      <c r="U10" s="58" t="s">
        <v>173</v>
      </c>
      <c r="V10" s="58" t="s">
        <v>173</v>
      </c>
      <c r="W10" s="58" t="s">
        <v>173</v>
      </c>
      <c r="X10" s="58" t="s">
        <v>173</v>
      </c>
      <c r="Y10" s="58" t="s">
        <v>173</v>
      </c>
      <c r="Z10" s="58" t="s">
        <v>173</v>
      </c>
      <c r="AA10" s="58" t="s">
        <v>173</v>
      </c>
      <c r="AB10" s="58" t="s">
        <v>173</v>
      </c>
      <c r="AC10" s="58" t="s">
        <v>173</v>
      </c>
      <c r="AD10" s="58" t="s">
        <v>173</v>
      </c>
      <c r="AE10" s="58" t="s">
        <v>173</v>
      </c>
      <c r="AF10" s="59" t="s">
        <v>173</v>
      </c>
      <c r="AG10" s="59" t="s">
        <v>173</v>
      </c>
      <c r="AH10" s="59" t="s">
        <v>172</v>
      </c>
      <c r="AI10" s="59" t="s">
        <v>173</v>
      </c>
      <c r="AJ10" s="59" t="s">
        <v>173</v>
      </c>
      <c r="AK10" s="59" t="s">
        <v>173</v>
      </c>
      <c r="AL10" s="59" t="s">
        <v>173</v>
      </c>
      <c r="AM10" s="59" t="s">
        <v>173</v>
      </c>
      <c r="AN10" s="59" t="s">
        <v>173</v>
      </c>
      <c r="AO10" s="59" t="s">
        <v>173</v>
      </c>
      <c r="AP10" s="59" t="s">
        <v>173</v>
      </c>
      <c r="AQ10" s="59" t="s">
        <v>173</v>
      </c>
      <c r="AR10" s="59" t="s">
        <v>173</v>
      </c>
      <c r="AS10" s="59" t="s">
        <v>173</v>
      </c>
      <c r="AT10" s="60">
        <v>1</v>
      </c>
      <c r="AU10" s="59" t="s">
        <v>363</v>
      </c>
      <c r="AV10" s="59" t="str">
        <f>IF(LEFT(A10,1)="[",LEFT(A10,5)&amp;AU10&amp;A10,"")</f>
        <v>[PAU]State[PAU] Ngaraard</v>
      </c>
      <c r="AW10" s="59" t="str">
        <f>C10&amp;H10&amp;A10</f>
        <v>2[PAU] Ngaraard</v>
      </c>
      <c r="AX10" s="61"/>
      <c r="AY10" s="61"/>
      <c r="AZ10" s="62" t="s">
        <v>192</v>
      </c>
      <c r="BA10" s="62" t="s">
        <v>192</v>
      </c>
      <c r="BB10" s="62"/>
      <c r="BC10" s="63"/>
      <c r="BD10" s="64" t="s">
        <v>159</v>
      </c>
      <c r="BE10" s="47"/>
      <c r="BF10" s="64" t="s">
        <v>192</v>
      </c>
      <c r="BG10" s="64" t="s">
        <v>192</v>
      </c>
      <c r="BH10" s="64" t="s">
        <v>192</v>
      </c>
      <c r="BI10" s="64"/>
      <c r="BJ10" s="64"/>
      <c r="BK10" s="47"/>
      <c r="BL10" s="64" t="s">
        <v>192</v>
      </c>
      <c r="BM10" s="64" t="s">
        <v>192</v>
      </c>
      <c r="BN10" s="64" t="s">
        <v>153</v>
      </c>
      <c r="BO10" s="64" t="s">
        <v>154</v>
      </c>
      <c r="BP10" s="64" t="s">
        <v>155</v>
      </c>
      <c r="BQ10" s="64" t="s">
        <v>192</v>
      </c>
      <c r="BR10" s="64" t="s">
        <v>192</v>
      </c>
      <c r="BS10" s="64" t="s">
        <v>192</v>
      </c>
      <c r="BT10" s="64" t="s">
        <v>159</v>
      </c>
      <c r="BU10" s="65"/>
      <c r="BV10" s="66"/>
      <c r="BW10" s="66">
        <v>0</v>
      </c>
      <c r="BX10" s="47"/>
      <c r="CB10" s="6"/>
      <c r="CC10" s="6"/>
      <c r="CD10" s="67">
        <v>0</v>
      </c>
      <c r="CE10" s="67">
        <v>0</v>
      </c>
      <c r="CF10" s="67" t="e">
        <v>#REF!</v>
      </c>
      <c r="CG10" s="68" cm="1">
        <f t="array" ref="CG10">SUMPRODUCT(--(LEN(TRIM(BL10:BT10))&gt;0))</f>
        <v>4</v>
      </c>
      <c r="CH10" s="59" t="str">
        <f>IF(CG10=2,"y","n")</f>
        <v>n</v>
      </c>
      <c r="CI10" s="59" t="str">
        <f>IF(CG10=3,"y","n")</f>
        <v>n</v>
      </c>
      <c r="CJ10" s="59" t="str">
        <f>IF(CG10=4,"y","n")</f>
        <v>y</v>
      </c>
      <c r="CK10" s="59" t="str">
        <f>IF(CG10&gt;4,"y","n")</f>
        <v>n</v>
      </c>
      <c r="CL10" s="59" t="str">
        <f>IF(S10=0,"y","n")</f>
        <v>n</v>
      </c>
      <c r="CM10" s="59" t="str">
        <f>IF(S10=2,"y","n")</f>
        <v>n</v>
      </c>
      <c r="CN10" s="59" t="str">
        <f>IF(S10=3,"y","n")</f>
        <v>y</v>
      </c>
      <c r="CO10" s="59" t="str">
        <f>IF(S10&gt;=4,"y","n")</f>
        <v>n</v>
      </c>
      <c r="CP10" s="59" t="str">
        <f>IF(AT10=0,"y","n")</f>
        <v>n</v>
      </c>
      <c r="CQ10" s="59" t="str">
        <f>IF(AT10=1,"y","n")</f>
        <v>y</v>
      </c>
      <c r="CR10" s="59" t="str">
        <f>IF(AT10=2,"y","n")</f>
        <v>n</v>
      </c>
      <c r="CS10" s="59" t="str">
        <f>IF(AT10&gt;=3,"y","n")</f>
        <v>n</v>
      </c>
      <c r="CT10" s="69" t="str">
        <f>CHAR(34)&amp;A10&amp;CHAR(34)</f>
        <v>"[PAU] Ngaraard"</v>
      </c>
      <c r="CU10" s="70" t="str">
        <f>CHAR(34)&amp;"rgn_"&amp;R10&amp;CHAR(34)</f>
        <v>"rgn_Oceania"</v>
      </c>
      <c r="CV10" s="48" t="str">
        <f>CHAR(34)&amp;D10&amp;CHAR(34)</f>
        <v>"https://upload.wikimedia.org/wikipedia/commons/thumb/4/45/Flag_of_Ngaraard_State.svg/640px-Flag_of_Ngaraard_State.svg.png"</v>
      </c>
      <c r="CW10" s="48" t="str">
        <f t="shared" si="0"/>
        <v/>
      </c>
      <c r="CX10" s="48" t="str">
        <f t="shared" si="0"/>
        <v/>
      </c>
      <c r="CY10" s="48" t="str">
        <f t="shared" si="0"/>
        <v>"4Color",</v>
      </c>
      <c r="CZ10" s="48" t="str">
        <f t="shared" si="0"/>
        <v/>
      </c>
      <c r="DA10" s="48" t="str">
        <f>IF(Q10&gt;1,CHAR(34)&amp;"words2"&amp;CHAR(34)&amp;",","")</f>
        <v/>
      </c>
      <c r="DB10" s="48" t="str">
        <f>IF(Q10&gt;2,CHAR(34)&amp;"words3"&amp;CHAR(34)&amp;",","")</f>
        <v/>
      </c>
      <c r="DD10" s="48" t="str">
        <f>IF(LEN(CHAR(34)&amp;"lets"&amp;LEN(SUBSTITUTE(SUBSTITUTE(IFERROR(TRIM(SUBSTITUTE(A10,MID(A10,FIND("[",A10),FIND("]",A10)-FIND("[",A10)+1),"")),A10)," ",""),"-",""))&amp;CHAR(34)&amp;",")=9,CHAR(34)&amp;"lets"&amp;LEN(SUBSTITUTE(SUBSTITUTE(IFERROR(TRIM(SUBSTITUTE(A10,MID(A10,FIND("[",A10),FIND("]",A10)-FIND("[",A10)+1),"")),A10)," ",""),"-",""))&amp;CHAR(34)&amp;",",CHAR(34)&amp;"lets0"&amp;LEN(SUBSTITUTE(SUBSTITUTE(IFERROR(TRIM(SUBSTITUTE(A10,MID(A10,FIND("[",A10),FIND("]",A10)-FIND("[",A10)+1),"")),A10)," ",""),"-",""))&amp;CHAR(34)&amp;",")</f>
        <v>"lets08",</v>
      </c>
      <c r="DE10" s="48" t="str">
        <f>CHAR(34)&amp;"start"&amp;IFERROR(LEFT(SUBSTITUTE(A10,"["&amp;MID(A10,FIND("[",A10)+1,FIND("]",A10)-FIND("[",A10)-1)&amp;"] ",""),1),LEFT(A10,1))&amp;CHAR(34)&amp;","</f>
        <v>"startN",</v>
      </c>
      <c r="DF10" s="48" t="str">
        <f>IFERROR(IF(SEARCH("tan",A10)&gt;0,CHAR(34)&amp;"withtn"&amp;CHAR(34)&amp;",",""),"")</f>
        <v/>
      </c>
      <c r="DG10" s="48" t="str">
        <f>IFERROR(IF(SEARCH("q",A10)&gt;0,CHAR(34)&amp;"with_q"&amp;CHAR(34)&amp;",",""),"")</f>
        <v/>
      </c>
      <c r="DH10" s="48" t="str">
        <f>IFERROR(IF(SEARCH("v",A10)&gt;0,CHAR(34)&amp;"with_v"&amp;CHAR(34)&amp;",",""),"")</f>
        <v/>
      </c>
      <c r="DI10" s="48" t="str">
        <f>IFERROR(IF(SEARCH("w",A10)&gt;0,CHAR(34)&amp;"with_w"&amp;CHAR(34)&amp;",",""),"")</f>
        <v/>
      </c>
      <c r="DJ10" s="48" t="str">
        <f>IFERROR(IF(SEARCH("y",A10)&gt;0,CHAR(34)&amp;"with_y"&amp;CHAR(34)&amp;",",""),"")</f>
        <v/>
      </c>
      <c r="DK10" s="48" t="str">
        <f>IFERROR(IF(SEARCH("z",A10)&gt;0,CHAR(34)&amp;"with_z"&amp;CHAR(34)&amp;",",""),"")</f>
        <v/>
      </c>
      <c r="DL10" s="48" t="str">
        <f>IF(CG10=2, CHAR(34) &amp; _xlfn.TEXTJOIN("", TRUE, _xlfn._xlws.SORT(HP10:HX10)) &amp; CHAR(34) &amp; ",", "")</f>
        <v/>
      </c>
      <c r="DM10" s="48" t="str" cm="1">
        <f t="array" ref="DM10">IF(CG10=3,CHAR(34) &amp; _xlfn.TEXTJOIN("", TRUE, RIGHT(HP10:HX10, 2)) &amp; CHAR(34) &amp; ",", "")</f>
        <v/>
      </c>
      <c r="DN10" s="48" t="str">
        <f>IF(AND(ISNUMBER(SEARCH("18", O10)), ISERROR(SEARCH("1918", O10)), ISERROR(SEARCH("2018", O10))), CHAR(34) &amp; "year18" &amp; CHAR(34) &amp; ",", "")</f>
        <v/>
      </c>
      <c r="DO10" s="48" t="str">
        <f>IF(AND(ISNUMBER(SEARCH("19", O10)), ISERROR(SEARCH("1819", O10)),  ISERROR(SEARCH("1219", O10)),ISERROR(SEARCH("1119", O10)),ISERROR(SEARCH("1190", O10)),ISERROR(SEARCH("2019", O10))), CHAR(34) &amp; "year19" &amp; CHAR(34) &amp; ",", "")</f>
        <v/>
      </c>
      <c r="DP10" s="6" t="str">
        <f>IF(AND(ISNUMBER(SEARCH("20", O10)), ISERROR(SEARCH("1920", O10))), CHAR(34)&amp;"year00"&amp;CHAR(34)&amp;",", "")</f>
        <v/>
      </c>
      <c r="DQ10" s="6" t="str">
        <f>IF(CC10="y",CHAR(34)&amp;"soviet"&amp;CHAR(34)&amp;",","")</f>
        <v/>
      </c>
      <c r="DR10" s="6" t="str">
        <f>IF(BY10="y",CHAR(34)&amp;"dgband"&amp;CHAR(34)&amp;",","")</f>
        <v/>
      </c>
      <c r="DS10" s="6" t="str">
        <f>IF(W10="y",IF(AND(V10="n",BY10&lt;&gt;"y"),CHAR(34)&amp;"allver"&amp;CHAR(34)&amp;",",""),"")</f>
        <v/>
      </c>
      <c r="DT10" s="6" t="str">
        <f>IF(V10="y",IF(AND(W10="n",BY10&lt;&gt;"y"),CHAR(34)&amp;"allhor"&amp;CHAR(34)&amp;",",""),"")</f>
        <v/>
      </c>
      <c r="DU10" s="6" t="str">
        <f>IF(BY10="y",IF(AND(W10="n",V10="n"),CHAR(34)&amp;"alldia"&amp;CHAR(34)&amp;",",""),"")</f>
        <v/>
      </c>
      <c r="DW10" s="48" t="str">
        <f t="shared" si="1"/>
        <v/>
      </c>
      <c r="DX10" s="48" t="str">
        <f t="shared" si="1"/>
        <v/>
      </c>
      <c r="DY10" s="48" t="str">
        <f t="shared" si="1"/>
        <v>"3Bands",</v>
      </c>
      <c r="DZ10" s="48" t="str">
        <f t="shared" si="1"/>
        <v/>
      </c>
      <c r="EA10" s="48" t="str">
        <f t="shared" si="2"/>
        <v>"Diagon",</v>
      </c>
      <c r="EB10" s="48" t="str">
        <f t="shared" si="2"/>
        <v/>
      </c>
      <c r="EC10" s="48" t="str">
        <f t="shared" si="2"/>
        <v/>
      </c>
      <c r="ED10" s="48" t="str">
        <f t="shared" si="2"/>
        <v/>
      </c>
      <c r="EE10" s="48" t="str">
        <f t="shared" si="2"/>
        <v/>
      </c>
      <c r="EF10" s="48" t="str">
        <f>IF(AND(Y10&lt;&gt;"n",Y10&lt;&gt;""),CHAR(34)&amp;Y$1&amp;CHAR(34)&amp;",","")</f>
        <v/>
      </c>
      <c r="EG10" s="48" t="str">
        <f t="shared" si="3"/>
        <v/>
      </c>
      <c r="EH10" s="48" t="str">
        <f t="shared" si="3"/>
        <v/>
      </c>
      <c r="EI10" s="48" t="str">
        <f t="shared" si="3"/>
        <v/>
      </c>
      <c r="EJ10" s="48" t="str">
        <f t="shared" si="3"/>
        <v/>
      </c>
      <c r="EK10" s="48" t="str">
        <f t="shared" si="3"/>
        <v/>
      </c>
      <c r="EL10" s="48" t="str">
        <f t="shared" si="3"/>
        <v/>
      </c>
      <c r="EM10" s="48" t="str">
        <f t="shared" si="3"/>
        <v/>
      </c>
      <c r="EN10" s="48" t="str">
        <f t="shared" si="3"/>
        <v/>
      </c>
      <c r="EO10" s="48" t="str">
        <f t="shared" si="3"/>
        <v>"Center",</v>
      </c>
      <c r="EP10" s="48" t="str">
        <f t="shared" si="3"/>
        <v/>
      </c>
      <c r="EQ10" s="48" t="str">
        <f t="shared" si="3"/>
        <v/>
      </c>
      <c r="ER10" s="48" t="str">
        <f t="shared" si="3"/>
        <v/>
      </c>
      <c r="ES10" s="48" t="str">
        <f t="shared" si="3"/>
        <v/>
      </c>
      <c r="ET10" s="48" t="str">
        <f t="shared" si="3"/>
        <v/>
      </c>
      <c r="EU10" s="48" t="str">
        <f t="shared" si="3"/>
        <v/>
      </c>
      <c r="EV10" s="48" t="str">
        <f t="shared" si="3"/>
        <v/>
      </c>
      <c r="EW10" s="48" t="str">
        <f t="shared" si="3"/>
        <v/>
      </c>
      <c r="EX10" s="48" t="str">
        <f t="shared" si="3"/>
        <v/>
      </c>
      <c r="EY10" s="48" t="str">
        <f t="shared" si="3"/>
        <v/>
      </c>
      <c r="EZ10" s="48" t="str">
        <f t="shared" si="3"/>
        <v/>
      </c>
      <c r="FA10" s="48" t="str">
        <f>IF(AT10&gt;0,CHAR(34)&amp;"sta"&amp;AZ10&amp;CHAR(34)&amp;",","")</f>
        <v>"sta",</v>
      </c>
      <c r="FB10" s="48" t="str">
        <f>IF(AND(AT10&gt;0,BA10&lt;&gt;""),CHAR(34)&amp;"sta"&amp;BA10&amp;CHAR(34)&amp;",","")</f>
        <v/>
      </c>
      <c r="FD10" s="48" t="str">
        <f>IF(BV10="n",CHAR(34)&amp;"tcWHYE"&amp;CHAR(34)&amp;",",IF(BV10="y",CHAR(34)&amp;FD$1&amp;CHAR(34)&amp;",",""))</f>
        <v/>
      </c>
      <c r="FE10" s="48" t="str">
        <f>IF(COUNTIF(BL10:BT10,"BLU")=0,CHAR(34)&amp;"NO_BLU"&amp;CHAR(34)&amp;",", "")</f>
        <v>"NO_BLU",</v>
      </c>
      <c r="FF10" s="48" t="str">
        <f>IF(COUNTIF(BL10:BT10,"WHI")=0,CHAR(34)&amp;"NO_WHI"&amp;CHAR(34)&amp;",", "")</f>
        <v/>
      </c>
      <c r="FG10" s="48" t="str">
        <f>IF(COUNTIF(BL10:BT10,"RED")=0,CHAR(34)&amp;"NO_RED"&amp;CHAR(34)&amp;",", "")</f>
        <v/>
      </c>
      <c r="FH10" s="48" t="str">
        <f>IF(COUNTIF(BL10:BS10,"GRE")=0,CHAR(34)&amp;"NO_GRE"&amp;CHAR(34)&amp;",", "")</f>
        <v/>
      </c>
      <c r="FI10" s="48" t="str">
        <f>IF(COUNTIF(BL10:BT10,"YEL")=0,CHAR(34)&amp;"NO_YEL"&amp;CHAR(34)&amp;",", "")</f>
        <v/>
      </c>
      <c r="FJ10" s="48" t="str">
        <f>IF(COUNTIF(BL10:BT10,"BLA")=0,CHAR(34)&amp;"NO_BLA"&amp;CHAR(34)&amp;",", "")</f>
        <v>"NO_BLA",</v>
      </c>
      <c r="FK10" s="48" t="str">
        <f>IF(AND(FH10&lt;&gt;"",FF10&lt;&gt;""),CHAR(34)&amp;"WHGRNO"&amp;CHAR(34)&amp;",","")</f>
        <v/>
      </c>
      <c r="FL10" s="48" t="str">
        <f>IF(AND(FI10&lt;&gt;"",FF10&lt;&gt;""),CHAR(34)&amp;"WHYENO"&amp;CHAR(34)&amp;",","")</f>
        <v/>
      </c>
      <c r="FM10" s="48" t="str">
        <f>IF(AND(FJ10&lt;&gt;"",FF10&lt;&gt;""),CHAR(34)&amp;"BAWHNO"&amp;CHAR(34)&amp;",","")</f>
        <v/>
      </c>
      <c r="FN10" s="48" t="str">
        <f>IF(AND(FE10&lt;&gt;"",FF10&lt;&gt;""),CHAR(34)&amp;"BLWHNO"&amp;CHAR(34)&amp;",","")</f>
        <v/>
      </c>
      <c r="FO10" s="48" t="str">
        <f>IF(AND(FE10&lt;&gt;"",FG10&lt;&gt;""),CHAR(34)&amp;"BLRENO"&amp;CHAR(34)&amp;",","")</f>
        <v/>
      </c>
      <c r="FP10" s="48" t="str">
        <f>IF(AND(FF10&lt;&gt;"",FF10&lt;&gt;""),CHAR(34)&amp;"WHRENO"&amp;CHAR(34)&amp;",","")</f>
        <v/>
      </c>
      <c r="FQ10" s="48" t="str">
        <f>IF(LEN(BF10)=3,CHAR(34)&amp;"001"&amp;BF10&amp;CHAR(34)&amp;",","")</f>
        <v/>
      </c>
      <c r="FR10" s="48" t="str">
        <f>IF(LEN(BG10)=3,CHAR(34)&amp;"002"&amp;BG10&amp;CHAR(34)&amp;",","")</f>
        <v/>
      </c>
      <c r="FS10" s="48" t="str">
        <f>IF(LEN(BH10)=3,CHAR(34)&amp;"003"&amp;BH10&amp;CHAR(34)&amp;",","")</f>
        <v/>
      </c>
      <c r="FT10" s="48" t="str">
        <f>CHAR(34)&amp;"myr"&amp;BD10&amp;CHAR(34)&amp;","</f>
        <v>"myrWHI",</v>
      </c>
      <c r="FU10" s="48" t="str">
        <f>IF(AY10="y",CHAR(34)&amp;"island"&amp;CHAR(34)&amp;",","")</f>
        <v/>
      </c>
      <c r="FV10" s="48" t="str">
        <f>IF(BZ10="y",CHAR(34)&amp;"landlo"&amp;CHAR(34)&amp;",","")</f>
        <v/>
      </c>
      <c r="FW10" s="48" t="str">
        <f>IF(CA10="y",CHAR(34)&amp;"eunion"&amp;CHAR(34)&amp;",","")</f>
        <v/>
      </c>
      <c r="FY10" s="48" t="str">
        <f>IFERROR(IF(SEARCH("Arabic",CB10)&gt;0,CHAR(34)&amp;"arabic"&amp;CHAR(34)&amp;",",""),"")</f>
        <v/>
      </c>
      <c r="FZ10" s="48" t="str">
        <f>IFERROR(IF(SEARCH("English",CB10)&gt;0,CHAR(34)&amp;"englis"&amp;CHAR(34)&amp;",",""),"")</f>
        <v/>
      </c>
      <c r="GA10" s="48" t="str">
        <f>IFERROR(IF(SEARCH("French",CB10)&gt;0,CHAR(34)&amp;"french"&amp;CHAR(34)&amp;",",""),"")</f>
        <v/>
      </c>
      <c r="GB10" s="48" t="str">
        <f>IFERROR(IF(SEARCH("Spanish",CB10)&gt;0,CHAR(34)&amp;"spanis"&amp;CHAR(34)&amp;",",""),"")</f>
        <v/>
      </c>
      <c r="GE10" s="48" t="str">
        <f>IFERROR(IF(SEARCH("Dutch",CB10)&gt;0,CHAR(34)&amp;"dutchs"&amp;CHAR(34)&amp;",",""),"")</f>
        <v/>
      </c>
      <c r="GF10" s="48" t="str">
        <f>IFERROR(IF(SEARCH("Historical",AU10)&gt;0,CHAR(34)&amp;"histor"&amp;CHAR(34)&amp;",",""),"")</f>
        <v/>
      </c>
      <c r="GG10" s="48" t="str">
        <f>IF(BU10="y",CHAR(34)&amp;"unjack"&amp;CHAR(34)&amp;",","")</f>
        <v/>
      </c>
      <c r="GH10" s="48" t="str">
        <f>IF(CD10=1,CHAR(34)&amp;"southc"&amp;CHAR(34)&amp;",","")</f>
        <v/>
      </c>
      <c r="GI10" s="48" t="str">
        <f>IF(CE10=1,CHAR(34)&amp;"hasmap"&amp;CHAR(34)&amp;",","")</f>
        <v/>
      </c>
      <c r="GJ10" s="48" t="str">
        <f>IF(CP10="y",CHAR(34)&amp;CP$1&amp;CHAR(34)&amp;",","")</f>
        <v/>
      </c>
      <c r="GK10" s="48" t="str">
        <f>IF(GJ10="",CHAR(34)&amp;"HasSta"&amp;CHAR(34)&amp;",","")</f>
        <v>"HasSta",</v>
      </c>
      <c r="GL10" s="48" t="str">
        <f t="shared" si="4"/>
        <v>"1Stars",</v>
      </c>
      <c r="GM10" s="48" t="str">
        <f t="shared" si="4"/>
        <v/>
      </c>
      <c r="GN10" s="48" t="str">
        <f t="shared" si="4"/>
        <v/>
      </c>
      <c r="GP10" s="48" t="str">
        <f>CHAR(34)&amp;AU10&amp;CHAR(34)</f>
        <v>"State"</v>
      </c>
      <c r="GS10" s="48" t="str">
        <f>SUBSTITUTE("["&amp;_xlfn.CONCAT(CW10:GN10)&amp;"]",",]","]")</f>
        <v>["4Color","lets08","startN","3Bands","Diagon","Center","sta","NO_BLU","NO_BLA","myrWHI","HasSta","1Stars"]</v>
      </c>
      <c r="GT10" s="48" t="str">
        <f t="shared" si="5"/>
        <v/>
      </c>
      <c r="GU10" s="48" t="str">
        <f t="shared" si="5"/>
        <v/>
      </c>
      <c r="GV10" s="48" t="str">
        <f t="shared" si="5"/>
        <v>"cl_GRE",</v>
      </c>
      <c r="GW10" s="48" t="str">
        <f t="shared" si="5"/>
        <v>"cl_RED",</v>
      </c>
      <c r="GX10" s="48" t="str">
        <f t="shared" si="5"/>
        <v>"cl_YEL",</v>
      </c>
      <c r="GY10" s="48" t="str">
        <f t="shared" si="5"/>
        <v/>
      </c>
      <c r="GZ10" s="48" t="str">
        <f t="shared" si="5"/>
        <v/>
      </c>
      <c r="HA10" s="48" t="str">
        <f t="shared" si="5"/>
        <v/>
      </c>
      <c r="HB10" s="48" t="str">
        <f t="shared" si="5"/>
        <v>"cl_WHI",</v>
      </c>
      <c r="HC10" s="48" t="str">
        <f>SUBSTITUTE("["&amp;_xlfn.CONCAT(GT10:HB10)&amp;"]",",]","]")</f>
        <v>["cl_GRE","cl_RED","cl_YEL","cl_WHI"]</v>
      </c>
      <c r="HE10" s="71"/>
      <c r="HF10" s="72" t="str">
        <f>"{couname:"&amp;CT10&amp;(IF(HK10&lt;&gt;"",",subtype:"&amp;CHAR(34)&amp;HK10&amp;CHAR(34),""))&amp;",year:"&amp;HJ10&amp;",region:"&amp;CU10&amp;",Colors:"&amp;HC10&amp;",Items:"&amp;GS10&amp;",Flag:"&amp;CV10&amp;",HDFlag:"&amp;CHAR(34)&amp;E10&amp;CHAR(34)&amp;",type:"&amp;GP10&amp;", describe: "&amp;HH10&amp;", isnew:"&amp;CHAR(34)&amp;F10&amp;CHAR(34)&amp;", links: "&amp;HL10&amp;"},"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links: "https://en.wikipedia.org/wiki/Flags_of_the_states_of_Palau"},</v>
      </c>
      <c r="HG10" s="73" t="str">
        <f>"{couname:"&amp;CT10&amp;(IF(HK10&lt;&gt;"",",subtype:"&amp;CHAR(34)&amp;HK10&amp;CHAR(34),""))&amp;",year:"&amp;HJ10&amp;",region:"&amp;CU10&amp;",Colors:"&amp;HC10&amp;",Items:"&amp;GS10&amp;",Flag:"&amp;CV10&amp;",HDFlag:"&amp;CHAR(34)&amp;E10&amp;CHAR(34)&amp;",type:"&amp;GP10&amp;", describe: "&amp;HI10&amp;", links: "&amp;HL10&amp;"},"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links: "https://en.wikipedia.org/wiki/Flags_of_the_states_of_Palau"},</v>
      </c>
      <c r="HH10" s="48" t="str">
        <f>IF(P10&lt;&gt;"",CHAR(34)&amp;"\n"&amp;P10&amp;CHAR(34),CHAR(34)&amp;CHAR(34))</f>
        <v>"\nThe flag consists of a light blue background with a diagonal red line and a yellow star in the middle. The star stands for the unity of Ngaraard State, and the five fingers of the star stand for the five counties or hamlets of Ngaraard"</v>
      </c>
      <c r="HI10" s="48" t="str">
        <f>IF(J10=0,CHAR(34)&amp;CHAR(34),HH10)</f>
        <v>"\nThe flag consists of a light blue background with a diagonal red line and a yellow star in the middle. The star stands for the unity of Ngaraard State, and the five fingers of the star stand for the five counties or hamlets of Ngaraard"</v>
      </c>
      <c r="HJ10" s="48" t="str">
        <f>CHAR(34)&amp;O10&amp;CHAR(34)</f>
        <v>"???"</v>
      </c>
      <c r="HL10" s="48" t="str">
        <f>CHAR(34)&amp;I10&amp;CHAR(34)</f>
        <v>"https://en.wikipedia.org/wiki/Flags_of_the_states_of_Palau"</v>
      </c>
      <c r="HM10" s="72"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"&amp;HH10&amp;", "&amp;CHAR(34)&amp;"isnew"&amp;CHAR(34)&amp;": "&amp;CHAR(34)&amp;F10&amp;CHAR(34)&amp;", "&amp;CHAR(34)&amp;"links"&amp;CHAR(34)&amp;": "&amp;HL10&amp;"},"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 "links": "https://en.wikipedia.org/wiki/Flags_of_the_states_of_Palau"},</v>
      </c>
      <c r="HN10" s="74" t="str">
        <f>"{"&amp;CHAR(34)&amp;"couname"&amp;CHAR(34)&amp;":"&amp;CT10&amp;(IF(H10&lt;&gt;"",","&amp;CHAR(34)&amp;"subtype"&amp;CHAR(34)&amp;":"&amp;CHAR(34)&amp;H10&amp;CHAR(34),""))&amp;","&amp;CHAR(34)&amp;"year"&amp;CHAR(34)&amp;":"&amp;HJ10&amp;","&amp;CHAR(34)&amp;"region"&amp;CHAR(34)&amp;":"&amp;CU10&amp;","&amp;CHAR(34)&amp;"Colors"&amp;CHAR(34)&amp;":"&amp;HC10&amp;","&amp;CHAR(34)&amp;"Items"&amp;CHAR(34)&amp;":"&amp;GS10&amp;","&amp;CHAR(34)&amp;"Flag"&amp;CHAR(34)&amp;":"&amp;CV10&amp;","&amp;CHAR(34)&amp;"HDFlag"&amp;CHAR(34)&amp;":"&amp;CHAR(34)&amp;E10&amp;CHAR(34)&amp;","&amp;CHAR(34)&amp;"type"&amp;CHAR(34)&amp;":"&amp;GP10&amp;", "&amp;CHAR(34)&amp;"describe"&amp;CHAR(34)&amp;": "&amp;HI10&amp;", "&amp;CHAR(34)&amp;"isnew"&amp;CHAR(34)&amp;": "&amp;CHAR(34)&amp;F10&amp;CHAR(34)&amp;", "&amp;CHAR(34)&amp;"links"&amp;CHAR(34)&amp;": "&amp;HL10&amp;"},"</f>
        <v>{"couname":"[PAU] Ngaraard","year":"???","region":"rgn_Oceania","Colors":["cl_GRE","cl_RED","cl_YEL","cl_WHI"],"Items":["4Color","lets08","startN","3Bands","Diagon","Center","sta","NO_BLU","NO_BLA","myrWHI","HasSta","1Stars"],"Flag":"https://upload.wikimedia.org/wikipedia/commons/thumb/4/45/Flag_of_Ngaraard_State.svg/640px-Flag_of_Ngaraard_State.svg.png","HDFlag":"https://upload.wikimedia.org/wikipedia/commons/thumb/4/45/Flag_of_Ngaraard_State.svg/2560px-Flag_of_Ngaraard_State.svg.png","type":"State", "describe": "\nThe flag consists of a light blue background with a diagonal red line and a yellow star in the middle. The star stands for the unity of Ngaraard State, and the five fingers of the star stand for the five counties or hamlets of Ngaraard", "isnew": ".", "links": "https://en.wikipedia.org/wiki/Flags_of_the_states_of_Palau"},</v>
      </c>
      <c r="HO10" s="75">
        <v>45653</v>
      </c>
      <c r="HP10" s="48" t="str" cm="1">
        <f t="array" ref="HP10">IF(_xlfn.TEXTJOIN(", ", TRUE, IF(ISNUMBER(SEARCH("BLA", BL10:BT10)), COLUMN(BL10:BT10) - COLUMN(BL10) + 1, ""))&lt;&gt;"","BLA","")</f>
        <v/>
      </c>
      <c r="HQ10" s="48" t="str" cm="1">
        <f t="array" ref="HQ10">IF(_xlfn.TEXTJOIN(", ", TRUE, IF(ISNUMBER(SEARCH("BLU", BL10:BT10)), COLUMN(BL10:BT10) - COLUMN(BL10) + 1, ""))&lt;&gt;"","BLU","")</f>
        <v/>
      </c>
      <c r="HR10" s="48" t="str" cm="1">
        <f t="array" ref="HR10">IF(_xlfn.TEXTJOIN(", ", TRUE, IF(ISNUMBER(SEARCH("GRE", BL10:BT10)), COLUMN(BL10:BT10) - COLUMN(BL10) + 1, ""))&lt;&gt;"","GRE","")</f>
        <v>GRE</v>
      </c>
      <c r="HS10" s="48" t="str" cm="1">
        <f t="array" ref="HS10">IF(_xlfn.TEXTJOIN(", ", TRUE, IF(ISNUMBER(SEARCH("RED", BL10:BT10)), COLUMN(BL10:BT10) - COLUMN(BL10) + 1, ""))&lt;&gt;"","RED","")</f>
        <v>RED</v>
      </c>
      <c r="HT10" s="48" t="str" cm="1">
        <f t="array" ref="HT10">IF(_xlfn.TEXTJOIN(", ", TRUE, IF(ISNUMBER(SEARCH("YEL", BL10:BT10)), COLUMN(BL10:BT10) - COLUMN(BL10) + 1, ""))&lt;&gt;"","YEL","")</f>
        <v>YEL</v>
      </c>
      <c r="HU10" s="48" t="str" cm="1">
        <f t="array" ref="HU10">IF(_xlfn.TEXTJOIN(", ", TRUE, IF(ISNUMBER(SEARCH("ORA", BL10:BT10)), COLUMN(BL10:BT10) - COLUMN(BL10) + 1, ""))&lt;&gt;"","ORA","")</f>
        <v/>
      </c>
      <c r="HV10" s="48" t="str" cm="1">
        <f t="array" ref="HV10">IF(_xlfn.TEXTJOIN(", ", TRUE, IF(ISNUMBER(SEARCH("BRO", BL10:BT10)), COLUMN(BL10:BT10) - COLUMN(BL10) + 1, ""))&lt;&gt;"","BRO","")</f>
        <v/>
      </c>
      <c r="HW10" s="48" t="str" cm="1">
        <f t="array" ref="HW10">IF(_xlfn.TEXTJOIN(", ", TRUE, IF(ISNUMBER(SEARCH("PUR", BL10:BT10)), COLUMN(BL10:BT10) - COLUMN(BL10) + 1, ""))&lt;&gt;"","PUR","")</f>
        <v/>
      </c>
      <c r="HX10" s="48" t="str" cm="1">
        <f t="array" ref="HX10">IF(_xlfn.TEXTJOIN(", ", TRUE, IF(ISNUMBER(SEARCH("WHI", BL10:BT10)), COLUMN(BL10:BT10) - COLUMN(BL10) + 1, ""))&lt;&gt;"","WHI","")</f>
        <v>WHI</v>
      </c>
      <c r="HY10" s="76"/>
      <c r="HZ10" s="76"/>
      <c r="IA10" s="6"/>
      <c r="IB10" s="6"/>
      <c r="IC10" s="77"/>
      <c r="ID10" s="77"/>
      <c r="IE10" s="77"/>
      <c r="IF10" s="77"/>
      <c r="IG10" s="77"/>
      <c r="IH10" s="77"/>
      <c r="II10" s="77"/>
      <c r="IJ10" s="77"/>
      <c r="IK10" s="77"/>
      <c r="IM10" s="45">
        <f>COUNTIF(IC10:IK10,"&gt;0")-CG10</f>
        <v>-4</v>
      </c>
      <c r="IN10" s="78" t="str">
        <f>"http://mkweb.bcgsc.ca/color-summarizer/?url="&amp;D10&amp;"&amp;precision=low&amp;num_clusters="&amp;CG10&amp;"&amp;text=1"</f>
        <v>http://mkweb.bcgsc.ca/color-summarizer/?url=https://upload.wikimedia.org/wikipedia/commons/thumb/4/45/Flag_of_Ngaraard_State.svg/640px-Flag_of_Ngaraard_State.svg.png&amp;precision=low&amp;num_clusters=4&amp;text=1</v>
      </c>
      <c r="IO10" s="48" t="str">
        <f>IF(HP10&lt;&gt;"",CHAR(34)&amp;"black"&amp;CHAR(34),"")</f>
        <v/>
      </c>
      <c r="IP10" s="48" t="str">
        <f>IF(HQ10&lt;&gt;"",CHAR(34)&amp;"blue"&amp;CHAR(34),"")</f>
        <v/>
      </c>
      <c r="IQ10" s="48" t="str">
        <f>IF(HR10&lt;&gt;"",CHAR(34)&amp;"green"&amp;CHAR(34),"")</f>
        <v>"green"</v>
      </c>
      <c r="IR10" s="48" t="str">
        <f>IF(HS10&lt;&gt;"",CHAR(34)&amp;"red"&amp;CHAR(34),"")</f>
        <v>"red"</v>
      </c>
      <c r="IS10" s="48" t="str">
        <f>IF(HT10&lt;&gt;"",CHAR(34)&amp;"yellow"&amp;CHAR(34),"")</f>
        <v>"yellow"</v>
      </c>
      <c r="IT10" s="48" t="str">
        <f>IF(HU10&lt;&gt;"",CHAR(34)&amp;"orange"&amp;CHAR(34),"")</f>
        <v/>
      </c>
      <c r="IU10" s="48" t="str">
        <f>IF(HV10&lt;&gt;"",CHAR(34)&amp;"brown"&amp;CHAR(34),"")</f>
        <v/>
      </c>
      <c r="IV10" s="48" t="str">
        <f>IF(HW10&lt;&gt;"",CHAR(34)&amp;"purple"&amp;CHAR(34),"")</f>
        <v/>
      </c>
      <c r="IW10" s="48" t="str">
        <f>IF(HX10&lt;&gt;"",CHAR(34)&amp;"white"&amp;CHAR(34),"")</f>
        <v>"white"</v>
      </c>
      <c r="IX10" s="48" t="str">
        <f>"{"&amp;CHAR(34)&amp;"url"&amp;CHAR(34)&amp;":"&amp;CHAR(34)&amp;IN10&amp;CHAR(34)&amp;","&amp;CHAR(34)&amp;"name"&amp;CHAR(34)&amp;":"&amp;CHAR(34)&amp;A10&amp;CHAR(34)&amp;"},"</f>
        <v>{"url":"http://mkweb.bcgsc.ca/color-summarizer/?url=https://upload.wikimedia.org/wikipedia/commons/thumb/4/45/Flag_of_Ngaraard_State.svg/640px-Flag_of_Ngaraard_State.svg.png&amp;precision=low&amp;num_clusters=4&amp;text=1","name":"[PAU] Ngaraard"},</v>
      </c>
      <c r="IY10" s="48">
        <v>1503</v>
      </c>
    </row>
    <row r="11" spans="1:259" s="48" customFormat="1" ht="38.4" customHeight="1" thickBot="1" x14ac:dyDescent="0.35">
      <c r="A11" s="79" t="s">
        <v>544</v>
      </c>
      <c r="B11" s="40" t="e" vm="99">
        <v>#VALUE!</v>
      </c>
      <c r="C11" s="41">
        <v>2</v>
      </c>
      <c r="D11" s="42" t="s">
        <v>545</v>
      </c>
      <c r="E11" s="43" t="s">
        <v>546</v>
      </c>
      <c r="F11" s="44" t="s">
        <v>166</v>
      </c>
      <c r="G11" s="45">
        <f>COUNTIF($A$1:$A$8249,A11)</f>
        <v>1</v>
      </c>
      <c r="H11" s="46"/>
      <c r="I11" s="47" t="s">
        <v>542</v>
      </c>
      <c r="J11" s="48" t="str">
        <f>""</f>
        <v/>
      </c>
      <c r="K11" s="49"/>
      <c r="L11" s="50"/>
      <c r="M11" s="50"/>
      <c r="N11" s="51" t="s">
        <v>169</v>
      </c>
      <c r="O11" s="52">
        <v>2008</v>
      </c>
      <c r="P11" s="53" t="s">
        <v>547</v>
      </c>
      <c r="Q11" s="54">
        <v>1</v>
      </c>
      <c r="R11" s="55" t="s">
        <v>169</v>
      </c>
      <c r="S11" s="56">
        <v>7</v>
      </c>
      <c r="T11" s="57" t="s">
        <v>173</v>
      </c>
      <c r="U11" s="58" t="s">
        <v>173</v>
      </c>
      <c r="V11" s="58" t="s">
        <v>172</v>
      </c>
      <c r="W11" s="58" t="s">
        <v>173</v>
      </c>
      <c r="X11" s="58" t="s">
        <v>172</v>
      </c>
      <c r="Y11" s="58" t="s">
        <v>173</v>
      </c>
      <c r="Z11" s="58" t="s">
        <v>173</v>
      </c>
      <c r="AA11" s="58" t="s">
        <v>173</v>
      </c>
      <c r="AB11" s="58" t="s">
        <v>173</v>
      </c>
      <c r="AC11" s="58" t="s">
        <v>173</v>
      </c>
      <c r="AD11" s="58" t="s">
        <v>173</v>
      </c>
      <c r="AE11" s="58" t="s">
        <v>173</v>
      </c>
      <c r="AF11" s="59" t="s">
        <v>173</v>
      </c>
      <c r="AG11" s="59" t="s">
        <v>172</v>
      </c>
      <c r="AH11" s="59" t="s">
        <v>172</v>
      </c>
      <c r="AI11" s="59" t="s">
        <v>173</v>
      </c>
      <c r="AJ11" s="59" t="s">
        <v>173</v>
      </c>
      <c r="AK11" s="59" t="s">
        <v>173</v>
      </c>
      <c r="AL11" s="59" t="s">
        <v>173</v>
      </c>
      <c r="AM11" s="59" t="s">
        <v>173</v>
      </c>
      <c r="AN11" s="59" t="s">
        <v>173</v>
      </c>
      <c r="AO11" s="59" t="s">
        <v>173</v>
      </c>
      <c r="AP11" s="59" t="s">
        <v>173</v>
      </c>
      <c r="AQ11" s="59" t="s">
        <v>173</v>
      </c>
      <c r="AR11" s="59" t="s">
        <v>172</v>
      </c>
      <c r="AS11" s="59" t="s">
        <v>173</v>
      </c>
      <c r="AT11" s="60">
        <v>8</v>
      </c>
      <c r="AU11" s="59" t="s">
        <v>363</v>
      </c>
      <c r="AV11" s="59" t="str">
        <f>IF(LEFT(A11,1)="[",LEFT(A11,5)&amp;AU11&amp;A11,"")</f>
        <v>[PAU]State[PAU] Ngarchelong</v>
      </c>
      <c r="AW11" s="59" t="str">
        <f>C11&amp;H11&amp;A11</f>
        <v>2[PAU] Ngarchelong</v>
      </c>
      <c r="AX11" s="61" t="str">
        <f>_xlfn.TEXTJOIN(";",TRUE,AU11:AW11)</f>
        <v>State;[PAU]State[PAU] Ngarchelong;2[PAU] Ngarchelong</v>
      </c>
      <c r="AY11" s="61"/>
      <c r="AZ11" s="62" t="s">
        <v>159</v>
      </c>
      <c r="BA11" s="62"/>
      <c r="BB11" s="62"/>
      <c r="BC11" s="63"/>
      <c r="BD11" s="64" t="s">
        <v>153</v>
      </c>
      <c r="BE11" s="47"/>
      <c r="BF11" s="64"/>
      <c r="BG11" s="64"/>
      <c r="BH11" s="64"/>
      <c r="BI11" s="64"/>
      <c r="BJ11" s="64"/>
      <c r="BK11" s="47"/>
      <c r="BL11" s="64" t="s">
        <v>153</v>
      </c>
      <c r="BM11" s="64" t="s">
        <v>155</v>
      </c>
      <c r="BN11" s="64" t="s">
        <v>152</v>
      </c>
      <c r="BO11" s="64" t="s">
        <v>159</v>
      </c>
      <c r="BP11" s="64"/>
      <c r="BQ11" s="64"/>
      <c r="BR11" s="64"/>
      <c r="BS11" s="64"/>
      <c r="BT11" s="64"/>
      <c r="BU11" s="65"/>
      <c r="BV11" s="66" t="s">
        <v>173</v>
      </c>
      <c r="BW11" s="66">
        <v>0</v>
      </c>
      <c r="BX11" s="47"/>
      <c r="BY11" s="48" t="s">
        <v>173</v>
      </c>
      <c r="CB11" s="6" t="s">
        <v>139</v>
      </c>
      <c r="CC11" s="6"/>
      <c r="CD11" s="67">
        <v>1</v>
      </c>
      <c r="CE11" s="67">
        <v>0</v>
      </c>
      <c r="CF11" s="67" t="e">
        <v>#REF!</v>
      </c>
      <c r="CG11" s="68" cm="1">
        <f t="array" ref="CG11">SUMPRODUCT(--(LEN(TRIM(BL11:BT11))&gt;0))</f>
        <v>4</v>
      </c>
      <c r="CH11" s="59" t="str">
        <f t="shared" ref="CH11" si="94">IF(CG11=2,"y","n")</f>
        <v>n</v>
      </c>
      <c r="CI11" s="59" t="str">
        <f t="shared" ref="CI11" si="95">IF(CG11=3,"y","n")</f>
        <v>n</v>
      </c>
      <c r="CJ11" s="59" t="str">
        <f t="shared" ref="CJ11" si="96">IF(CG11=4,"y","n")</f>
        <v>y</v>
      </c>
      <c r="CK11" s="59" t="str">
        <f t="shared" ref="CK11" si="97">IF(CG11&gt;4,"y","n")</f>
        <v>n</v>
      </c>
      <c r="CL11" s="59" t="str">
        <f t="shared" ref="CL11" si="98">IF(S11=0,"y","n")</f>
        <v>n</v>
      </c>
      <c r="CM11" s="59" t="str">
        <f t="shared" ref="CM11" si="99">IF(S11=2,"y","n")</f>
        <v>n</v>
      </c>
      <c r="CN11" s="59" t="str">
        <f t="shared" ref="CN11" si="100">IF(S11=3,"y","n")</f>
        <v>n</v>
      </c>
      <c r="CO11" s="59" t="str">
        <f t="shared" ref="CO11" si="101">IF(S11&gt;=4,"y","n")</f>
        <v>y</v>
      </c>
      <c r="CP11" s="59" t="str">
        <f t="shared" ref="CP11" si="102">IF(AT11=0,"y","n")</f>
        <v>n</v>
      </c>
      <c r="CQ11" s="59" t="str">
        <f t="shared" ref="CQ11" si="103">IF(AT11=1,"y","n")</f>
        <v>n</v>
      </c>
      <c r="CR11" s="59" t="str">
        <f t="shared" ref="CR11" si="104">IF(AT11=2,"y","n")</f>
        <v>n</v>
      </c>
      <c r="CS11" s="59" t="str">
        <f t="shared" ref="CS11" si="105">IF(AT11&gt;=3,"y","n")</f>
        <v>y</v>
      </c>
      <c r="CT11" s="69" t="str">
        <f t="shared" ref="CT11" si="106">CHAR(34)&amp;A11&amp;CHAR(34)</f>
        <v>"[PAU] Ngarchelong"</v>
      </c>
      <c r="CU11" s="70" t="str">
        <f t="shared" ref="CU11" si="107">CHAR(34)&amp;"rgn_"&amp;R11&amp;CHAR(34)</f>
        <v>"rgn_Oceania"</v>
      </c>
      <c r="CV11" s="48" t="str">
        <f t="shared" ref="CV11" si="108">CHAR(34)&amp;D11&amp;CHAR(34)</f>
        <v>"https://upload.wikimedia.org/wikipedia/commons/thumb/9/9d/Flag_of_Ngarchelong.svg/640px-Flag_of_Ngarchelong.svg.png"</v>
      </c>
      <c r="CW11" s="48" t="str">
        <f t="shared" si="0"/>
        <v/>
      </c>
      <c r="CX11" s="48" t="str">
        <f t="shared" si="0"/>
        <v/>
      </c>
      <c r="CY11" s="48" t="str">
        <f t="shared" si="0"/>
        <v>"4Color",</v>
      </c>
      <c r="CZ11" s="48" t="str">
        <f t="shared" si="0"/>
        <v/>
      </c>
      <c r="DA11" s="48" t="str">
        <f t="shared" ref="DA11" si="109">IF(Q11&gt;1,CHAR(34)&amp;"words2"&amp;CHAR(34)&amp;",","")</f>
        <v/>
      </c>
      <c r="DB11" s="48" t="str">
        <f t="shared" ref="DB11" si="110">IF(Q11&gt;2,CHAR(34)&amp;"words3"&amp;CHAR(34)&amp;",","")</f>
        <v/>
      </c>
      <c r="DC11" s="48" t="str">
        <f t="shared" ref="DC11" si="111">IF(Q11=2,CHAR(34)&amp;"exact2"&amp;CHAR(34)&amp;",","")</f>
        <v/>
      </c>
      <c r="DD11" s="48" t="str">
        <f t="shared" ref="DD11" si="112">IF(LEN(CHAR(34)&amp;"lets"&amp;LEN(SUBSTITUTE(SUBSTITUTE(IFERROR(TRIM(SUBSTITUTE(SUBSTITUTE(SUBSTITUTE(IFERROR(TRIM(SUBSTITUTE(A11,MID(A11,FIND("(",A11),FIND(")",A11)-FIND("(",A11)+1),"")),A11),"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",""),"-",""))&amp;CHAR(34)&amp;",")=9,CHAR(34)&amp;"lets"&amp;LEN(SUBSTITUTE(SUBSTITUTE(IFERROR(TRIM(SUBSTITUTE(SUBSTITUTE(SUBSTITUTE(IFERROR(TRIM(SUBSTITUTE(A11,MID(A11,FIND("(",A11),FIND(")",A11)-FIND("(",A11)+1),"")),A11),"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",""),"-",""))&amp;CHAR(34)&amp;",",CHAR(34)&amp;"lets0"&amp;LEN(SUBSTITUTE(SUBSTITUTE(IFERROR(TRIM(SUBSTITUTE(SUBSTITUTE(SUBSTITUTE(IFERROR(TRIM(SUBSTITUTE(A11,MID(A11,FIND("(",A11),FIND(")",A11)-FIND("(",A11)+1),"")),A11)," ",""),"-",""),MID(SUBSTITUTE(SUBSTITUTE(IFERROR(TRIM(SUBSTITUTE(A11,MID(A11,FIND("(",A11),FIND(")",A11)-FIND("(",A11)+1),"")),A11)," ",""),"-",""),FIND("[",SUBSTITUTE(SUBSTITUTE(IFERROR(TRIM(SUBSTITUTE(A11,MID(A11,FIND("(",A11),FIND(")",A11)-FIND("(",A11)+1),"")),A11)," ",""),"-","")),FIND("]",SUBSTITUTE(SUBSTITUTE(IFERROR(TRIM(SUBSTITUTE(A11,MID(A11,FIND("(",A11),FIND(")",A11)-FIND("(",A11)+1),"")),A11)," ",""),"-",""))-FIND("[",SUBSTITUTE(SUBSTITUTE(IFERROR(TRIM(SUBSTITUTE(A11,MID(A11,FIND("(",A11),FIND(")",A11)-FIND("(",A11)+1),"")),A11)," ",""),"-",""))+1),"")),SUBSTITUTE(SUBSTITUTE(IFERROR(TRIM(SUBSTITUTE(A11,MID(A11,FIND("(",A11),FIND(")",A11)-FIND("(",A11)+1),"")),A11)," ",""),"-",""))," ",""),"-",""))&amp;CHAR(34)&amp;",")</f>
        <v>"lets11",</v>
      </c>
      <c r="DE11" s="48" t="str">
        <f t="shared" ref="DE11" si="113">IFERROR(CHAR(34)&amp;"start"&amp;LEFT(TRIM(SUBSTITUTE(SUBSTITUTE(TRIM(SUBSTITUTE(SUBSTITUTE(A11, MID(A11, FIND("[", A11), FIND("]", A11) - FIND("[", A11) + 1), ""), "  ", " ")), MID(TRIM(SUBSTITUTE(SUBSTITUTE(A11, MID(A11, FIND("[", A11), FIND("]", A11) - FIND("[", A11) + 1), ""), "  ", " ")), FIND("[", TRIM(SUBSTITUTE(SUBSTITUTE(A11, MID(A11, FIND("[", A11), FIND("]", A11) - FIND("[", A11) + 1), ""), "  ", " "))), FIND("]", TRIM(SUBSTITUTE(SUBSTITUTE(A11, MID(A11, FIND("[", A11), FIND("]", A11) - FIND("[", A11) + 1), ""), "  ", " "))) - FIND("[", TRIM(SUBSTITUTE(SUBSTITUTE(A11, MID(A11, FIND("[", A11), FIND("]", A11) - FIND("[", A11) + 1), ""), "  ", " "))) + 1), ""), "  ", " ")),1)&amp;CHAR(34)&amp;",",CHAR(34)&amp;"start"&amp;IFERROR(LEFT(SUBSTITUTE(A11,"["&amp;MID(A11,FIND("[",A11)+1,FIND("]",A11)-FIND("[",A11)-1)&amp;"] ",""),1),LEFT(A11,1))&amp;CHAR(34)&amp;",")</f>
        <v>"startN",</v>
      </c>
      <c r="DF11" s="48" t="str">
        <f t="shared" ref="DF11" si="114">IFERROR(IF(SEARCH("tan",A11)&gt;0,CHAR(34)&amp;"withtn"&amp;CHAR(34)&amp;",",""),"")</f>
        <v/>
      </c>
      <c r="DG11" s="48" t="str">
        <f t="shared" ref="DG11" si="115">IFERROR(IF(SEARCH("q",A11)&gt;0,CHAR(34)&amp;"with_q"&amp;CHAR(34)&amp;",",""),"")</f>
        <v/>
      </c>
      <c r="DH11" s="48" t="str">
        <f t="shared" ref="DH11" si="116">IFERROR(IF(SEARCH("v",A11)&gt;0,CHAR(34)&amp;"with_v"&amp;CHAR(34)&amp;",",""),"")</f>
        <v/>
      </c>
      <c r="DI11" s="48" t="str">
        <f t="shared" ref="DI11" si="117">IFERROR(IF(SEARCH("w",A11)&gt;0,CHAR(34)&amp;"with_w"&amp;CHAR(34)&amp;",",""),"")</f>
        <v/>
      </c>
      <c r="DJ11" s="48" t="str">
        <f t="shared" ref="DJ11" si="118">IFERROR(IF(SEARCH("y",A11)&gt;0,CHAR(34)&amp;"with_y"&amp;CHAR(34)&amp;",",""),"")</f>
        <v/>
      </c>
      <c r="DK11" s="48" t="str">
        <f t="shared" ref="DK11" si="119">IFERROR(IF(SEARCH("z",A11)&gt;0,CHAR(34)&amp;"with_z"&amp;CHAR(34)&amp;",",""),"")</f>
        <v/>
      </c>
      <c r="DL11" s="48" t="str">
        <f t="shared" ref="DL11" si="120">IF(CG11=2, CHAR(34) &amp; _xlfn.TEXTJOIN("", TRUE, _xlfn._xlws.SORT(HP11:HX11)) &amp; CHAR(34) &amp; ",", "")</f>
        <v/>
      </c>
      <c r="DM11" s="48" t="str" cm="1">
        <f t="array" ref="DM11">IF(CG11=3,CHAR(34) &amp; _xlfn.TEXTJOIN("", TRUE, RIGHT(HP11:HX11, 2)) &amp; CHAR(34) &amp; ",", "")</f>
        <v/>
      </c>
      <c r="DN11" s="48" t="str">
        <f t="shared" ref="DN11" si="121">IF(AND(ISNUMBER(SEARCH("18", O11)), ISERROR(SEARCH("1918", O11)), ISERROR(SEARCH("2018", O11))), CHAR(34) &amp; "year18" &amp; CHAR(34) &amp; ",", "")</f>
        <v/>
      </c>
      <c r="DO11" s="48" t="str">
        <f t="shared" ref="DO11" si="122">IF(AND(ISNUMBER(SEARCH("19", O11)), ISERROR(SEARCH("1819", O11)),  ISERROR(SEARCH("1219", O11)),ISERROR(SEARCH("1119", O11)),ISERROR(SEARCH("1190", O11)),ISERROR(SEARCH("2019", O11))), CHAR(34) &amp; "year19" &amp; CHAR(34) &amp; ",", "")</f>
        <v/>
      </c>
      <c r="DP11" s="6" t="str">
        <f t="shared" ref="DP11" si="123">IF(AND(ISNUMBER(SEARCH("20", O11)), ISERROR(SEARCH("1920", O11))), CHAR(34)&amp;"year00"&amp;CHAR(34)&amp;",", "")</f>
        <v>"year00",</v>
      </c>
      <c r="DQ11" s="6" t="str">
        <f t="shared" ref="DQ11" si="124">IF(CC11="y",CHAR(34)&amp;"soviet"&amp;CHAR(34)&amp;",","")</f>
        <v/>
      </c>
      <c r="DR11" s="6" t="str">
        <f t="shared" ref="DR11" si="125">IF(BY11="y",CHAR(34)&amp;"dgband"&amp;CHAR(34)&amp;",","")</f>
        <v/>
      </c>
      <c r="DS11" s="6" t="str">
        <f t="shared" ref="DS11" si="126">IF(W11="y",IF(AND(V11="n",BY11&lt;&gt;"y"),CHAR(34)&amp;"allver"&amp;CHAR(34)&amp;",",""),"")</f>
        <v/>
      </c>
      <c r="DT11" s="6" t="str">
        <f t="shared" ref="DT11" si="127">IF(V11="y",IF(AND(W11="n",BY11&lt;&gt;"y"),CHAR(34)&amp;"allhor"&amp;CHAR(34)&amp;",",""),"")</f>
        <v>"allhor",</v>
      </c>
      <c r="DU11" s="6" t="str">
        <f t="shared" ref="DU11" si="128">IF(BY11="y",IF(AND(W11="n",V11="n"),CHAR(34)&amp;"alldia"&amp;CHAR(34)&amp;",",""),"")</f>
        <v/>
      </c>
      <c r="DV11" s="48" t="str">
        <f t="shared" ref="DV11" si="129">IF(IA11&lt;&gt;"",(IF(IA11="y",CHAR(34)&amp;"largec"&amp;CHAR(34)&amp;",",CHAR(34)&amp;"smallc"&amp;CHAR(34)&amp;",")),"")</f>
        <v/>
      </c>
      <c r="DW11" s="48" t="str">
        <f t="shared" si="1"/>
        <v/>
      </c>
      <c r="DX11" s="48" t="str">
        <f t="shared" si="1"/>
        <v/>
      </c>
      <c r="DY11" s="48" t="str">
        <f t="shared" si="1"/>
        <v/>
      </c>
      <c r="DZ11" s="48" t="str">
        <f t="shared" si="1"/>
        <v>"4+Band",</v>
      </c>
      <c r="EA11" s="48" t="str">
        <f t="shared" si="2"/>
        <v/>
      </c>
      <c r="EB11" s="48" t="str">
        <f t="shared" si="2"/>
        <v/>
      </c>
      <c r="EC11" s="48" t="str">
        <f t="shared" si="2"/>
        <v>"Horizo",</v>
      </c>
      <c r="ED11" s="48" t="str">
        <f t="shared" si="2"/>
        <v/>
      </c>
      <c r="EE11" s="48" t="str">
        <f t="shared" si="2"/>
        <v>"Circle",</v>
      </c>
      <c r="EF11" s="48" t="str">
        <f t="shared" ref="EF11" si="130">IF(AND(Y11&lt;&gt;"n",Y11&lt;&gt;""),CHAR(34)&amp;Y$1&amp;CHAR(34)&amp;",","")</f>
        <v/>
      </c>
      <c r="EG11" s="48" t="str">
        <f t="shared" si="3"/>
        <v/>
      </c>
      <c r="EH11" s="48" t="str">
        <f t="shared" si="3"/>
        <v/>
      </c>
      <c r="EI11" s="48" t="str">
        <f t="shared" si="3"/>
        <v/>
      </c>
      <c r="EJ11" s="48" t="str">
        <f t="shared" si="3"/>
        <v/>
      </c>
      <c r="EK11" s="48" t="str">
        <f t="shared" si="3"/>
        <v/>
      </c>
      <c r="EL11" s="48" t="str">
        <f t="shared" si="3"/>
        <v/>
      </c>
      <c r="EM11" s="48" t="str">
        <f t="shared" si="3"/>
        <v/>
      </c>
      <c r="EN11" s="48" t="str">
        <f t="shared" si="3"/>
        <v>"Unequa",</v>
      </c>
      <c r="EO11" s="48" t="str">
        <f t="shared" si="3"/>
        <v>"Center",</v>
      </c>
      <c r="EP11" s="48" t="str">
        <f t="shared" si="3"/>
        <v/>
      </c>
      <c r="EQ11" s="48" t="str">
        <f t="shared" si="3"/>
        <v/>
      </c>
      <c r="ER11" s="48" t="str">
        <f t="shared" si="3"/>
        <v/>
      </c>
      <c r="ES11" s="48" t="str">
        <f t="shared" si="3"/>
        <v/>
      </c>
      <c r="ET11" s="48" t="str">
        <f t="shared" si="3"/>
        <v/>
      </c>
      <c r="EU11" s="48" t="str">
        <f t="shared" si="3"/>
        <v/>
      </c>
      <c r="EV11" s="48" t="str">
        <f t="shared" si="3"/>
        <v/>
      </c>
      <c r="EW11" s="48" t="str">
        <f t="shared" si="3"/>
        <v/>
      </c>
      <c r="EX11" s="48" t="str">
        <f t="shared" si="3"/>
        <v/>
      </c>
      <c r="EY11" s="48" t="str">
        <f t="shared" si="3"/>
        <v>"Rotate",</v>
      </c>
      <c r="EZ11" s="48" t="str">
        <f t="shared" si="3"/>
        <v/>
      </c>
      <c r="FA11" s="48" t="str">
        <f t="shared" ref="FA11" si="131">IF(AT11&gt;0,CHAR(34)&amp;"sta"&amp;AZ11&amp;CHAR(34)&amp;",","")</f>
        <v>"staWHI",</v>
      </c>
      <c r="FB11" s="48" t="str">
        <f t="shared" ref="FB11" si="132">IF(AND(AT11&gt;0,BA11&lt;&gt;""),CHAR(34)&amp;"sta"&amp;BA11&amp;CHAR(34)&amp;",","")</f>
        <v/>
      </c>
      <c r="FC11" s="48" t="str">
        <f t="shared" ref="FC11" si="133">IF(AND(AT11&gt;0,BB11&lt;&gt;""),CHAR(34)&amp;"sta"&amp;BB11&amp;CHAR(34)&amp;",","")</f>
        <v/>
      </c>
      <c r="FD11" s="48" t="str">
        <f t="shared" ref="FD11" si="134">IF(BV11="n",CHAR(34)&amp;"tcWHYE"&amp;CHAR(34)&amp;",",IF(BV11="y",CHAR(34)&amp;FD$1&amp;CHAR(34)&amp;",",""))</f>
        <v>"tcWHYE",</v>
      </c>
      <c r="FE11" s="48" t="str">
        <f t="shared" ref="FE11" si="135">IF(COUNTIF(BL11:BT11,"BLU")=0,CHAR(34)&amp;"NO_BLU"&amp;CHAR(34)&amp;",", "")</f>
        <v/>
      </c>
      <c r="FF11" s="48" t="str">
        <f t="shared" ref="FF11" si="136">IF(COUNTIF(BL11:BT11,"WHI")=0,CHAR(34)&amp;"NO_WHI"&amp;CHAR(34)&amp;",", "")</f>
        <v/>
      </c>
      <c r="FG11" s="48" t="str">
        <f t="shared" ref="FG11" si="137">IF(COUNTIF(BL11:BT11,"RED")=0,CHAR(34)&amp;"NO_RED"&amp;CHAR(34)&amp;",", "")</f>
        <v>"NO_RED",</v>
      </c>
      <c r="FH11" s="48" t="str">
        <f t="shared" ref="FH11" si="138">IF(COUNTIF(BL11:BS11,"GRE")=0,CHAR(34)&amp;"NO_GRE"&amp;CHAR(34)&amp;",", "")</f>
        <v/>
      </c>
      <c r="FI11" s="48" t="str">
        <f t="shared" ref="FI11" si="139">IF(COUNTIF(BL11:BT11,"YEL")=0,CHAR(34)&amp;"NO_YEL"&amp;CHAR(34)&amp;",", "")</f>
        <v/>
      </c>
      <c r="FJ11" s="48" t="str">
        <f t="shared" ref="FJ11" si="140">IF(COUNTIF(BL11:BT11,"BLA")=0,CHAR(34)&amp;"NO_BLA"&amp;CHAR(34)&amp;",", "")</f>
        <v>"NO_BLA",</v>
      </c>
      <c r="FK11" s="48" t="str">
        <f t="shared" ref="FK11" si="141">IF(AND(FH11&lt;&gt;"",FF11&lt;&gt;""),CHAR(34)&amp;"WHGRNO"&amp;CHAR(34)&amp;",","")</f>
        <v/>
      </c>
      <c r="FL11" s="48" t="str">
        <f t="shared" ref="FL11" si="142">IF(AND(FI11&lt;&gt;"",FF11&lt;&gt;""),CHAR(34)&amp;"WHYENO"&amp;CHAR(34)&amp;",","")</f>
        <v/>
      </c>
      <c r="FM11" s="48" t="str">
        <f t="shared" ref="FM11" si="143">IF(AND(FJ11&lt;&gt;"",FF11&lt;&gt;""),CHAR(34)&amp;"BAWHNO"&amp;CHAR(34)&amp;",","")</f>
        <v/>
      </c>
      <c r="FN11" s="48" t="str">
        <f t="shared" ref="FN11" si="144">IF(AND(FE11&lt;&gt;"",FF11&lt;&gt;""),CHAR(34)&amp;"BLWHNO"&amp;CHAR(34)&amp;",","")</f>
        <v/>
      </c>
      <c r="FO11" s="48" t="str">
        <f t="shared" ref="FO11" si="145">IF(AND(FE11&lt;&gt;"",FG11&lt;&gt;""),CHAR(34)&amp;"BLRENO"&amp;CHAR(34)&amp;",","")</f>
        <v/>
      </c>
      <c r="FP11" s="48" t="str">
        <f t="shared" ref="FP11" si="146">IF(AND(FF11&lt;&gt;"",FF11&lt;&gt;""),CHAR(34)&amp;"WHRENO"&amp;CHAR(34)&amp;",","")</f>
        <v/>
      </c>
      <c r="FQ11" s="48" t="str">
        <f t="shared" ref="FQ11" si="147">IF(LEN(BF11)=3,CHAR(34)&amp;"001"&amp;BF11&amp;CHAR(34)&amp;",","")</f>
        <v/>
      </c>
      <c r="FR11" s="48" t="str">
        <f t="shared" ref="FR11" si="148">IF(LEN(BG11)=3,CHAR(34)&amp;"002"&amp;BG11&amp;CHAR(34)&amp;",","")</f>
        <v/>
      </c>
      <c r="FS11" s="48" t="str">
        <f t="shared" ref="FS11" si="149">IF(LEN(BH11)=3,CHAR(34)&amp;"003"&amp;BH11&amp;CHAR(34)&amp;",","")</f>
        <v/>
      </c>
      <c r="FT11" s="48" t="str">
        <f t="shared" ref="FT11" si="150">CHAR(34)&amp;"myr"&amp;BD11&amp;CHAR(34)&amp;","</f>
        <v>"myrGRE",</v>
      </c>
      <c r="FU11" s="48" t="str">
        <f t="shared" ref="FU11" si="151">IF(AY11="y",CHAR(34)&amp;"island"&amp;CHAR(34)&amp;",","")</f>
        <v/>
      </c>
      <c r="FV11" s="48" t="str">
        <f t="shared" ref="FV11" si="152">IF(BZ11="y",CHAR(34)&amp;"landlo"&amp;CHAR(34)&amp;",","")</f>
        <v/>
      </c>
      <c r="FW11" s="48" t="str">
        <f t="shared" ref="FW11" si="153">IF(CA11="y",CHAR(34)&amp;"eunion"&amp;CHAR(34)&amp;",","")</f>
        <v/>
      </c>
      <c r="FX11" s="48" t="str">
        <f t="shared" ref="FX11" si="154">SUBSTITUTE(IFERROR(SEARCH("[",A11),IFERROR(IF(AND(CA11&lt;&gt;"y",SEARCH("Europe",R11)&gt;0),CHAR(34)&amp;"noeuni"&amp;CHAR(34)&amp;",",""),"")),"1","")</f>
        <v/>
      </c>
      <c r="FY11" s="48" t="str">
        <f t="shared" ref="FY11" si="155">IFERROR(IF(SEARCH("Arabic",CB11)&gt;0,CHAR(34)&amp;"arabic"&amp;CHAR(34)&amp;",",""),"")</f>
        <v/>
      </c>
      <c r="FZ11" s="48" t="str">
        <f t="shared" ref="FZ11" si="156">IFERROR(IF(SEARCH("English",CB11)&gt;0,CHAR(34)&amp;"englis"&amp;CHAR(34)&amp;",",""),"")</f>
        <v/>
      </c>
      <c r="GA11" s="48" t="str">
        <f t="shared" ref="GA11" si="157">IFERROR(IF(SEARCH("French",CB11)&gt;0,CHAR(34)&amp;"french"&amp;CHAR(34)&amp;",",""),"")</f>
        <v/>
      </c>
      <c r="GB11" s="48" t="str">
        <f t="shared" ref="GB11" si="158">IFERROR(IF(SEARCH("Spanish",CB11)&gt;0,CHAR(34)&amp;"spanis"&amp;CHAR(34)&amp;",",""),"")</f>
        <v/>
      </c>
      <c r="GC11" s="48" t="str">
        <f t="shared" ref="GC11" si="159">IFERROR(IF(SEARCH("Portuguese",CB11)&gt;0,CHAR(34)&amp;"portug"&amp;CHAR(34)&amp;",",""),"")</f>
        <v>"portug",</v>
      </c>
      <c r="GD11" s="48" t="str">
        <f t="shared" ref="GD11" si="160">IFERROR(IF(SEARCH("German",CB11)&gt;0,CHAR(34)&amp;"german"&amp;CHAR(34)&amp;",",""),"")</f>
        <v/>
      </c>
      <c r="GE11" s="48" t="str">
        <f t="shared" ref="GE11" si="161">IFERROR(IF(SEARCH("Dutch",CB11)&gt;0,CHAR(34)&amp;"dutchs"&amp;CHAR(34)&amp;",",""),"")</f>
        <v/>
      </c>
      <c r="GF11" s="48" t="str">
        <f>IFERROR(IF(SEARCH("Histor",AU11)&gt;0,CHAR(34)&amp;"histor"&amp;CHAR(34)&amp;",",""),"")</f>
        <v/>
      </c>
      <c r="GG11" s="48" t="str">
        <f t="shared" ref="GG11" si="162">IF(BU11="y",CHAR(34)&amp;"unjack"&amp;CHAR(34)&amp;",","")</f>
        <v/>
      </c>
      <c r="GH11" s="48" t="str">
        <f t="shared" ref="GH11" si="163">IF(CD11=1,CHAR(34)&amp;"southc"&amp;CHAR(34)&amp;",","")</f>
        <v>"southc",</v>
      </c>
      <c r="GI11" s="48" t="str">
        <f t="shared" ref="GI11" si="164">IF(CE11=1,CHAR(34)&amp;"hasmap"&amp;CHAR(34)&amp;",","")</f>
        <v/>
      </c>
      <c r="GJ11" s="48" t="str">
        <f t="shared" ref="GJ11" si="165">IF(CP11="y",CHAR(34)&amp;CP$1&amp;CHAR(34)&amp;",","")</f>
        <v/>
      </c>
      <c r="GK11" s="48" t="str">
        <f t="shared" ref="GK11" si="166">IF(GJ11="",CHAR(34)&amp;"HasSta"&amp;CHAR(34)&amp;",","")</f>
        <v>"HasSta",</v>
      </c>
      <c r="GL11" s="48" t="str">
        <f t="shared" si="4"/>
        <v/>
      </c>
      <c r="GM11" s="48" t="str">
        <f t="shared" si="4"/>
        <v/>
      </c>
      <c r="GN11" s="48" t="str">
        <f t="shared" si="4"/>
        <v>"3+Star",</v>
      </c>
      <c r="GP11" s="48" t="str">
        <f t="shared" ref="GP11" si="167">CHAR(34)&amp;AU11&amp;CHAR(34)</f>
        <v>"State"</v>
      </c>
      <c r="GS11" s="48" t="str">
        <f t="shared" ref="GS11" si="168">SUBSTITUTE("["&amp;_xlfn.CONCAT(CW11:GN11)&amp;"]",",]","]")</f>
        <v>["4Color","lets11","startN","year00","allhor","4+Band","Horizo","Circle","Unequa","Center","Rotate","staWHI","tcWHYE","NO_RED","NO_BLA","myrGRE","portug","southc","HasSta","3+Star"]</v>
      </c>
      <c r="GT11" s="48" t="str">
        <f t="shared" si="5"/>
        <v>"cl_GRE",</v>
      </c>
      <c r="GU11" s="48" t="str">
        <f t="shared" si="5"/>
        <v>"cl_YEL",</v>
      </c>
      <c r="GV11" s="48" t="str">
        <f t="shared" si="5"/>
        <v>"cl_BLU",</v>
      </c>
      <c r="GW11" s="48" t="str">
        <f t="shared" si="5"/>
        <v>"cl_WHI",</v>
      </c>
      <c r="GX11" s="48" t="str">
        <f t="shared" si="5"/>
        <v/>
      </c>
      <c r="GY11" s="48" t="str">
        <f t="shared" si="5"/>
        <v/>
      </c>
      <c r="GZ11" s="48" t="str">
        <f t="shared" si="5"/>
        <v/>
      </c>
      <c r="HA11" s="48" t="str">
        <f t="shared" si="5"/>
        <v/>
      </c>
      <c r="HB11" s="48" t="str">
        <f t="shared" si="5"/>
        <v/>
      </c>
      <c r="HC11" s="48" t="str">
        <f t="shared" ref="HC11" si="169">SUBSTITUTE("["&amp;_xlfn.CONCAT(GT11:HB11)&amp;"]",",]","]")</f>
        <v>["cl_GRE","cl_YEL","cl_BLU","cl_WHI"]</v>
      </c>
      <c r="HE11" s="71"/>
      <c r="HF11" s="72" t="str">
        <f t="shared" ref="HF11" si="170">"{couname:"&amp;CT11&amp;(IF(HK11&lt;&gt;"",",subtype:"&amp;CHAR(34)&amp;HK11&amp;CHAR(34),""))&amp;",year:"&amp;HJ11&amp;",region:"&amp;CU11&amp;",Colors:"&amp;HC11&amp;",Items:"&amp;GS11&amp;",Flag:"&amp;CV11&amp;",HDFlag:"&amp;CHAR(34)&amp;E11&amp;CHAR(34)&amp;",type:"&amp;GP11&amp;", describe: "&amp;HH11&amp;", isnew:"&amp;CHAR(34)&amp;F11&amp;CHAR(34)&amp;", links: "&amp;HL11&amp;"},"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links: "https://en.wikipedia.org/wiki/Flags_of_the_states_of_Palau"},</v>
      </c>
      <c r="HG11" s="73" t="str">
        <f t="shared" ref="HG11" si="171">"{couname:"&amp;CT11&amp;(IF(HK11&lt;&gt;"",",subtype:"&amp;CHAR(34)&amp;HK11&amp;CHAR(34),""))&amp;",year:"&amp;HJ11&amp;",region:"&amp;CU11&amp;",Colors:"&amp;HC11&amp;",Items:"&amp;GS11&amp;",Flag:"&amp;CV11&amp;",HDFlag:"&amp;CHAR(34)&amp;E11&amp;CHAR(34)&amp;",type:"&amp;GP11&amp;", describe: "&amp;HI11&amp;", links: "&amp;HL11&amp;"},"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links: "https://en.wikipedia.org/wiki/Flags_of_the_states_of_Palau"},</v>
      </c>
      <c r="HH11" s="48" t="str">
        <f t="shared" ref="HH11" si="172">IF(P11&lt;&gt;"",CHAR(34)&amp;"\n"&amp;P11&amp;CHAR(34),CHAR(34)&amp;CHAR(34))</f>
        <v>"\nThe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v>
      </c>
      <c r="HI11" s="48" t="str">
        <f t="shared" ref="HI11" si="173">IF(J11=0,CHAR(34)&amp;CHAR(34),HH11)</f>
        <v>"\nThe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v>
      </c>
      <c r="HJ11" s="48" t="str">
        <f t="shared" ref="HJ11" si="174">CHAR(34)&amp;O11&amp;CHAR(34)</f>
        <v>"2008"</v>
      </c>
      <c r="HL11" s="48" t="str">
        <f t="shared" ref="HL11" si="175">CHAR(34)&amp;I11&amp;CHAR(34)</f>
        <v>"https://en.wikipedia.org/wiki/Flags_of_the_states_of_Palau"</v>
      </c>
      <c r="HM11" s="72" t="str">
        <f t="shared" ref="HM11" si="176">"{"&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"&amp;HH11&amp;", "&amp;CHAR(34)&amp;"isnew"&amp;CHAR(34)&amp;": "&amp;CHAR(34)&amp;F11&amp;CHAR(34)&amp;", "&amp;CHAR(34)&amp;"links"&amp;CHAR(34)&amp;": "&amp;HL11&amp;"},"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 "links": "https://en.wikipedia.org/wiki/Flags_of_the_states_of_Palau"},</v>
      </c>
      <c r="HN11" s="74" t="str">
        <f t="shared" ref="HN11" si="177">"{"&amp;CHAR(34)&amp;"couname"&amp;CHAR(34)&amp;":"&amp;CT11&amp;(IF(H11&lt;&gt;"",","&amp;CHAR(34)&amp;"subtype"&amp;CHAR(34)&amp;":"&amp;CHAR(34)&amp;H11&amp;CHAR(34),""))&amp;","&amp;CHAR(34)&amp;"year"&amp;CHAR(34)&amp;":"&amp;HJ11&amp;","&amp;CHAR(34)&amp;"region"&amp;CHAR(34)&amp;":"&amp;CU11&amp;","&amp;CHAR(34)&amp;"Colors"&amp;CHAR(34)&amp;":"&amp;HC11&amp;","&amp;CHAR(34)&amp;"Items"&amp;CHAR(34)&amp;":"&amp;GS11&amp;","&amp;CHAR(34)&amp;"Flag"&amp;CHAR(34)&amp;":"&amp;CV11&amp;","&amp;CHAR(34)&amp;"HDFlag"&amp;CHAR(34)&amp;":"&amp;CHAR(34)&amp;E11&amp;CHAR(34)&amp;","&amp;CHAR(34)&amp;"type"&amp;CHAR(34)&amp;":"&amp;GP11&amp;", "&amp;CHAR(34)&amp;"describe"&amp;CHAR(34)&amp;": "&amp;HI11&amp;", "&amp;CHAR(34)&amp;"isnew"&amp;CHAR(34)&amp;": "&amp;CHAR(34)&amp;F11&amp;CHAR(34)&amp;", "&amp;CHAR(34)&amp;"links"&amp;CHAR(34)&amp;": "&amp;HL11&amp;"},"</f>
        <v>{"couname":"[PAU] Ngarchelong","year":"2008","region":"rgn_Oceania","Colors":["cl_GRE","cl_YEL","cl_BLU","cl_WHI"],"Items":["4Color","lets11","startN","year00","allhor","4+Band","Horizo","Circle","Unequa","Center","Rotate","staWHI","tcWHYE","NO_RED","NO_BLA","myrGRE","portug","southc","HasSta","3+Star"],"Flag":"https://upload.wikimedia.org/wikipedia/commons/thumb/9/9d/Flag_of_Ngarchelong.svg/640px-Flag_of_Ngarchelong.svg.png","HDFlag":"https://upload.wikimedia.org/wikipedia/commons/thumb/9/9d/Flag_of_Ngarchelong.svg/1280px-Flag_of_Ngarchelong.svg.png","type":"State", "describe": "\nThe Flag of Ngarchelong is the seven-striped flag blue and white with a red circle in the center that is 8 stars that symbolizes the today eight municipalities in the state. Blue: represents the love for mankind, peace and prosperity. White: stands for trust peace. Red: stands for perseverance without limitation.", "isnew": ".", "links": "https://en.wikipedia.org/wiki/Flags_of_the_states_of_Palau"},</v>
      </c>
      <c r="HO11" s="75"/>
      <c r="HP11" s="48" t="str" cm="1">
        <f t="array" ref="HP11">IF(_xlfn.TEXTJOIN(", ", TRUE, IF(ISNUMBER(SEARCH("BLA", BL11:BT11)), COLUMN(BL11:BT11) - COLUMN(BL11) + 1, ""))&lt;&gt;"","BLA","")</f>
        <v/>
      </c>
      <c r="HQ11" s="48" t="str" cm="1">
        <f t="array" ref="HQ11">IF(_xlfn.TEXTJOIN(", ", TRUE, IF(ISNUMBER(SEARCH("BLU", BL11:BT11)), COLUMN(BL11:BT11) - COLUMN(BL11) + 1, ""))&lt;&gt;"","BLU","")</f>
        <v>BLU</v>
      </c>
      <c r="HR11" s="48" t="str" cm="1">
        <f t="array" ref="HR11">IF(_xlfn.TEXTJOIN(", ", TRUE, IF(ISNUMBER(SEARCH("GRE", BL11:BT11)), COLUMN(BL11:BT11) - COLUMN(BL11) + 1, ""))&lt;&gt;"","GRE","")</f>
        <v>GRE</v>
      </c>
      <c r="HS11" s="48" t="str" cm="1">
        <f t="array" ref="HS11">IF(_xlfn.TEXTJOIN(", ", TRUE, IF(ISNUMBER(SEARCH("RED", BL11:BT11)), COLUMN(BL11:BT11) - COLUMN(BL11) + 1, ""))&lt;&gt;"","RED","")</f>
        <v/>
      </c>
      <c r="HT11" s="48" t="str" cm="1">
        <f t="array" ref="HT11">IF(_xlfn.TEXTJOIN(", ", TRUE, IF(ISNUMBER(SEARCH("YEL", BL11:BT11)), COLUMN(BL11:BT11) - COLUMN(BL11) + 1, ""))&lt;&gt;"","YEL","")</f>
        <v>YEL</v>
      </c>
      <c r="HU11" s="48" t="str" cm="1">
        <f t="array" ref="HU11">IF(_xlfn.TEXTJOIN(", ", TRUE, IF(ISNUMBER(SEARCH("ORA", BL11:BT11)), COLUMN(BL11:BT11) - COLUMN(BL11) + 1, ""))&lt;&gt;"","ORA","")</f>
        <v/>
      </c>
      <c r="HV11" s="48" t="str" cm="1">
        <f t="array" ref="HV11">IF(_xlfn.TEXTJOIN(", ", TRUE, IF(ISNUMBER(SEARCH("BRO", BL11:BT11)), COLUMN(BL11:BT11) - COLUMN(BL11) + 1, ""))&lt;&gt;"","BRO","")</f>
        <v/>
      </c>
      <c r="HW11" s="48" t="str" cm="1">
        <f t="array" ref="HW11">IF(_xlfn.TEXTJOIN(", ", TRUE, IF(ISNUMBER(SEARCH("PUR", BL11:BT11)), COLUMN(BL11:BT11) - COLUMN(BL11) + 1, ""))&lt;&gt;"","PUR","")</f>
        <v/>
      </c>
      <c r="HX11" s="48" t="str" cm="1">
        <f t="array" ref="HX11">IF(_xlfn.TEXTJOIN(", ", TRUE, IF(ISNUMBER(SEARCH("WHI", BL11:BT11)), COLUMN(BL11:BT11) - COLUMN(BL11) + 1, ""))&lt;&gt;"","WHI","")</f>
        <v>WHI</v>
      </c>
      <c r="HY11" s="76"/>
      <c r="HZ11" s="76"/>
      <c r="IA11" s="6"/>
      <c r="IB11" s="6"/>
      <c r="IC11" s="77"/>
      <c r="ID11" s="77"/>
      <c r="IE11" s="77"/>
      <c r="IF11" s="77"/>
      <c r="IG11" s="77"/>
      <c r="IH11" s="77"/>
      <c r="II11" s="77"/>
      <c r="IJ11" s="77"/>
      <c r="IK11" s="77"/>
      <c r="IL11" s="48">
        <f t="shared" ref="IL11" si="178">SUM(IC11:IK11)</f>
        <v>0</v>
      </c>
      <c r="IM11" s="45">
        <f t="shared" ref="IM11" si="179">COUNTIF(IC11:IK11,"&gt;0")-CG11</f>
        <v>-4</v>
      </c>
      <c r="IN11" s="78" t="str">
        <f t="shared" ref="IN11" si="180">"http://mkweb.bcgsc.ca/color-summarizer/?url="&amp;D11&amp;"&amp;precision=low&amp;num_clusters="&amp;CG11&amp;"&amp;text=1"</f>
        <v>http://mkweb.bcgsc.ca/color-summarizer/?url=https://upload.wikimedia.org/wikipedia/commons/thumb/9/9d/Flag_of_Ngarchelong.svg/640px-Flag_of_Ngarchelong.svg.png&amp;precision=low&amp;num_clusters=4&amp;text=1</v>
      </c>
      <c r="IO11" s="48" t="str">
        <f t="shared" ref="IO11" si="181">IF(HP11&lt;&gt;"",CHAR(34)&amp;"black"&amp;CHAR(34),"")</f>
        <v/>
      </c>
      <c r="IP11" s="48" t="str">
        <f t="shared" ref="IP11" si="182">IF(HQ11&lt;&gt;"",CHAR(34)&amp;"blue"&amp;CHAR(34),"")</f>
        <v>"blue"</v>
      </c>
      <c r="IQ11" s="48" t="str">
        <f t="shared" ref="IQ11" si="183">IF(HR11&lt;&gt;"",CHAR(34)&amp;"green"&amp;CHAR(34),"")</f>
        <v>"green"</v>
      </c>
      <c r="IR11" s="48" t="str">
        <f t="shared" ref="IR11" si="184">IF(HS11&lt;&gt;"",CHAR(34)&amp;"red"&amp;CHAR(34),"")</f>
        <v/>
      </c>
      <c r="IS11" s="48" t="str">
        <f t="shared" ref="IS11" si="185">IF(HT11&lt;&gt;"",CHAR(34)&amp;"yellow"&amp;CHAR(34),"")</f>
        <v>"yellow"</v>
      </c>
      <c r="IT11" s="48" t="str">
        <f t="shared" ref="IT11" si="186">IF(HU11&lt;&gt;"",CHAR(34)&amp;"orange"&amp;CHAR(34),"")</f>
        <v/>
      </c>
      <c r="IU11" s="48" t="str">
        <f t="shared" ref="IU11" si="187">IF(HV11&lt;&gt;"",CHAR(34)&amp;"brown"&amp;CHAR(34),"")</f>
        <v/>
      </c>
      <c r="IV11" s="48" t="str">
        <f t="shared" ref="IV11" si="188">IF(HW11&lt;&gt;"",CHAR(34)&amp;"purple"&amp;CHAR(34),"")</f>
        <v/>
      </c>
      <c r="IW11" s="48" t="str">
        <f t="shared" ref="IW11" si="189">IF(HX11&lt;&gt;"",CHAR(34)&amp;"white"&amp;CHAR(34),"")</f>
        <v>"white"</v>
      </c>
      <c r="IX11" s="48" t="str">
        <f t="shared" ref="IX11" si="190">"{"&amp;CHAR(34)&amp;"url"&amp;CHAR(34)&amp;":"&amp;CHAR(34)&amp;IN11&amp;CHAR(34)&amp;","&amp;CHAR(34)&amp;"name"&amp;CHAR(34)&amp;":"&amp;CHAR(34)&amp;A11&amp;CHAR(34)&amp;"},"</f>
        <v>{"url":"http://mkweb.bcgsc.ca/color-summarizer/?url=https://upload.wikimedia.org/wikipedia/commons/thumb/9/9d/Flag_of_Ngarchelong.svg/640px-Flag_of_Ngarchelong.svg.png&amp;precision=low&amp;num_clusters=4&amp;text=1","name":"[PAU] Ngarchelong"},</v>
      </c>
      <c r="IY11" s="48">
        <v>31</v>
      </c>
    </row>
  </sheetData>
  <conditionalFormatting sqref="H1 CW1:GS1 IA1:IB1">
    <cfRule type="cellIs" dxfId="3657" priority="395" operator="greaterThan">
      <formula>0</formula>
    </cfRule>
  </conditionalFormatting>
  <conditionalFormatting sqref="H1">
    <cfRule type="cellIs" dxfId="3656" priority="361" stopIfTrue="1" operator="notEqual">
      <formula>""</formula>
    </cfRule>
  </conditionalFormatting>
  <conditionalFormatting sqref="T1:BK1">
    <cfRule type="cellIs" dxfId="3655" priority="398" operator="greaterThan">
      <formula>0</formula>
    </cfRule>
  </conditionalFormatting>
  <conditionalFormatting sqref="BV1:BW1">
    <cfRule type="cellIs" dxfId="3654" priority="397" operator="equal">
      <formula>"nc"</formula>
    </cfRule>
  </conditionalFormatting>
  <conditionalFormatting sqref="HF1:HG1">
    <cfRule type="cellIs" dxfId="3653" priority="399" operator="greaterThan">
      <formula>0</formula>
    </cfRule>
  </conditionalFormatting>
  <conditionalFormatting sqref="HK1">
    <cfRule type="cellIs" dxfId="3652" priority="396" operator="greaterThan">
      <formula>0</formula>
    </cfRule>
  </conditionalFormatting>
  <conditionalFormatting sqref="HP1:HX1">
    <cfRule type="cellIs" dxfId="3651" priority="373" operator="equal">
      <formula>"PIN"</formula>
    </cfRule>
    <cfRule type="cellIs" dxfId="3650" priority="374" operator="equal">
      <formula>"ORA"</formula>
    </cfRule>
    <cfRule type="cellIs" dxfId="3649" priority="375" operator="equal">
      <formula>"GRA"</formula>
    </cfRule>
    <cfRule type="cellIs" dxfId="3648" priority="376" operator="equal">
      <formula>"PUR"</formula>
    </cfRule>
    <cfRule type="cellIs" dxfId="3647" priority="377" operator="equal">
      <formula>"BRO"</formula>
    </cfRule>
    <cfRule type="cellIs" dxfId="3646" priority="378" operator="equal">
      <formula>"YEL"</formula>
    </cfRule>
    <cfRule type="cellIs" dxfId="3645" priority="379" operator="equal">
      <formula>"BLU"</formula>
    </cfRule>
    <cfRule type="cellIs" dxfId="3644" priority="380" operator="equal">
      <formula>"WHI"</formula>
    </cfRule>
    <cfRule type="cellIs" dxfId="3643" priority="381" operator="equal">
      <formula>"GRE"</formula>
    </cfRule>
    <cfRule type="cellIs" dxfId="3642" priority="382" operator="equal">
      <formula>"RED"</formula>
    </cfRule>
    <cfRule type="cellIs" dxfId="3641" priority="383" operator="equal">
      <formula>"BLA"</formula>
    </cfRule>
  </conditionalFormatting>
  <conditionalFormatting sqref="IC1:IK1">
    <cfRule type="cellIs" dxfId="3640" priority="384" operator="equal">
      <formula>"PIN"</formula>
    </cfRule>
    <cfRule type="cellIs" dxfId="3639" priority="385" operator="equal">
      <formula>"ORA"</formula>
    </cfRule>
    <cfRule type="cellIs" dxfId="3638" priority="386" operator="equal">
      <formula>"GRA"</formula>
    </cfRule>
    <cfRule type="cellIs" dxfId="3637" priority="387" operator="equal">
      <formula>"PUR"</formula>
    </cfRule>
    <cfRule type="cellIs" dxfId="3636" priority="388" operator="equal">
      <formula>"BRO"</formula>
    </cfRule>
    <cfRule type="cellIs" dxfId="3635" priority="389" operator="equal">
      <formula>"YEL"</formula>
    </cfRule>
    <cfRule type="cellIs" dxfId="3634" priority="390" operator="equal">
      <formula>"BLU"</formula>
    </cfRule>
    <cfRule type="cellIs" dxfId="3633" priority="391" operator="equal">
      <formula>"WHI"</formula>
    </cfRule>
    <cfRule type="cellIs" dxfId="3632" priority="392" operator="equal">
      <formula>"GRE"</formula>
    </cfRule>
    <cfRule type="cellIs" dxfId="3631" priority="393" operator="equal">
      <formula>"RED"</formula>
    </cfRule>
    <cfRule type="cellIs" dxfId="3630" priority="394" operator="equal">
      <formula>"BLA"</formula>
    </cfRule>
  </conditionalFormatting>
  <conditionalFormatting sqref="IO1:IW1">
    <cfRule type="cellIs" dxfId="3629" priority="362" operator="equal">
      <formula>"PIN"</formula>
    </cfRule>
    <cfRule type="cellIs" dxfId="3628" priority="363" operator="equal">
      <formula>"ORA"</formula>
    </cfRule>
    <cfRule type="cellIs" dxfId="3627" priority="364" operator="equal">
      <formula>"GRA"</formula>
    </cfRule>
    <cfRule type="cellIs" dxfId="3626" priority="365" operator="equal">
      <formula>"PUR"</formula>
    </cfRule>
    <cfRule type="cellIs" dxfId="3625" priority="366" operator="equal">
      <formula>"BRO"</formula>
    </cfRule>
    <cfRule type="cellIs" dxfId="3624" priority="367" operator="equal">
      <formula>"YEL"</formula>
    </cfRule>
    <cfRule type="cellIs" dxfId="3623" priority="368" operator="equal">
      <formula>"BLU"</formula>
    </cfRule>
    <cfRule type="cellIs" dxfId="3622" priority="369" operator="equal">
      <formula>"WHI"</formula>
    </cfRule>
    <cfRule type="cellIs" dxfId="3621" priority="370" operator="equal">
      <formula>"GRE"</formula>
    </cfRule>
    <cfRule type="cellIs" dxfId="3620" priority="371" operator="equal">
      <formula>"RED"</formula>
    </cfRule>
    <cfRule type="cellIs" dxfId="3619" priority="372" operator="equal">
      <formula>"BLA"</formula>
    </cfRule>
  </conditionalFormatting>
  <conditionalFormatting sqref="H2">
    <cfRule type="cellIs" dxfId="3618" priority="330" stopIfTrue="1" operator="notEqual">
      <formula>""</formula>
    </cfRule>
  </conditionalFormatting>
  <conditionalFormatting sqref="R2 CU2">
    <cfRule type="cellIs" dxfId="3617" priority="332" operator="greaterThan">
      <formula>0</formula>
    </cfRule>
  </conditionalFormatting>
  <conditionalFormatting sqref="T2:AS2 CH2:CS2">
    <cfRule type="cellIs" dxfId="3616" priority="327" stopIfTrue="1" operator="equal">
      <formula>"n"</formula>
    </cfRule>
    <cfRule type="cellIs" dxfId="3615" priority="328" stopIfTrue="1" operator="equal">
      <formula>"y"</formula>
    </cfRule>
    <cfRule type="cellIs" dxfId="3614" priority="329" operator="greaterThan">
      <formula>0</formula>
    </cfRule>
  </conditionalFormatting>
  <conditionalFormatting sqref="AZ2:BB2">
    <cfRule type="expression" dxfId="3613" priority="326">
      <formula>$AT2=0</formula>
    </cfRule>
  </conditionalFormatting>
  <conditionalFormatting sqref="AZ2:BU2">
    <cfRule type="cellIs" dxfId="3612" priority="335" operator="equal">
      <formula>"PIN"</formula>
    </cfRule>
    <cfRule type="cellIs" dxfId="3611" priority="336" operator="equal">
      <formula>"ORA"</formula>
    </cfRule>
    <cfRule type="cellIs" dxfId="3610" priority="337" operator="equal">
      <formula>"GRA"</formula>
    </cfRule>
    <cfRule type="cellIs" dxfId="3609" priority="338" operator="equal">
      <formula>"PUR"</formula>
    </cfRule>
    <cfRule type="cellIs" dxfId="3608" priority="339" operator="equal">
      <formula>"BRO"</formula>
    </cfRule>
    <cfRule type="cellIs" dxfId="3607" priority="340" operator="equal">
      <formula>"YEL"</formula>
    </cfRule>
    <cfRule type="cellIs" dxfId="3606" priority="341" operator="equal">
      <formula>"BLU"</formula>
    </cfRule>
    <cfRule type="cellIs" dxfId="3605" priority="342" operator="equal">
      <formula>"WHI"</formula>
    </cfRule>
    <cfRule type="cellIs" dxfId="3604" priority="343" operator="equal">
      <formula>"GRE"</formula>
    </cfRule>
    <cfRule type="cellIs" dxfId="3603" priority="344" operator="equal">
      <formula>"RED"</formula>
    </cfRule>
    <cfRule type="cellIs" dxfId="3602" priority="345" operator="equal">
      <formula>"BLA"</formula>
    </cfRule>
  </conditionalFormatting>
  <conditionalFormatting sqref="BV2:BW2">
    <cfRule type="cellIs" dxfId="3601" priority="357" operator="equal">
      <formula>"nc"</formula>
    </cfRule>
  </conditionalFormatting>
  <conditionalFormatting sqref="BX2:CA2 CD2:CF2">
    <cfRule type="cellIs" dxfId="3600" priority="331" operator="equal">
      <formula>"y"</formula>
    </cfRule>
    <cfRule type="cellIs" dxfId="3599" priority="346" operator="equal">
      <formula>"PIN"</formula>
    </cfRule>
    <cfRule type="cellIs" dxfId="3598" priority="347" operator="equal">
      <formula>"ORA"</formula>
    </cfRule>
    <cfRule type="cellIs" dxfId="3597" priority="348" operator="equal">
      <formula>"GRA"</formula>
    </cfRule>
    <cfRule type="cellIs" dxfId="3596" priority="349" operator="equal">
      <formula>"PUR"</formula>
    </cfRule>
    <cfRule type="cellIs" dxfId="3595" priority="350" operator="equal">
      <formula>"BRO"</formula>
    </cfRule>
    <cfRule type="cellIs" dxfId="3594" priority="351" operator="equal">
      <formula>"YEL"</formula>
    </cfRule>
    <cfRule type="cellIs" dxfId="3593" priority="352" operator="equal">
      <formula>"BLU"</formula>
    </cfRule>
    <cfRule type="cellIs" dxfId="3592" priority="353" operator="equal">
      <formula>"WHI"</formula>
    </cfRule>
    <cfRule type="cellIs" dxfId="3591" priority="354" operator="equal">
      <formula>"GRE"</formula>
    </cfRule>
    <cfRule type="cellIs" dxfId="3590" priority="355" operator="equal">
      <formula>"RED"</formula>
    </cfRule>
    <cfRule type="cellIs" dxfId="3589" priority="356" operator="equal">
      <formula>"BLA"</formula>
    </cfRule>
  </conditionalFormatting>
  <conditionalFormatting sqref="BZ2:CA2 CD2:CF2">
    <cfRule type="cellIs" dxfId="3588" priority="333" operator="greaterThan">
      <formula>0</formula>
    </cfRule>
  </conditionalFormatting>
  <conditionalFormatting sqref="IC2:IK2">
    <cfRule type="expression" dxfId="3587" priority="334">
      <formula>$IL2&gt;0</formula>
    </cfRule>
  </conditionalFormatting>
  <conditionalFormatting sqref="S2">
    <cfRule type="colorScale" priority="358">
      <colorScale>
        <cfvo type="min"/>
        <cfvo type="max"/>
        <color rgb="FFFCFCFF"/>
        <color rgb="FF754BFB"/>
      </colorScale>
    </cfRule>
  </conditionalFormatting>
  <conditionalFormatting sqref="AT2">
    <cfRule type="colorScale" priority="359">
      <colorScale>
        <cfvo type="min"/>
        <cfvo type="max"/>
        <color rgb="FFFCFCFF"/>
        <color theme="8" tint="0.39997558519241921"/>
      </colorScale>
    </cfRule>
  </conditionalFormatting>
  <conditionalFormatting sqref="CG2">
    <cfRule type="colorScale" priority="360">
      <colorScale>
        <cfvo type="min"/>
        <cfvo type="max"/>
        <color rgb="FFFCFCFF"/>
        <color rgb="FF63BE7B"/>
      </colorScale>
    </cfRule>
  </conditionalFormatting>
  <conditionalFormatting sqref="J2">
    <cfRule type="colorScale" priority="325">
      <colorScale>
        <cfvo type="min"/>
        <cfvo type="percentile" val="50"/>
        <cfvo type="max"/>
        <color rgb="FFF8696B"/>
        <color rgb="FFFFEB84"/>
        <color rgb="FF63BE7B"/>
      </colorScale>
    </cfRule>
  </conditionalFormatting>
  <conditionalFormatting sqref="H3">
    <cfRule type="cellIs" dxfId="2058" priority="293" stopIfTrue="1" operator="notEqual">
      <formula>""</formula>
    </cfRule>
  </conditionalFormatting>
  <conditionalFormatting sqref="R3 CU3">
    <cfRule type="cellIs" dxfId="2057" priority="295" operator="greaterThan">
      <formula>0</formula>
    </cfRule>
  </conditionalFormatting>
  <conditionalFormatting sqref="T3:AS3 CH3:CS3">
    <cfRule type="cellIs" dxfId="2056" priority="290" stopIfTrue="1" operator="equal">
      <formula>"n"</formula>
    </cfRule>
    <cfRule type="cellIs" dxfId="2055" priority="291" stopIfTrue="1" operator="equal">
      <formula>"y"</formula>
    </cfRule>
    <cfRule type="cellIs" dxfId="2054" priority="292" operator="greaterThan">
      <formula>0</formula>
    </cfRule>
  </conditionalFormatting>
  <conditionalFormatting sqref="AZ3:BB3">
    <cfRule type="expression" dxfId="2053" priority="289">
      <formula>$AT3=0</formula>
    </cfRule>
  </conditionalFormatting>
  <conditionalFormatting sqref="AZ3:BU3">
    <cfRule type="cellIs" dxfId="2052" priority="298" operator="equal">
      <formula>"PIN"</formula>
    </cfRule>
    <cfRule type="cellIs" dxfId="2051" priority="299" operator="equal">
      <formula>"ORA"</formula>
    </cfRule>
    <cfRule type="cellIs" dxfId="2050" priority="300" operator="equal">
      <formula>"GRA"</formula>
    </cfRule>
    <cfRule type="cellIs" dxfId="2049" priority="301" operator="equal">
      <formula>"PUR"</formula>
    </cfRule>
    <cfRule type="cellIs" dxfId="2048" priority="302" operator="equal">
      <formula>"BRO"</formula>
    </cfRule>
    <cfRule type="cellIs" dxfId="2047" priority="303" operator="equal">
      <formula>"YEL"</formula>
    </cfRule>
    <cfRule type="cellIs" dxfId="2046" priority="304" operator="equal">
      <formula>"BLU"</formula>
    </cfRule>
    <cfRule type="cellIs" dxfId="2045" priority="305" operator="equal">
      <formula>"WHI"</formula>
    </cfRule>
    <cfRule type="cellIs" dxfId="2044" priority="306" operator="equal">
      <formula>"GRE"</formula>
    </cfRule>
    <cfRule type="cellIs" dxfId="2043" priority="307" operator="equal">
      <formula>"RED"</formula>
    </cfRule>
    <cfRule type="cellIs" dxfId="2042" priority="308" operator="equal">
      <formula>"BLA"</formula>
    </cfRule>
  </conditionalFormatting>
  <conditionalFormatting sqref="BV3">
    <cfRule type="cellIs" dxfId="2041" priority="320" operator="equal">
      <formula>"nc"</formula>
    </cfRule>
  </conditionalFormatting>
  <conditionalFormatting sqref="BX3:CA3 CD3:CF3">
    <cfRule type="cellIs" dxfId="2040" priority="294" operator="equal">
      <formula>"y"</formula>
    </cfRule>
    <cfRule type="cellIs" dxfId="2039" priority="309" operator="equal">
      <formula>"PIN"</formula>
    </cfRule>
    <cfRule type="cellIs" dxfId="2038" priority="310" operator="equal">
      <formula>"ORA"</formula>
    </cfRule>
    <cfRule type="cellIs" dxfId="2037" priority="311" operator="equal">
      <formula>"GRA"</formula>
    </cfRule>
    <cfRule type="cellIs" dxfId="2036" priority="312" operator="equal">
      <formula>"PUR"</formula>
    </cfRule>
    <cfRule type="cellIs" dxfId="2035" priority="313" operator="equal">
      <formula>"BRO"</formula>
    </cfRule>
    <cfRule type="cellIs" dxfId="2034" priority="314" operator="equal">
      <formula>"YEL"</formula>
    </cfRule>
    <cfRule type="cellIs" dxfId="2033" priority="315" operator="equal">
      <formula>"BLU"</formula>
    </cfRule>
    <cfRule type="cellIs" dxfId="2032" priority="316" operator="equal">
      <formula>"WHI"</formula>
    </cfRule>
    <cfRule type="cellIs" dxfId="2031" priority="317" operator="equal">
      <formula>"GRE"</formula>
    </cfRule>
    <cfRule type="cellIs" dxfId="2030" priority="318" operator="equal">
      <formula>"RED"</formula>
    </cfRule>
    <cfRule type="cellIs" dxfId="2029" priority="319" operator="equal">
      <formula>"BLA"</formula>
    </cfRule>
  </conditionalFormatting>
  <conditionalFormatting sqref="BZ3:CA3 CD3:CF3">
    <cfRule type="cellIs" dxfId="2028" priority="296" operator="greaterThan">
      <formula>0</formula>
    </cfRule>
  </conditionalFormatting>
  <conditionalFormatting sqref="IC3:IK3">
    <cfRule type="expression" dxfId="2027" priority="297">
      <formula>$IL3&gt;0</formula>
    </cfRule>
  </conditionalFormatting>
  <conditionalFormatting sqref="J3">
    <cfRule type="colorScale" priority="321">
      <colorScale>
        <cfvo type="min"/>
        <cfvo type="percentile" val="50"/>
        <cfvo type="max"/>
        <color rgb="FFF8696B"/>
        <color rgb="FFFFEB84"/>
        <color rgb="FF63BE7B"/>
      </colorScale>
    </cfRule>
  </conditionalFormatting>
  <conditionalFormatting sqref="S3">
    <cfRule type="colorScale" priority="322">
      <colorScale>
        <cfvo type="min"/>
        <cfvo type="max"/>
        <color rgb="FFFCFCFF"/>
        <color rgb="FF754BFB"/>
      </colorScale>
    </cfRule>
  </conditionalFormatting>
  <conditionalFormatting sqref="AT3">
    <cfRule type="colorScale" priority="323">
      <colorScale>
        <cfvo type="min"/>
        <cfvo type="max"/>
        <color rgb="FFFCFCFF"/>
        <color theme="8" tint="0.39997558519241921"/>
      </colorScale>
    </cfRule>
  </conditionalFormatting>
  <conditionalFormatting sqref="CG3">
    <cfRule type="colorScale" priority="324">
      <colorScale>
        <cfvo type="min"/>
        <cfvo type="max"/>
        <color rgb="FFFCFCFF"/>
        <color rgb="FF63BE7B"/>
      </colorScale>
    </cfRule>
  </conditionalFormatting>
  <conditionalFormatting sqref="H4">
    <cfRule type="cellIs" dxfId="2026" priority="257" stopIfTrue="1" operator="notEqual">
      <formula>""</formula>
    </cfRule>
  </conditionalFormatting>
  <conditionalFormatting sqref="R4 CU4">
    <cfRule type="cellIs" dxfId="2025" priority="259" operator="greaterThan">
      <formula>0</formula>
    </cfRule>
  </conditionalFormatting>
  <conditionalFormatting sqref="T4:AS4 CH4:CS4">
    <cfRule type="cellIs" dxfId="2024" priority="254" stopIfTrue="1" operator="equal">
      <formula>"n"</formula>
    </cfRule>
    <cfRule type="cellIs" dxfId="2023" priority="255" stopIfTrue="1" operator="equal">
      <formula>"y"</formula>
    </cfRule>
    <cfRule type="cellIs" dxfId="2022" priority="256" operator="greaterThan">
      <formula>0</formula>
    </cfRule>
  </conditionalFormatting>
  <conditionalFormatting sqref="AZ4:BB4">
    <cfRule type="expression" dxfId="2021" priority="253">
      <formula>$AT4=0</formula>
    </cfRule>
  </conditionalFormatting>
  <conditionalFormatting sqref="AZ4:BU4">
    <cfRule type="cellIs" dxfId="2020" priority="262" operator="equal">
      <formula>"PIN"</formula>
    </cfRule>
    <cfRule type="cellIs" dxfId="2019" priority="263" operator="equal">
      <formula>"ORA"</formula>
    </cfRule>
    <cfRule type="cellIs" dxfId="2018" priority="264" operator="equal">
      <formula>"GRA"</formula>
    </cfRule>
    <cfRule type="cellIs" dxfId="2017" priority="265" operator="equal">
      <formula>"PUR"</formula>
    </cfRule>
    <cfRule type="cellIs" dxfId="2016" priority="266" operator="equal">
      <formula>"BRO"</formula>
    </cfRule>
    <cfRule type="cellIs" dxfId="2015" priority="267" operator="equal">
      <formula>"YEL"</formula>
    </cfRule>
    <cfRule type="cellIs" dxfId="2014" priority="268" operator="equal">
      <formula>"BLU"</formula>
    </cfRule>
    <cfRule type="cellIs" dxfId="2013" priority="269" operator="equal">
      <formula>"WHI"</formula>
    </cfRule>
    <cfRule type="cellIs" dxfId="2012" priority="270" operator="equal">
      <formula>"GRE"</formula>
    </cfRule>
    <cfRule type="cellIs" dxfId="2011" priority="271" operator="equal">
      <formula>"RED"</formula>
    </cfRule>
    <cfRule type="cellIs" dxfId="2010" priority="272" operator="equal">
      <formula>"BLA"</formula>
    </cfRule>
  </conditionalFormatting>
  <conditionalFormatting sqref="BV4">
    <cfRule type="cellIs" dxfId="2009" priority="284" operator="equal">
      <formula>"nc"</formula>
    </cfRule>
  </conditionalFormatting>
  <conditionalFormatting sqref="BX4:CA4 CD4:CF4">
    <cfRule type="cellIs" dxfId="2008" priority="258" operator="equal">
      <formula>"y"</formula>
    </cfRule>
    <cfRule type="cellIs" dxfId="2007" priority="273" operator="equal">
      <formula>"PIN"</formula>
    </cfRule>
    <cfRule type="cellIs" dxfId="2006" priority="274" operator="equal">
      <formula>"ORA"</formula>
    </cfRule>
    <cfRule type="cellIs" dxfId="2005" priority="275" operator="equal">
      <formula>"GRA"</formula>
    </cfRule>
    <cfRule type="cellIs" dxfId="2004" priority="276" operator="equal">
      <formula>"PUR"</formula>
    </cfRule>
    <cfRule type="cellIs" dxfId="2003" priority="277" operator="equal">
      <formula>"BRO"</formula>
    </cfRule>
    <cfRule type="cellIs" dxfId="2002" priority="278" operator="equal">
      <formula>"YEL"</formula>
    </cfRule>
    <cfRule type="cellIs" dxfId="2001" priority="279" operator="equal">
      <formula>"BLU"</formula>
    </cfRule>
    <cfRule type="cellIs" dxfId="2000" priority="280" operator="equal">
      <formula>"WHI"</formula>
    </cfRule>
    <cfRule type="cellIs" dxfId="1999" priority="281" operator="equal">
      <formula>"GRE"</formula>
    </cfRule>
    <cfRule type="cellIs" dxfId="1998" priority="282" operator="equal">
      <formula>"RED"</formula>
    </cfRule>
    <cfRule type="cellIs" dxfId="1997" priority="283" operator="equal">
      <formula>"BLA"</formula>
    </cfRule>
  </conditionalFormatting>
  <conditionalFormatting sqref="BZ4:CA4 CD4:CF4">
    <cfRule type="cellIs" dxfId="1996" priority="260" operator="greaterThan">
      <formula>0</formula>
    </cfRule>
  </conditionalFormatting>
  <conditionalFormatting sqref="IC4:IK4">
    <cfRule type="expression" dxfId="1995" priority="261">
      <formula>$IL4&gt;0</formula>
    </cfRule>
  </conditionalFormatting>
  <conditionalFormatting sqref="J4">
    <cfRule type="colorScale" priority="285">
      <colorScale>
        <cfvo type="min"/>
        <cfvo type="percentile" val="50"/>
        <cfvo type="max"/>
        <color rgb="FFF8696B"/>
        <color rgb="FFFFEB84"/>
        <color rgb="FF63BE7B"/>
      </colorScale>
    </cfRule>
  </conditionalFormatting>
  <conditionalFormatting sqref="S4">
    <cfRule type="colorScale" priority="286">
      <colorScale>
        <cfvo type="min"/>
        <cfvo type="max"/>
        <color rgb="FFFCFCFF"/>
        <color rgb="FF754BFB"/>
      </colorScale>
    </cfRule>
  </conditionalFormatting>
  <conditionalFormatting sqref="AT4">
    <cfRule type="colorScale" priority="287">
      <colorScale>
        <cfvo type="min"/>
        <cfvo type="max"/>
        <color rgb="FFFCFCFF"/>
        <color theme="8" tint="0.39997558519241921"/>
      </colorScale>
    </cfRule>
  </conditionalFormatting>
  <conditionalFormatting sqref="CG4">
    <cfRule type="colorScale" priority="288">
      <colorScale>
        <cfvo type="min"/>
        <cfvo type="max"/>
        <color rgb="FFFCFCFF"/>
        <color rgb="FF63BE7B"/>
      </colorScale>
    </cfRule>
  </conditionalFormatting>
  <conditionalFormatting sqref="H5">
    <cfRule type="cellIs" dxfId="1994" priority="221" stopIfTrue="1" operator="notEqual">
      <formula>""</formula>
    </cfRule>
  </conditionalFormatting>
  <conditionalFormatting sqref="R5 CU5">
    <cfRule type="cellIs" dxfId="1993" priority="223" operator="greaterThan">
      <formula>0</formula>
    </cfRule>
  </conditionalFormatting>
  <conditionalFormatting sqref="T5:AS5 CH5:CS5">
    <cfRule type="cellIs" dxfId="1992" priority="218" stopIfTrue="1" operator="equal">
      <formula>"n"</formula>
    </cfRule>
    <cfRule type="cellIs" dxfId="1991" priority="219" stopIfTrue="1" operator="equal">
      <formula>"y"</formula>
    </cfRule>
    <cfRule type="cellIs" dxfId="1990" priority="220" operator="greaterThan">
      <formula>0</formula>
    </cfRule>
  </conditionalFormatting>
  <conditionalFormatting sqref="AZ5:BB5">
    <cfRule type="expression" dxfId="1989" priority="217">
      <formula>$AT5=0</formula>
    </cfRule>
  </conditionalFormatting>
  <conditionalFormatting sqref="AZ5:BU5">
    <cfRule type="cellIs" dxfId="1988" priority="226" operator="equal">
      <formula>"PIN"</formula>
    </cfRule>
    <cfRule type="cellIs" dxfId="1987" priority="227" operator="equal">
      <formula>"ORA"</formula>
    </cfRule>
    <cfRule type="cellIs" dxfId="1986" priority="228" operator="equal">
      <formula>"GRA"</formula>
    </cfRule>
    <cfRule type="cellIs" dxfId="1985" priority="229" operator="equal">
      <formula>"PUR"</formula>
    </cfRule>
    <cfRule type="cellIs" dxfId="1984" priority="230" operator="equal">
      <formula>"BRO"</formula>
    </cfRule>
    <cfRule type="cellIs" dxfId="1983" priority="231" operator="equal">
      <formula>"YEL"</formula>
    </cfRule>
    <cfRule type="cellIs" dxfId="1982" priority="232" operator="equal">
      <formula>"BLU"</formula>
    </cfRule>
    <cfRule type="cellIs" dxfId="1981" priority="233" operator="equal">
      <formula>"WHI"</formula>
    </cfRule>
    <cfRule type="cellIs" dxfId="1980" priority="234" operator="equal">
      <formula>"GRE"</formula>
    </cfRule>
    <cfRule type="cellIs" dxfId="1979" priority="235" operator="equal">
      <formula>"RED"</formula>
    </cfRule>
    <cfRule type="cellIs" dxfId="1978" priority="236" operator="equal">
      <formula>"BLA"</formula>
    </cfRule>
  </conditionalFormatting>
  <conditionalFormatting sqref="BV5">
    <cfRule type="cellIs" dxfId="1977" priority="248" operator="equal">
      <formula>"nc"</formula>
    </cfRule>
  </conditionalFormatting>
  <conditionalFormatting sqref="BX5:CA5 CD5:CF5">
    <cfRule type="cellIs" dxfId="1976" priority="222" operator="equal">
      <formula>"y"</formula>
    </cfRule>
    <cfRule type="cellIs" dxfId="1975" priority="237" operator="equal">
      <formula>"PIN"</formula>
    </cfRule>
    <cfRule type="cellIs" dxfId="1974" priority="238" operator="equal">
      <formula>"ORA"</formula>
    </cfRule>
    <cfRule type="cellIs" dxfId="1973" priority="239" operator="equal">
      <formula>"GRA"</formula>
    </cfRule>
    <cfRule type="cellIs" dxfId="1972" priority="240" operator="equal">
      <formula>"PUR"</formula>
    </cfRule>
    <cfRule type="cellIs" dxfId="1971" priority="241" operator="equal">
      <formula>"BRO"</formula>
    </cfRule>
    <cfRule type="cellIs" dxfId="1970" priority="242" operator="equal">
      <formula>"YEL"</formula>
    </cfRule>
    <cfRule type="cellIs" dxfId="1969" priority="243" operator="equal">
      <formula>"BLU"</formula>
    </cfRule>
    <cfRule type="cellIs" dxfId="1968" priority="244" operator="equal">
      <formula>"WHI"</formula>
    </cfRule>
    <cfRule type="cellIs" dxfId="1967" priority="245" operator="equal">
      <formula>"GRE"</formula>
    </cfRule>
    <cfRule type="cellIs" dxfId="1966" priority="246" operator="equal">
      <formula>"RED"</formula>
    </cfRule>
    <cfRule type="cellIs" dxfId="1965" priority="247" operator="equal">
      <formula>"BLA"</formula>
    </cfRule>
  </conditionalFormatting>
  <conditionalFormatting sqref="BZ5:CA5 CD5:CF5">
    <cfRule type="cellIs" dxfId="1964" priority="224" operator="greaterThan">
      <formula>0</formula>
    </cfRule>
  </conditionalFormatting>
  <conditionalFormatting sqref="IC5:IK5">
    <cfRule type="expression" dxfId="1963" priority="225">
      <formula>$IL5&gt;0</formula>
    </cfRule>
  </conditionalFormatting>
  <conditionalFormatting sqref="J5">
    <cfRule type="colorScale" priority="249">
      <colorScale>
        <cfvo type="min"/>
        <cfvo type="percentile" val="50"/>
        <cfvo type="max"/>
        <color rgb="FFF8696B"/>
        <color rgb="FFFFEB84"/>
        <color rgb="FF63BE7B"/>
      </colorScale>
    </cfRule>
  </conditionalFormatting>
  <conditionalFormatting sqref="S5">
    <cfRule type="colorScale" priority="250">
      <colorScale>
        <cfvo type="min"/>
        <cfvo type="max"/>
        <color rgb="FFFCFCFF"/>
        <color rgb="FF754BFB"/>
      </colorScale>
    </cfRule>
  </conditionalFormatting>
  <conditionalFormatting sqref="AT5">
    <cfRule type="colorScale" priority="251">
      <colorScale>
        <cfvo type="min"/>
        <cfvo type="max"/>
        <color rgb="FFFCFCFF"/>
        <color theme="8" tint="0.39997558519241921"/>
      </colorScale>
    </cfRule>
  </conditionalFormatting>
  <conditionalFormatting sqref="CG5">
    <cfRule type="colorScale" priority="252">
      <colorScale>
        <cfvo type="min"/>
        <cfvo type="max"/>
        <color rgb="FFFCFCFF"/>
        <color rgb="FF63BE7B"/>
      </colorScale>
    </cfRule>
  </conditionalFormatting>
  <conditionalFormatting sqref="H6">
    <cfRule type="cellIs" dxfId="1962" priority="185" stopIfTrue="1" operator="notEqual">
      <formula>""</formula>
    </cfRule>
  </conditionalFormatting>
  <conditionalFormatting sqref="J6">
    <cfRule type="colorScale" priority="214">
      <colorScale>
        <cfvo type="min"/>
        <cfvo type="percentile" val="50"/>
        <cfvo type="max"/>
        <color rgb="FFF8696B"/>
        <color rgb="FFFFEB84"/>
        <color rgb="FF63BE7B"/>
      </colorScale>
    </cfRule>
  </conditionalFormatting>
  <conditionalFormatting sqref="R6 CU6">
    <cfRule type="cellIs" dxfId="1961" priority="187" operator="greaterThan">
      <formula>0</formula>
    </cfRule>
  </conditionalFormatting>
  <conditionalFormatting sqref="S6">
    <cfRule type="colorScale" priority="215">
      <colorScale>
        <cfvo type="min"/>
        <cfvo type="max"/>
        <color rgb="FFFCFCFF"/>
        <color rgb="FF754BFB"/>
      </colorScale>
    </cfRule>
  </conditionalFormatting>
  <conditionalFormatting sqref="T6:AS6 CH6:CS6">
    <cfRule type="cellIs" dxfId="1960" priority="182" stopIfTrue="1" operator="equal">
      <formula>"n"</formula>
    </cfRule>
    <cfRule type="cellIs" dxfId="1959" priority="183" stopIfTrue="1" operator="equal">
      <formula>"y"</formula>
    </cfRule>
    <cfRule type="cellIs" dxfId="1958" priority="184" operator="greaterThan">
      <formula>0</formula>
    </cfRule>
  </conditionalFormatting>
  <conditionalFormatting sqref="AT6">
    <cfRule type="colorScale" priority="213">
      <colorScale>
        <cfvo type="min"/>
        <cfvo type="max"/>
        <color rgb="FFFCFCFF"/>
        <color theme="8" tint="0.39997558519241921"/>
      </colorScale>
    </cfRule>
  </conditionalFormatting>
  <conditionalFormatting sqref="AZ6:BB6">
    <cfRule type="expression" dxfId="1957" priority="181">
      <formula>$AT6=0</formula>
    </cfRule>
  </conditionalFormatting>
  <conditionalFormatting sqref="AZ6:BU6">
    <cfRule type="cellIs" dxfId="1956" priority="190" operator="equal">
      <formula>"PIN"</formula>
    </cfRule>
    <cfRule type="cellIs" dxfId="1955" priority="191" operator="equal">
      <formula>"ORA"</formula>
    </cfRule>
    <cfRule type="cellIs" dxfId="1954" priority="192" operator="equal">
      <formula>"GRA"</formula>
    </cfRule>
    <cfRule type="cellIs" dxfId="1953" priority="193" operator="equal">
      <formula>"PUR"</formula>
    </cfRule>
    <cfRule type="cellIs" dxfId="1952" priority="194" operator="equal">
      <formula>"BRO"</formula>
    </cfRule>
    <cfRule type="cellIs" dxfId="1951" priority="195" operator="equal">
      <formula>"YEL"</formula>
    </cfRule>
    <cfRule type="cellIs" dxfId="1950" priority="196" operator="equal">
      <formula>"BLU"</formula>
    </cfRule>
    <cfRule type="cellIs" dxfId="1949" priority="197" operator="equal">
      <formula>"WHI"</formula>
    </cfRule>
    <cfRule type="cellIs" dxfId="1948" priority="198" operator="equal">
      <formula>"GRE"</formula>
    </cfRule>
    <cfRule type="cellIs" dxfId="1947" priority="199" operator="equal">
      <formula>"RED"</formula>
    </cfRule>
    <cfRule type="cellIs" dxfId="1946" priority="200" operator="equal">
      <formula>"BLA"</formula>
    </cfRule>
  </conditionalFormatting>
  <conditionalFormatting sqref="BV6">
    <cfRule type="cellIs" dxfId="1945" priority="212" operator="equal">
      <formula>"nc"</formula>
    </cfRule>
  </conditionalFormatting>
  <conditionalFormatting sqref="BX6:CA6 CD6:CF6">
    <cfRule type="cellIs" dxfId="1944" priority="186" operator="equal">
      <formula>"y"</formula>
    </cfRule>
    <cfRule type="cellIs" dxfId="1943" priority="201" operator="equal">
      <formula>"PIN"</formula>
    </cfRule>
    <cfRule type="cellIs" dxfId="1942" priority="202" operator="equal">
      <formula>"ORA"</formula>
    </cfRule>
    <cfRule type="cellIs" dxfId="1941" priority="203" operator="equal">
      <formula>"GRA"</formula>
    </cfRule>
    <cfRule type="cellIs" dxfId="1940" priority="204" operator="equal">
      <formula>"PUR"</formula>
    </cfRule>
    <cfRule type="cellIs" dxfId="1939" priority="205" operator="equal">
      <formula>"BRO"</formula>
    </cfRule>
    <cfRule type="cellIs" dxfId="1938" priority="206" operator="equal">
      <formula>"YEL"</formula>
    </cfRule>
    <cfRule type="cellIs" dxfId="1937" priority="207" operator="equal">
      <formula>"BLU"</formula>
    </cfRule>
    <cfRule type="cellIs" dxfId="1936" priority="208" operator="equal">
      <formula>"WHI"</formula>
    </cfRule>
    <cfRule type="cellIs" dxfId="1935" priority="209" operator="equal">
      <formula>"GRE"</formula>
    </cfRule>
    <cfRule type="cellIs" dxfId="1934" priority="210" operator="equal">
      <formula>"RED"</formula>
    </cfRule>
    <cfRule type="cellIs" dxfId="1933" priority="211" operator="equal">
      <formula>"BLA"</formula>
    </cfRule>
  </conditionalFormatting>
  <conditionalFormatting sqref="BZ6:CA6 CD6:CF6">
    <cfRule type="cellIs" dxfId="1932" priority="188" operator="greaterThan">
      <formula>0</formula>
    </cfRule>
  </conditionalFormatting>
  <conditionalFormatting sqref="CG6">
    <cfRule type="colorScale" priority="216">
      <colorScale>
        <cfvo type="min"/>
        <cfvo type="max"/>
        <color rgb="FFFCFCFF"/>
        <color rgb="FF63BE7B"/>
      </colorScale>
    </cfRule>
  </conditionalFormatting>
  <conditionalFormatting sqref="IC6:IK6">
    <cfRule type="expression" dxfId="1931" priority="189">
      <formula>$IL6&gt;0</formula>
    </cfRule>
  </conditionalFormatting>
  <conditionalFormatting sqref="H7">
    <cfRule type="cellIs" dxfId="1930" priority="180" stopIfTrue="1" operator="notEqual">
      <formula>""</formula>
    </cfRule>
  </conditionalFormatting>
  <conditionalFormatting sqref="J7">
    <cfRule type="colorScale" priority="179">
      <colorScale>
        <cfvo type="min"/>
        <cfvo type="percentile" val="50"/>
        <cfvo type="max"/>
        <color rgb="FFF8696B"/>
        <color rgb="FFFFEB84"/>
        <color rgb="FF63BE7B"/>
      </colorScale>
    </cfRule>
  </conditionalFormatting>
  <conditionalFormatting sqref="R7 CU7">
    <cfRule type="cellIs" dxfId="1929" priority="150" operator="greaterThan">
      <formula>0</formula>
    </cfRule>
  </conditionalFormatting>
  <conditionalFormatting sqref="T7:AS7 CH7:CS7">
    <cfRule type="cellIs" dxfId="1928" priority="146" stopIfTrue="1" operator="equal">
      <formula>"n"</formula>
    </cfRule>
    <cfRule type="cellIs" dxfId="1927" priority="147" stopIfTrue="1" operator="equal">
      <formula>"y"</formula>
    </cfRule>
    <cfRule type="cellIs" dxfId="1926" priority="148" operator="greaterThan">
      <formula>0</formula>
    </cfRule>
  </conditionalFormatting>
  <conditionalFormatting sqref="AZ7:BB7">
    <cfRule type="expression" dxfId="1925" priority="145">
      <formula>$AT7=0</formula>
    </cfRule>
  </conditionalFormatting>
  <conditionalFormatting sqref="AZ7:BU7">
    <cfRule type="cellIs" dxfId="1924" priority="153" operator="equal">
      <formula>"PIN"</formula>
    </cfRule>
    <cfRule type="cellIs" dxfId="1923" priority="154" operator="equal">
      <formula>"ORA"</formula>
    </cfRule>
    <cfRule type="cellIs" dxfId="1922" priority="155" operator="equal">
      <formula>"GRA"</formula>
    </cfRule>
    <cfRule type="cellIs" dxfId="1921" priority="156" operator="equal">
      <formula>"PUR"</formula>
    </cfRule>
    <cfRule type="cellIs" dxfId="1920" priority="157" operator="equal">
      <formula>"BRO"</formula>
    </cfRule>
    <cfRule type="cellIs" dxfId="1919" priority="158" operator="equal">
      <formula>"YEL"</formula>
    </cfRule>
    <cfRule type="cellIs" dxfId="1918" priority="159" operator="equal">
      <formula>"BLU"</formula>
    </cfRule>
    <cfRule type="cellIs" dxfId="1917" priority="160" operator="equal">
      <formula>"WHI"</formula>
    </cfRule>
    <cfRule type="cellIs" dxfId="1916" priority="161" operator="equal">
      <formula>"GRE"</formula>
    </cfRule>
    <cfRule type="cellIs" dxfId="1915" priority="162" operator="equal">
      <formula>"RED"</formula>
    </cfRule>
    <cfRule type="cellIs" dxfId="1914" priority="163" operator="equal">
      <formula>"BLA"</formula>
    </cfRule>
  </conditionalFormatting>
  <conditionalFormatting sqref="BV7">
    <cfRule type="cellIs" dxfId="1913" priority="175" operator="equal">
      <formula>"nc"</formula>
    </cfRule>
  </conditionalFormatting>
  <conditionalFormatting sqref="BX7:CA7 CD7:CF7">
    <cfRule type="cellIs" dxfId="1912" priority="149" operator="equal">
      <formula>"y"</formula>
    </cfRule>
    <cfRule type="cellIs" dxfId="1911" priority="164" operator="equal">
      <formula>"PIN"</formula>
    </cfRule>
    <cfRule type="cellIs" dxfId="1910" priority="165" operator="equal">
      <formula>"ORA"</formula>
    </cfRule>
    <cfRule type="cellIs" dxfId="1909" priority="166" operator="equal">
      <formula>"GRA"</formula>
    </cfRule>
    <cfRule type="cellIs" dxfId="1908" priority="167" operator="equal">
      <formula>"PUR"</formula>
    </cfRule>
    <cfRule type="cellIs" dxfId="1907" priority="168" operator="equal">
      <formula>"BRO"</formula>
    </cfRule>
    <cfRule type="cellIs" dxfId="1906" priority="169" operator="equal">
      <formula>"YEL"</formula>
    </cfRule>
    <cfRule type="cellIs" dxfId="1905" priority="170" operator="equal">
      <formula>"BLU"</formula>
    </cfRule>
    <cfRule type="cellIs" dxfId="1904" priority="171" operator="equal">
      <formula>"WHI"</formula>
    </cfRule>
    <cfRule type="cellIs" dxfId="1903" priority="172" operator="equal">
      <formula>"GRE"</formula>
    </cfRule>
    <cfRule type="cellIs" dxfId="1902" priority="173" operator="equal">
      <formula>"RED"</formula>
    </cfRule>
    <cfRule type="cellIs" dxfId="1901" priority="174" operator="equal">
      <formula>"BLA"</formula>
    </cfRule>
  </conditionalFormatting>
  <conditionalFormatting sqref="BZ7:CA7 CD7:CF7">
    <cfRule type="cellIs" dxfId="1900" priority="151" operator="greaterThan">
      <formula>0</formula>
    </cfRule>
  </conditionalFormatting>
  <conditionalFormatting sqref="IC7:IK7">
    <cfRule type="expression" dxfId="1899" priority="152">
      <formula>$IL7&gt;0</formula>
    </cfRule>
  </conditionalFormatting>
  <conditionalFormatting sqref="S7">
    <cfRule type="colorScale" priority="176">
      <colorScale>
        <cfvo type="min"/>
        <cfvo type="max"/>
        <color rgb="FFFCFCFF"/>
        <color rgb="FF754BFB"/>
      </colorScale>
    </cfRule>
  </conditionalFormatting>
  <conditionalFormatting sqref="AT7">
    <cfRule type="colorScale" priority="177">
      <colorScale>
        <cfvo type="min"/>
        <cfvo type="max"/>
        <color rgb="FFFCFCFF"/>
        <color theme="8" tint="0.39997558519241921"/>
      </colorScale>
    </cfRule>
  </conditionalFormatting>
  <conditionalFormatting sqref="CG7">
    <cfRule type="colorScale" priority="178">
      <colorScale>
        <cfvo type="min"/>
        <cfvo type="max"/>
        <color rgb="FFFCFCFF"/>
        <color rgb="FF63BE7B"/>
      </colorScale>
    </cfRule>
  </conditionalFormatting>
  <conditionalFormatting sqref="H8">
    <cfRule type="cellIs" dxfId="1898" priority="113" stopIfTrue="1" operator="notEqual">
      <formula>""</formula>
    </cfRule>
  </conditionalFormatting>
  <conditionalFormatting sqref="R8 CU8">
    <cfRule type="cellIs" dxfId="1897" priority="115" operator="greaterThan">
      <formula>0</formula>
    </cfRule>
  </conditionalFormatting>
  <conditionalFormatting sqref="T8:AS8 CH8:CS8">
    <cfRule type="cellIs" dxfId="1896" priority="110" stopIfTrue="1" operator="equal">
      <formula>"n"</formula>
    </cfRule>
    <cfRule type="cellIs" dxfId="1895" priority="111" stopIfTrue="1" operator="equal">
      <formula>"y"</formula>
    </cfRule>
    <cfRule type="cellIs" dxfId="1894" priority="112" operator="greaterThan">
      <formula>0</formula>
    </cfRule>
  </conditionalFormatting>
  <conditionalFormatting sqref="AZ8:BB8">
    <cfRule type="expression" dxfId="1893" priority="109">
      <formula>$AT8=0</formula>
    </cfRule>
  </conditionalFormatting>
  <conditionalFormatting sqref="AZ8:BU8">
    <cfRule type="cellIs" dxfId="1892" priority="118" operator="equal">
      <formula>"PIN"</formula>
    </cfRule>
    <cfRule type="cellIs" dxfId="1891" priority="119" operator="equal">
      <formula>"ORA"</formula>
    </cfRule>
    <cfRule type="cellIs" dxfId="1890" priority="120" operator="equal">
      <formula>"GRA"</formula>
    </cfRule>
    <cfRule type="cellIs" dxfId="1889" priority="121" operator="equal">
      <formula>"PUR"</formula>
    </cfRule>
    <cfRule type="cellIs" dxfId="1888" priority="122" operator="equal">
      <formula>"BRO"</formula>
    </cfRule>
    <cfRule type="cellIs" dxfId="1887" priority="123" operator="equal">
      <formula>"YEL"</formula>
    </cfRule>
    <cfRule type="cellIs" dxfId="1886" priority="124" operator="equal">
      <formula>"BLU"</formula>
    </cfRule>
    <cfRule type="cellIs" dxfId="1885" priority="125" operator="equal">
      <formula>"WHI"</formula>
    </cfRule>
    <cfRule type="cellIs" dxfId="1884" priority="126" operator="equal">
      <formula>"GRE"</formula>
    </cfRule>
    <cfRule type="cellIs" dxfId="1883" priority="127" operator="equal">
      <formula>"RED"</formula>
    </cfRule>
    <cfRule type="cellIs" dxfId="1882" priority="128" operator="equal">
      <formula>"BLA"</formula>
    </cfRule>
  </conditionalFormatting>
  <conditionalFormatting sqref="BV8">
    <cfRule type="cellIs" dxfId="1881" priority="140" operator="equal">
      <formula>"nc"</formula>
    </cfRule>
  </conditionalFormatting>
  <conditionalFormatting sqref="BX8:CA8 CD8:CF8">
    <cfRule type="cellIs" dxfId="1880" priority="114" operator="equal">
      <formula>"y"</formula>
    </cfRule>
    <cfRule type="cellIs" dxfId="1879" priority="129" operator="equal">
      <formula>"PIN"</formula>
    </cfRule>
    <cfRule type="cellIs" dxfId="1878" priority="130" operator="equal">
      <formula>"ORA"</formula>
    </cfRule>
    <cfRule type="cellIs" dxfId="1877" priority="131" operator="equal">
      <formula>"GRA"</formula>
    </cfRule>
    <cfRule type="cellIs" dxfId="1876" priority="132" operator="equal">
      <formula>"PUR"</formula>
    </cfRule>
    <cfRule type="cellIs" dxfId="1875" priority="133" operator="equal">
      <formula>"BRO"</formula>
    </cfRule>
    <cfRule type="cellIs" dxfId="1874" priority="134" operator="equal">
      <formula>"YEL"</formula>
    </cfRule>
    <cfRule type="cellIs" dxfId="1873" priority="135" operator="equal">
      <formula>"BLU"</formula>
    </cfRule>
    <cfRule type="cellIs" dxfId="1872" priority="136" operator="equal">
      <formula>"WHI"</formula>
    </cfRule>
    <cfRule type="cellIs" dxfId="1871" priority="137" operator="equal">
      <formula>"GRE"</formula>
    </cfRule>
    <cfRule type="cellIs" dxfId="1870" priority="138" operator="equal">
      <formula>"RED"</formula>
    </cfRule>
    <cfRule type="cellIs" dxfId="1869" priority="139" operator="equal">
      <formula>"BLA"</formula>
    </cfRule>
  </conditionalFormatting>
  <conditionalFormatting sqref="BZ8:CA8 CD8:CF8">
    <cfRule type="cellIs" dxfId="1868" priority="116" operator="greaterThan">
      <formula>0</formula>
    </cfRule>
  </conditionalFormatting>
  <conditionalFormatting sqref="IC8:IK8">
    <cfRule type="expression" dxfId="1867" priority="117">
      <formula>$IL8&gt;0</formula>
    </cfRule>
  </conditionalFormatting>
  <conditionalFormatting sqref="J8">
    <cfRule type="colorScale" priority="141">
      <colorScale>
        <cfvo type="min"/>
        <cfvo type="percentile" val="50"/>
        <cfvo type="max"/>
        <color rgb="FFF8696B"/>
        <color rgb="FFFFEB84"/>
        <color rgb="FF63BE7B"/>
      </colorScale>
    </cfRule>
  </conditionalFormatting>
  <conditionalFormatting sqref="S8">
    <cfRule type="colorScale" priority="142">
      <colorScale>
        <cfvo type="min"/>
        <cfvo type="max"/>
        <color rgb="FFFCFCFF"/>
        <color rgb="FF754BFB"/>
      </colorScale>
    </cfRule>
  </conditionalFormatting>
  <conditionalFormatting sqref="AT8">
    <cfRule type="colorScale" priority="143">
      <colorScale>
        <cfvo type="min"/>
        <cfvo type="max"/>
        <color rgb="FFFCFCFF"/>
        <color theme="8" tint="0.39997558519241921"/>
      </colorScale>
    </cfRule>
  </conditionalFormatting>
  <conditionalFormatting sqref="CG8">
    <cfRule type="colorScale" priority="144">
      <colorScale>
        <cfvo type="min"/>
        <cfvo type="max"/>
        <color rgb="FFFCFCFF"/>
        <color rgb="FF63BE7B"/>
      </colorScale>
    </cfRule>
  </conditionalFormatting>
  <conditionalFormatting sqref="H9">
    <cfRule type="cellIs" dxfId="1866" priority="77" stopIfTrue="1" operator="notEqual">
      <formula>""</formula>
    </cfRule>
  </conditionalFormatting>
  <conditionalFormatting sqref="R9 CU9">
    <cfRule type="cellIs" dxfId="1865" priority="79" operator="greaterThan">
      <formula>0</formula>
    </cfRule>
  </conditionalFormatting>
  <conditionalFormatting sqref="T9:AS9 CH9:CS9">
    <cfRule type="cellIs" dxfId="1864" priority="74" stopIfTrue="1" operator="equal">
      <formula>"n"</formula>
    </cfRule>
    <cfRule type="cellIs" dxfId="1863" priority="75" stopIfTrue="1" operator="equal">
      <formula>"y"</formula>
    </cfRule>
    <cfRule type="cellIs" dxfId="1862" priority="76" operator="greaterThan">
      <formula>0</formula>
    </cfRule>
  </conditionalFormatting>
  <conditionalFormatting sqref="AZ9:BB9">
    <cfRule type="expression" dxfId="1861" priority="73">
      <formula>$AT9=0</formula>
    </cfRule>
  </conditionalFormatting>
  <conditionalFormatting sqref="AZ9:BU9">
    <cfRule type="cellIs" dxfId="1860" priority="82" operator="equal">
      <formula>"PIN"</formula>
    </cfRule>
    <cfRule type="cellIs" dxfId="1859" priority="83" operator="equal">
      <formula>"ORA"</formula>
    </cfRule>
    <cfRule type="cellIs" dxfId="1858" priority="84" operator="equal">
      <formula>"GRA"</formula>
    </cfRule>
    <cfRule type="cellIs" dxfId="1857" priority="85" operator="equal">
      <formula>"PUR"</formula>
    </cfRule>
    <cfRule type="cellIs" dxfId="1856" priority="86" operator="equal">
      <formula>"BRO"</formula>
    </cfRule>
    <cfRule type="cellIs" dxfId="1855" priority="87" operator="equal">
      <formula>"YEL"</formula>
    </cfRule>
    <cfRule type="cellIs" dxfId="1854" priority="88" operator="equal">
      <formula>"BLU"</formula>
    </cfRule>
    <cfRule type="cellIs" dxfId="1853" priority="89" operator="equal">
      <formula>"WHI"</formula>
    </cfRule>
    <cfRule type="cellIs" dxfId="1852" priority="90" operator="equal">
      <formula>"GRE"</formula>
    </cfRule>
    <cfRule type="cellIs" dxfId="1851" priority="91" operator="equal">
      <formula>"RED"</formula>
    </cfRule>
    <cfRule type="cellIs" dxfId="1850" priority="92" operator="equal">
      <formula>"BLA"</formula>
    </cfRule>
  </conditionalFormatting>
  <conditionalFormatting sqref="BV9">
    <cfRule type="cellIs" dxfId="1849" priority="104" operator="equal">
      <formula>"nc"</formula>
    </cfRule>
  </conditionalFormatting>
  <conditionalFormatting sqref="BX9:CA9 CD9:CF9">
    <cfRule type="cellIs" dxfId="1848" priority="78" operator="equal">
      <formula>"y"</formula>
    </cfRule>
    <cfRule type="cellIs" dxfId="1847" priority="93" operator="equal">
      <formula>"PIN"</formula>
    </cfRule>
    <cfRule type="cellIs" dxfId="1846" priority="94" operator="equal">
      <formula>"ORA"</formula>
    </cfRule>
    <cfRule type="cellIs" dxfId="1845" priority="95" operator="equal">
      <formula>"GRA"</formula>
    </cfRule>
    <cfRule type="cellIs" dxfId="1844" priority="96" operator="equal">
      <formula>"PUR"</formula>
    </cfRule>
    <cfRule type="cellIs" dxfId="1843" priority="97" operator="equal">
      <formula>"BRO"</formula>
    </cfRule>
    <cfRule type="cellIs" dxfId="1842" priority="98" operator="equal">
      <formula>"YEL"</formula>
    </cfRule>
    <cfRule type="cellIs" dxfId="1841" priority="99" operator="equal">
      <formula>"BLU"</formula>
    </cfRule>
    <cfRule type="cellIs" dxfId="1840" priority="100" operator="equal">
      <formula>"WHI"</formula>
    </cfRule>
    <cfRule type="cellIs" dxfId="1839" priority="101" operator="equal">
      <formula>"GRE"</formula>
    </cfRule>
    <cfRule type="cellIs" dxfId="1838" priority="102" operator="equal">
      <formula>"RED"</formula>
    </cfRule>
    <cfRule type="cellIs" dxfId="1837" priority="103" operator="equal">
      <formula>"BLA"</formula>
    </cfRule>
  </conditionalFormatting>
  <conditionalFormatting sqref="BZ9:CA9 CD9:CF9">
    <cfRule type="cellIs" dxfId="1836" priority="80" operator="greaterThan">
      <formula>0</formula>
    </cfRule>
  </conditionalFormatting>
  <conditionalFormatting sqref="IC9:IK9">
    <cfRule type="expression" dxfId="1835" priority="81">
      <formula>$IL9&gt;0</formula>
    </cfRule>
  </conditionalFormatting>
  <conditionalFormatting sqref="J9">
    <cfRule type="colorScale" priority="105">
      <colorScale>
        <cfvo type="min"/>
        <cfvo type="percentile" val="50"/>
        <cfvo type="max"/>
        <color rgb="FFF8696B"/>
        <color rgb="FFFFEB84"/>
        <color rgb="FF63BE7B"/>
      </colorScale>
    </cfRule>
  </conditionalFormatting>
  <conditionalFormatting sqref="S9">
    <cfRule type="colorScale" priority="106">
      <colorScale>
        <cfvo type="min"/>
        <cfvo type="max"/>
        <color rgb="FFFCFCFF"/>
        <color rgb="FF754BFB"/>
      </colorScale>
    </cfRule>
  </conditionalFormatting>
  <conditionalFormatting sqref="AT9">
    <cfRule type="colorScale" priority="107">
      <colorScale>
        <cfvo type="min"/>
        <cfvo type="max"/>
        <color rgb="FFFCFCFF"/>
        <color theme="8" tint="0.39997558519241921"/>
      </colorScale>
    </cfRule>
  </conditionalFormatting>
  <conditionalFormatting sqref="CG9">
    <cfRule type="colorScale" priority="108">
      <colorScale>
        <cfvo type="min"/>
        <cfvo type="max"/>
        <color rgb="FFFCFCFF"/>
        <color rgb="FF63BE7B"/>
      </colorScale>
    </cfRule>
  </conditionalFormatting>
  <conditionalFormatting sqref="H10">
    <cfRule type="cellIs" dxfId="1834" priority="41" stopIfTrue="1" operator="notEqual">
      <formula>""</formula>
    </cfRule>
  </conditionalFormatting>
  <conditionalFormatting sqref="R10 CU10">
    <cfRule type="cellIs" dxfId="1833" priority="43" operator="greaterThan">
      <formula>0</formula>
    </cfRule>
  </conditionalFormatting>
  <conditionalFormatting sqref="T10:AS10 CH10:CS10">
    <cfRule type="cellIs" dxfId="1832" priority="38" stopIfTrue="1" operator="equal">
      <formula>"n"</formula>
    </cfRule>
    <cfRule type="cellIs" dxfId="1831" priority="39" stopIfTrue="1" operator="equal">
      <formula>"y"</formula>
    </cfRule>
    <cfRule type="cellIs" dxfId="1830" priority="40" operator="greaterThan">
      <formula>0</formula>
    </cfRule>
  </conditionalFormatting>
  <conditionalFormatting sqref="AZ10:BB10">
    <cfRule type="expression" dxfId="1829" priority="37">
      <formula>$AT10=0</formula>
    </cfRule>
  </conditionalFormatting>
  <conditionalFormatting sqref="AZ10:BU10">
    <cfRule type="cellIs" dxfId="1828" priority="46" operator="equal">
      <formula>"PIN"</formula>
    </cfRule>
    <cfRule type="cellIs" dxfId="1827" priority="47" operator="equal">
      <formula>"ORA"</formula>
    </cfRule>
    <cfRule type="cellIs" dxfId="1826" priority="48" operator="equal">
      <formula>"GRA"</formula>
    </cfRule>
    <cfRule type="cellIs" dxfId="1825" priority="49" operator="equal">
      <formula>"PUR"</formula>
    </cfRule>
    <cfRule type="cellIs" dxfId="1824" priority="50" operator="equal">
      <formula>"BRO"</formula>
    </cfRule>
    <cfRule type="cellIs" dxfId="1823" priority="51" operator="equal">
      <formula>"YEL"</formula>
    </cfRule>
    <cfRule type="cellIs" dxfId="1822" priority="52" operator="equal">
      <formula>"BLU"</formula>
    </cfRule>
    <cfRule type="cellIs" dxfId="1821" priority="53" operator="equal">
      <formula>"WHI"</formula>
    </cfRule>
    <cfRule type="cellIs" dxfId="1820" priority="54" operator="equal">
      <formula>"GRE"</formula>
    </cfRule>
    <cfRule type="cellIs" dxfId="1819" priority="55" operator="equal">
      <formula>"RED"</formula>
    </cfRule>
    <cfRule type="cellIs" dxfId="1818" priority="56" operator="equal">
      <formula>"BLA"</formula>
    </cfRule>
  </conditionalFormatting>
  <conditionalFormatting sqref="BV10">
    <cfRule type="cellIs" dxfId="1817" priority="68" operator="equal">
      <formula>"nc"</formula>
    </cfRule>
  </conditionalFormatting>
  <conditionalFormatting sqref="BX10:CA10 CD10:CF10">
    <cfRule type="cellIs" dxfId="1816" priority="42" operator="equal">
      <formula>"y"</formula>
    </cfRule>
    <cfRule type="cellIs" dxfId="1815" priority="57" operator="equal">
      <formula>"PIN"</formula>
    </cfRule>
    <cfRule type="cellIs" dxfId="1814" priority="58" operator="equal">
      <formula>"ORA"</formula>
    </cfRule>
    <cfRule type="cellIs" dxfId="1813" priority="59" operator="equal">
      <formula>"GRA"</formula>
    </cfRule>
    <cfRule type="cellIs" dxfId="1812" priority="60" operator="equal">
      <formula>"PUR"</formula>
    </cfRule>
    <cfRule type="cellIs" dxfId="1811" priority="61" operator="equal">
      <formula>"BRO"</formula>
    </cfRule>
    <cfRule type="cellIs" dxfId="1810" priority="62" operator="equal">
      <formula>"YEL"</formula>
    </cfRule>
    <cfRule type="cellIs" dxfId="1809" priority="63" operator="equal">
      <formula>"BLU"</formula>
    </cfRule>
    <cfRule type="cellIs" dxfId="1808" priority="64" operator="equal">
      <formula>"WHI"</formula>
    </cfRule>
    <cfRule type="cellIs" dxfId="1807" priority="65" operator="equal">
      <formula>"GRE"</formula>
    </cfRule>
    <cfRule type="cellIs" dxfId="1806" priority="66" operator="equal">
      <formula>"RED"</formula>
    </cfRule>
    <cfRule type="cellIs" dxfId="1805" priority="67" operator="equal">
      <formula>"BLA"</formula>
    </cfRule>
  </conditionalFormatting>
  <conditionalFormatting sqref="BZ10:CA10 CD10:CF10">
    <cfRule type="cellIs" dxfId="1804" priority="44" operator="greaterThan">
      <formula>0</formula>
    </cfRule>
  </conditionalFormatting>
  <conditionalFormatting sqref="IC10:IK10">
    <cfRule type="expression" dxfId="1803" priority="45">
      <formula>$IL10&gt;0</formula>
    </cfRule>
  </conditionalFormatting>
  <conditionalFormatting sqref="J10">
    <cfRule type="colorScale" priority="69">
      <colorScale>
        <cfvo type="min"/>
        <cfvo type="percentile" val="50"/>
        <cfvo type="max"/>
        <color rgb="FFF8696B"/>
        <color rgb="FFFFEB84"/>
        <color rgb="FF63BE7B"/>
      </colorScale>
    </cfRule>
  </conditionalFormatting>
  <conditionalFormatting sqref="S10">
    <cfRule type="colorScale" priority="70">
      <colorScale>
        <cfvo type="min"/>
        <cfvo type="max"/>
        <color rgb="FFFCFCFF"/>
        <color rgb="FF754BFB"/>
      </colorScale>
    </cfRule>
  </conditionalFormatting>
  <conditionalFormatting sqref="AT10">
    <cfRule type="colorScale" priority="71">
      <colorScale>
        <cfvo type="min"/>
        <cfvo type="max"/>
        <color rgb="FFFCFCFF"/>
        <color theme="8" tint="0.39997558519241921"/>
      </colorScale>
    </cfRule>
  </conditionalFormatting>
  <conditionalFormatting sqref="CG10">
    <cfRule type="colorScale" priority="72">
      <colorScale>
        <cfvo type="min"/>
        <cfvo type="max"/>
        <color rgb="FFFCFCFF"/>
        <color rgb="FF63BE7B"/>
      </colorScale>
    </cfRule>
  </conditionalFormatting>
  <conditionalFormatting sqref="H11">
    <cfRule type="cellIs" dxfId="1802" priority="5" stopIfTrue="1" operator="notEqual">
      <formula>""</formula>
    </cfRule>
  </conditionalFormatting>
  <conditionalFormatting sqref="R11 CU11">
    <cfRule type="cellIs" dxfId="1801" priority="7" operator="greaterThan">
      <formula>0</formula>
    </cfRule>
  </conditionalFormatting>
  <conditionalFormatting sqref="T11:AS11 CH11:CS11">
    <cfRule type="cellIs" dxfId="1800" priority="2" stopIfTrue="1" operator="equal">
      <formula>"n"</formula>
    </cfRule>
    <cfRule type="cellIs" dxfId="1799" priority="3" stopIfTrue="1" operator="equal">
      <formula>"y"</formula>
    </cfRule>
    <cfRule type="cellIs" dxfId="1798" priority="4" operator="greaterThan">
      <formula>0</formula>
    </cfRule>
  </conditionalFormatting>
  <conditionalFormatting sqref="AZ11:BB11">
    <cfRule type="expression" dxfId="1797" priority="1">
      <formula>$AT11=0</formula>
    </cfRule>
  </conditionalFormatting>
  <conditionalFormatting sqref="AZ11:BU11">
    <cfRule type="cellIs" dxfId="1796" priority="10" operator="equal">
      <formula>"PIN"</formula>
    </cfRule>
    <cfRule type="cellIs" dxfId="1795" priority="11" operator="equal">
      <formula>"ORA"</formula>
    </cfRule>
    <cfRule type="cellIs" dxfId="1794" priority="12" operator="equal">
      <formula>"GRA"</formula>
    </cfRule>
    <cfRule type="cellIs" dxfId="1793" priority="13" operator="equal">
      <formula>"PUR"</formula>
    </cfRule>
    <cfRule type="cellIs" dxfId="1792" priority="14" operator="equal">
      <formula>"BRO"</formula>
    </cfRule>
    <cfRule type="cellIs" dxfId="1791" priority="15" operator="equal">
      <formula>"YEL"</formula>
    </cfRule>
    <cfRule type="cellIs" dxfId="1790" priority="16" operator="equal">
      <formula>"BLU"</formula>
    </cfRule>
    <cfRule type="cellIs" dxfId="1789" priority="17" operator="equal">
      <formula>"WHI"</formula>
    </cfRule>
    <cfRule type="cellIs" dxfId="1788" priority="18" operator="equal">
      <formula>"GRE"</formula>
    </cfRule>
    <cfRule type="cellIs" dxfId="1787" priority="19" operator="equal">
      <formula>"RED"</formula>
    </cfRule>
    <cfRule type="cellIs" dxfId="1786" priority="20" operator="equal">
      <formula>"BLA"</formula>
    </cfRule>
  </conditionalFormatting>
  <conditionalFormatting sqref="BV11">
    <cfRule type="cellIs" dxfId="1785" priority="32" operator="equal">
      <formula>"nc"</formula>
    </cfRule>
  </conditionalFormatting>
  <conditionalFormatting sqref="BX11:CA11 CD11:CF11">
    <cfRule type="cellIs" dxfId="1784" priority="6" operator="equal">
      <formula>"y"</formula>
    </cfRule>
    <cfRule type="cellIs" dxfId="1783" priority="21" operator="equal">
      <formula>"PIN"</formula>
    </cfRule>
    <cfRule type="cellIs" dxfId="1782" priority="22" operator="equal">
      <formula>"ORA"</formula>
    </cfRule>
    <cfRule type="cellIs" dxfId="1781" priority="23" operator="equal">
      <formula>"GRA"</formula>
    </cfRule>
    <cfRule type="cellIs" dxfId="1780" priority="24" operator="equal">
      <formula>"PUR"</formula>
    </cfRule>
    <cfRule type="cellIs" dxfId="1779" priority="25" operator="equal">
      <formula>"BRO"</formula>
    </cfRule>
    <cfRule type="cellIs" dxfId="1778" priority="26" operator="equal">
      <formula>"YEL"</formula>
    </cfRule>
    <cfRule type="cellIs" dxfId="1777" priority="27" operator="equal">
      <formula>"BLU"</formula>
    </cfRule>
    <cfRule type="cellIs" dxfId="1776" priority="28" operator="equal">
      <formula>"WHI"</formula>
    </cfRule>
    <cfRule type="cellIs" dxfId="1775" priority="29" operator="equal">
      <formula>"GRE"</formula>
    </cfRule>
    <cfRule type="cellIs" dxfId="1774" priority="30" operator="equal">
      <formula>"RED"</formula>
    </cfRule>
    <cfRule type="cellIs" dxfId="1773" priority="31" operator="equal">
      <formula>"BLA"</formula>
    </cfRule>
  </conditionalFormatting>
  <conditionalFormatting sqref="BZ11:CA11 CD11:CF11">
    <cfRule type="cellIs" dxfId="1772" priority="8" operator="greaterThan">
      <formula>0</formula>
    </cfRule>
  </conditionalFormatting>
  <conditionalFormatting sqref="IC11:IK11">
    <cfRule type="expression" dxfId="1771" priority="9">
      <formula>$IL11&gt;0</formula>
    </cfRule>
  </conditionalFormatting>
  <conditionalFormatting sqref="J11">
    <cfRule type="colorScale" priority="33">
      <colorScale>
        <cfvo type="min"/>
        <cfvo type="percentile" val="50"/>
        <cfvo type="max"/>
        <color rgb="FFF8696B"/>
        <color rgb="FFFFEB84"/>
        <color rgb="FF63BE7B"/>
      </colorScale>
    </cfRule>
  </conditionalFormatting>
  <conditionalFormatting sqref="S11">
    <cfRule type="colorScale" priority="34">
      <colorScale>
        <cfvo type="min"/>
        <cfvo type="max"/>
        <color rgb="FFFCFCFF"/>
        <color rgb="FF754BFB"/>
      </colorScale>
    </cfRule>
  </conditionalFormatting>
  <conditionalFormatting sqref="AT11">
    <cfRule type="colorScale" priority="35">
      <colorScale>
        <cfvo type="min"/>
        <cfvo type="max"/>
        <color rgb="FFFCFCFF"/>
        <color theme="8" tint="0.39997558519241921"/>
      </colorScale>
    </cfRule>
  </conditionalFormatting>
  <conditionalFormatting sqref="CG11">
    <cfRule type="colorScale" priority="36">
      <colorScale>
        <cfvo type="min"/>
        <cfvo type="max"/>
        <color rgb="FFFCFCFF"/>
        <color rgb="FF63BE7B"/>
      </colorScale>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D35D3-FF8B-434F-84B3-505D802AE543}">
  <dimension ref="A1:IY5"/>
  <sheetViews>
    <sheetView zoomScale="70" zoomScaleNormal="70" workbookViewId="0">
      <selection activeCell="A5" sqref="A5:XFD5"/>
    </sheetView>
  </sheetViews>
  <sheetFormatPr defaultRowHeight="14.4" x14ac:dyDescent="0.3"/>
  <cols>
    <col min="1" max="1" width="24.33203125" customWidth="1"/>
    <col min="2" max="2" width="10.109375" customWidth="1"/>
    <col min="3" max="3" width="9" bestFit="1" customWidth="1"/>
    <col min="7" max="7" width="9" bestFit="1" customWidth="1"/>
    <col min="11" max="11" width="9.88671875" bestFit="1" customWidth="1"/>
    <col min="12" max="12" width="9" bestFit="1" customWidth="1"/>
    <col min="17" max="17" width="9" bestFit="1" customWidth="1"/>
    <col min="19" max="19" width="9" bestFit="1"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297</v>
      </c>
      <c r="B2" s="40" t="e" vm="100">
        <v>#VALUE!</v>
      </c>
      <c r="C2" s="41">
        <v>1</v>
      </c>
      <c r="D2" s="42" t="s">
        <v>298</v>
      </c>
      <c r="E2" s="43" t="s">
        <v>299</v>
      </c>
      <c r="F2" s="44" t="s">
        <v>166</v>
      </c>
      <c r="G2" s="45">
        <f>COUNTIF($A$1:$A$8279,A2)</f>
        <v>1</v>
      </c>
      <c r="H2" s="46"/>
      <c r="I2" s="47" t="s">
        <v>300</v>
      </c>
      <c r="J2" s="48" t="str">
        <f>""</f>
        <v/>
      </c>
      <c r="K2" s="49">
        <v>10300000</v>
      </c>
      <c r="L2" s="50">
        <v>140000</v>
      </c>
      <c r="M2" s="50" t="s">
        <v>301</v>
      </c>
      <c r="N2" s="51" t="s">
        <v>169</v>
      </c>
      <c r="O2" s="52" t="s">
        <v>302</v>
      </c>
      <c r="P2" s="53" t="s">
        <v>303</v>
      </c>
      <c r="Q2" s="54">
        <v>3</v>
      </c>
      <c r="R2" s="55" t="s">
        <v>169</v>
      </c>
      <c r="S2" s="56">
        <v>2</v>
      </c>
      <c r="T2" s="57" t="s">
        <v>172</v>
      </c>
      <c r="U2" s="58" t="s">
        <v>173</v>
      </c>
      <c r="V2" s="58" t="s">
        <v>173</v>
      </c>
      <c r="W2" s="58" t="s">
        <v>173</v>
      </c>
      <c r="X2" s="58" t="s">
        <v>173</v>
      </c>
      <c r="Y2" s="58" t="s">
        <v>172</v>
      </c>
      <c r="Z2" s="58" t="s">
        <v>172</v>
      </c>
      <c r="AA2" s="58" t="s">
        <v>173</v>
      </c>
      <c r="AB2" s="58" t="s">
        <v>173</v>
      </c>
      <c r="AC2" s="58" t="s">
        <v>173</v>
      </c>
      <c r="AD2" s="58" t="s">
        <v>173</v>
      </c>
      <c r="AE2" s="58" t="s">
        <v>173</v>
      </c>
      <c r="AF2" s="59" t="s">
        <v>173</v>
      </c>
      <c r="AG2" s="59" t="s">
        <v>173</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5</v>
      </c>
      <c r="AU2" s="59"/>
      <c r="AV2" s="59" t="str">
        <f>IF(LEFT(A2,1)="[",LEFT(A2,5)&amp;AU2&amp;A2,"")</f>
        <v/>
      </c>
      <c r="AW2" s="59" t="str">
        <f>C2&amp;H2&amp;A2</f>
        <v>1Papua New Guinea</v>
      </c>
      <c r="AX2" s="61"/>
      <c r="AY2" s="61"/>
      <c r="AZ2" s="62" t="s">
        <v>152</v>
      </c>
      <c r="BA2" s="62" t="s">
        <v>192</v>
      </c>
      <c r="BB2" s="62"/>
      <c r="BC2" s="63"/>
      <c r="BD2" s="64" t="s">
        <v>154</v>
      </c>
      <c r="BE2" s="47"/>
      <c r="BF2" s="64" t="s">
        <v>154</v>
      </c>
      <c r="BG2" s="64" t="s">
        <v>159</v>
      </c>
      <c r="BH2" s="64" t="s">
        <v>154</v>
      </c>
      <c r="BI2" s="64"/>
      <c r="BJ2" s="64"/>
      <c r="BK2" s="47"/>
      <c r="BL2" s="64" t="s">
        <v>192</v>
      </c>
      <c r="BM2" s="64" t="s">
        <v>152</v>
      </c>
      <c r="BN2" s="64" t="s">
        <v>192</v>
      </c>
      <c r="BO2" s="64" t="s">
        <v>154</v>
      </c>
      <c r="BP2" s="64" t="s">
        <v>192</v>
      </c>
      <c r="BQ2" s="64" t="s">
        <v>192</v>
      </c>
      <c r="BR2" s="64" t="s">
        <v>192</v>
      </c>
      <c r="BS2" s="64" t="s">
        <v>192</v>
      </c>
      <c r="BT2" s="64" t="s">
        <v>159</v>
      </c>
      <c r="BU2" s="65"/>
      <c r="BV2" s="66"/>
      <c r="BW2" s="66">
        <v>0</v>
      </c>
      <c r="BX2" s="47"/>
      <c r="CB2" s="6"/>
      <c r="CC2" s="6"/>
      <c r="CD2" s="67">
        <v>0</v>
      </c>
      <c r="CE2" s="67">
        <v>0</v>
      </c>
      <c r="CF2" s="67" t="e">
        <v>#REF!</v>
      </c>
      <c r="CG2" s="68" cm="1">
        <f t="array" ref="CG2">SUMPRODUCT(--(LEN(TRIM(BL2:BT2))&gt;0))</f>
        <v>3</v>
      </c>
      <c r="CH2" s="59" t="str">
        <f>IF(CG2=2,"y","n")</f>
        <v>n</v>
      </c>
      <c r="CI2" s="59" t="str">
        <f>IF(CG2=3,"y","n")</f>
        <v>y</v>
      </c>
      <c r="CJ2" s="59" t="str">
        <f>IF(CG2=4,"y","n")</f>
        <v>n</v>
      </c>
      <c r="CK2" s="59" t="str">
        <f>IF(CG2&gt;4,"y","n")</f>
        <v>n</v>
      </c>
      <c r="CL2" s="59" t="str">
        <f>IF(S2=0,"y","n")</f>
        <v>n</v>
      </c>
      <c r="CM2" s="59" t="str">
        <f>IF(S2=2,"y","n")</f>
        <v>y</v>
      </c>
      <c r="CN2" s="59" t="str">
        <f>IF(S2=3,"y","n")</f>
        <v>n</v>
      </c>
      <c r="CO2" s="59" t="str">
        <f>IF(S2&gt;=4,"y","n")</f>
        <v>n</v>
      </c>
      <c r="CP2" s="59" t="str">
        <f>IF(AT2=0,"y","n")</f>
        <v>n</v>
      </c>
      <c r="CQ2" s="59" t="str">
        <f>IF(AT2=1,"y","n")</f>
        <v>n</v>
      </c>
      <c r="CR2" s="59" t="str">
        <f>IF(AT2=2,"y","n")</f>
        <v>n</v>
      </c>
      <c r="CS2" s="59" t="str">
        <f>IF(AT2&gt;=3,"y","n")</f>
        <v>y</v>
      </c>
      <c r="CT2" s="69" t="str">
        <f>CHAR(34)&amp;A2&amp;CHAR(34)</f>
        <v>"Papua New Guinea"</v>
      </c>
      <c r="CU2" s="70" t="str">
        <f>CHAR(34)&amp;"rgn_"&amp;R2&amp;CHAR(34)</f>
        <v>"rgn_Oceania"</v>
      </c>
      <c r="CV2" s="48" t="str">
        <f>CHAR(34)&amp;D2&amp;CHAR(34)</f>
        <v>"https://i.ibb.co/dGNHyxn/Papua-Flag.png"</v>
      </c>
      <c r="CW2" s="48" t="str">
        <f t="shared" ref="CW2:CZ5" si="0">IF(CH2="y",CHAR(34)&amp;CH$1&amp;CHAR(34)&amp;",","")</f>
        <v/>
      </c>
      <c r="CX2" s="48" t="str">
        <f t="shared" si="0"/>
        <v>"3Color",</v>
      </c>
      <c r="CY2" s="48" t="str">
        <f t="shared" si="0"/>
        <v/>
      </c>
      <c r="CZ2" s="48" t="str">
        <f t="shared" si="0"/>
        <v/>
      </c>
      <c r="DA2" s="48" t="str">
        <f>IF(Q2&gt;1,CHAR(34)&amp;"words2"&amp;CHAR(34)&amp;",","")</f>
        <v>"words2",</v>
      </c>
      <c r="DB2" s="48" t="str">
        <f>IF(Q2&gt;2,CHAR(34)&amp;"words3"&amp;CHAR(34)&amp;",","")</f>
        <v>"words3",</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"lets14",</v>
      </c>
      <c r="DE2" s="48" t="str">
        <f>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"LUEDHI",</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5" si="1">IF(CL2="y",CHAR(34)&amp;CL$1&amp;CHAR(34)&amp;",","")</f>
        <v/>
      </c>
      <c r="DX2" s="48" t="str">
        <f t="shared" si="1"/>
        <v>"2Bands",</v>
      </c>
      <c r="DY2" s="48" t="str">
        <f t="shared" si="1"/>
        <v/>
      </c>
      <c r="DZ2" s="48" t="str">
        <f t="shared" si="1"/>
        <v/>
      </c>
      <c r="EA2" s="48" t="str">
        <f t="shared" ref="EA2:EE5" si="2">IF(T2="y",CHAR(34)&amp;T$1&amp;CHAR(34)&amp;",","")</f>
        <v>"Diagon",</v>
      </c>
      <c r="EB2" s="48" t="str">
        <f t="shared" si="2"/>
        <v/>
      </c>
      <c r="EC2" s="48" t="str">
        <f t="shared" si="2"/>
        <v/>
      </c>
      <c r="ED2" s="48" t="str">
        <f t="shared" si="2"/>
        <v/>
      </c>
      <c r="EE2" s="48" t="str">
        <f t="shared" si="2"/>
        <v/>
      </c>
      <c r="EF2" s="48" t="str">
        <f>IF(AND(Y2&lt;&gt;"n",Y2&lt;&gt;""),CHAR(34)&amp;Y$1&amp;CHAR(34)&amp;",","")</f>
        <v>"Animal",</v>
      </c>
      <c r="EG2" s="48" t="str">
        <f t="shared" ref="EG2:EZ5" si="3">IF(Z2="y",CHAR(34)&amp;Z$1&amp;CHAR(34)&amp;",","")</f>
        <v>"Bird",</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"staBLU",</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"001RED",</v>
      </c>
      <c r="FR2" s="48" t="str">
        <f>IF(LEN(BG2)=3,CHAR(34)&amp;"002"&amp;BG2&amp;CHAR(34)&amp;",","")</f>
        <v>"002WHI",</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 t="shared" ref="GL2:GN5" si="4">IF(CQ2="y",CHAR(34)&amp;CQ$1&amp;CHAR(34)&amp;",","")</f>
        <v/>
      </c>
      <c r="GM2" s="48" t="str">
        <f t="shared" si="4"/>
        <v/>
      </c>
      <c r="GN2" s="48" t="str">
        <f t="shared" si="4"/>
        <v>"3+Star",</v>
      </c>
      <c r="GP2" s="48" t="str">
        <f>CHAR(34)&amp;AU2&amp;CHAR(34)</f>
        <v>""</v>
      </c>
      <c r="GS2" s="48" t="str">
        <f>SUBSTITUTE("["&amp;_xlfn.CONCAT(CW2:GN2)&amp;"]",",]","]")</f>
        <v>["3Color","words2","words3","lets14","startP","with_w","LUEDHI","year19","2Bands","Diagon","Animal","Bird","staBLU","NO_GRE","NO_YEL","NO_BLA","001RED","002WHI","003RED","myrRED","HasSta","3+Star"]</v>
      </c>
      <c r="GT2" s="48" t="str">
        <f t="shared" ref="GT2:HB5" si="5">IF(BL2&lt;&gt;"",CHAR(34)&amp;"cl_"&amp;BL2&amp;CHAR(34)&amp;",","")</f>
        <v/>
      </c>
      <c r="GU2" s="48" t="str">
        <f t="shared" si="5"/>
        <v>"cl_BLU",</v>
      </c>
      <c r="GV2" s="48" t="str">
        <f t="shared" si="5"/>
        <v/>
      </c>
      <c r="GW2" s="48" t="str">
        <f t="shared" si="5"/>
        <v>"cl_RED",</v>
      </c>
      <c r="GX2" s="48" t="str">
        <f t="shared" si="5"/>
        <v/>
      </c>
      <c r="GY2" s="48" t="str">
        <f t="shared" si="5"/>
        <v/>
      </c>
      <c r="GZ2" s="48" t="str">
        <f t="shared" si="5"/>
        <v/>
      </c>
      <c r="HA2" s="48" t="str">
        <f t="shared" si="5"/>
        <v/>
      </c>
      <c r="HB2" s="48" t="str">
        <f t="shared" si="5"/>
        <v>"cl_WHI",</v>
      </c>
      <c r="HC2" s="48" t="str">
        <f>SUBSTITUTE("["&amp;_xlfn.CONCAT(GT2:HB2)&amp;"]",",]","]")</f>
        <v>["cl_BLU","cl_RED","cl_WHI"]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links: "https://en.wikipedia.org/wiki/Flag_of_Papua_New_Guinea"},</v>
      </c>
      <c r="HG2" s="73" t="str">
        <f>"{couname:"&amp;CT2&amp;(IF(HK2&lt;&gt;"",",subtype:"&amp;CHAR(34)&amp;HK2&amp;CHAR(34),""))&amp;",year:"&amp;HJ2&amp;",region:"&amp;CU2&amp;",Colors:"&amp;HC2&amp;",Items:"&amp;GS2&amp;",Flag:"&amp;CV2&amp;",HDFlag:"&amp;CHAR(34)&amp;E2&amp;CHAR(34)&amp;",type:"&amp;GP2&amp;", describe: "&amp;HI2&amp;", links: "&amp;HL2&amp;"},"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links: "https://en.wikipedia.org/wiki/Flag_of_Papua_New_Guinea"},</v>
      </c>
      <c r="HH2" s="48" t="str">
        <f>IF(P2&lt;&gt;"",CHAR(34)&amp;"\n"&amp;P2&amp;CHAR(34),CHAR(34)&amp;CHAR(34))</f>
        <v>"\nRed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v>
      </c>
      <c r="HI2" s="48" t="str">
        <f>IF(J2=0,CHAR(34)&amp;CHAR(34),HH2)</f>
        <v>"\nRed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v>
      </c>
      <c r="HJ2" s="48" t="str">
        <f>CHAR(34)&amp;O2&amp;CHAR(34)</f>
        <v>"1971 "</v>
      </c>
      <c r="HL2" s="48" t="str">
        <f>CHAR(34)&amp;I2&amp;CHAR(34)</f>
        <v>"https://en.wikipedia.org/wiki/Flag_of_Papua_New_Guinea"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 "links": "https://en.wikipedia.org/wiki/Flag_of_Papua_New_Guinea"},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{"couname":"Papua New Guinea","year":"1971 ","region":"rgn_Oceania","Colors":["cl_BLU","cl_RED","cl_WHI"],"Items":["3Color","words2","words3","lets14","startP","with_w","LUEDHI","year19","2Bands","Diagon","Animal","Bird","staBLU","NO_GRE","NO_YEL","NO_BLA","001RED","002WHI","003RED","myrRED","HasSta","3+Star"],"Flag":"https://i.ibb.co/dGNHyxn/Papua-Flag.png","HDFlag":"https://upload.wikimedia.org/wikipedia/commons/thumb/e/e3/Flag_of_Papua_New_Guinea.svg/2560px-Flag_of_Papua_New_Guinea.svg.png","type":"", "describe": "\nRed and black have long been traditional colours of many Papua New Guinean tribes. Black-white-red was the colour of the German Empire flag, which had colonised New Guinea prior to 1918. The bird-of-paradise is also found on the national coat-of-arms. The Southern Cross shows that it is a country in the Southern Hemisphere and can be seen in Papua New Guinea", "isnew": ".", "links": "https://en.wikipedia.org/wiki/Flag_of_Papua_New_Guinea"},</v>
      </c>
      <c r="HO2" s="75">
        <v>45618</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-3</v>
      </c>
      <c r="IN2" s="78" t="str">
        <f>"http://mkweb.bcgsc.ca/color-summarizer/?url="&amp;D2&amp;"&amp;precision=low&amp;num_clusters="&amp;CG2&amp;"&amp;text=1"</f>
        <v>http://mkweb.bcgsc.ca/color-summarizer/?url=https://i.ibb.co/dGNHyxn/Papua-Flag.png&amp;precision=low&amp;num_clusters=3&amp;text=1</v>
      </c>
      <c r="IO2" s="48" t="str">
        <f>IF(HP2&lt;&gt;"",CHAR(34)&amp;"black"&amp;CHAR(34),"")</f>
        <v/>
      </c>
      <c r="IP2" s="48" t="str">
        <f>IF(HQ2&lt;&gt;"",CHAR(34)&amp;"blue"&amp;CHAR(34),"")</f>
        <v>"blue"</v>
      </c>
      <c r="IQ2" s="48" t="str">
        <f>IF(HR2&lt;&gt;"",CHAR(34)&amp;"green"&amp;CHAR(34),"")</f>
        <v/>
      </c>
      <c r="IR2" s="48" t="str">
        <f>IF(HS2&lt;&gt;"",CHAR(34)&amp;"red"&amp;CHAR(34),"")</f>
        <v>"red"</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{"url":"http://mkweb.bcgsc.ca/color-summarizer/?url=https://i.ibb.co/dGNHyxn/Papua-Flag.png&amp;precision=low&amp;num_clusters=3&amp;text=1","name":"Papua New Guinea"},</v>
      </c>
      <c r="IY2" s="48">
        <v>969</v>
      </c>
    </row>
    <row r="3" spans="1:259" s="48" customFormat="1" ht="38.4" customHeight="1" thickBot="1" x14ac:dyDescent="0.35">
      <c r="A3" s="79" t="s">
        <v>581</v>
      </c>
      <c r="B3" s="40" t="e" vm="101">
        <v>#VALUE!</v>
      </c>
      <c r="C3" s="41">
        <v>2</v>
      </c>
      <c r="D3" s="42" t="s">
        <v>582</v>
      </c>
      <c r="E3" s="43" t="s">
        <v>583</v>
      </c>
      <c r="F3" s="44" t="s">
        <v>166</v>
      </c>
      <c r="G3" s="45">
        <f>COUNTIF($A$1:$A$8279,A3)</f>
        <v>1</v>
      </c>
      <c r="H3" s="46"/>
      <c r="I3" s="47" t="s">
        <v>584</v>
      </c>
      <c r="J3" s="48" t="str">
        <f>""</f>
        <v/>
      </c>
      <c r="K3" s="49"/>
      <c r="L3" s="50"/>
      <c r="M3" s="50"/>
      <c r="N3" s="51" t="s">
        <v>169</v>
      </c>
      <c r="O3" s="52">
        <v>1975</v>
      </c>
      <c r="P3" s="53" t="s">
        <v>585</v>
      </c>
      <c r="Q3" s="54">
        <v>1</v>
      </c>
      <c r="R3" s="55" t="s">
        <v>169</v>
      </c>
      <c r="S3" s="56">
        <v>0</v>
      </c>
      <c r="T3" s="57" t="s">
        <v>172</v>
      </c>
      <c r="U3" s="58" t="s">
        <v>173</v>
      </c>
      <c r="V3" s="58" t="s">
        <v>173</v>
      </c>
      <c r="W3" s="58" t="s">
        <v>173</v>
      </c>
      <c r="X3" s="58" t="s">
        <v>172</v>
      </c>
      <c r="Y3" s="58" t="s">
        <v>173</v>
      </c>
      <c r="Z3" s="58" t="s">
        <v>173</v>
      </c>
      <c r="AA3" s="58" t="s">
        <v>173</v>
      </c>
      <c r="AB3" s="58" t="s">
        <v>173</v>
      </c>
      <c r="AC3" s="58" t="s">
        <v>173</v>
      </c>
      <c r="AD3" s="58" t="s">
        <v>173</v>
      </c>
      <c r="AE3" s="58" t="s">
        <v>173</v>
      </c>
      <c r="AF3" s="59" t="s">
        <v>173</v>
      </c>
      <c r="AG3" s="59" t="s">
        <v>173</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0</v>
      </c>
      <c r="AU3" s="59" t="s">
        <v>586</v>
      </c>
      <c r="AV3" s="59" t="str">
        <f>IF(LEFT(A3,1)="[",LEFT(A3,5)&amp;AU3&amp;A3,"")</f>
        <v>[PNG]Autonomous Region[PNG] Bougainville</v>
      </c>
      <c r="AW3" s="59" t="str">
        <f>C3&amp;H3&amp;A3</f>
        <v>2[PNG] Bougainville</v>
      </c>
      <c r="AX3" s="61"/>
      <c r="AY3" s="61"/>
      <c r="AZ3" s="62" t="s">
        <v>159</v>
      </c>
      <c r="BA3" s="62"/>
      <c r="BB3" s="62"/>
      <c r="BC3" s="63"/>
      <c r="BD3" s="64" t="s">
        <v>408</v>
      </c>
      <c r="BE3" s="47"/>
      <c r="BF3" s="64" t="s">
        <v>153</v>
      </c>
      <c r="BG3" s="64"/>
      <c r="BH3" s="64" t="s">
        <v>155</v>
      </c>
      <c r="BI3" s="64"/>
      <c r="BJ3" s="64"/>
      <c r="BK3" s="47"/>
      <c r="BL3" s="64" t="s">
        <v>153</v>
      </c>
      <c r="BM3" s="64" t="s">
        <v>155</v>
      </c>
      <c r="BN3" s="64" t="s">
        <v>152</v>
      </c>
      <c r="BO3" s="64" t="s">
        <v>159</v>
      </c>
      <c r="BP3" s="64"/>
      <c r="BQ3" s="64"/>
      <c r="BR3" s="64"/>
      <c r="BS3" s="64"/>
      <c r="BT3" s="64"/>
      <c r="BU3" s="65" t="s">
        <v>173</v>
      </c>
      <c r="BV3" s="66"/>
      <c r="BW3" s="66">
        <v>0</v>
      </c>
      <c r="BX3" s="47"/>
      <c r="CB3" s="6"/>
      <c r="CC3" s="6"/>
      <c r="CD3" s="67">
        <v>1</v>
      </c>
      <c r="CE3" s="67">
        <v>0</v>
      </c>
      <c r="CF3" s="67" t="e">
        <v>#REF!</v>
      </c>
      <c r="CG3" s="68" cm="1">
        <f t="array" ref="CG3">SUMPRODUCT(--(LEN(TRIM(BL3:BT3))&gt;0))</f>
        <v>4</v>
      </c>
      <c r="CH3" s="59" t="str">
        <f t="shared" ref="CH3:CH5" si="6">IF(CG3=2,"y","n")</f>
        <v>n</v>
      </c>
      <c r="CI3" s="59" t="str">
        <f t="shared" ref="CI3:CI5" si="7">IF(CG3=3,"y","n")</f>
        <v>n</v>
      </c>
      <c r="CJ3" s="59" t="str">
        <f t="shared" ref="CJ3:CJ5" si="8">IF(CG3=4,"y","n")</f>
        <v>y</v>
      </c>
      <c r="CK3" s="59" t="str">
        <f t="shared" ref="CK3:CK5" si="9">IF(CG3&gt;4,"y","n")</f>
        <v>n</v>
      </c>
      <c r="CL3" s="59" t="str">
        <f t="shared" ref="CL3:CL5" si="10">IF(S3=0,"y","n")</f>
        <v>y</v>
      </c>
      <c r="CM3" s="59" t="str">
        <f t="shared" ref="CM3:CM5" si="11">IF(S3=2,"y","n")</f>
        <v>n</v>
      </c>
      <c r="CN3" s="59" t="str">
        <f t="shared" ref="CN3:CN5" si="12">IF(S3=3,"y","n")</f>
        <v>n</v>
      </c>
      <c r="CO3" s="59" t="str">
        <f t="shared" ref="CO3:CO5" si="13">IF(S3&gt;=4,"y","n")</f>
        <v>n</v>
      </c>
      <c r="CP3" s="59" t="str">
        <f t="shared" ref="CP3:CP5" si="14">IF(AT3=0,"y","n")</f>
        <v>y</v>
      </c>
      <c r="CQ3" s="59" t="str">
        <f t="shared" ref="CQ3:CQ5" si="15">IF(AT3=1,"y","n")</f>
        <v>n</v>
      </c>
      <c r="CR3" s="59" t="str">
        <f t="shared" ref="CR3:CR5" si="16">IF(AT3=2,"y","n")</f>
        <v>n</v>
      </c>
      <c r="CS3" s="59" t="str">
        <f t="shared" ref="CS3:CS5" si="17">IF(AT3&gt;=3,"y","n")</f>
        <v>n</v>
      </c>
      <c r="CT3" s="69" t="str">
        <f t="shared" ref="CT3:CT5" si="18">CHAR(34)&amp;A3&amp;CHAR(34)</f>
        <v>"[PNG] Bougainville"</v>
      </c>
      <c r="CU3" s="70" t="str">
        <f t="shared" ref="CU3:CU5" si="19">CHAR(34)&amp;"rgn_"&amp;R3&amp;CHAR(34)</f>
        <v>"rgn_Oceania"</v>
      </c>
      <c r="CV3" s="48" t="str">
        <f t="shared" ref="CV3:CV5" si="20">CHAR(34)&amp;D3&amp;CHAR(34)</f>
        <v>"https://upload.wikimedia.org/wikipedia/commons/thumb/e/e4/Flag_of_Bougainville.svg/640px-Flag_of_Bougainville.svg.png"</v>
      </c>
      <c r="CW3" s="48" t="str">
        <f t="shared" si="0"/>
        <v/>
      </c>
      <c r="CX3" s="48" t="str">
        <f t="shared" si="0"/>
        <v/>
      </c>
      <c r="CY3" s="48" t="str">
        <f t="shared" si="0"/>
        <v>"4Color",</v>
      </c>
      <c r="CZ3" s="48" t="str">
        <f t="shared" si="0"/>
        <v/>
      </c>
      <c r="DA3" s="48" t="str">
        <f t="shared" ref="DA3:DA5" si="21">IF(Q3&gt;1,CHAR(34)&amp;"words2"&amp;CHAR(34)&amp;",","")</f>
        <v/>
      </c>
      <c r="DB3" s="48" t="str">
        <f t="shared" ref="DB3:DB5" si="22">IF(Q3&gt;2,CHAR(34)&amp;"words3"&amp;CHAR(34)&amp;",","")</f>
        <v/>
      </c>
      <c r="DC3" s="48" t="str">
        <f t="shared" ref="DC3:DC5" si="23">IF(Q3=2,CHAR(34)&amp;"exact2"&amp;CHAR(34)&amp;",","")</f>
        <v/>
      </c>
      <c r="DD3" s="48" t="str">
        <f t="shared" ref="DD3:DD5"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"lets12",</v>
      </c>
      <c r="DE3" s="48" t="str">
        <f t="shared" ref="DE3:DE5"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"startB",</v>
      </c>
      <c r="DF3" s="48" t="str">
        <f t="shared" ref="DF3:DF5" si="26">IFERROR(IF(SEARCH("tan",A3)&gt;0,CHAR(34)&amp;"withtn"&amp;CHAR(34)&amp;",",""),"")</f>
        <v/>
      </c>
      <c r="DG3" s="48" t="str">
        <f t="shared" ref="DG3:DG5" si="27">IFERROR(IF(SEARCH("q",A3)&gt;0,CHAR(34)&amp;"with_q"&amp;CHAR(34)&amp;",",""),"")</f>
        <v/>
      </c>
      <c r="DH3" s="48" t="str">
        <f t="shared" ref="DH3:DH5" si="28">IFERROR(IF(SEARCH("v",A3)&gt;0,CHAR(34)&amp;"with_v"&amp;CHAR(34)&amp;",",""),"")</f>
        <v>"with_v",</v>
      </c>
      <c r="DI3" s="48" t="str">
        <f t="shared" ref="DI3:DI5" si="29">IFERROR(IF(SEARCH("w",A3)&gt;0,CHAR(34)&amp;"with_w"&amp;CHAR(34)&amp;",",""),"")</f>
        <v/>
      </c>
      <c r="DJ3" s="48" t="str">
        <f t="shared" ref="DJ3:DJ5" si="30">IFERROR(IF(SEARCH("y",A3)&gt;0,CHAR(34)&amp;"with_y"&amp;CHAR(34)&amp;",",""),"")</f>
        <v/>
      </c>
      <c r="DK3" s="48" t="str">
        <f t="shared" ref="DK3:DK5" si="31">IFERROR(IF(SEARCH("z",A3)&gt;0,CHAR(34)&amp;"with_z"&amp;CHAR(34)&amp;",",""),"")</f>
        <v/>
      </c>
      <c r="DL3" s="48" t="str">
        <f t="shared" ref="DL3:DL5" si="32">IF(CG3=2, CHAR(34) &amp; _xlfn.TEXTJOIN("", TRUE, _xlfn._xlws.SORT(HP3:HX3)) &amp; CHAR(34) &amp; ",", "")</f>
        <v/>
      </c>
      <c r="DM3" s="48" t="str" cm="1">
        <f t="array" ref="DM3">IF(CG3=3,CHAR(34) &amp; _xlfn.TEXTJOIN("", TRUE, RIGHT(HP3:HX3, 2)) &amp; CHAR(34) &amp; ",", "")</f>
        <v/>
      </c>
      <c r="DN3" s="48" t="str">
        <f t="shared" ref="DN3:DN5" si="33">IF(AND(ISNUMBER(SEARCH("18", O3)), ISERROR(SEARCH("1918", O3)), ISERROR(SEARCH("2018", O3))), CHAR(34) &amp; "year18" &amp; CHAR(34) &amp; ",", "")</f>
        <v/>
      </c>
      <c r="DO3" s="48" t="str">
        <f t="shared" ref="DO3:DO5" si="34">IF(AND(ISNUMBER(SEARCH("19", O3)), ISERROR(SEARCH("1819", O3)),  ISERROR(SEARCH("1219", O3)),ISERROR(SEARCH("1119", O3)),ISERROR(SEARCH("1190", O3)),ISERROR(SEARCH("2019", O3))), CHAR(34) &amp; "year19" &amp; CHAR(34) &amp; ",", "")</f>
        <v>"year19",</v>
      </c>
      <c r="DP3" s="6" t="str">
        <f t="shared" ref="DP3:DP5" si="35">IF(AND(ISNUMBER(SEARCH("20", O3)), ISERROR(SEARCH("1920", O3))), CHAR(34)&amp;"year00"&amp;CHAR(34)&amp;",", "")</f>
        <v/>
      </c>
      <c r="DQ3" s="6" t="str">
        <f t="shared" ref="DQ3:DQ5" si="36">IF(CC3="y",CHAR(34)&amp;"soviet"&amp;CHAR(34)&amp;",","")</f>
        <v/>
      </c>
      <c r="DR3" s="6" t="str">
        <f t="shared" ref="DR3:DR5" si="37">IF(BY3="y",CHAR(34)&amp;"dgband"&amp;CHAR(34)&amp;",","")</f>
        <v/>
      </c>
      <c r="DS3" s="6" t="str">
        <f t="shared" ref="DS3:DS5" si="38">IF(W3="y",IF(AND(V3="n",BY3&lt;&gt;"y"),CHAR(34)&amp;"allver"&amp;CHAR(34)&amp;",",""),"")</f>
        <v/>
      </c>
      <c r="DT3" s="6" t="str">
        <f t="shared" ref="DT3:DT5" si="39">IF(V3="y",IF(AND(W3="n",BY3&lt;&gt;"y"),CHAR(34)&amp;"allhor"&amp;CHAR(34)&amp;",",""),"")</f>
        <v/>
      </c>
      <c r="DU3" s="6" t="str">
        <f t="shared" ref="DU3:DU5" si="40">IF(BY3="y",IF(AND(W3="n",V3="n"),CHAR(34)&amp;"alldia"&amp;CHAR(34)&amp;",",""),"")</f>
        <v/>
      </c>
      <c r="DV3" s="48" t="str">
        <f t="shared" ref="DV3:DV5" si="41">IF(IA3&lt;&gt;"",(IF(IA3="y",CHAR(34)&amp;"largec"&amp;CHAR(34)&amp;",",CHAR(34)&amp;"smallc"&amp;CHAR(34)&amp;",")),"")</f>
        <v/>
      </c>
      <c r="DW3" s="48" t="str">
        <f t="shared" si="1"/>
        <v>"NoBand",</v>
      </c>
      <c r="DX3" s="48" t="str">
        <f t="shared" si="1"/>
        <v/>
      </c>
      <c r="DY3" s="48" t="str">
        <f t="shared" si="1"/>
        <v/>
      </c>
      <c r="DZ3" s="48" t="str">
        <f t="shared" si="1"/>
        <v/>
      </c>
      <c r="EA3" s="48" t="str">
        <f t="shared" si="2"/>
        <v>"Diagon",</v>
      </c>
      <c r="EB3" s="48" t="str">
        <f t="shared" si="2"/>
        <v/>
      </c>
      <c r="EC3" s="48" t="str">
        <f t="shared" si="2"/>
        <v/>
      </c>
      <c r="ED3" s="48" t="str">
        <f t="shared" si="2"/>
        <v/>
      </c>
      <c r="EE3" s="48" t="str">
        <f t="shared" si="2"/>
        <v>"Circle",</v>
      </c>
      <c r="EF3" s="48" t="str">
        <f t="shared" ref="EF3:EF5" si="42">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FA5" si="43">IF(AT3&gt;0,CHAR(34)&amp;"sta"&amp;AZ3&amp;CHAR(34)&amp;",","")</f>
        <v/>
      </c>
      <c r="FB3" s="48" t="str">
        <f t="shared" ref="FB3:FB5" si="44">IF(AND(AT3&gt;0,BA3&lt;&gt;""),CHAR(34)&amp;"sta"&amp;BA3&amp;CHAR(34)&amp;",","")</f>
        <v/>
      </c>
      <c r="FC3" s="48" t="str">
        <f t="shared" ref="FC3:FC5" si="45">IF(AND(AT3&gt;0,BB3&lt;&gt;""),CHAR(34)&amp;"sta"&amp;BB3&amp;CHAR(34)&amp;",","")</f>
        <v/>
      </c>
      <c r="FD3" s="48" t="str">
        <f t="shared" ref="FD3:FD5" si="46">IF(BV3="n",CHAR(34)&amp;"tcWHYE"&amp;CHAR(34)&amp;",",IF(BV3="y",CHAR(34)&amp;FD$1&amp;CHAR(34)&amp;",",""))</f>
        <v/>
      </c>
      <c r="FE3" s="48" t="str">
        <f t="shared" ref="FE3:FE5" si="47">IF(COUNTIF(BL3:BT3,"BLU")=0,CHAR(34)&amp;"NO_BLU"&amp;CHAR(34)&amp;",", "")</f>
        <v/>
      </c>
      <c r="FF3" s="48" t="str">
        <f t="shared" ref="FF3:FF5" si="48">IF(COUNTIF(BL3:BT3,"WHI")=0,CHAR(34)&amp;"NO_WHI"&amp;CHAR(34)&amp;",", "")</f>
        <v/>
      </c>
      <c r="FG3" s="48" t="str">
        <f t="shared" ref="FG3:FG5" si="49">IF(COUNTIF(BL3:BT3,"RED")=0,CHAR(34)&amp;"NO_RED"&amp;CHAR(34)&amp;",", "")</f>
        <v>"NO_RED",</v>
      </c>
      <c r="FH3" s="48" t="str">
        <f t="shared" ref="FH3:FH5" si="50">IF(COUNTIF(BL3:BS3,"GRE")=0,CHAR(34)&amp;"NO_GRE"&amp;CHAR(34)&amp;",", "")</f>
        <v/>
      </c>
      <c r="FI3" s="48" t="str">
        <f t="shared" ref="FI3:FI5" si="51">IF(COUNTIF(BL3:BT3,"YEL")=0,CHAR(34)&amp;"NO_YEL"&amp;CHAR(34)&amp;",", "")</f>
        <v/>
      </c>
      <c r="FJ3" s="48" t="str">
        <f t="shared" ref="FJ3:FJ5" si="52">IF(COUNTIF(BL3:BT3,"BLA")=0,CHAR(34)&amp;"NO_BLA"&amp;CHAR(34)&amp;",", "")</f>
        <v>"NO_BLA",</v>
      </c>
      <c r="FK3" s="48" t="str">
        <f t="shared" ref="FK3:FK5" si="53">IF(AND(FH3&lt;&gt;"",FF3&lt;&gt;""),CHAR(34)&amp;"WHGRNO"&amp;CHAR(34)&amp;",","")</f>
        <v/>
      </c>
      <c r="FL3" s="48" t="str">
        <f t="shared" ref="FL3:FL5" si="54">IF(AND(FI3&lt;&gt;"",FF3&lt;&gt;""),CHAR(34)&amp;"WHYENO"&amp;CHAR(34)&amp;",","")</f>
        <v/>
      </c>
      <c r="FM3" s="48" t="str">
        <f t="shared" ref="FM3:FM5" si="55">IF(AND(FJ3&lt;&gt;"",FF3&lt;&gt;""),CHAR(34)&amp;"BAWHNO"&amp;CHAR(34)&amp;",","")</f>
        <v/>
      </c>
      <c r="FN3" s="48" t="str">
        <f t="shared" ref="FN3:FN5" si="56">IF(AND(FE3&lt;&gt;"",FF3&lt;&gt;""),CHAR(34)&amp;"BLWHNO"&amp;CHAR(34)&amp;",","")</f>
        <v/>
      </c>
      <c r="FO3" s="48" t="str">
        <f t="shared" ref="FO3:FO5" si="57">IF(AND(FE3&lt;&gt;"",FG3&lt;&gt;""),CHAR(34)&amp;"BLRENO"&amp;CHAR(34)&amp;",","")</f>
        <v/>
      </c>
      <c r="FP3" s="48" t="str">
        <f t="shared" ref="FP3:FP5" si="58">IF(AND(FF3&lt;&gt;"",FF3&lt;&gt;""),CHAR(34)&amp;"WHRENO"&amp;CHAR(34)&amp;",","")</f>
        <v/>
      </c>
      <c r="FQ3" s="48" t="str">
        <f t="shared" ref="FQ3:FQ5" si="59">IF(LEN(BF3)=3,CHAR(34)&amp;"001"&amp;BF3&amp;CHAR(34)&amp;",","")</f>
        <v>"001GRE",</v>
      </c>
      <c r="FR3" s="48" t="str">
        <f t="shared" ref="FR3:FR5" si="60">IF(LEN(BG3)=3,CHAR(34)&amp;"002"&amp;BG3&amp;CHAR(34)&amp;",","")</f>
        <v/>
      </c>
      <c r="FS3" s="48" t="str">
        <f t="shared" ref="FS3:FS5" si="61">IF(LEN(BH3)=3,CHAR(34)&amp;"003"&amp;BH3&amp;CHAR(34)&amp;",","")</f>
        <v>"003YEL",</v>
      </c>
      <c r="FT3" s="48" t="str">
        <f t="shared" ref="FT3:FT5" si="62">CHAR(34)&amp;"myr"&amp;BD3&amp;CHAR(34)&amp;","</f>
        <v>"myrEQ",</v>
      </c>
      <c r="FU3" s="48" t="str">
        <f t="shared" ref="FU3:FU5" si="63">IF(AY3="y",CHAR(34)&amp;"island"&amp;CHAR(34)&amp;",","")</f>
        <v/>
      </c>
      <c r="FV3" s="48" t="str">
        <f t="shared" ref="FV3:FV5" si="64">IF(BZ3="y",CHAR(34)&amp;"landlo"&amp;CHAR(34)&amp;",","")</f>
        <v/>
      </c>
      <c r="FW3" s="48" t="str">
        <f t="shared" ref="FW3:FW5" si="65">IF(CA3="y",CHAR(34)&amp;"eunion"&amp;CHAR(34)&amp;",","")</f>
        <v/>
      </c>
      <c r="FX3" s="48" t="str">
        <f t="shared" ref="FX3:FX5" si="66">SUBSTITUTE(IFERROR(SEARCH("[",A3),IFERROR(IF(AND(CA3&lt;&gt;"y",SEARCH("Europe",R3)&gt;0),CHAR(34)&amp;"noeuni"&amp;CHAR(34)&amp;",",""),"")),"1","")</f>
        <v/>
      </c>
      <c r="FY3" s="48" t="str">
        <f t="shared" ref="FY3:FY5" si="67">IFERROR(IF(SEARCH("Arabic",CB3)&gt;0,CHAR(34)&amp;"arabic"&amp;CHAR(34)&amp;",",""),"")</f>
        <v/>
      </c>
      <c r="FZ3" s="48" t="str">
        <f t="shared" ref="FZ3:FZ5" si="68">IFERROR(IF(SEARCH("English",CB3)&gt;0,CHAR(34)&amp;"englis"&amp;CHAR(34)&amp;",",""),"")</f>
        <v/>
      </c>
      <c r="GA3" s="48" t="str">
        <f t="shared" ref="GA3:GA5" si="69">IFERROR(IF(SEARCH("French",CB3)&gt;0,CHAR(34)&amp;"french"&amp;CHAR(34)&amp;",",""),"")</f>
        <v/>
      </c>
      <c r="GB3" s="48" t="str">
        <f t="shared" ref="GB3:GB5" si="70">IFERROR(IF(SEARCH("Spanish",CB3)&gt;0,CHAR(34)&amp;"spanis"&amp;CHAR(34)&amp;",",""),"")</f>
        <v/>
      </c>
      <c r="GC3" s="48" t="str">
        <f t="shared" ref="GC3:GC5" si="71">IFERROR(IF(SEARCH("Portuguese",CB3)&gt;0,CHAR(34)&amp;"portug"&amp;CHAR(34)&amp;",",""),"")</f>
        <v/>
      </c>
      <c r="GD3" s="48" t="str">
        <f t="shared" ref="GD3:GD5" si="72">IFERROR(IF(SEARCH("German",CB3)&gt;0,CHAR(34)&amp;"german"&amp;CHAR(34)&amp;",",""),"")</f>
        <v/>
      </c>
      <c r="GE3" s="48" t="str">
        <f t="shared" ref="GE3:GE5" si="73">IFERROR(IF(SEARCH("Dutch",CB3)&gt;0,CHAR(34)&amp;"dutchs"&amp;CHAR(34)&amp;",",""),"")</f>
        <v/>
      </c>
      <c r="GF3" s="48" t="str">
        <f t="shared" ref="GF3:GF5" si="74">IFERROR(IF(SEARCH("Historical",AU3)&gt;0,CHAR(34)&amp;"histor"&amp;CHAR(34)&amp;",",""),"")</f>
        <v/>
      </c>
      <c r="GG3" s="48" t="str">
        <f t="shared" ref="GG3:GG5" si="75">IF(BU3="y",CHAR(34)&amp;"unjack"&amp;CHAR(34)&amp;",","")</f>
        <v/>
      </c>
      <c r="GH3" s="48" t="str">
        <f t="shared" ref="GH3:GH5" si="76">IF(CD3=1,CHAR(34)&amp;"southc"&amp;CHAR(34)&amp;",","")</f>
        <v>"southc",</v>
      </c>
      <c r="GI3" s="48" t="str">
        <f t="shared" ref="GI3:GI5" si="77">IF(CE3=1,CHAR(34)&amp;"hasmap"&amp;CHAR(34)&amp;",","")</f>
        <v/>
      </c>
      <c r="GJ3" s="48" t="str">
        <f t="shared" ref="GJ3:GJ5" si="78">IF(CP3="y",CHAR(34)&amp;CP$1&amp;CHAR(34)&amp;",","")</f>
        <v>"NoStar",</v>
      </c>
      <c r="GK3" s="48" t="str">
        <f t="shared" ref="GK3:GK5" si="79">IF(GJ3="",CHAR(34)&amp;"HasSta"&amp;CHAR(34)&amp;",","")</f>
        <v/>
      </c>
      <c r="GL3" s="48" t="str">
        <f t="shared" si="4"/>
        <v/>
      </c>
      <c r="GM3" s="48" t="str">
        <f t="shared" si="4"/>
        <v/>
      </c>
      <c r="GN3" s="48" t="str">
        <f t="shared" si="4"/>
        <v/>
      </c>
      <c r="GP3" s="48" t="str">
        <f t="shared" ref="GP3:GP5" si="80">CHAR(34)&amp;AU3&amp;CHAR(34)</f>
        <v>"Autonomous Region"</v>
      </c>
      <c r="GS3" s="48" t="str">
        <f t="shared" ref="GS3:GS5" si="81">SUBSTITUTE("["&amp;_xlfn.CONCAT(CW3:GN3)&amp;"]",",]","]")</f>
        <v>["4Color","lets12","startB","with_v","year19","NoBand","Diagon","Circle","Center","NO_RED","NO_BLA","001GRE","003YEL","myrEQ","southc","NoStar"]</v>
      </c>
      <c r="GT3" s="48" t="str">
        <f t="shared" si="5"/>
        <v>"cl_GRE",</v>
      </c>
      <c r="GU3" s="48" t="str">
        <f t="shared" si="5"/>
        <v>"cl_YEL",</v>
      </c>
      <c r="GV3" s="48" t="str">
        <f t="shared" si="5"/>
        <v>"cl_BLU",</v>
      </c>
      <c r="GW3" s="48" t="str">
        <f t="shared" si="5"/>
        <v>"cl_WHI",</v>
      </c>
      <c r="GX3" s="48" t="str">
        <f t="shared" si="5"/>
        <v/>
      </c>
      <c r="GY3" s="48" t="str">
        <f t="shared" si="5"/>
        <v/>
      </c>
      <c r="GZ3" s="48" t="str">
        <f t="shared" si="5"/>
        <v/>
      </c>
      <c r="HA3" s="48" t="str">
        <f t="shared" si="5"/>
        <v/>
      </c>
      <c r="HB3" s="48" t="str">
        <f t="shared" si="5"/>
        <v/>
      </c>
      <c r="HC3" s="48" t="str">
        <f t="shared" ref="HC3:HC5" si="82">SUBSTITUTE("["&amp;_xlfn.CONCAT(GT3:HB3)&amp;"]",",]","]")</f>
        <v>["cl_GRE","cl_YEL","cl_BLU","cl_WHI"]</v>
      </c>
      <c r="HE3" s="71"/>
      <c r="HF3" s="72" t="str">
        <f t="shared" ref="HF3:HF5" si="83">"{couname:"&amp;CT3&amp;(IF(HK3&lt;&gt;"",",subtype:"&amp;CHAR(34)&amp;HK3&amp;CHAR(34),""))&amp;",year:"&amp;HJ3&amp;",region:"&amp;CU3&amp;",Colors:"&amp;HC3&amp;",Items:"&amp;GS3&amp;",Flag:"&amp;CV3&amp;",HDFlag:"&amp;CHAR(34)&amp;E3&amp;CHAR(34)&amp;",type:"&amp;GP3&amp;", describe: "&amp;HH3&amp;", isnew:"&amp;CHAR(34)&amp;F3&amp;CHAR(34)&amp;", links: "&amp;HL3&amp;"},"</f>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links: "https://en.wikipedia.org/wiki/Flag_of_Bougainville"},</v>
      </c>
      <c r="HG3" s="73" t="str">
        <f t="shared" ref="HG3:HG5" si="84">"{couname:"&amp;CT3&amp;(IF(HK3&lt;&gt;"",",subtype:"&amp;CHAR(34)&amp;HK3&amp;CHAR(34),""))&amp;",year:"&amp;HJ3&amp;",region:"&amp;CU3&amp;",Colors:"&amp;HC3&amp;",Items:"&amp;GS3&amp;",Flag:"&amp;CV3&amp;",HDFlag:"&amp;CHAR(34)&amp;E3&amp;CHAR(34)&amp;",type:"&amp;GP3&amp;", describe: "&amp;HI3&amp;", links: "&amp;HL3&amp;"},"</f>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links: "https://en.wikipedia.org/wiki/Flag_of_Bougainville"},</v>
      </c>
      <c r="HH3" s="48" t="str">
        <f t="shared" ref="HH3:HH5" si="85">IF(P3&lt;&gt;"",CHAR(34)&amp;"\n"&amp;P3&amp;CHAR(34),CHAR(34)&amp;CHAR(34))</f>
        <v>"\nAccording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v>
      </c>
      <c r="HI3" s="48" t="str">
        <f t="shared" ref="HI3:HI5" si="86">IF(J3=0,CHAR(34)&amp;CHAR(34),HH3)</f>
        <v>"\nAccording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v>
      </c>
      <c r="HJ3" s="48" t="str">
        <f t="shared" ref="HJ3:HJ5" si="87">CHAR(34)&amp;O3&amp;CHAR(34)</f>
        <v>"1975"</v>
      </c>
      <c r="HL3" s="48" t="str">
        <f t="shared" ref="HL3:HL5" si="88">CHAR(34)&amp;I3&amp;CHAR(34)</f>
        <v>"https://en.wikipedia.org/wiki/Flag_of_Bougainville"</v>
      </c>
      <c r="HM3" s="72" t="str">
        <f t="shared" ref="HM3:HM5"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 "links": "https://en.wikipedia.org/wiki/Flag_of_Bougainville"},</v>
      </c>
      <c r="HN3" s="74" t="str">
        <f t="shared" ref="HN3:HN5"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{"couname":"[PNG] Bougainville","year":"1975","region":"rgn_Oceania","Colors":["cl_GRE","cl_YEL","cl_BLU","cl_WHI"],"Items":["4Color","lets12","startB","with_v","year19","NoBand","Diagon","Circle","Center","NO_RED","NO_BLA","001GRE","003YEL","myrEQ","southc","NoStar"],"Flag":"https://upload.wikimedia.org/wikipedia/commons/thumb/e/e4/Flag_of_Bougainville.svg/640px-Flag_of_Bougainville.svg.png","HDFlag":"https://upload.wikimedia.org/wikipedia/commons/thumb/e/e4/Flag_of_Bougainville.svg/1280px-Flag_of_Bougainville.svg.png","type":"Autonomous Region", "describe": "\nAccording to the Bougainville Flag, Emblem and Anthem (Protection) Act 2018, the flag consists of 'a depiction of an upe superimposed over concentric discs of black and white on a cobalt blue field'. The upe is a traditional headdress worn by Bougainvillean men as a symbol of adulthood. The black disc 'represents the distinctive skin colour of the Bougainvillean people', while the white disc represents the kapkap, a traditional symbol of authority made from mother of pearl. The 24 green equilateral triangles within the kapkap symbolise 'the importance of land to the Bougainvillean people', the blue field represents the ocean. The official flag aspect ratio is 2:3.", "isnew": ".", "links": "https://en.wikipedia.org/wiki/Flag_of_Bougainville"},</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IL5" si="91">SUM(IC3:IK3)</f>
        <v>0</v>
      </c>
      <c r="IM3" s="45">
        <f t="shared" ref="IM3:IM5" si="92">COUNTIF(IC3:IK3,"&gt;0")-CG3</f>
        <v>-4</v>
      </c>
      <c r="IN3" s="78" t="str">
        <f t="shared" ref="IN3:IN5" si="93">"http://mkweb.bcgsc.ca/color-summarizer/?url="&amp;D3&amp;"&amp;precision=low&amp;num_clusters="&amp;CG3&amp;"&amp;text=1"</f>
        <v>http://mkweb.bcgsc.ca/color-summarizer/?url=https://upload.wikimedia.org/wikipedia/commons/thumb/e/e4/Flag_of_Bougainville.svg/640px-Flag_of_Bougainville.svg.png&amp;precision=low&amp;num_clusters=4&amp;text=1</v>
      </c>
      <c r="IO3" s="48" t="str">
        <f t="shared" ref="IO3:IO5" si="94">IF(HP3&lt;&gt;"",CHAR(34)&amp;"black"&amp;CHAR(34),"")</f>
        <v/>
      </c>
      <c r="IP3" s="48" t="str">
        <f t="shared" ref="IP3:IP5" si="95">IF(HQ3&lt;&gt;"",CHAR(34)&amp;"blue"&amp;CHAR(34),"")</f>
        <v>"blue"</v>
      </c>
      <c r="IQ3" s="48" t="str">
        <f t="shared" ref="IQ3:IQ5" si="96">IF(HR3&lt;&gt;"",CHAR(34)&amp;"green"&amp;CHAR(34),"")</f>
        <v>"green"</v>
      </c>
      <c r="IR3" s="48" t="str">
        <f t="shared" ref="IR3:IR5" si="97">IF(HS3&lt;&gt;"",CHAR(34)&amp;"red"&amp;CHAR(34),"")</f>
        <v/>
      </c>
      <c r="IS3" s="48" t="str">
        <f t="shared" ref="IS3:IS5" si="98">IF(HT3&lt;&gt;"",CHAR(34)&amp;"yellow"&amp;CHAR(34),"")</f>
        <v>"yellow"</v>
      </c>
      <c r="IT3" s="48" t="str">
        <f t="shared" ref="IT3:IT5" si="99">IF(HU3&lt;&gt;"",CHAR(34)&amp;"orange"&amp;CHAR(34),"")</f>
        <v/>
      </c>
      <c r="IU3" s="48" t="str">
        <f t="shared" ref="IU3:IU5" si="100">IF(HV3&lt;&gt;"",CHAR(34)&amp;"brown"&amp;CHAR(34),"")</f>
        <v/>
      </c>
      <c r="IV3" s="48" t="str">
        <f t="shared" ref="IV3:IV5" si="101">IF(HW3&lt;&gt;"",CHAR(34)&amp;"purple"&amp;CHAR(34),"")</f>
        <v/>
      </c>
      <c r="IW3" s="48" t="str">
        <f t="shared" ref="IW3:IW5" si="102">IF(HX3&lt;&gt;"",CHAR(34)&amp;"white"&amp;CHAR(34),"")</f>
        <v>"white"</v>
      </c>
      <c r="IX3" s="48" t="str">
        <f t="shared" ref="IX3:IX5" si="103">"{"&amp;CHAR(34)&amp;"url"&amp;CHAR(34)&amp;":"&amp;CHAR(34)&amp;IN3&amp;CHAR(34)&amp;","&amp;CHAR(34)&amp;"name"&amp;CHAR(34)&amp;":"&amp;CHAR(34)&amp;A3&amp;CHAR(34)&amp;"},"</f>
        <v>{"url":"http://mkweb.bcgsc.ca/color-summarizer/?url=https://upload.wikimedia.org/wikipedia/commons/thumb/e/e4/Flag_of_Bougainville.svg/640px-Flag_of_Bougainville.svg.png&amp;precision=low&amp;num_clusters=4&amp;text=1","name":"[PNG] Bougainville"},</v>
      </c>
      <c r="IY3" s="48">
        <v>335</v>
      </c>
    </row>
    <row r="4" spans="1:259" s="48" customFormat="1" ht="38.4" customHeight="1" thickBot="1" x14ac:dyDescent="0.35">
      <c r="A4" s="79" t="s">
        <v>587</v>
      </c>
      <c r="B4" s="40"/>
      <c r="C4" s="41">
        <v>2</v>
      </c>
      <c r="D4" s="42" t="s">
        <v>588</v>
      </c>
      <c r="E4" s="43" t="s">
        <v>588</v>
      </c>
      <c r="F4" s="44" t="s">
        <v>166</v>
      </c>
      <c r="G4" s="45">
        <f>COUNTIF($A$1:$A$8279,A4)</f>
        <v>1</v>
      </c>
      <c r="H4" s="46"/>
      <c r="I4" s="47" t="s">
        <v>589</v>
      </c>
      <c r="J4" s="48" t="str">
        <f>""</f>
        <v/>
      </c>
      <c r="K4" s="49"/>
      <c r="L4" s="50"/>
      <c r="M4" s="50"/>
      <c r="N4" s="51" t="s">
        <v>169</v>
      </c>
      <c r="O4" s="52" t="s">
        <v>355</v>
      </c>
      <c r="P4" s="53" t="s">
        <v>590</v>
      </c>
      <c r="Q4" s="54">
        <v>2</v>
      </c>
      <c r="R4" s="55" t="s">
        <v>169</v>
      </c>
      <c r="S4" s="56">
        <v>0</v>
      </c>
      <c r="T4" s="57" t="s">
        <v>172</v>
      </c>
      <c r="U4" s="58" t="s">
        <v>173</v>
      </c>
      <c r="V4" s="58" t="s">
        <v>173</v>
      </c>
      <c r="W4" s="58" t="s">
        <v>173</v>
      </c>
      <c r="X4" s="58" t="s">
        <v>173</v>
      </c>
      <c r="Y4" s="58" t="s">
        <v>173</v>
      </c>
      <c r="Z4" s="58" t="s">
        <v>173</v>
      </c>
      <c r="AA4" s="58" t="s">
        <v>173</v>
      </c>
      <c r="AB4" s="58" t="s">
        <v>173</v>
      </c>
      <c r="AC4" s="58" t="s">
        <v>173</v>
      </c>
      <c r="AD4" s="58" t="s">
        <v>173</v>
      </c>
      <c r="AE4" s="58" t="s">
        <v>173</v>
      </c>
      <c r="AF4" s="59" t="s">
        <v>173</v>
      </c>
      <c r="AG4" s="59" t="s">
        <v>173</v>
      </c>
      <c r="AH4" s="59" t="s">
        <v>173</v>
      </c>
      <c r="AI4" s="59" t="s">
        <v>173</v>
      </c>
      <c r="AJ4" s="59" t="s">
        <v>173</v>
      </c>
      <c r="AK4" s="59" t="s">
        <v>173</v>
      </c>
      <c r="AL4" s="59" t="s">
        <v>173</v>
      </c>
      <c r="AM4" s="59" t="s">
        <v>173</v>
      </c>
      <c r="AN4" s="59" t="s">
        <v>173</v>
      </c>
      <c r="AO4" s="59" t="s">
        <v>173</v>
      </c>
      <c r="AP4" s="59" t="s">
        <v>172</v>
      </c>
      <c r="AQ4" s="59" t="s">
        <v>173</v>
      </c>
      <c r="AR4" s="59" t="s">
        <v>173</v>
      </c>
      <c r="AS4" s="59" t="s">
        <v>173</v>
      </c>
      <c r="AT4" s="60">
        <v>6</v>
      </c>
      <c r="AU4" s="59" t="s">
        <v>467</v>
      </c>
      <c r="AV4" s="59" t="str">
        <f>IF(LEFT(A4,1)="[",LEFT(A4,5)&amp;AU4&amp;A4,"")</f>
        <v>[PNG]Province[PNG] Central Province</v>
      </c>
      <c r="AW4" s="59" t="str">
        <f>C4&amp;H4&amp;A4</f>
        <v>2[PNG] Central Province</v>
      </c>
      <c r="AX4" s="61"/>
      <c r="AY4" s="61"/>
      <c r="AZ4" s="62" t="s">
        <v>159</v>
      </c>
      <c r="BA4" s="62"/>
      <c r="BB4" s="62"/>
      <c r="BC4" s="63"/>
      <c r="BD4" s="64" t="s">
        <v>159</v>
      </c>
      <c r="BE4" s="47"/>
      <c r="BF4" s="64" t="s">
        <v>154</v>
      </c>
      <c r="BG4" s="64" t="s">
        <v>154</v>
      </c>
      <c r="BH4" s="64" t="s">
        <v>154</v>
      </c>
      <c r="BI4" s="64" t="s">
        <v>159</v>
      </c>
      <c r="BJ4" s="64" t="s">
        <v>151</v>
      </c>
      <c r="BK4" s="47"/>
      <c r="BL4" s="64" t="s">
        <v>154</v>
      </c>
      <c r="BM4" s="64" t="s">
        <v>159</v>
      </c>
      <c r="BN4" s="64" t="s">
        <v>151</v>
      </c>
      <c r="BO4" s="64" t="s">
        <v>152</v>
      </c>
      <c r="BP4" s="64"/>
      <c r="BQ4" s="64"/>
      <c r="BR4" s="64"/>
      <c r="BS4" s="64"/>
      <c r="BT4" s="64"/>
      <c r="BU4" s="65" t="s">
        <v>173</v>
      </c>
      <c r="BV4" s="66"/>
      <c r="BW4" s="66">
        <v>0</v>
      </c>
      <c r="BX4" s="47"/>
      <c r="CB4" s="6"/>
      <c r="CC4" s="6"/>
      <c r="CD4" s="67">
        <v>0</v>
      </c>
      <c r="CE4" s="67">
        <v>0</v>
      </c>
      <c r="CF4" s="67" t="e">
        <v>#REF!</v>
      </c>
      <c r="CG4" s="68" cm="1">
        <f t="array" ref="CG4">SUMPRODUCT(--(LEN(TRIM(BL4:BT4))&gt;0))</f>
        <v>4</v>
      </c>
      <c r="CH4" s="59" t="str">
        <f t="shared" si="6"/>
        <v>n</v>
      </c>
      <c r="CI4" s="59" t="str">
        <f t="shared" si="7"/>
        <v>n</v>
      </c>
      <c r="CJ4" s="59" t="str">
        <f t="shared" si="8"/>
        <v>y</v>
      </c>
      <c r="CK4" s="59" t="str">
        <f t="shared" si="9"/>
        <v>n</v>
      </c>
      <c r="CL4" s="59" t="str">
        <f t="shared" si="10"/>
        <v>y</v>
      </c>
      <c r="CM4" s="59" t="str">
        <f t="shared" si="11"/>
        <v>n</v>
      </c>
      <c r="CN4" s="59" t="str">
        <f t="shared" si="12"/>
        <v>n</v>
      </c>
      <c r="CO4" s="59" t="str">
        <f t="shared" si="13"/>
        <v>n</v>
      </c>
      <c r="CP4" s="59" t="str">
        <f t="shared" si="14"/>
        <v>n</v>
      </c>
      <c r="CQ4" s="59" t="str">
        <f t="shared" si="15"/>
        <v>n</v>
      </c>
      <c r="CR4" s="59" t="str">
        <f t="shared" si="16"/>
        <v>n</v>
      </c>
      <c r="CS4" s="59" t="str">
        <f t="shared" si="17"/>
        <v>y</v>
      </c>
      <c r="CT4" s="69" t="str">
        <f t="shared" si="18"/>
        <v>"[PNG] Central Province"</v>
      </c>
      <c r="CU4" s="70" t="str">
        <f t="shared" si="19"/>
        <v>"rgn_Oceania"</v>
      </c>
      <c r="CV4" s="48" t="str">
        <f t="shared" si="20"/>
        <v>"https://upload.wikimedia.org/wikipedia/commons/8/84/Flag_of_Central_Province%2C_Papua_New_Guinea.svg"</v>
      </c>
      <c r="CW4" s="48" t="str">
        <f t="shared" si="0"/>
        <v/>
      </c>
      <c r="CX4" s="48" t="str">
        <f t="shared" si="0"/>
        <v/>
      </c>
      <c r="CY4" s="48" t="str">
        <f t="shared" si="0"/>
        <v>"4Color",</v>
      </c>
      <c r="CZ4" s="48" t="str">
        <f t="shared" si="0"/>
        <v/>
      </c>
      <c r="DA4" s="48" t="str">
        <f t="shared" si="21"/>
        <v>"words2",</v>
      </c>
      <c r="DB4" s="48" t="str">
        <f t="shared" si="22"/>
        <v/>
      </c>
      <c r="DC4" s="48" t="str">
        <f t="shared" si="23"/>
        <v>"exact2",</v>
      </c>
      <c r="DD4" s="48" t="str">
        <f t="shared" si="24"/>
        <v>"lets15",</v>
      </c>
      <c r="DE4" s="48" t="str">
        <f t="shared" si="25"/>
        <v>"startC",</v>
      </c>
      <c r="DF4" s="48" t="str">
        <f t="shared" si="26"/>
        <v/>
      </c>
      <c r="DG4" s="48" t="str">
        <f t="shared" si="27"/>
        <v/>
      </c>
      <c r="DH4" s="48" t="str">
        <f t="shared" si="28"/>
        <v>"with_v",</v>
      </c>
      <c r="DI4" s="48" t="str">
        <f t="shared" si="29"/>
        <v/>
      </c>
      <c r="DJ4" s="48" t="str">
        <f t="shared" si="30"/>
        <v/>
      </c>
      <c r="DK4" s="48" t="str">
        <f t="shared" si="31"/>
        <v/>
      </c>
      <c r="DL4" s="48" t="str">
        <f t="shared" si="32"/>
        <v/>
      </c>
      <c r="DM4" s="48" t="str" cm="1">
        <f t="array" ref="DM4">IF(CG4=3,CHAR(34) &amp; _xlfn.TEXTJOIN("", TRUE, RIGHT(HP4:HX4, 2)) &amp; CHAR(34) &amp; ",", "")</f>
        <v/>
      </c>
      <c r="DN4" s="48" t="str">
        <f t="shared" si="33"/>
        <v/>
      </c>
      <c r="DO4" s="48" t="str">
        <f t="shared" si="34"/>
        <v/>
      </c>
      <c r="DP4" s="6" t="str">
        <f t="shared" si="35"/>
        <v/>
      </c>
      <c r="DQ4" s="6" t="str">
        <f t="shared" si="36"/>
        <v/>
      </c>
      <c r="DR4" s="6" t="str">
        <f t="shared" si="37"/>
        <v/>
      </c>
      <c r="DS4" s="6" t="str">
        <f t="shared" si="38"/>
        <v/>
      </c>
      <c r="DT4" s="6" t="str">
        <f t="shared" si="39"/>
        <v/>
      </c>
      <c r="DU4" s="6" t="str">
        <f t="shared" si="40"/>
        <v/>
      </c>
      <c r="DV4" s="48" t="str">
        <f t="shared" si="41"/>
        <v/>
      </c>
      <c r="DW4" s="48" t="str">
        <f t="shared" si="1"/>
        <v>"NoBand",</v>
      </c>
      <c r="DX4" s="48" t="str">
        <f t="shared" si="1"/>
        <v/>
      </c>
      <c r="DY4" s="48" t="str">
        <f t="shared" si="1"/>
        <v/>
      </c>
      <c r="DZ4" s="48" t="str">
        <f t="shared" si="1"/>
        <v/>
      </c>
      <c r="EA4" s="48" t="str">
        <f t="shared" si="2"/>
        <v>"Diagon",</v>
      </c>
      <c r="EB4" s="48" t="str">
        <f t="shared" si="2"/>
        <v/>
      </c>
      <c r="EC4" s="48" t="str">
        <f t="shared" si="2"/>
        <v/>
      </c>
      <c r="ED4" s="48" t="str">
        <f t="shared" si="2"/>
        <v/>
      </c>
      <c r="EE4" s="48" t="str">
        <f t="shared" si="2"/>
        <v/>
      </c>
      <c r="EF4" s="48" t="str">
        <f t="shared" si="42"/>
        <v/>
      </c>
      <c r="EG4" s="48" t="str">
        <f t="shared" si="3"/>
        <v/>
      </c>
      <c r="EH4" s="48" t="str">
        <f t="shared" si="3"/>
        <v/>
      </c>
      <c r="EI4" s="48" t="str">
        <f t="shared" si="3"/>
        <v/>
      </c>
      <c r="EJ4" s="48" t="str">
        <f t="shared" si="3"/>
        <v/>
      </c>
      <c r="EK4" s="48" t="str">
        <f t="shared" si="3"/>
        <v/>
      </c>
      <c r="EL4" s="48" t="str">
        <f t="shared" si="3"/>
        <v/>
      </c>
      <c r="EM4" s="48" t="str">
        <f t="shared" si="3"/>
        <v/>
      </c>
      <c r="EN4" s="48" t="str">
        <f t="shared" si="3"/>
        <v/>
      </c>
      <c r="EO4" s="48" t="str">
        <f t="shared" si="3"/>
        <v/>
      </c>
      <c r="EP4" s="48" t="str">
        <f t="shared" si="3"/>
        <v/>
      </c>
      <c r="EQ4" s="48" t="str">
        <f t="shared" si="3"/>
        <v/>
      </c>
      <c r="ER4" s="48" t="str">
        <f t="shared" si="3"/>
        <v/>
      </c>
      <c r="ES4" s="48" t="str">
        <f t="shared" si="3"/>
        <v/>
      </c>
      <c r="ET4" s="48" t="str">
        <f t="shared" si="3"/>
        <v/>
      </c>
      <c r="EU4" s="48" t="str">
        <f t="shared" si="3"/>
        <v/>
      </c>
      <c r="EV4" s="48" t="str">
        <f t="shared" si="3"/>
        <v/>
      </c>
      <c r="EW4" s="48" t="str">
        <f t="shared" si="3"/>
        <v>"Ships!",</v>
      </c>
      <c r="EX4" s="48" t="str">
        <f t="shared" si="3"/>
        <v/>
      </c>
      <c r="EY4" s="48" t="str">
        <f t="shared" si="3"/>
        <v/>
      </c>
      <c r="EZ4" s="48" t="str">
        <f t="shared" si="3"/>
        <v/>
      </c>
      <c r="FA4" s="48" t="str">
        <f t="shared" si="43"/>
        <v>"staWHI",</v>
      </c>
      <c r="FB4" s="48" t="str">
        <f t="shared" si="44"/>
        <v/>
      </c>
      <c r="FC4" s="48" t="str">
        <f t="shared" si="45"/>
        <v/>
      </c>
      <c r="FD4" s="48" t="str">
        <f t="shared" si="46"/>
        <v/>
      </c>
      <c r="FE4" s="48" t="str">
        <f t="shared" si="47"/>
        <v/>
      </c>
      <c r="FF4" s="48" t="str">
        <f t="shared" si="48"/>
        <v/>
      </c>
      <c r="FG4" s="48" t="str">
        <f t="shared" si="49"/>
        <v/>
      </c>
      <c r="FH4" s="48" t="str">
        <f t="shared" si="50"/>
        <v>"NO_GRE",</v>
      </c>
      <c r="FI4" s="48" t="str">
        <f t="shared" si="51"/>
        <v>"NO_YEL",</v>
      </c>
      <c r="FJ4" s="48" t="str">
        <f t="shared" si="52"/>
        <v/>
      </c>
      <c r="FK4" s="48" t="str">
        <f t="shared" si="53"/>
        <v/>
      </c>
      <c r="FL4" s="48" t="str">
        <f t="shared" si="54"/>
        <v/>
      </c>
      <c r="FM4" s="48" t="str">
        <f t="shared" si="55"/>
        <v/>
      </c>
      <c r="FN4" s="48" t="str">
        <f t="shared" si="56"/>
        <v/>
      </c>
      <c r="FO4" s="48" t="str">
        <f t="shared" si="57"/>
        <v/>
      </c>
      <c r="FP4" s="48" t="str">
        <f t="shared" si="58"/>
        <v/>
      </c>
      <c r="FQ4" s="48" t="str">
        <f t="shared" si="59"/>
        <v>"001RED",</v>
      </c>
      <c r="FR4" s="48" t="str">
        <f t="shared" si="60"/>
        <v>"002RED",</v>
      </c>
      <c r="FS4" s="48" t="str">
        <f t="shared" si="61"/>
        <v>"003RED",</v>
      </c>
      <c r="FT4" s="48" t="str">
        <f t="shared" si="62"/>
        <v>"myrWHI",</v>
      </c>
      <c r="FU4" s="48" t="str">
        <f t="shared" si="63"/>
        <v/>
      </c>
      <c r="FV4" s="48" t="str">
        <f t="shared" si="64"/>
        <v/>
      </c>
      <c r="FW4" s="48" t="str">
        <f t="shared" si="65"/>
        <v/>
      </c>
      <c r="FX4" s="48" t="str">
        <f t="shared" si="66"/>
        <v/>
      </c>
      <c r="FY4" s="48" t="str">
        <f t="shared" si="67"/>
        <v/>
      </c>
      <c r="FZ4" s="48" t="str">
        <f t="shared" si="68"/>
        <v/>
      </c>
      <c r="GA4" s="48" t="str">
        <f t="shared" si="69"/>
        <v/>
      </c>
      <c r="GB4" s="48" t="str">
        <f t="shared" si="70"/>
        <v/>
      </c>
      <c r="GC4" s="48" t="str">
        <f t="shared" si="71"/>
        <v/>
      </c>
      <c r="GD4" s="48" t="str">
        <f t="shared" si="72"/>
        <v/>
      </c>
      <c r="GE4" s="48" t="str">
        <f t="shared" si="73"/>
        <v/>
      </c>
      <c r="GF4" s="48" t="str">
        <f t="shared" si="74"/>
        <v/>
      </c>
      <c r="GG4" s="48" t="str">
        <f t="shared" si="75"/>
        <v/>
      </c>
      <c r="GH4" s="48" t="str">
        <f t="shared" si="76"/>
        <v/>
      </c>
      <c r="GI4" s="48" t="str">
        <f t="shared" si="77"/>
        <v/>
      </c>
      <c r="GJ4" s="48" t="str">
        <f t="shared" si="78"/>
        <v/>
      </c>
      <c r="GK4" s="48" t="str">
        <f t="shared" si="79"/>
        <v>"HasSta",</v>
      </c>
      <c r="GL4" s="48" t="str">
        <f t="shared" si="4"/>
        <v/>
      </c>
      <c r="GM4" s="48" t="str">
        <f t="shared" si="4"/>
        <v/>
      </c>
      <c r="GN4" s="48" t="str">
        <f t="shared" si="4"/>
        <v>"3+Star",</v>
      </c>
      <c r="GP4" s="48" t="str">
        <f t="shared" si="80"/>
        <v>"Province"</v>
      </c>
      <c r="GS4" s="48" t="str">
        <f t="shared" si="81"/>
        <v>["4Color","words2","exact2","lets15","startC","with_v","NoBand","Diagon","Ships!","staWHI","NO_GRE","NO_YEL","001RED","002RED","003RED","myrWHI","HasSta","3+Star"]</v>
      </c>
      <c r="GT4" s="48" t="str">
        <f t="shared" si="5"/>
        <v>"cl_RED",</v>
      </c>
      <c r="GU4" s="48" t="str">
        <f t="shared" si="5"/>
        <v>"cl_WHI",</v>
      </c>
      <c r="GV4" s="48" t="str">
        <f t="shared" si="5"/>
        <v>"cl_BLA",</v>
      </c>
      <c r="GW4" s="48" t="str">
        <f t="shared" si="5"/>
        <v>"cl_BLU",</v>
      </c>
      <c r="GX4" s="48" t="str">
        <f t="shared" si="5"/>
        <v/>
      </c>
      <c r="GY4" s="48" t="str">
        <f t="shared" si="5"/>
        <v/>
      </c>
      <c r="GZ4" s="48" t="str">
        <f t="shared" si="5"/>
        <v/>
      </c>
      <c r="HA4" s="48" t="str">
        <f t="shared" si="5"/>
        <v/>
      </c>
      <c r="HB4" s="48" t="str">
        <f t="shared" si="5"/>
        <v/>
      </c>
      <c r="HC4" s="48" t="str">
        <f t="shared" si="82"/>
        <v>["cl_RED","cl_WHI","cl_BLA","cl_BLU"]</v>
      </c>
      <c r="HE4" s="71"/>
      <c r="HF4" s="72" t="str">
        <f t="shared" si="83"/>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isnew:".", links: "https://en.wikipedia.org/wiki/Central_Province_(Papua_New_Guinea)"},</v>
      </c>
      <c r="HG4" s="73" t="str">
        <f t="shared" si="84"/>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links: "https://en.wikipedia.org/wiki/Central_Province_(Papua_New_Guinea)"},</v>
      </c>
      <c r="HH4" s="48" t="str">
        <f t="shared" si="85"/>
        <v>"\nNot Available"</v>
      </c>
      <c r="HI4" s="48" t="str">
        <f t="shared" si="86"/>
        <v>"\nNot Available"</v>
      </c>
      <c r="HJ4" s="48" t="str">
        <f t="shared" si="87"/>
        <v>"???"</v>
      </c>
      <c r="HL4" s="48" t="str">
        <f t="shared" si="88"/>
        <v>"https://en.wikipedia.org/wiki/Central_Province_(Papua_New_Guinea)"</v>
      </c>
      <c r="HM4" s="72" t="str">
        <f t="shared" si="89"/>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"isnew": ".", "links": "https://en.wikipedia.org/wiki/Central_Province_(Papua_New_Guinea)"},</v>
      </c>
      <c r="HN4" s="74" t="str">
        <f t="shared" si="90"/>
        <v>{"couname":"[PNG] Central Province","year":"???","region":"rgn_Oceania","Colors":["cl_RED","cl_WHI","cl_BLA","cl_BLU"],"Items":["4Color","words2","exact2","lets15","startC","with_v","NoBand","Diagon","Ships!","staWHI","NO_GRE","NO_YEL","001RED","002RED","003RED","myrWHI","HasSta","3+Star"],"Flag":"https://upload.wikimedia.org/wikipedia/commons/8/84/Flag_of_Central_Province%2C_Papua_New_Guinea.svg","HDFlag":"https://upload.wikimedia.org/wikipedia/commons/8/84/Flag_of_Central_Province%2C_Papua_New_Guinea.svg","type":"Province", "describe": "\nNot Available", "isnew": ".", "links": "https://en.wikipedia.org/wiki/Central_Province_(Papua_New_Guinea)"},</v>
      </c>
      <c r="HO4" s="75"/>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RED</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L4" s="48">
        <f t="shared" si="91"/>
        <v>0</v>
      </c>
      <c r="IM4" s="45">
        <f t="shared" si="92"/>
        <v>-4</v>
      </c>
      <c r="IN4" s="78" t="str">
        <f t="shared" si="93"/>
        <v>http://mkweb.bcgsc.ca/color-summarizer/?url=https://upload.wikimedia.org/wikipedia/commons/8/84/Flag_of_Central_Province%2C_Papua_New_Guinea.svg&amp;precision=low&amp;num_clusters=4&amp;text=1</v>
      </c>
      <c r="IO4" s="48" t="str">
        <f t="shared" si="94"/>
        <v>"black"</v>
      </c>
      <c r="IP4" s="48" t="str">
        <f t="shared" si="95"/>
        <v>"blue"</v>
      </c>
      <c r="IQ4" s="48" t="str">
        <f t="shared" si="96"/>
        <v/>
      </c>
      <c r="IR4" s="48" t="str">
        <f t="shared" si="97"/>
        <v>"red"</v>
      </c>
      <c r="IS4" s="48" t="str">
        <f t="shared" si="98"/>
        <v/>
      </c>
      <c r="IT4" s="48" t="str">
        <f t="shared" si="99"/>
        <v/>
      </c>
      <c r="IU4" s="48" t="str">
        <f t="shared" si="100"/>
        <v/>
      </c>
      <c r="IV4" s="48" t="str">
        <f t="shared" si="101"/>
        <v/>
      </c>
      <c r="IW4" s="48" t="str">
        <f t="shared" si="102"/>
        <v>"white"</v>
      </c>
      <c r="IX4" s="48" t="str">
        <f t="shared" si="103"/>
        <v>{"url":"http://mkweb.bcgsc.ca/color-summarizer/?url=https://upload.wikimedia.org/wikipedia/commons/8/84/Flag_of_Central_Province%2C_Papua_New_Guinea.svg&amp;precision=low&amp;num_clusters=4&amp;text=1","name":"[PNG] Central Province"},</v>
      </c>
      <c r="IY4" s="48">
        <v>336</v>
      </c>
    </row>
    <row r="5" spans="1:259" s="48" customFormat="1" ht="38.4" customHeight="1" thickBot="1" x14ac:dyDescent="0.35">
      <c r="A5" s="79" t="s">
        <v>591</v>
      </c>
      <c r="B5" s="40"/>
      <c r="C5" s="41">
        <v>2</v>
      </c>
      <c r="D5" s="42" t="s">
        <v>592</v>
      </c>
      <c r="E5" s="43" t="s">
        <v>592</v>
      </c>
      <c r="F5" s="44" t="s">
        <v>166</v>
      </c>
      <c r="G5" s="45">
        <f>COUNTIF($A$1:$A$8279,A5)</f>
        <v>1</v>
      </c>
      <c r="H5" s="46"/>
      <c r="I5" s="47" t="s">
        <v>593</v>
      </c>
      <c r="J5" s="48" t="str">
        <f>""</f>
        <v/>
      </c>
      <c r="K5" s="49"/>
      <c r="L5" s="50"/>
      <c r="M5" s="50"/>
      <c r="N5" s="51" t="s">
        <v>169</v>
      </c>
      <c r="O5" s="52" t="s">
        <v>355</v>
      </c>
      <c r="P5" s="53" t="s">
        <v>590</v>
      </c>
      <c r="Q5" s="54">
        <v>1</v>
      </c>
      <c r="R5" s="55" t="s">
        <v>169</v>
      </c>
      <c r="S5" s="56">
        <v>3</v>
      </c>
      <c r="T5" s="57" t="s">
        <v>172</v>
      </c>
      <c r="U5" s="58" t="s">
        <v>173</v>
      </c>
      <c r="V5" s="58" t="s">
        <v>173</v>
      </c>
      <c r="W5" s="58" t="s">
        <v>173</v>
      </c>
      <c r="X5" s="58" t="s">
        <v>172</v>
      </c>
      <c r="Y5" s="58" t="s">
        <v>172</v>
      </c>
      <c r="Z5" s="58" t="s">
        <v>173</v>
      </c>
      <c r="AA5" s="58" t="s">
        <v>172</v>
      </c>
      <c r="AB5" s="58" t="s">
        <v>173</v>
      </c>
      <c r="AC5" s="58" t="s">
        <v>172</v>
      </c>
      <c r="AD5" s="58" t="s">
        <v>173</v>
      </c>
      <c r="AE5" s="58" t="s">
        <v>173</v>
      </c>
      <c r="AF5" s="59" t="s">
        <v>173</v>
      </c>
      <c r="AG5" s="59" t="s">
        <v>172</v>
      </c>
      <c r="AH5" s="59" t="s">
        <v>173</v>
      </c>
      <c r="AI5" s="59" t="s">
        <v>173</v>
      </c>
      <c r="AJ5" s="59" t="s">
        <v>173</v>
      </c>
      <c r="AK5" s="59" t="s">
        <v>173</v>
      </c>
      <c r="AL5" s="59" t="s">
        <v>173</v>
      </c>
      <c r="AM5" s="59" t="s">
        <v>173</v>
      </c>
      <c r="AN5" s="59" t="s">
        <v>173</v>
      </c>
      <c r="AO5" s="59" t="s">
        <v>173</v>
      </c>
      <c r="AP5" s="59" t="s">
        <v>173</v>
      </c>
      <c r="AQ5" s="59" t="s">
        <v>173</v>
      </c>
      <c r="AR5" s="59" t="s">
        <v>173</v>
      </c>
      <c r="AS5" s="59" t="s">
        <v>173</v>
      </c>
      <c r="AT5" s="60">
        <v>5</v>
      </c>
      <c r="AU5" s="59" t="s">
        <v>467</v>
      </c>
      <c r="AV5" s="59" t="str">
        <f>IF(LEFT(A5,1)="[",LEFT(A5,5)&amp;AU5&amp;A5,"")</f>
        <v>[PNG]Province[PNG] Chimbu</v>
      </c>
      <c r="AW5" s="59" t="str">
        <f>C5&amp;H5&amp;A5</f>
        <v>2[PNG] Chimbu</v>
      </c>
      <c r="AX5" s="61"/>
      <c r="AY5" s="61"/>
      <c r="AZ5" s="62" t="s">
        <v>155</v>
      </c>
      <c r="BA5" s="62"/>
      <c r="BB5" s="62"/>
      <c r="BC5" s="63"/>
      <c r="BD5" s="64" t="s">
        <v>152</v>
      </c>
      <c r="BE5" s="47"/>
      <c r="BF5" s="64"/>
      <c r="BG5" s="64"/>
      <c r="BH5" s="64"/>
      <c r="BI5" s="64"/>
      <c r="BJ5" s="64"/>
      <c r="BK5" s="47"/>
      <c r="BL5" s="64" t="s">
        <v>152</v>
      </c>
      <c r="BM5" s="64" t="s">
        <v>159</v>
      </c>
      <c r="BN5" s="64" t="s">
        <v>153</v>
      </c>
      <c r="BO5" s="64" t="s">
        <v>155</v>
      </c>
      <c r="BP5" s="64"/>
      <c r="BQ5" s="64"/>
      <c r="BR5" s="64"/>
      <c r="BS5" s="64"/>
      <c r="BT5" s="64"/>
      <c r="BU5" s="65"/>
      <c r="BV5" s="66"/>
      <c r="BW5" s="66">
        <v>0</v>
      </c>
      <c r="BX5" s="47"/>
      <c r="BY5" s="48" t="s">
        <v>173</v>
      </c>
      <c r="CB5" s="6"/>
      <c r="CC5" s="6"/>
      <c r="CD5" s="67">
        <v>0</v>
      </c>
      <c r="CE5" s="67">
        <v>0</v>
      </c>
      <c r="CF5" s="67" t="e">
        <v>#REF!</v>
      </c>
      <c r="CG5" s="68" cm="1">
        <f t="array" ref="CG5">SUMPRODUCT(--(LEN(TRIM(BL5:BT5))&gt;0))</f>
        <v>4</v>
      </c>
      <c r="CH5" s="59" t="str">
        <f t="shared" si="6"/>
        <v>n</v>
      </c>
      <c r="CI5" s="59" t="str">
        <f t="shared" si="7"/>
        <v>n</v>
      </c>
      <c r="CJ5" s="59" t="str">
        <f t="shared" si="8"/>
        <v>y</v>
      </c>
      <c r="CK5" s="59" t="str">
        <f t="shared" si="9"/>
        <v>n</v>
      </c>
      <c r="CL5" s="59" t="str">
        <f t="shared" si="10"/>
        <v>n</v>
      </c>
      <c r="CM5" s="59" t="str">
        <f t="shared" si="11"/>
        <v>n</v>
      </c>
      <c r="CN5" s="59" t="str">
        <f t="shared" si="12"/>
        <v>y</v>
      </c>
      <c r="CO5" s="59" t="str">
        <f t="shared" si="13"/>
        <v>n</v>
      </c>
      <c r="CP5" s="59" t="str">
        <f t="shared" si="14"/>
        <v>n</v>
      </c>
      <c r="CQ5" s="59" t="str">
        <f t="shared" si="15"/>
        <v>n</v>
      </c>
      <c r="CR5" s="59" t="str">
        <f t="shared" si="16"/>
        <v>n</v>
      </c>
      <c r="CS5" s="59" t="str">
        <f t="shared" si="17"/>
        <v>y</v>
      </c>
      <c r="CT5" s="69" t="str">
        <f t="shared" si="18"/>
        <v>"[PNG] Chimbu"</v>
      </c>
      <c r="CU5" s="70" t="str">
        <f t="shared" si="19"/>
        <v>"rgn_Oceania"</v>
      </c>
      <c r="CV5" s="48" t="str">
        <f t="shared" si="20"/>
        <v>"https://upload.wikimedia.org/wikipedia/commons/e/ea/Flag_of_Chimbu.svg"</v>
      </c>
      <c r="CW5" s="48" t="str">
        <f t="shared" si="0"/>
        <v/>
      </c>
      <c r="CX5" s="48" t="str">
        <f t="shared" si="0"/>
        <v/>
      </c>
      <c r="CY5" s="48" t="str">
        <f t="shared" si="0"/>
        <v>"4Color",</v>
      </c>
      <c r="CZ5" s="48" t="str">
        <f t="shared" si="0"/>
        <v/>
      </c>
      <c r="DA5" s="48" t="str">
        <f t="shared" si="21"/>
        <v/>
      </c>
      <c r="DB5" s="48" t="str">
        <f t="shared" si="22"/>
        <v/>
      </c>
      <c r="DC5" s="48" t="str">
        <f t="shared" si="23"/>
        <v/>
      </c>
      <c r="DD5" s="48" t="str">
        <f t="shared" si="24"/>
        <v>"lets06",</v>
      </c>
      <c r="DE5" s="48" t="str">
        <f t="shared" si="25"/>
        <v>"startC",</v>
      </c>
      <c r="DF5" s="48" t="str">
        <f t="shared" si="26"/>
        <v/>
      </c>
      <c r="DG5" s="48" t="str">
        <f t="shared" si="27"/>
        <v/>
      </c>
      <c r="DH5" s="48" t="str">
        <f t="shared" si="28"/>
        <v/>
      </c>
      <c r="DI5" s="48" t="str">
        <f t="shared" si="29"/>
        <v/>
      </c>
      <c r="DJ5" s="48" t="str">
        <f t="shared" si="30"/>
        <v/>
      </c>
      <c r="DK5" s="48" t="str">
        <f t="shared" si="31"/>
        <v/>
      </c>
      <c r="DL5" s="48" t="str">
        <f t="shared" si="32"/>
        <v/>
      </c>
      <c r="DM5" s="48" t="str" cm="1">
        <f t="array" ref="DM5">IF(CG5=3,CHAR(34) &amp; _xlfn.TEXTJOIN("", TRUE, RIGHT(HP5:HX5, 2)) &amp; CHAR(34) &amp; ",", "")</f>
        <v/>
      </c>
      <c r="DN5" s="48" t="str">
        <f t="shared" si="33"/>
        <v/>
      </c>
      <c r="DO5" s="48" t="str">
        <f t="shared" si="34"/>
        <v/>
      </c>
      <c r="DP5" s="6" t="str">
        <f t="shared" si="35"/>
        <v/>
      </c>
      <c r="DQ5" s="6" t="str">
        <f t="shared" si="36"/>
        <v/>
      </c>
      <c r="DR5" s="6" t="str">
        <f t="shared" si="37"/>
        <v/>
      </c>
      <c r="DS5" s="6" t="str">
        <f t="shared" si="38"/>
        <v/>
      </c>
      <c r="DT5" s="6" t="str">
        <f t="shared" si="39"/>
        <v/>
      </c>
      <c r="DU5" s="6" t="str">
        <f t="shared" si="40"/>
        <v/>
      </c>
      <c r="DV5" s="48" t="str">
        <f t="shared" si="41"/>
        <v/>
      </c>
      <c r="DW5" s="48" t="str">
        <f t="shared" si="1"/>
        <v/>
      </c>
      <c r="DX5" s="48" t="str">
        <f t="shared" si="1"/>
        <v/>
      </c>
      <c r="DY5" s="48" t="str">
        <f t="shared" si="1"/>
        <v>"3Bands",</v>
      </c>
      <c r="DZ5" s="48" t="str">
        <f t="shared" si="1"/>
        <v/>
      </c>
      <c r="EA5" s="48" t="str">
        <f t="shared" si="2"/>
        <v>"Diagon",</v>
      </c>
      <c r="EB5" s="48" t="str">
        <f t="shared" si="2"/>
        <v/>
      </c>
      <c r="EC5" s="48" t="str">
        <f t="shared" si="2"/>
        <v/>
      </c>
      <c r="ED5" s="48" t="str">
        <f t="shared" si="2"/>
        <v/>
      </c>
      <c r="EE5" s="48" t="str">
        <f t="shared" si="2"/>
        <v>"Circle",</v>
      </c>
      <c r="EF5" s="48" t="str">
        <f t="shared" si="42"/>
        <v>"Animal",</v>
      </c>
      <c r="EG5" s="48" t="str">
        <f t="shared" si="3"/>
        <v/>
      </c>
      <c r="EH5" s="48" t="str">
        <f t="shared" si="3"/>
        <v>"Plants",</v>
      </c>
      <c r="EI5" s="48" t="str">
        <f t="shared" si="3"/>
        <v/>
      </c>
      <c r="EJ5" s="48" t="str">
        <f t="shared" si="3"/>
        <v>"Weapon",</v>
      </c>
      <c r="EK5" s="48" t="str">
        <f t="shared" si="3"/>
        <v/>
      </c>
      <c r="EL5" s="48" t="str">
        <f t="shared" si="3"/>
        <v/>
      </c>
      <c r="EM5" s="48" t="str">
        <f t="shared" si="3"/>
        <v/>
      </c>
      <c r="EN5" s="48" t="str">
        <f t="shared" si="3"/>
        <v>"Unequa",</v>
      </c>
      <c r="EO5" s="48" t="str">
        <f t="shared" si="3"/>
        <v/>
      </c>
      <c r="EP5" s="48" t="str">
        <f t="shared" si="3"/>
        <v/>
      </c>
      <c r="EQ5" s="48" t="str">
        <f t="shared" si="3"/>
        <v/>
      </c>
      <c r="ER5" s="48" t="str">
        <f t="shared" si="3"/>
        <v/>
      </c>
      <c r="ES5" s="48" t="str">
        <f t="shared" si="3"/>
        <v/>
      </c>
      <c r="ET5" s="48" t="str">
        <f t="shared" si="3"/>
        <v/>
      </c>
      <c r="EU5" s="48" t="str">
        <f t="shared" si="3"/>
        <v/>
      </c>
      <c r="EV5" s="48" t="str">
        <f t="shared" si="3"/>
        <v/>
      </c>
      <c r="EW5" s="48" t="str">
        <f t="shared" si="3"/>
        <v/>
      </c>
      <c r="EX5" s="48" t="str">
        <f t="shared" si="3"/>
        <v/>
      </c>
      <c r="EY5" s="48" t="str">
        <f t="shared" si="3"/>
        <v/>
      </c>
      <c r="EZ5" s="48" t="str">
        <f t="shared" si="3"/>
        <v/>
      </c>
      <c r="FA5" s="48" t="str">
        <f t="shared" si="43"/>
        <v>"staYEL",</v>
      </c>
      <c r="FB5" s="48" t="str">
        <f t="shared" si="44"/>
        <v/>
      </c>
      <c r="FC5" s="48" t="str">
        <f t="shared" si="45"/>
        <v/>
      </c>
      <c r="FD5" s="48" t="str">
        <f t="shared" si="46"/>
        <v/>
      </c>
      <c r="FE5" s="48" t="str">
        <f t="shared" si="47"/>
        <v/>
      </c>
      <c r="FF5" s="48" t="str">
        <f t="shared" si="48"/>
        <v/>
      </c>
      <c r="FG5" s="48" t="str">
        <f t="shared" si="49"/>
        <v>"NO_RED",</v>
      </c>
      <c r="FH5" s="48" t="str">
        <f t="shared" si="50"/>
        <v/>
      </c>
      <c r="FI5" s="48" t="str">
        <f t="shared" si="51"/>
        <v/>
      </c>
      <c r="FJ5" s="48" t="str">
        <f t="shared" si="52"/>
        <v>"NO_BLA",</v>
      </c>
      <c r="FK5" s="48" t="str">
        <f t="shared" si="53"/>
        <v/>
      </c>
      <c r="FL5" s="48" t="str">
        <f t="shared" si="54"/>
        <v/>
      </c>
      <c r="FM5" s="48" t="str">
        <f t="shared" si="55"/>
        <v/>
      </c>
      <c r="FN5" s="48" t="str">
        <f t="shared" si="56"/>
        <v/>
      </c>
      <c r="FO5" s="48" t="str">
        <f t="shared" si="57"/>
        <v/>
      </c>
      <c r="FP5" s="48" t="str">
        <f t="shared" si="58"/>
        <v/>
      </c>
      <c r="FQ5" s="48" t="str">
        <f t="shared" si="59"/>
        <v/>
      </c>
      <c r="FR5" s="48" t="str">
        <f t="shared" si="60"/>
        <v/>
      </c>
      <c r="FS5" s="48" t="str">
        <f t="shared" si="61"/>
        <v/>
      </c>
      <c r="FT5" s="48" t="str">
        <f t="shared" si="62"/>
        <v>"myrBLU",</v>
      </c>
      <c r="FU5" s="48" t="str">
        <f t="shared" si="63"/>
        <v/>
      </c>
      <c r="FV5" s="48" t="str">
        <f t="shared" si="64"/>
        <v/>
      </c>
      <c r="FW5" s="48" t="str">
        <f t="shared" si="65"/>
        <v/>
      </c>
      <c r="FX5" s="48" t="str">
        <f t="shared" si="66"/>
        <v/>
      </c>
      <c r="FY5" s="48" t="str">
        <f t="shared" si="67"/>
        <v/>
      </c>
      <c r="FZ5" s="48" t="str">
        <f t="shared" si="68"/>
        <v/>
      </c>
      <c r="GA5" s="48" t="str">
        <f t="shared" si="69"/>
        <v/>
      </c>
      <c r="GB5" s="48" t="str">
        <f t="shared" si="70"/>
        <v/>
      </c>
      <c r="GC5" s="48" t="str">
        <f t="shared" si="71"/>
        <v/>
      </c>
      <c r="GD5" s="48" t="str">
        <f t="shared" si="72"/>
        <v/>
      </c>
      <c r="GE5" s="48" t="str">
        <f t="shared" si="73"/>
        <v/>
      </c>
      <c r="GF5" s="48" t="str">
        <f t="shared" si="74"/>
        <v/>
      </c>
      <c r="GG5" s="48" t="str">
        <f t="shared" si="75"/>
        <v/>
      </c>
      <c r="GH5" s="48" t="str">
        <f t="shared" si="76"/>
        <v/>
      </c>
      <c r="GI5" s="48" t="str">
        <f t="shared" si="77"/>
        <v/>
      </c>
      <c r="GJ5" s="48" t="str">
        <f t="shared" si="78"/>
        <v/>
      </c>
      <c r="GK5" s="48" t="str">
        <f t="shared" si="79"/>
        <v>"HasSta",</v>
      </c>
      <c r="GL5" s="48" t="str">
        <f t="shared" si="4"/>
        <v/>
      </c>
      <c r="GM5" s="48" t="str">
        <f t="shared" si="4"/>
        <v/>
      </c>
      <c r="GN5" s="48" t="str">
        <f t="shared" si="4"/>
        <v>"3+Star",</v>
      </c>
      <c r="GP5" s="48" t="str">
        <f t="shared" si="80"/>
        <v>"Province"</v>
      </c>
      <c r="GS5" s="48" t="str">
        <f t="shared" si="81"/>
        <v>["4Color","lets06","startC","3Bands","Diagon","Circle","Animal","Plants","Weapon","Unequa","staYEL","NO_RED","NO_BLA","myrBLU","HasSta","3+Star"]</v>
      </c>
      <c r="GT5" s="48" t="str">
        <f t="shared" si="5"/>
        <v>"cl_BLU",</v>
      </c>
      <c r="GU5" s="48" t="str">
        <f t="shared" si="5"/>
        <v>"cl_WHI",</v>
      </c>
      <c r="GV5" s="48" t="str">
        <f t="shared" si="5"/>
        <v>"cl_GRE",</v>
      </c>
      <c r="GW5" s="48" t="str">
        <f t="shared" si="5"/>
        <v>"cl_YEL",</v>
      </c>
      <c r="GX5" s="48" t="str">
        <f t="shared" si="5"/>
        <v/>
      </c>
      <c r="GY5" s="48" t="str">
        <f t="shared" si="5"/>
        <v/>
      </c>
      <c r="GZ5" s="48" t="str">
        <f t="shared" si="5"/>
        <v/>
      </c>
      <c r="HA5" s="48" t="str">
        <f t="shared" si="5"/>
        <v/>
      </c>
      <c r="HB5" s="48" t="str">
        <f t="shared" si="5"/>
        <v/>
      </c>
      <c r="HC5" s="48" t="str">
        <f t="shared" si="82"/>
        <v>["cl_BLU","cl_WHI","cl_GRE","cl_YEL"]</v>
      </c>
      <c r="HE5" s="71"/>
      <c r="HF5" s="72" t="str">
        <f t="shared" si="83"/>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isnew:".", links: "https://en.wikipedia.org/wiki/Chimbu_Province"},</v>
      </c>
      <c r="HG5" s="73" t="str">
        <f t="shared" si="84"/>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links: "https://en.wikipedia.org/wiki/Chimbu_Province"},</v>
      </c>
      <c r="HH5" s="48" t="str">
        <f t="shared" si="85"/>
        <v>"\nNot Available"</v>
      </c>
      <c r="HI5" s="48" t="str">
        <f t="shared" si="86"/>
        <v>"\nNot Available"</v>
      </c>
      <c r="HJ5" s="48" t="str">
        <f t="shared" si="87"/>
        <v>"???"</v>
      </c>
      <c r="HL5" s="48" t="str">
        <f t="shared" si="88"/>
        <v>"https://en.wikipedia.org/wiki/Chimbu_Province"</v>
      </c>
      <c r="HM5" s="72" t="str">
        <f t="shared" si="89"/>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"isnew": ".", "links": "https://en.wikipedia.org/wiki/Chimbu_Province"},</v>
      </c>
      <c r="HN5" s="74" t="str">
        <f t="shared" si="90"/>
        <v>{"couname":"[PNG] Chimbu","year":"???","region":"rgn_Oceania","Colors":["cl_BLU","cl_WHI","cl_GRE","cl_YEL"],"Items":["4Color","lets06","startC","3Bands","Diagon","Circle","Animal","Plants","Weapon","Unequa","staYEL","NO_RED","NO_BLA","myrBLU","HasSta","3+Star"],"Flag":"https://upload.wikimedia.org/wikipedia/commons/e/ea/Flag_of_Chimbu.svg","HDFlag":"https://upload.wikimedia.org/wikipedia/commons/e/ea/Flag_of_Chimbu.svg","type":"Province", "describe": "\nNot Available", "isnew": ".", "links": "https://en.wikipedia.org/wiki/Chimbu_Province"},</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GRE</v>
      </c>
      <c r="HS5" s="48" t="str" cm="1">
        <f t="array" ref="HS5">IF(_xlfn.TEXTJOIN(", ", TRUE, IF(ISNUMBER(SEARCH("RED", BL5:BT5)), COLUMN(BL5:BT5) - COLUMN(BL5) + 1, ""))&lt;&gt;"","RED","")</f>
        <v/>
      </c>
      <c r="HT5" s="48" t="str" cm="1">
        <f t="array" ref="HT5">IF(_xlfn.TEXTJOIN(", ", TRUE, IF(ISNUMBER(SEARCH("YEL", BL5:BT5)), COLUMN(BL5:BT5) - COLUMN(BL5) + 1, ""))&lt;&gt;"","YEL","")</f>
        <v>YEL</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c r="IB5" s="6"/>
      <c r="IC5" s="77"/>
      <c r="ID5" s="77"/>
      <c r="IE5" s="77"/>
      <c r="IF5" s="77"/>
      <c r="IG5" s="77"/>
      <c r="IH5" s="77"/>
      <c r="II5" s="77"/>
      <c r="IJ5" s="77"/>
      <c r="IK5" s="77"/>
      <c r="IL5" s="48">
        <f t="shared" si="91"/>
        <v>0</v>
      </c>
      <c r="IM5" s="45">
        <f t="shared" si="92"/>
        <v>-4</v>
      </c>
      <c r="IN5" s="78" t="str">
        <f t="shared" si="93"/>
        <v>http://mkweb.bcgsc.ca/color-summarizer/?url=https://upload.wikimedia.org/wikipedia/commons/e/ea/Flag_of_Chimbu.svg&amp;precision=low&amp;num_clusters=4&amp;text=1</v>
      </c>
      <c r="IO5" s="48" t="str">
        <f t="shared" si="94"/>
        <v/>
      </c>
      <c r="IP5" s="48" t="str">
        <f t="shared" si="95"/>
        <v>"blue"</v>
      </c>
      <c r="IQ5" s="48" t="str">
        <f t="shared" si="96"/>
        <v>"green"</v>
      </c>
      <c r="IR5" s="48" t="str">
        <f t="shared" si="97"/>
        <v/>
      </c>
      <c r="IS5" s="48" t="str">
        <f t="shared" si="98"/>
        <v>"yellow"</v>
      </c>
      <c r="IT5" s="48" t="str">
        <f t="shared" si="99"/>
        <v/>
      </c>
      <c r="IU5" s="48" t="str">
        <f t="shared" si="100"/>
        <v/>
      </c>
      <c r="IV5" s="48" t="str">
        <f t="shared" si="101"/>
        <v/>
      </c>
      <c r="IW5" s="48" t="str">
        <f t="shared" si="102"/>
        <v>"white"</v>
      </c>
      <c r="IX5" s="48" t="str">
        <f t="shared" si="103"/>
        <v>{"url":"http://mkweb.bcgsc.ca/color-summarizer/?url=https://upload.wikimedia.org/wikipedia/commons/e/ea/Flag_of_Chimbu.svg&amp;precision=low&amp;num_clusters=4&amp;text=1","name":"[PNG] Chimbu"},</v>
      </c>
      <c r="IY5" s="48">
        <v>337</v>
      </c>
    </row>
  </sheetData>
  <conditionalFormatting sqref="H1 CW1:GS1 IA1:IB1">
    <cfRule type="cellIs" dxfId="3586" priority="179" operator="greaterThan">
      <formula>0</formula>
    </cfRule>
  </conditionalFormatting>
  <conditionalFormatting sqref="H1">
    <cfRule type="cellIs" dxfId="3585" priority="145" stopIfTrue="1" operator="notEqual">
      <formula>""</formula>
    </cfRule>
  </conditionalFormatting>
  <conditionalFormatting sqref="T1:BK1">
    <cfRule type="cellIs" dxfId="3584" priority="182" operator="greaterThan">
      <formula>0</formula>
    </cfRule>
  </conditionalFormatting>
  <conditionalFormatting sqref="BV1:BW1">
    <cfRule type="cellIs" dxfId="3583" priority="181" operator="equal">
      <formula>"nc"</formula>
    </cfRule>
  </conditionalFormatting>
  <conditionalFormatting sqref="HF1:HG1">
    <cfRule type="cellIs" dxfId="3582" priority="183" operator="greaterThan">
      <formula>0</formula>
    </cfRule>
  </conditionalFormatting>
  <conditionalFormatting sqref="HK1">
    <cfRule type="cellIs" dxfId="3581" priority="180" operator="greaterThan">
      <formula>0</formula>
    </cfRule>
  </conditionalFormatting>
  <conditionalFormatting sqref="HP1:HX1">
    <cfRule type="cellIs" dxfId="3580" priority="157" operator="equal">
      <formula>"PIN"</formula>
    </cfRule>
    <cfRule type="cellIs" dxfId="3579" priority="158" operator="equal">
      <formula>"ORA"</formula>
    </cfRule>
    <cfRule type="cellIs" dxfId="3578" priority="159" operator="equal">
      <formula>"GRA"</formula>
    </cfRule>
    <cfRule type="cellIs" dxfId="3577" priority="160" operator="equal">
      <formula>"PUR"</formula>
    </cfRule>
    <cfRule type="cellIs" dxfId="3576" priority="161" operator="equal">
      <formula>"BRO"</formula>
    </cfRule>
    <cfRule type="cellIs" dxfId="3575" priority="162" operator="equal">
      <formula>"YEL"</formula>
    </cfRule>
    <cfRule type="cellIs" dxfId="3574" priority="163" operator="equal">
      <formula>"BLU"</formula>
    </cfRule>
    <cfRule type="cellIs" dxfId="3573" priority="164" operator="equal">
      <formula>"WHI"</formula>
    </cfRule>
    <cfRule type="cellIs" dxfId="3572" priority="165" operator="equal">
      <formula>"GRE"</formula>
    </cfRule>
    <cfRule type="cellIs" dxfId="3571" priority="166" operator="equal">
      <formula>"RED"</formula>
    </cfRule>
    <cfRule type="cellIs" dxfId="3570" priority="167" operator="equal">
      <formula>"BLA"</formula>
    </cfRule>
  </conditionalFormatting>
  <conditionalFormatting sqref="IC1:IK1">
    <cfRule type="cellIs" dxfId="3569" priority="168" operator="equal">
      <formula>"PIN"</formula>
    </cfRule>
    <cfRule type="cellIs" dxfId="3568" priority="169" operator="equal">
      <formula>"ORA"</formula>
    </cfRule>
    <cfRule type="cellIs" dxfId="3567" priority="170" operator="equal">
      <formula>"GRA"</formula>
    </cfRule>
    <cfRule type="cellIs" dxfId="3566" priority="171" operator="equal">
      <formula>"PUR"</formula>
    </cfRule>
    <cfRule type="cellIs" dxfId="3565" priority="172" operator="equal">
      <formula>"BRO"</formula>
    </cfRule>
    <cfRule type="cellIs" dxfId="3564" priority="173" operator="equal">
      <formula>"YEL"</formula>
    </cfRule>
    <cfRule type="cellIs" dxfId="3563" priority="174" operator="equal">
      <formula>"BLU"</formula>
    </cfRule>
    <cfRule type="cellIs" dxfId="3562" priority="175" operator="equal">
      <formula>"WHI"</formula>
    </cfRule>
    <cfRule type="cellIs" dxfId="3561" priority="176" operator="equal">
      <formula>"GRE"</formula>
    </cfRule>
    <cfRule type="cellIs" dxfId="3560" priority="177" operator="equal">
      <formula>"RED"</formula>
    </cfRule>
    <cfRule type="cellIs" dxfId="3559" priority="178" operator="equal">
      <formula>"BLA"</formula>
    </cfRule>
  </conditionalFormatting>
  <conditionalFormatting sqref="IO1:IW1">
    <cfRule type="cellIs" dxfId="3558" priority="146" operator="equal">
      <formula>"PIN"</formula>
    </cfRule>
    <cfRule type="cellIs" dxfId="3557" priority="147" operator="equal">
      <formula>"ORA"</formula>
    </cfRule>
    <cfRule type="cellIs" dxfId="3556" priority="148" operator="equal">
      <formula>"GRA"</formula>
    </cfRule>
    <cfRule type="cellIs" dxfId="3555" priority="149" operator="equal">
      <formula>"PUR"</formula>
    </cfRule>
    <cfRule type="cellIs" dxfId="3554" priority="150" operator="equal">
      <formula>"BRO"</formula>
    </cfRule>
    <cfRule type="cellIs" dxfId="3553" priority="151" operator="equal">
      <formula>"YEL"</formula>
    </cfRule>
    <cfRule type="cellIs" dxfId="3552" priority="152" operator="equal">
      <formula>"BLU"</formula>
    </cfRule>
    <cfRule type="cellIs" dxfId="3551" priority="153" operator="equal">
      <formula>"WHI"</formula>
    </cfRule>
    <cfRule type="cellIs" dxfId="3550" priority="154" operator="equal">
      <formula>"GRE"</formula>
    </cfRule>
    <cfRule type="cellIs" dxfId="3549" priority="155" operator="equal">
      <formula>"RED"</formula>
    </cfRule>
    <cfRule type="cellIs" dxfId="3548" priority="156" operator="equal">
      <formula>"BLA"</formula>
    </cfRule>
  </conditionalFormatting>
  <conditionalFormatting sqref="H2">
    <cfRule type="cellIs" dxfId="3547" priority="114" stopIfTrue="1" operator="notEqual">
      <formula>""</formula>
    </cfRule>
  </conditionalFormatting>
  <conditionalFormatting sqref="R2 CU2">
    <cfRule type="cellIs" dxfId="3546" priority="116" operator="greaterThan">
      <formula>0</formula>
    </cfRule>
  </conditionalFormatting>
  <conditionalFormatting sqref="T2:AS2 CH2:CS2">
    <cfRule type="cellIs" dxfId="3545" priority="111" stopIfTrue="1" operator="equal">
      <formula>"n"</formula>
    </cfRule>
    <cfRule type="cellIs" dxfId="3544" priority="112" stopIfTrue="1" operator="equal">
      <formula>"y"</formula>
    </cfRule>
    <cfRule type="cellIs" dxfId="3543" priority="113" operator="greaterThan">
      <formula>0</formula>
    </cfRule>
  </conditionalFormatting>
  <conditionalFormatting sqref="AZ2:BB2">
    <cfRule type="expression" dxfId="3542" priority="110">
      <formula>$AT2=0</formula>
    </cfRule>
  </conditionalFormatting>
  <conditionalFormatting sqref="AZ2:BU2">
    <cfRule type="cellIs" dxfId="3541" priority="119" operator="equal">
      <formula>"PIN"</formula>
    </cfRule>
    <cfRule type="cellIs" dxfId="3540" priority="120" operator="equal">
      <formula>"ORA"</formula>
    </cfRule>
    <cfRule type="cellIs" dxfId="3539" priority="121" operator="equal">
      <formula>"GRA"</formula>
    </cfRule>
    <cfRule type="cellIs" dxfId="3538" priority="122" operator="equal">
      <formula>"PUR"</formula>
    </cfRule>
    <cfRule type="cellIs" dxfId="3537" priority="123" operator="equal">
      <formula>"BRO"</formula>
    </cfRule>
    <cfRule type="cellIs" dxfId="3536" priority="124" operator="equal">
      <formula>"YEL"</formula>
    </cfRule>
    <cfRule type="cellIs" dxfId="3535" priority="125" operator="equal">
      <formula>"BLU"</formula>
    </cfRule>
    <cfRule type="cellIs" dxfId="3534" priority="126" operator="equal">
      <formula>"WHI"</formula>
    </cfRule>
    <cfRule type="cellIs" dxfId="3533" priority="127" operator="equal">
      <formula>"GRE"</formula>
    </cfRule>
    <cfRule type="cellIs" dxfId="3532" priority="128" operator="equal">
      <formula>"RED"</formula>
    </cfRule>
    <cfRule type="cellIs" dxfId="3531" priority="129" operator="equal">
      <formula>"BLA"</formula>
    </cfRule>
  </conditionalFormatting>
  <conditionalFormatting sqref="BV2:BW2">
    <cfRule type="cellIs" dxfId="3530" priority="141" operator="equal">
      <formula>"nc"</formula>
    </cfRule>
  </conditionalFormatting>
  <conditionalFormatting sqref="BX2:CA2 CD2:CF2">
    <cfRule type="cellIs" dxfId="3529" priority="115" operator="equal">
      <formula>"y"</formula>
    </cfRule>
    <cfRule type="cellIs" dxfId="3528" priority="130" operator="equal">
      <formula>"PIN"</formula>
    </cfRule>
    <cfRule type="cellIs" dxfId="3527" priority="131" operator="equal">
      <formula>"ORA"</formula>
    </cfRule>
    <cfRule type="cellIs" dxfId="3526" priority="132" operator="equal">
      <formula>"GRA"</formula>
    </cfRule>
    <cfRule type="cellIs" dxfId="3525" priority="133" operator="equal">
      <formula>"PUR"</formula>
    </cfRule>
    <cfRule type="cellIs" dxfId="3524" priority="134" operator="equal">
      <formula>"BRO"</formula>
    </cfRule>
    <cfRule type="cellIs" dxfId="3523" priority="135" operator="equal">
      <formula>"YEL"</formula>
    </cfRule>
    <cfRule type="cellIs" dxfId="3522" priority="136" operator="equal">
      <formula>"BLU"</formula>
    </cfRule>
    <cfRule type="cellIs" dxfId="3521" priority="137" operator="equal">
      <formula>"WHI"</formula>
    </cfRule>
    <cfRule type="cellIs" dxfId="3520" priority="138" operator="equal">
      <formula>"GRE"</formula>
    </cfRule>
    <cfRule type="cellIs" dxfId="3519" priority="139" operator="equal">
      <formula>"RED"</formula>
    </cfRule>
    <cfRule type="cellIs" dxfId="3518" priority="140" operator="equal">
      <formula>"BLA"</formula>
    </cfRule>
  </conditionalFormatting>
  <conditionalFormatting sqref="BZ2:CA2 CD2:CF2">
    <cfRule type="cellIs" dxfId="3517" priority="117" operator="greaterThan">
      <formula>0</formula>
    </cfRule>
  </conditionalFormatting>
  <conditionalFormatting sqref="IC2:IK2">
    <cfRule type="expression" dxfId="3516" priority="118">
      <formula>$IL2&gt;0</formula>
    </cfRule>
  </conditionalFormatting>
  <conditionalFormatting sqref="S2">
    <cfRule type="colorScale" priority="142">
      <colorScale>
        <cfvo type="min"/>
        <cfvo type="max"/>
        <color rgb="FFFCFCFF"/>
        <color rgb="FF754BFB"/>
      </colorScale>
    </cfRule>
  </conditionalFormatting>
  <conditionalFormatting sqref="AT2">
    <cfRule type="colorScale" priority="143">
      <colorScale>
        <cfvo type="min"/>
        <cfvo type="max"/>
        <color rgb="FFFCFCFF"/>
        <color theme="8" tint="0.39997558519241921"/>
      </colorScale>
    </cfRule>
  </conditionalFormatting>
  <conditionalFormatting sqref="CG2">
    <cfRule type="colorScale" priority="144">
      <colorScale>
        <cfvo type="min"/>
        <cfvo type="max"/>
        <color rgb="FFFCFCFF"/>
        <color rgb="FF63BE7B"/>
      </colorScale>
    </cfRule>
  </conditionalFormatting>
  <conditionalFormatting sqref="J2">
    <cfRule type="colorScale" priority="109">
      <colorScale>
        <cfvo type="min"/>
        <cfvo type="percentile" val="50"/>
        <cfvo type="max"/>
        <color rgb="FFF8696B"/>
        <color rgb="FFFFEB84"/>
        <color rgb="FF63BE7B"/>
      </colorScale>
    </cfRule>
  </conditionalFormatting>
  <conditionalFormatting sqref="H3">
    <cfRule type="cellIs" dxfId="1578" priority="77" stopIfTrue="1" operator="notEqual">
      <formula>""</formula>
    </cfRule>
  </conditionalFormatting>
  <conditionalFormatting sqref="R3 CU3">
    <cfRule type="cellIs" dxfId="1577" priority="79" operator="greaterThan">
      <formula>0</formula>
    </cfRule>
  </conditionalFormatting>
  <conditionalFormatting sqref="T3:AS3 CH3:CS3">
    <cfRule type="cellIs" dxfId="1576" priority="74" stopIfTrue="1" operator="equal">
      <formula>"n"</formula>
    </cfRule>
    <cfRule type="cellIs" dxfId="1575" priority="75" stopIfTrue="1" operator="equal">
      <formula>"y"</formula>
    </cfRule>
    <cfRule type="cellIs" dxfId="1574" priority="76" operator="greaterThan">
      <formula>0</formula>
    </cfRule>
  </conditionalFormatting>
  <conditionalFormatting sqref="AZ3:BB3">
    <cfRule type="expression" dxfId="1573" priority="73">
      <formula>$AT3=0</formula>
    </cfRule>
  </conditionalFormatting>
  <conditionalFormatting sqref="AZ3:BU3">
    <cfRule type="cellIs" dxfId="1572" priority="82" operator="equal">
      <formula>"PIN"</formula>
    </cfRule>
    <cfRule type="cellIs" dxfId="1571" priority="83" operator="equal">
      <formula>"ORA"</formula>
    </cfRule>
    <cfRule type="cellIs" dxfId="1570" priority="84" operator="equal">
      <formula>"GRA"</formula>
    </cfRule>
    <cfRule type="cellIs" dxfId="1569" priority="85" operator="equal">
      <formula>"PUR"</formula>
    </cfRule>
    <cfRule type="cellIs" dxfId="1568" priority="86" operator="equal">
      <formula>"BRO"</formula>
    </cfRule>
    <cfRule type="cellIs" dxfId="1567" priority="87" operator="equal">
      <formula>"YEL"</formula>
    </cfRule>
    <cfRule type="cellIs" dxfId="1566" priority="88" operator="equal">
      <formula>"BLU"</formula>
    </cfRule>
    <cfRule type="cellIs" dxfId="1565" priority="89" operator="equal">
      <formula>"WHI"</formula>
    </cfRule>
    <cfRule type="cellIs" dxfId="1564" priority="90" operator="equal">
      <formula>"GRE"</formula>
    </cfRule>
    <cfRule type="cellIs" dxfId="1563" priority="91" operator="equal">
      <formula>"RED"</formula>
    </cfRule>
    <cfRule type="cellIs" dxfId="1562" priority="92" operator="equal">
      <formula>"BLA"</formula>
    </cfRule>
  </conditionalFormatting>
  <conditionalFormatting sqref="BV3">
    <cfRule type="cellIs" dxfId="1561" priority="104" operator="equal">
      <formula>"nc"</formula>
    </cfRule>
  </conditionalFormatting>
  <conditionalFormatting sqref="BX3:CA3 CD3:CF3">
    <cfRule type="cellIs" dxfId="1560" priority="78" operator="equal">
      <formula>"y"</formula>
    </cfRule>
    <cfRule type="cellIs" dxfId="1559" priority="93" operator="equal">
      <formula>"PIN"</formula>
    </cfRule>
    <cfRule type="cellIs" dxfId="1558" priority="94" operator="equal">
      <formula>"ORA"</formula>
    </cfRule>
    <cfRule type="cellIs" dxfId="1557" priority="95" operator="equal">
      <formula>"GRA"</formula>
    </cfRule>
    <cfRule type="cellIs" dxfId="1556" priority="96" operator="equal">
      <formula>"PUR"</formula>
    </cfRule>
    <cfRule type="cellIs" dxfId="1555" priority="97" operator="equal">
      <formula>"BRO"</formula>
    </cfRule>
    <cfRule type="cellIs" dxfId="1554" priority="98" operator="equal">
      <formula>"YEL"</formula>
    </cfRule>
    <cfRule type="cellIs" dxfId="1553" priority="99" operator="equal">
      <formula>"BLU"</formula>
    </cfRule>
    <cfRule type="cellIs" dxfId="1552" priority="100" operator="equal">
      <formula>"WHI"</formula>
    </cfRule>
    <cfRule type="cellIs" dxfId="1551" priority="101" operator="equal">
      <formula>"GRE"</formula>
    </cfRule>
    <cfRule type="cellIs" dxfId="1550" priority="102" operator="equal">
      <formula>"RED"</formula>
    </cfRule>
    <cfRule type="cellIs" dxfId="1549" priority="103" operator="equal">
      <formula>"BLA"</formula>
    </cfRule>
  </conditionalFormatting>
  <conditionalFormatting sqref="BZ3:CA3 CD3:CF3">
    <cfRule type="cellIs" dxfId="1548" priority="80" operator="greaterThan">
      <formula>0</formula>
    </cfRule>
  </conditionalFormatting>
  <conditionalFormatting sqref="IC3:IK3">
    <cfRule type="expression" dxfId="1547" priority="81">
      <formula>$IL3&gt;0</formula>
    </cfRule>
  </conditionalFormatting>
  <conditionalFormatting sqref="J3">
    <cfRule type="colorScale" priority="105">
      <colorScale>
        <cfvo type="min"/>
        <cfvo type="percentile" val="50"/>
        <cfvo type="max"/>
        <color rgb="FFF8696B"/>
        <color rgb="FFFFEB84"/>
        <color rgb="FF63BE7B"/>
      </colorScale>
    </cfRule>
  </conditionalFormatting>
  <conditionalFormatting sqref="S3">
    <cfRule type="colorScale" priority="106">
      <colorScale>
        <cfvo type="min"/>
        <cfvo type="max"/>
        <color rgb="FFFCFCFF"/>
        <color rgb="FF754BFB"/>
      </colorScale>
    </cfRule>
  </conditionalFormatting>
  <conditionalFormatting sqref="AT3">
    <cfRule type="colorScale" priority="107">
      <colorScale>
        <cfvo type="min"/>
        <cfvo type="max"/>
        <color rgb="FFFCFCFF"/>
        <color theme="8" tint="0.39997558519241921"/>
      </colorScale>
    </cfRule>
  </conditionalFormatting>
  <conditionalFormatting sqref="CG3">
    <cfRule type="colorScale" priority="108">
      <colorScale>
        <cfvo type="min"/>
        <cfvo type="max"/>
        <color rgb="FFFCFCFF"/>
        <color rgb="FF63BE7B"/>
      </colorScale>
    </cfRule>
  </conditionalFormatting>
  <conditionalFormatting sqref="H4">
    <cfRule type="cellIs" dxfId="1546" priority="41" stopIfTrue="1" operator="notEqual">
      <formula>""</formula>
    </cfRule>
  </conditionalFormatting>
  <conditionalFormatting sqref="R4 CU4">
    <cfRule type="cellIs" dxfId="1545" priority="43" operator="greaterThan">
      <formula>0</formula>
    </cfRule>
  </conditionalFormatting>
  <conditionalFormatting sqref="T4:AS4 CH4:CS4">
    <cfRule type="cellIs" dxfId="1544" priority="38" stopIfTrue="1" operator="equal">
      <formula>"n"</formula>
    </cfRule>
    <cfRule type="cellIs" dxfId="1543" priority="39" stopIfTrue="1" operator="equal">
      <formula>"y"</formula>
    </cfRule>
    <cfRule type="cellIs" dxfId="1542" priority="40" operator="greaterThan">
      <formula>0</formula>
    </cfRule>
  </conditionalFormatting>
  <conditionalFormatting sqref="AZ4:BB4">
    <cfRule type="expression" dxfId="1541" priority="37">
      <formula>$AT4=0</formula>
    </cfRule>
  </conditionalFormatting>
  <conditionalFormatting sqref="AZ4:BU4">
    <cfRule type="cellIs" dxfId="1540" priority="46" operator="equal">
      <formula>"PIN"</formula>
    </cfRule>
    <cfRule type="cellIs" dxfId="1539" priority="47" operator="equal">
      <formula>"ORA"</formula>
    </cfRule>
    <cfRule type="cellIs" dxfId="1538" priority="48" operator="equal">
      <formula>"GRA"</formula>
    </cfRule>
    <cfRule type="cellIs" dxfId="1537" priority="49" operator="equal">
      <formula>"PUR"</formula>
    </cfRule>
    <cfRule type="cellIs" dxfId="1536" priority="50" operator="equal">
      <formula>"BRO"</formula>
    </cfRule>
    <cfRule type="cellIs" dxfId="1535" priority="51" operator="equal">
      <formula>"YEL"</formula>
    </cfRule>
    <cfRule type="cellIs" dxfId="1534" priority="52" operator="equal">
      <formula>"BLU"</formula>
    </cfRule>
    <cfRule type="cellIs" dxfId="1533" priority="53" operator="equal">
      <formula>"WHI"</formula>
    </cfRule>
    <cfRule type="cellIs" dxfId="1532" priority="54" operator="equal">
      <formula>"GRE"</formula>
    </cfRule>
    <cfRule type="cellIs" dxfId="1531" priority="55" operator="equal">
      <formula>"RED"</formula>
    </cfRule>
    <cfRule type="cellIs" dxfId="1530" priority="56" operator="equal">
      <formula>"BLA"</formula>
    </cfRule>
  </conditionalFormatting>
  <conditionalFormatting sqref="BV4">
    <cfRule type="cellIs" dxfId="1529" priority="68" operator="equal">
      <formula>"nc"</formula>
    </cfRule>
  </conditionalFormatting>
  <conditionalFormatting sqref="BX4:CA4 CD4:CF4">
    <cfRule type="cellIs" dxfId="1528" priority="42" operator="equal">
      <formula>"y"</formula>
    </cfRule>
    <cfRule type="cellIs" dxfId="1527" priority="57" operator="equal">
      <formula>"PIN"</formula>
    </cfRule>
    <cfRule type="cellIs" dxfId="1526" priority="58" operator="equal">
      <formula>"ORA"</formula>
    </cfRule>
    <cfRule type="cellIs" dxfId="1525" priority="59" operator="equal">
      <formula>"GRA"</formula>
    </cfRule>
    <cfRule type="cellIs" dxfId="1524" priority="60" operator="equal">
      <formula>"PUR"</formula>
    </cfRule>
    <cfRule type="cellIs" dxfId="1523" priority="61" operator="equal">
      <formula>"BRO"</formula>
    </cfRule>
    <cfRule type="cellIs" dxfId="1522" priority="62" operator="equal">
      <formula>"YEL"</formula>
    </cfRule>
    <cfRule type="cellIs" dxfId="1521" priority="63" operator="equal">
      <formula>"BLU"</formula>
    </cfRule>
    <cfRule type="cellIs" dxfId="1520" priority="64" operator="equal">
      <formula>"WHI"</formula>
    </cfRule>
    <cfRule type="cellIs" dxfId="1519" priority="65" operator="equal">
      <formula>"GRE"</formula>
    </cfRule>
    <cfRule type="cellIs" dxfId="1518" priority="66" operator="equal">
      <formula>"RED"</formula>
    </cfRule>
    <cfRule type="cellIs" dxfId="1517" priority="67" operator="equal">
      <formula>"BLA"</formula>
    </cfRule>
  </conditionalFormatting>
  <conditionalFormatting sqref="BZ4:CA4 CD4:CF4">
    <cfRule type="cellIs" dxfId="1516" priority="44" operator="greaterThan">
      <formula>0</formula>
    </cfRule>
  </conditionalFormatting>
  <conditionalFormatting sqref="IC4:IK4">
    <cfRule type="expression" dxfId="1515" priority="45">
      <formula>$IL4&gt;0</formula>
    </cfRule>
  </conditionalFormatting>
  <conditionalFormatting sqref="J4">
    <cfRule type="colorScale" priority="69">
      <colorScale>
        <cfvo type="min"/>
        <cfvo type="percentile" val="50"/>
        <cfvo type="max"/>
        <color rgb="FFF8696B"/>
        <color rgb="FFFFEB84"/>
        <color rgb="FF63BE7B"/>
      </colorScale>
    </cfRule>
  </conditionalFormatting>
  <conditionalFormatting sqref="S4">
    <cfRule type="colorScale" priority="70">
      <colorScale>
        <cfvo type="min"/>
        <cfvo type="max"/>
        <color rgb="FFFCFCFF"/>
        <color rgb="FF754BFB"/>
      </colorScale>
    </cfRule>
  </conditionalFormatting>
  <conditionalFormatting sqref="AT4">
    <cfRule type="colorScale" priority="71">
      <colorScale>
        <cfvo type="min"/>
        <cfvo type="max"/>
        <color rgb="FFFCFCFF"/>
        <color theme="8" tint="0.39997558519241921"/>
      </colorScale>
    </cfRule>
  </conditionalFormatting>
  <conditionalFormatting sqref="CG4">
    <cfRule type="colorScale" priority="72">
      <colorScale>
        <cfvo type="min"/>
        <cfvo type="max"/>
        <color rgb="FFFCFCFF"/>
        <color rgb="FF63BE7B"/>
      </colorScale>
    </cfRule>
  </conditionalFormatting>
  <conditionalFormatting sqref="H5">
    <cfRule type="cellIs" dxfId="1514" priority="5" stopIfTrue="1" operator="notEqual">
      <formula>""</formula>
    </cfRule>
  </conditionalFormatting>
  <conditionalFormatting sqref="R5 CU5">
    <cfRule type="cellIs" dxfId="1513" priority="7" operator="greaterThan">
      <formula>0</formula>
    </cfRule>
  </conditionalFormatting>
  <conditionalFormatting sqref="T5:AS5 CH5:CS5">
    <cfRule type="cellIs" dxfId="1512" priority="2" stopIfTrue="1" operator="equal">
      <formula>"n"</formula>
    </cfRule>
    <cfRule type="cellIs" dxfId="1511" priority="3" stopIfTrue="1" operator="equal">
      <formula>"y"</formula>
    </cfRule>
    <cfRule type="cellIs" dxfId="1510" priority="4" operator="greaterThan">
      <formula>0</formula>
    </cfRule>
  </conditionalFormatting>
  <conditionalFormatting sqref="AZ5:BB5">
    <cfRule type="expression" dxfId="1509" priority="1">
      <formula>$AT5=0</formula>
    </cfRule>
  </conditionalFormatting>
  <conditionalFormatting sqref="AZ5:BU5">
    <cfRule type="cellIs" dxfId="1508" priority="10" operator="equal">
      <formula>"PIN"</formula>
    </cfRule>
    <cfRule type="cellIs" dxfId="1507" priority="11" operator="equal">
      <formula>"ORA"</formula>
    </cfRule>
    <cfRule type="cellIs" dxfId="1506" priority="12" operator="equal">
      <formula>"GRA"</formula>
    </cfRule>
    <cfRule type="cellIs" dxfId="1505" priority="13" operator="equal">
      <formula>"PUR"</formula>
    </cfRule>
    <cfRule type="cellIs" dxfId="1504" priority="14" operator="equal">
      <formula>"BRO"</formula>
    </cfRule>
    <cfRule type="cellIs" dxfId="1503" priority="15" operator="equal">
      <formula>"YEL"</formula>
    </cfRule>
    <cfRule type="cellIs" dxfId="1502" priority="16" operator="equal">
      <formula>"BLU"</formula>
    </cfRule>
    <cfRule type="cellIs" dxfId="1501" priority="17" operator="equal">
      <formula>"WHI"</formula>
    </cfRule>
    <cfRule type="cellIs" dxfId="1500" priority="18" operator="equal">
      <formula>"GRE"</formula>
    </cfRule>
    <cfRule type="cellIs" dxfId="1499" priority="19" operator="equal">
      <formula>"RED"</formula>
    </cfRule>
    <cfRule type="cellIs" dxfId="1498" priority="20" operator="equal">
      <formula>"BLA"</formula>
    </cfRule>
  </conditionalFormatting>
  <conditionalFormatting sqref="BV5">
    <cfRule type="cellIs" dxfId="1497" priority="32" operator="equal">
      <formula>"nc"</formula>
    </cfRule>
  </conditionalFormatting>
  <conditionalFormatting sqref="BX5:CA5 CD5:CF5">
    <cfRule type="cellIs" dxfId="1496" priority="6" operator="equal">
      <formula>"y"</formula>
    </cfRule>
    <cfRule type="cellIs" dxfId="1495" priority="21" operator="equal">
      <formula>"PIN"</formula>
    </cfRule>
    <cfRule type="cellIs" dxfId="1494" priority="22" operator="equal">
      <formula>"ORA"</formula>
    </cfRule>
    <cfRule type="cellIs" dxfId="1493" priority="23" operator="equal">
      <formula>"GRA"</formula>
    </cfRule>
    <cfRule type="cellIs" dxfId="1492" priority="24" operator="equal">
      <formula>"PUR"</formula>
    </cfRule>
    <cfRule type="cellIs" dxfId="1491" priority="25" operator="equal">
      <formula>"BRO"</formula>
    </cfRule>
    <cfRule type="cellIs" dxfId="1490" priority="26" operator="equal">
      <formula>"YEL"</formula>
    </cfRule>
    <cfRule type="cellIs" dxfId="1489" priority="27" operator="equal">
      <formula>"BLU"</formula>
    </cfRule>
    <cfRule type="cellIs" dxfId="1488" priority="28" operator="equal">
      <formula>"WHI"</formula>
    </cfRule>
    <cfRule type="cellIs" dxfId="1487" priority="29" operator="equal">
      <formula>"GRE"</formula>
    </cfRule>
    <cfRule type="cellIs" dxfId="1486" priority="30" operator="equal">
      <formula>"RED"</formula>
    </cfRule>
    <cfRule type="cellIs" dxfId="1485" priority="31" operator="equal">
      <formula>"BLA"</formula>
    </cfRule>
  </conditionalFormatting>
  <conditionalFormatting sqref="BZ5:CA5 CD5:CF5">
    <cfRule type="cellIs" dxfId="1484" priority="8" operator="greaterThan">
      <formula>0</formula>
    </cfRule>
  </conditionalFormatting>
  <conditionalFormatting sqref="IC5:IK5">
    <cfRule type="expression" dxfId="1483" priority="9">
      <formula>$IL5&gt;0</formula>
    </cfRule>
  </conditionalFormatting>
  <conditionalFormatting sqref="J5">
    <cfRule type="colorScale" priority="33">
      <colorScale>
        <cfvo type="min"/>
        <cfvo type="percentile" val="50"/>
        <cfvo type="max"/>
        <color rgb="FFF8696B"/>
        <color rgb="FFFFEB84"/>
        <color rgb="FF63BE7B"/>
      </colorScale>
    </cfRule>
  </conditionalFormatting>
  <conditionalFormatting sqref="S5">
    <cfRule type="colorScale" priority="34">
      <colorScale>
        <cfvo type="min"/>
        <cfvo type="max"/>
        <color rgb="FFFCFCFF"/>
        <color rgb="FF754BFB"/>
      </colorScale>
    </cfRule>
  </conditionalFormatting>
  <conditionalFormatting sqref="AT5">
    <cfRule type="colorScale" priority="35">
      <colorScale>
        <cfvo type="min"/>
        <cfvo type="max"/>
        <color rgb="FFFCFCFF"/>
        <color theme="8" tint="0.39997558519241921"/>
      </colorScale>
    </cfRule>
  </conditionalFormatting>
  <conditionalFormatting sqref="CG5">
    <cfRule type="colorScale" priority="36">
      <colorScale>
        <cfvo type="min"/>
        <cfvo type="max"/>
        <color rgb="FFFCFCFF"/>
        <color rgb="FF63BE7B"/>
      </colorScale>
    </cfRule>
  </conditionalFormatting>
  <hyperlinks>
    <hyperlink ref="A2" r:id="rId1" display="https://fbref.com/en/country/PNG/Papua-New-Guinea-Football" xr:uid="{B9C088FA-BBAA-49F8-BD4F-F9018AFC4896}"/>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AF2C0-89ED-4AD9-8F89-67CE9E0196BB}">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304</v>
      </c>
      <c r="B2" s="40" t="e" vm="102">
        <v>#VALUE!</v>
      </c>
      <c r="C2" s="41">
        <v>1</v>
      </c>
      <c r="D2" s="42" t="s">
        <v>305</v>
      </c>
      <c r="E2" s="43" t="s">
        <v>306</v>
      </c>
      <c r="F2" s="44" t="s">
        <v>166</v>
      </c>
      <c r="G2" s="45">
        <f>COUNTIF($A$1:$A$8229,A2)</f>
        <v>1</v>
      </c>
      <c r="H2" s="46"/>
      <c r="I2" s="47" t="s">
        <v>307</v>
      </c>
      <c r="J2" s="48" t="str">
        <f>""</f>
        <v/>
      </c>
      <c r="K2" s="49">
        <v>67</v>
      </c>
      <c r="L2" s="50">
        <v>800</v>
      </c>
      <c r="M2" s="50" t="s">
        <v>308</v>
      </c>
      <c r="N2" s="51" t="s">
        <v>169</v>
      </c>
      <c r="O2" s="52" t="s">
        <v>219</v>
      </c>
      <c r="P2" s="53" t="s">
        <v>309</v>
      </c>
      <c r="Q2" s="54">
        <v>2</v>
      </c>
      <c r="R2" s="55" t="s">
        <v>169</v>
      </c>
      <c r="S2" s="56">
        <v>0</v>
      </c>
      <c r="T2" s="57" t="s">
        <v>173</v>
      </c>
      <c r="U2" s="58" t="s">
        <v>172</v>
      </c>
      <c r="V2" s="58" t="s">
        <v>173</v>
      </c>
      <c r="W2" s="58" t="s">
        <v>173</v>
      </c>
      <c r="X2" s="58" t="s">
        <v>173</v>
      </c>
      <c r="Y2" s="58" t="s">
        <v>173</v>
      </c>
      <c r="Z2" s="58" t="s">
        <v>173</v>
      </c>
      <c r="AA2" s="58" t="s">
        <v>172</v>
      </c>
      <c r="AB2" s="58" t="s">
        <v>173</v>
      </c>
      <c r="AC2" s="58" t="s">
        <v>173</v>
      </c>
      <c r="AD2" s="58" t="s">
        <v>173</v>
      </c>
      <c r="AE2" s="58" t="s">
        <v>173</v>
      </c>
      <c r="AF2" s="59" t="s">
        <v>173</v>
      </c>
      <c r="AG2" s="59" t="s">
        <v>173</v>
      </c>
      <c r="AH2" s="59" t="s">
        <v>173</v>
      </c>
      <c r="AI2" s="59" t="s">
        <v>172</v>
      </c>
      <c r="AJ2" s="59" t="s">
        <v>173</v>
      </c>
      <c r="AK2" s="59" t="s">
        <v>173</v>
      </c>
      <c r="AL2" s="59" t="s">
        <v>172</v>
      </c>
      <c r="AM2" s="59" t="s">
        <v>173</v>
      </c>
      <c r="AN2" s="59" t="s">
        <v>173</v>
      </c>
      <c r="AO2" s="59" t="s">
        <v>173</v>
      </c>
      <c r="AP2" s="59" t="s">
        <v>173</v>
      </c>
      <c r="AQ2" s="59" t="s">
        <v>173</v>
      </c>
      <c r="AR2" s="59" t="s">
        <v>173</v>
      </c>
      <c r="AS2" s="59" t="s">
        <v>172</v>
      </c>
      <c r="AT2" s="60">
        <v>0</v>
      </c>
      <c r="AU2" s="59"/>
      <c r="AV2" s="59" t="str">
        <f>IF(LEFT(A2,1)="[",LEFT(A2,5)&amp;AU2&amp;A2,"")</f>
        <v/>
      </c>
      <c r="AW2" s="59" t="str">
        <f>C2&amp;H2&amp;A2</f>
        <v>1Pitcairn Islands</v>
      </c>
      <c r="AX2" s="61"/>
      <c r="AY2" s="61"/>
      <c r="AZ2" s="62"/>
      <c r="BA2" s="62"/>
      <c r="BB2" s="62"/>
      <c r="BC2" s="63"/>
      <c r="BD2" s="64" t="s">
        <v>159</v>
      </c>
      <c r="BE2" s="47"/>
      <c r="BF2" s="64"/>
      <c r="BG2" s="64"/>
      <c r="BH2" s="64"/>
      <c r="BI2" s="64"/>
      <c r="BJ2" s="64"/>
      <c r="BK2" s="47"/>
      <c r="BL2" s="64" t="s">
        <v>159</v>
      </c>
      <c r="BM2" s="64" t="s">
        <v>155</v>
      </c>
      <c r="BN2" s="64" t="s">
        <v>153</v>
      </c>
      <c r="BO2" s="64" t="s">
        <v>151</v>
      </c>
      <c r="BP2" s="64"/>
      <c r="BQ2" s="64"/>
      <c r="BR2" s="64"/>
      <c r="BS2" s="64"/>
      <c r="BT2" s="64"/>
      <c r="BU2" s="65"/>
      <c r="BV2" s="66"/>
      <c r="BW2" s="66">
        <v>0</v>
      </c>
      <c r="BX2" s="47"/>
      <c r="CB2" s="6"/>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"Pitcairn Islands"</v>
      </c>
      <c r="CU2" s="70" t="str">
        <f>CHAR(34)&amp;"rgn_"&amp;R2&amp;CHAR(34)</f>
        <v>"rgn_Oceania"</v>
      </c>
      <c r="CV2" s="48" t="str">
        <f>CHAR(34)&amp;D2&amp;CHAR(34)</f>
        <v>"https://upload.wikimedia.org/wikipedia/commons/thumb/8/88/Flag_of_the_Pitcairn_Islands.svg/383px-Flag_of_the_Pitcairn_Islands.svg.png"</v>
      </c>
      <c r="CW2" s="48" t="str">
        <f t="shared" ref="CW2:CZ3" si="0">IF(CH2="y",CHAR(34)&amp;CH$1&amp;CHAR(34)&amp;",","")</f>
        <v/>
      </c>
      <c r="CX2" s="48" t="str">
        <f t="shared" si="0"/>
        <v/>
      </c>
      <c r="CY2" s="48" t="str">
        <f t="shared" si="0"/>
        <v>"4Color",</v>
      </c>
      <c r="CZ2" s="48" t="str">
        <f t="shared" si="0"/>
        <v/>
      </c>
      <c r="DA2" s="48" t="str">
        <f>IF(Q2&gt;1,CHAR(34)&amp;"words2"&amp;CHAR(34)&amp;",","")</f>
        <v>"words2",</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"lets15",</v>
      </c>
      <c r="DE2" s="48" t="str">
        <f>CHAR(34)&amp;"start"&amp;IFERROR(LEFT(SUBSTITUTE(A2,"["&amp;MID(A2,FIND("[",A2)+1,FIND("]",A2)-FIND("[",A2)-1)&amp;"] ",""),1),LEFT(A2,1))&amp;CHAR(34)&amp;","</f>
        <v>"startP",</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3" si="1">IF(CL2="y",CHAR(34)&amp;CL$1&amp;CHAR(34)&amp;",","")</f>
        <v>"NoBand",</v>
      </c>
      <c r="DX2" s="48" t="str">
        <f t="shared" si="1"/>
        <v/>
      </c>
      <c r="DY2" s="48" t="str">
        <f t="shared" si="1"/>
        <v/>
      </c>
      <c r="DZ2" s="48" t="str">
        <f t="shared" si="1"/>
        <v/>
      </c>
      <c r="EA2" s="48" t="str">
        <f t="shared" ref="EA2:EE3" si="2">IF(T2="y",CHAR(34)&amp;T$1&amp;CHAR(34)&amp;",","")</f>
        <v/>
      </c>
      <c r="EB2" s="48" t="str">
        <f t="shared" si="2"/>
        <v>"Crosse",</v>
      </c>
      <c r="EC2" s="48" t="str">
        <f t="shared" si="2"/>
        <v/>
      </c>
      <c r="ED2" s="48" t="str">
        <f t="shared" si="2"/>
        <v/>
      </c>
      <c r="EE2" s="48" t="str">
        <f t="shared" si="2"/>
        <v/>
      </c>
      <c r="EF2" s="48" t="str">
        <f>IF(AND(Y2&lt;&gt;"n",Y2&lt;&gt;""),CHAR(34)&amp;Y$1&amp;CHAR(34)&amp;",","")</f>
        <v/>
      </c>
      <c r="EG2" s="48" t="str">
        <f t="shared" ref="EG2:EZ3" si="3">IF(Z2="y",CHAR(34)&amp;Z$1&amp;CHAR(34)&amp;",","")</f>
        <v/>
      </c>
      <c r="EH2" s="48" t="str">
        <f t="shared" si="3"/>
        <v>"Plants",</v>
      </c>
      <c r="EI2" s="48" t="str">
        <f t="shared" si="3"/>
        <v/>
      </c>
      <c r="EJ2" s="48" t="str">
        <f t="shared" si="3"/>
        <v/>
      </c>
      <c r="EK2" s="48" t="str">
        <f t="shared" si="3"/>
        <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"Wavess",</v>
      </c>
      <c r="ET2" s="48" t="str">
        <f t="shared" si="3"/>
        <v/>
      </c>
      <c r="EU2" s="48" t="str">
        <f t="shared" si="3"/>
        <v/>
      </c>
      <c r="EV2" s="48" t="str">
        <f t="shared" si="3"/>
        <v/>
      </c>
      <c r="EW2" s="48" t="str">
        <f t="shared" si="3"/>
        <v/>
      </c>
      <c r="EX2" s="48" t="str">
        <f t="shared" si="3"/>
        <v/>
      </c>
      <c r="EY2" s="48" t="str">
        <f t="shared" si="3"/>
        <v/>
      </c>
      <c r="EZ2" s="48" t="str">
        <f t="shared" si="3"/>
        <v>"Waters",</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"NO_RED",</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"BLRENO",</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"myrWHI",</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3" si="4">IF(CQ2="y",CHAR(34)&amp;CQ$1&amp;CHAR(34)&amp;",","")</f>
        <v/>
      </c>
      <c r="GM2" s="48" t="str">
        <f t="shared" si="4"/>
        <v/>
      </c>
      <c r="GN2" s="48" t="str">
        <f t="shared" si="4"/>
        <v/>
      </c>
      <c r="GP2" s="48" t="str">
        <f>CHAR(34)&amp;AU2&amp;CHAR(34)</f>
        <v>""</v>
      </c>
      <c r="GS2" s="48" t="str">
        <f>SUBSTITUTE("["&amp;_xlfn.CONCAT(CW2:GN2)&amp;"]",",]","]")</f>
        <v>["4Color","words2","lets15","startP","year19","NoBand","Crosse","Plants","Canton","Wavess","Waters","NO_BLU","NO_RED","BLRENO","myrWHI","NoStar"]</v>
      </c>
      <c r="GT2" s="48" t="str">
        <f t="shared" ref="GT2:HB3" si="5">IF(BL2&lt;&gt;"",CHAR(34)&amp;"cl_"&amp;BL2&amp;CHAR(34)&amp;",","")</f>
        <v>"cl_WHI",</v>
      </c>
      <c r="GU2" s="48" t="str">
        <f t="shared" si="5"/>
        <v>"cl_YEL",</v>
      </c>
      <c r="GV2" s="48" t="str">
        <f t="shared" si="5"/>
        <v>"cl_GRE",</v>
      </c>
      <c r="GW2" s="48" t="str">
        <f t="shared" si="5"/>
        <v>"cl_BLA",</v>
      </c>
      <c r="GX2" s="48" t="str">
        <f t="shared" si="5"/>
        <v/>
      </c>
      <c r="GY2" s="48" t="str">
        <f t="shared" si="5"/>
        <v/>
      </c>
      <c r="GZ2" s="48" t="str">
        <f t="shared" si="5"/>
        <v/>
      </c>
      <c r="HA2" s="48" t="str">
        <f t="shared" si="5"/>
        <v/>
      </c>
      <c r="HB2" s="48" t="str">
        <f t="shared" si="5"/>
        <v/>
      </c>
      <c r="HC2" s="48" t="str">
        <f>SUBSTITUTE("["&amp;_xlfn.CONCAT(GT2:HB2)&amp;"]",",]","]")</f>
        <v>["cl_WHI","cl_YEL","cl_GRE","cl_BLA"]</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links: "https://en.wikipedia.org/wiki/Flag_and_coat_of_arms_of_the_Pitcairn_Islands"},</v>
      </c>
      <c r="HG2" s="73" t="str">
        <f>"{couname:"&amp;CT2&amp;(IF(HK2&lt;&gt;"",",subtype:"&amp;CHAR(34)&amp;HK2&amp;CHAR(34),""))&amp;",year:"&amp;HJ2&amp;",region:"&amp;CU2&amp;",Colors:"&amp;HC2&amp;",Items:"&amp;GS2&amp;",Flag:"&amp;CV2&amp;",HDFlag:"&amp;CHAR(34)&amp;E2&amp;CHAR(34)&amp;",type:"&amp;GP2&amp;", describe: "&amp;HI2&amp;", links: "&amp;HL2&amp;"},"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links: "https://en.wikipedia.org/wiki/Flag_and_coat_of_arms_of_the_Pitcairn_Islands"},</v>
      </c>
      <c r="HH2" s="48" t="str">
        <f>IF(P2&lt;&gt;"",CHAR(34)&amp;"\n"&amp;P2&amp;CHAR(34),CHAR(34)&amp;CHAR(34))</f>
        <v>"\nThe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v>
      </c>
      <c r="HI2" s="48" t="str">
        <f>IF(J2=0,CHAR(34)&amp;CHAR(34),HH2)</f>
        <v>"\nThe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v>
      </c>
      <c r="HJ2" s="48" t="str">
        <f>CHAR(34)&amp;O2&amp;CHAR(34)</f>
        <v>"1984 "</v>
      </c>
      <c r="HL2" s="48" t="str">
        <f>CHAR(34)&amp;I2&amp;CHAR(34)</f>
        <v>"https://en.wikipedia.org/wiki/Flag_and_coat_of_arms_of_the_Pitcairn_Islands"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 "links": "https://en.wikipedia.org/wiki/Flag_and_coat_of_arms_of_the_Pitcairn_Islands"},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{"couname":"Pitcairn Islands","year":"1984 ","region":"rgn_Oceania","Colors":["cl_WHI","cl_YEL","cl_GRE","cl_BLA"],"Items":["4Color","words2","lets15","startP","year19","NoBand","Crosse","Plants","Canton","Wavess","Waters","NO_BLU","NO_RED","BLRENO","myrWHI","NoStar"],"Flag":"https://upload.wikimedia.org/wikipedia/commons/thumb/8/88/Flag_of_the_Pitcairn_Islands.svg/383px-Flag_of_the_Pitcairn_Islands.svg.png","HDFlag":"https://upload.wikimedia.org/wikipedia/commons/thumb/8/88/Flag_of_the_Pitcairn_Islands.svg/2560px-Flag_of_the_Pitcairn_Islands.svg.png","type":"", "describe": "\nThe coat of arms features several symbols relevant to the ancestral history and culture of the Pitcairn Islanders, most of whom are descended from the sailors who mutinied on HMS Bounty in 1789: the blue, yellow and green of the shield symbolise the island of Pitcairn rising from the Pacific Ocean, while the anchor and Bible are symbols of the Bounty. Additionally, the Bible symbolises Christianity, which the mutineers brought to the island. The shield is surrounded by a green and gold wreath, and crested by a helmet bearing a wheelbarrow and a slip of miro, a local tree, which represent the role agriculture played in helping the mutineers survive on the island. The slip of miro also represents the wood used by Pitcairn Islanders for crafting souvenirs.", "isnew": ".", "links": "https://en.wikipedia.org/wiki/Flag_and_coat_of_arms_of_the_Pitcairn_Islands"},</v>
      </c>
      <c r="HO2" s="75">
        <v>45653</v>
      </c>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-4</v>
      </c>
      <c r="IN2" s="78" t="str">
        <f>"http://mkweb.bcgsc.ca/color-summarizer/?url="&amp;D2&amp;"&amp;precision=low&amp;num_clusters="&amp;CG2&amp;"&amp;text=1"</f>
        <v>http://mkweb.bcgsc.ca/color-summarizer/?url=https://upload.wikimedia.org/wikipedia/commons/thumb/8/88/Flag_of_the_Pitcairn_Islands.svg/383px-Flag_of_the_Pitcairn_Islands.svg.png&amp;precision=low&amp;num_clusters=4&amp;text=1</v>
      </c>
      <c r="IO2" s="48" t="str">
        <f>IF(HP2&lt;&gt;"",CHAR(34)&amp;"black"&amp;CHAR(34),"")</f>
        <v>"black"</v>
      </c>
      <c r="IP2" s="48" t="str">
        <f>IF(HQ2&lt;&gt;"",CHAR(34)&amp;"blue"&amp;CHAR(34),"")</f>
        <v/>
      </c>
      <c r="IQ2" s="48" t="str">
        <f>IF(HR2&lt;&gt;"",CHAR(34)&amp;"green"&amp;CHAR(34),"")</f>
        <v>"green"</v>
      </c>
      <c r="IR2" s="48" t="str">
        <f>IF(HS2&lt;&gt;"",CHAR(34)&amp;"red"&amp;CHAR(34),"")</f>
        <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{"url":"http://mkweb.bcgsc.ca/color-summarizer/?url=https://upload.wikimedia.org/wikipedia/commons/thumb/8/88/Flag_of_the_Pitcairn_Islands.svg/383px-Flag_of_the_Pitcairn_Islands.svg.png&amp;precision=low&amp;num_clusters=4&amp;text=1","name":"Pitcairn Islands"},</v>
      </c>
      <c r="IY2" s="48">
        <v>1503</v>
      </c>
    </row>
    <row r="3" spans="1:259" s="48" customFormat="1" ht="38.4" customHeight="1" thickBot="1" x14ac:dyDescent="0.35">
      <c r="A3" s="79" t="s">
        <v>548</v>
      </c>
      <c r="B3" s="40" t="e" vm="103">
        <v>#VALUE!</v>
      </c>
      <c r="C3" s="41">
        <v>2</v>
      </c>
      <c r="D3" s="42" t="s">
        <v>549</v>
      </c>
      <c r="E3" s="43" t="s">
        <v>549</v>
      </c>
      <c r="F3" s="44" t="s">
        <v>393</v>
      </c>
      <c r="G3" s="45">
        <f>COUNTIF($A$1:$A$8229,A3)</f>
        <v>1</v>
      </c>
      <c r="H3" s="46"/>
      <c r="I3" s="47" t="s">
        <v>550</v>
      </c>
      <c r="J3" s="48" t="str">
        <f>""</f>
        <v/>
      </c>
      <c r="K3" s="49"/>
      <c r="L3" s="50"/>
      <c r="M3" s="50"/>
      <c r="N3" s="51" t="s">
        <v>169</v>
      </c>
      <c r="O3" s="52" t="s">
        <v>355</v>
      </c>
      <c r="P3" s="53" t="s">
        <v>551</v>
      </c>
      <c r="Q3" s="54">
        <v>2</v>
      </c>
      <c r="R3" s="55" t="s">
        <v>169</v>
      </c>
      <c r="S3" s="56">
        <v>0</v>
      </c>
      <c r="T3" s="57" t="s">
        <v>173</v>
      </c>
      <c r="U3" s="58" t="s">
        <v>173</v>
      </c>
      <c r="V3" s="58" t="s">
        <v>172</v>
      </c>
      <c r="W3" s="58" t="s">
        <v>173</v>
      </c>
      <c r="X3" s="58" t="s">
        <v>173</v>
      </c>
      <c r="Y3" s="58" t="s">
        <v>173</v>
      </c>
      <c r="Z3" s="58" t="s">
        <v>173</v>
      </c>
      <c r="AA3" s="58" t="s">
        <v>173</v>
      </c>
      <c r="AB3" s="58" t="s">
        <v>173</v>
      </c>
      <c r="AC3" s="58" t="s">
        <v>173</v>
      </c>
      <c r="AD3" s="58" t="s">
        <v>173</v>
      </c>
      <c r="AE3" s="58" t="s">
        <v>173</v>
      </c>
      <c r="AF3" s="59" t="s">
        <v>173</v>
      </c>
      <c r="AG3" s="59" t="s">
        <v>173</v>
      </c>
      <c r="AH3" s="59" t="s">
        <v>173</v>
      </c>
      <c r="AI3" s="59" t="s">
        <v>173</v>
      </c>
      <c r="AJ3" s="59" t="s">
        <v>173</v>
      </c>
      <c r="AK3" s="59" t="s">
        <v>173</v>
      </c>
      <c r="AL3" s="59" t="s">
        <v>173</v>
      </c>
      <c r="AM3" s="59" t="s">
        <v>173</v>
      </c>
      <c r="AN3" s="59" t="s">
        <v>173</v>
      </c>
      <c r="AO3" s="59" t="s">
        <v>173</v>
      </c>
      <c r="AP3" s="59" t="s">
        <v>173</v>
      </c>
      <c r="AQ3" s="59" t="s">
        <v>173</v>
      </c>
      <c r="AR3" s="59" t="s">
        <v>173</v>
      </c>
      <c r="AS3" s="59" t="s">
        <v>173</v>
      </c>
      <c r="AT3" s="60">
        <v>1</v>
      </c>
      <c r="AU3" s="59" t="s">
        <v>42</v>
      </c>
      <c r="AV3" s="59" t="str">
        <f>IF(LEFT(A3,1)="[",LEFT(A3,5)&amp;AU3&amp;A3,"")</f>
        <v>[PCN]Island[PCN] Ducie Island</v>
      </c>
      <c r="AW3" s="59" t="str">
        <f>C3&amp;H3&amp;A3</f>
        <v>2[PCN] Ducie Island</v>
      </c>
      <c r="AX3" s="61"/>
      <c r="AY3" s="61"/>
      <c r="AZ3" s="62" t="s">
        <v>154</v>
      </c>
      <c r="BA3" s="62"/>
      <c r="BB3" s="62"/>
      <c r="BC3" s="63"/>
      <c r="BD3" s="64" t="s">
        <v>153</v>
      </c>
      <c r="BE3" s="47"/>
      <c r="BF3" s="64" t="s">
        <v>155</v>
      </c>
      <c r="BG3" s="64"/>
      <c r="BH3" s="64" t="s">
        <v>153</v>
      </c>
      <c r="BI3" s="64"/>
      <c r="BJ3" s="64"/>
      <c r="BK3" s="47"/>
      <c r="BL3" s="64" t="s">
        <v>155</v>
      </c>
      <c r="BM3" s="64" t="s">
        <v>153</v>
      </c>
      <c r="BN3" s="64" t="s">
        <v>154</v>
      </c>
      <c r="BO3" s="64"/>
      <c r="BP3" s="64"/>
      <c r="BQ3" s="64"/>
      <c r="BR3" s="64"/>
      <c r="BS3" s="64"/>
      <c r="BT3" s="64"/>
      <c r="BU3" s="65"/>
      <c r="BV3" s="66"/>
      <c r="BW3" s="66">
        <v>0</v>
      </c>
      <c r="BX3" s="47"/>
      <c r="BY3" s="48" t="s">
        <v>172</v>
      </c>
      <c r="CB3" s="6"/>
      <c r="CC3" s="6"/>
      <c r="CD3" s="67">
        <v>0</v>
      </c>
      <c r="CE3" s="67">
        <v>0</v>
      </c>
      <c r="CF3" s="67" t="e">
        <v>#REF!</v>
      </c>
      <c r="CG3" s="68" cm="1">
        <f t="array" ref="CG3">SUMPRODUCT(--(LEN(TRIM(BL3:BT3))&gt;0))</f>
        <v>3</v>
      </c>
      <c r="CH3" s="59" t="str">
        <f t="shared" ref="CH3" si="6">IF(CG3=2,"y","n")</f>
        <v>n</v>
      </c>
      <c r="CI3" s="59" t="str">
        <f t="shared" ref="CI3" si="7">IF(CG3=3,"y","n")</f>
        <v>y</v>
      </c>
      <c r="CJ3" s="59" t="str">
        <f t="shared" ref="CJ3" si="8">IF(CG3=4,"y","n")</f>
        <v>n</v>
      </c>
      <c r="CK3" s="59" t="str">
        <f t="shared" ref="CK3" si="9">IF(CG3&gt;4,"y","n")</f>
        <v>n</v>
      </c>
      <c r="CL3" s="59" t="str">
        <f t="shared" ref="CL3" si="10">IF(S3=0,"y","n")</f>
        <v>y</v>
      </c>
      <c r="CM3" s="59" t="str">
        <f t="shared" ref="CM3" si="11">IF(S3=2,"y","n")</f>
        <v>n</v>
      </c>
      <c r="CN3" s="59" t="str">
        <f t="shared" ref="CN3" si="12">IF(S3=3,"y","n")</f>
        <v>n</v>
      </c>
      <c r="CO3" s="59" t="str">
        <f t="shared" ref="CO3" si="13">IF(S3&gt;=4,"y","n")</f>
        <v>n</v>
      </c>
      <c r="CP3" s="59" t="str">
        <f t="shared" ref="CP3" si="14">IF(AT3=0,"y","n")</f>
        <v>n</v>
      </c>
      <c r="CQ3" s="59" t="str">
        <f t="shared" ref="CQ3" si="15">IF(AT3=1,"y","n")</f>
        <v>y</v>
      </c>
      <c r="CR3" s="59" t="str">
        <f t="shared" ref="CR3" si="16">IF(AT3=2,"y","n")</f>
        <v>n</v>
      </c>
      <c r="CS3" s="59" t="str">
        <f t="shared" ref="CS3" si="17">IF(AT3&gt;=3,"y","n")</f>
        <v>n</v>
      </c>
      <c r="CT3" s="69" t="str">
        <f t="shared" ref="CT3" si="18">CHAR(34)&amp;A3&amp;CHAR(34)</f>
        <v>"[PCN] Ducie Island"</v>
      </c>
      <c r="CU3" s="70" t="str">
        <f t="shared" ref="CU3" si="19">CHAR(34)&amp;"rgn_"&amp;R3&amp;CHAR(34)</f>
        <v>"rgn_Oceania"</v>
      </c>
      <c r="CV3" s="48" t="str">
        <f t="shared" ref="CV3" si="20">CHAR(34)&amp;D3&amp;CHAR(34)</f>
        <v>"https://i.ibb.co/MSJbjXV/Ducie-Island.png"</v>
      </c>
      <c r="CW3" s="48" t="str">
        <f t="shared" si="0"/>
        <v/>
      </c>
      <c r="CX3" s="48" t="str">
        <f t="shared" si="0"/>
        <v>"3Color",</v>
      </c>
      <c r="CY3" s="48" t="str">
        <f t="shared" si="0"/>
        <v/>
      </c>
      <c r="CZ3" s="48" t="str">
        <f t="shared" si="0"/>
        <v/>
      </c>
      <c r="DA3" s="48" t="str">
        <f t="shared" ref="DA3" si="21">IF(Q3&gt;1,CHAR(34)&amp;"words2"&amp;CHAR(34)&amp;",","")</f>
        <v>"words2",</v>
      </c>
      <c r="DB3" s="48" t="str">
        <f t="shared" ref="DB3" si="22">IF(Q3&gt;2,CHAR(34)&amp;"words3"&amp;CHAR(34)&amp;",","")</f>
        <v/>
      </c>
      <c r="DC3" s="48" t="str">
        <f t="shared" ref="DC3" si="23">IF(Q3=2,CHAR(34)&amp;"exact2"&amp;CHAR(34)&amp;",","")</f>
        <v>"exact2",</v>
      </c>
      <c r="DD3" s="48" t="str">
        <f t="shared" ref="DD3"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"lets11",</v>
      </c>
      <c r="DE3" s="48" t="str">
        <f t="shared" ref="DE3"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"startD",</v>
      </c>
      <c r="DF3" s="48" t="str">
        <f t="shared" ref="DF3" si="26">IFERROR(IF(SEARCH("tan",A3)&gt;0,CHAR(34)&amp;"withtn"&amp;CHAR(34)&amp;",",""),"")</f>
        <v/>
      </c>
      <c r="DG3" s="48" t="str">
        <f t="shared" ref="DG3" si="27">IFERROR(IF(SEARCH("q",A3)&gt;0,CHAR(34)&amp;"with_q"&amp;CHAR(34)&amp;",",""),"")</f>
        <v/>
      </c>
      <c r="DH3" s="48" t="str">
        <f t="shared" ref="DH3" si="28">IFERROR(IF(SEARCH("v",A3)&gt;0,CHAR(34)&amp;"with_v"&amp;CHAR(34)&amp;",",""),"")</f>
        <v/>
      </c>
      <c r="DI3" s="48" t="str">
        <f t="shared" ref="DI3" si="29">IFERROR(IF(SEARCH("w",A3)&gt;0,CHAR(34)&amp;"with_w"&amp;CHAR(34)&amp;",",""),"")</f>
        <v/>
      </c>
      <c r="DJ3" s="48" t="str">
        <f t="shared" ref="DJ3" si="30">IFERROR(IF(SEARCH("y",A3)&gt;0,CHAR(34)&amp;"with_y"&amp;CHAR(34)&amp;",",""),"")</f>
        <v/>
      </c>
      <c r="DK3" s="48" t="str">
        <f t="shared" ref="DK3" si="31">IFERROR(IF(SEARCH("z",A3)&gt;0,CHAR(34)&amp;"with_z"&amp;CHAR(34)&amp;",",""),"")</f>
        <v/>
      </c>
      <c r="DL3" s="48" t="str">
        <f t="shared" ref="DL3" si="32">IF(CG3=2, CHAR(34) &amp; _xlfn.TEXTJOIN("", TRUE, _xlfn._xlws.SORT(HP3:HX3)) &amp; CHAR(34) &amp; ",", "")</f>
        <v/>
      </c>
      <c r="DM3" s="48" t="str" cm="1">
        <f t="array" ref="DM3">IF(CG3=3,CHAR(34) &amp; _xlfn.TEXTJOIN("", TRUE, RIGHT(HP3:HX3, 2)) &amp; CHAR(34) &amp; ",", "")</f>
        <v>"REEDEL",</v>
      </c>
      <c r="DN3" s="48" t="str">
        <f t="shared" ref="DN3" si="33">IF(AND(ISNUMBER(SEARCH("18", O3)), ISERROR(SEARCH("1918", O3)), ISERROR(SEARCH("2018", O3))), CHAR(34) &amp; "year18" &amp; CHAR(34) &amp; ",", "")</f>
        <v/>
      </c>
      <c r="DO3" s="48" t="str">
        <f t="shared" ref="DO3" si="34">IF(AND(ISNUMBER(SEARCH("19", O3)), ISERROR(SEARCH("1819", O3)),  ISERROR(SEARCH("1219", O3)),ISERROR(SEARCH("1119", O3)),ISERROR(SEARCH("1190", O3)),ISERROR(SEARCH("2019", O3))), CHAR(34) &amp; "year19" &amp; CHAR(34) &amp; ",", "")</f>
        <v/>
      </c>
      <c r="DP3" s="6" t="str">
        <f t="shared" ref="DP3" si="35">IF(AND(ISNUMBER(SEARCH("20", O3)), ISERROR(SEARCH("1920", O3))), CHAR(34)&amp;"year00"&amp;CHAR(34)&amp;",", "")</f>
        <v/>
      </c>
      <c r="DQ3" s="6" t="str">
        <f t="shared" ref="DQ3" si="36">IF(CC3="y",CHAR(34)&amp;"soviet"&amp;CHAR(34)&amp;",","")</f>
        <v/>
      </c>
      <c r="DR3" s="6" t="str">
        <f t="shared" ref="DR3" si="37">IF(BY3="y",CHAR(34)&amp;"dgband"&amp;CHAR(34)&amp;",","")</f>
        <v>"dgband",</v>
      </c>
      <c r="DS3" s="6" t="str">
        <f t="shared" ref="DS3" si="38">IF(W3="y",IF(AND(V3="n",BY3&lt;&gt;"y"),CHAR(34)&amp;"allver"&amp;CHAR(34)&amp;",",""),"")</f>
        <v/>
      </c>
      <c r="DT3" s="6" t="str">
        <f t="shared" ref="DT3" si="39">IF(V3="y",IF(AND(W3="n",BY3&lt;&gt;"y"),CHAR(34)&amp;"allhor"&amp;CHAR(34)&amp;",",""),"")</f>
        <v/>
      </c>
      <c r="DU3" s="6" t="str">
        <f t="shared" ref="DU3" si="40">IF(BY3="y",IF(AND(W3="n",V3="n"),CHAR(34)&amp;"alldia"&amp;CHAR(34)&amp;",",""),"")</f>
        <v/>
      </c>
      <c r="DV3" s="48" t="str">
        <f t="shared" ref="DV3" si="41">IF(IA3&lt;&gt;"",(IF(IA3="y",CHAR(34)&amp;"largec"&amp;CHAR(34)&amp;",",CHAR(34)&amp;"smallc"&amp;CHAR(34)&amp;",")),"")</f>
        <v/>
      </c>
      <c r="DW3" s="48" t="str">
        <f t="shared" si="1"/>
        <v>"NoBand",</v>
      </c>
      <c r="DX3" s="48" t="str">
        <f t="shared" si="1"/>
        <v/>
      </c>
      <c r="DY3" s="48" t="str">
        <f t="shared" si="1"/>
        <v/>
      </c>
      <c r="DZ3" s="48" t="str">
        <f t="shared" si="1"/>
        <v/>
      </c>
      <c r="EA3" s="48" t="str">
        <f t="shared" si="2"/>
        <v/>
      </c>
      <c r="EB3" s="48" t="str">
        <f t="shared" si="2"/>
        <v/>
      </c>
      <c r="EC3" s="48" t="str">
        <f t="shared" si="2"/>
        <v>"Horizo",</v>
      </c>
      <c r="ED3" s="48" t="str">
        <f t="shared" si="2"/>
        <v/>
      </c>
      <c r="EE3" s="48" t="str">
        <f t="shared" si="2"/>
        <v/>
      </c>
      <c r="EF3" s="48" t="str">
        <f t="shared" ref="EF3" si="42">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
      </c>
      <c r="EO3" s="48" t="str">
        <f t="shared" si="3"/>
        <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 si="43">IF(AT3&gt;0,CHAR(34)&amp;"sta"&amp;AZ3&amp;CHAR(34)&amp;",","")</f>
        <v>"staRED",</v>
      </c>
      <c r="FB3" s="48" t="str">
        <f t="shared" ref="FB3" si="44">IF(AND(AT3&gt;0,BA3&lt;&gt;""),CHAR(34)&amp;"sta"&amp;BA3&amp;CHAR(34)&amp;",","")</f>
        <v/>
      </c>
      <c r="FC3" s="48" t="str">
        <f t="shared" ref="FC3" si="45">IF(AND(AT3&gt;0,BB3&lt;&gt;""),CHAR(34)&amp;"sta"&amp;BB3&amp;CHAR(34)&amp;",","")</f>
        <v/>
      </c>
      <c r="FD3" s="48" t="str">
        <f t="shared" ref="FD3" si="46">IF(BV3="n",CHAR(34)&amp;"tcWHYE"&amp;CHAR(34)&amp;",",IF(BV3="y",CHAR(34)&amp;FD$1&amp;CHAR(34)&amp;",",""))</f>
        <v/>
      </c>
      <c r="FE3" s="48" t="str">
        <f t="shared" ref="FE3" si="47">IF(COUNTIF(BL3:BT3,"BLU")=0,CHAR(34)&amp;"NO_BLU"&amp;CHAR(34)&amp;",", "")</f>
        <v>"NO_BLU",</v>
      </c>
      <c r="FF3" s="48" t="str">
        <f t="shared" ref="FF3" si="48">IF(COUNTIF(BL3:BT3,"WHI")=0,CHAR(34)&amp;"NO_WHI"&amp;CHAR(34)&amp;",", "")</f>
        <v>"NO_WHI",</v>
      </c>
      <c r="FG3" s="48" t="str">
        <f t="shared" ref="FG3" si="49">IF(COUNTIF(BL3:BT3,"RED")=0,CHAR(34)&amp;"NO_RED"&amp;CHAR(34)&amp;",", "")</f>
        <v/>
      </c>
      <c r="FH3" s="48" t="str">
        <f t="shared" ref="FH3" si="50">IF(COUNTIF(BL3:BS3,"GRE")=0,CHAR(34)&amp;"NO_GRE"&amp;CHAR(34)&amp;",", "")</f>
        <v/>
      </c>
      <c r="FI3" s="48" t="str">
        <f t="shared" ref="FI3" si="51">IF(COUNTIF(BL3:BT3,"YEL")=0,CHAR(34)&amp;"NO_YEL"&amp;CHAR(34)&amp;",", "")</f>
        <v/>
      </c>
      <c r="FJ3" s="48" t="str">
        <f t="shared" ref="FJ3" si="52">IF(COUNTIF(BL3:BT3,"BLA")=0,CHAR(34)&amp;"NO_BLA"&amp;CHAR(34)&amp;",", "")</f>
        <v>"NO_BLA",</v>
      </c>
      <c r="FK3" s="48" t="str">
        <f t="shared" ref="FK3" si="53">IF(AND(FH3&lt;&gt;"",FF3&lt;&gt;""),CHAR(34)&amp;"WHGRNO"&amp;CHAR(34)&amp;",","")</f>
        <v/>
      </c>
      <c r="FL3" s="48" t="str">
        <f t="shared" ref="FL3" si="54">IF(AND(FI3&lt;&gt;"",FF3&lt;&gt;""),CHAR(34)&amp;"WHYENO"&amp;CHAR(34)&amp;",","")</f>
        <v/>
      </c>
      <c r="FM3" s="48" t="str">
        <f t="shared" ref="FM3" si="55">IF(AND(FJ3&lt;&gt;"",FF3&lt;&gt;""),CHAR(34)&amp;"BAWHNO"&amp;CHAR(34)&amp;",","")</f>
        <v>"BAWHNO",</v>
      </c>
      <c r="FN3" s="48" t="str">
        <f t="shared" ref="FN3" si="56">IF(AND(FE3&lt;&gt;"",FF3&lt;&gt;""),CHAR(34)&amp;"BLWHNO"&amp;CHAR(34)&amp;",","")</f>
        <v>"BLWHNO",</v>
      </c>
      <c r="FO3" s="48" t="str">
        <f t="shared" ref="FO3" si="57">IF(AND(FE3&lt;&gt;"",FG3&lt;&gt;""),CHAR(34)&amp;"BLRENO"&amp;CHAR(34)&amp;",","")</f>
        <v/>
      </c>
      <c r="FP3" s="48" t="str">
        <f t="shared" ref="FP3" si="58">IF(AND(FF3&lt;&gt;"",FF3&lt;&gt;""),CHAR(34)&amp;"WHRENO"&amp;CHAR(34)&amp;",","")</f>
        <v>"WHRENO",</v>
      </c>
      <c r="FQ3" s="48" t="str">
        <f t="shared" ref="FQ3" si="59">IF(LEN(BF3)=3,CHAR(34)&amp;"001"&amp;BF3&amp;CHAR(34)&amp;",","")</f>
        <v>"001YEL",</v>
      </c>
      <c r="FR3" s="48" t="str">
        <f t="shared" ref="FR3" si="60">IF(LEN(BG3)=3,CHAR(34)&amp;"002"&amp;BG3&amp;CHAR(34)&amp;",","")</f>
        <v/>
      </c>
      <c r="FS3" s="48" t="str">
        <f t="shared" ref="FS3" si="61">IF(LEN(BH3)=3,CHAR(34)&amp;"003"&amp;BH3&amp;CHAR(34)&amp;",","")</f>
        <v>"003GRE",</v>
      </c>
      <c r="FT3" s="48" t="str">
        <f t="shared" ref="FT3" si="62">CHAR(34)&amp;"myr"&amp;BD3&amp;CHAR(34)&amp;","</f>
        <v>"myrGRE",</v>
      </c>
      <c r="FU3" s="48" t="str">
        <f t="shared" ref="FU3" si="63">IF(AY3="y",CHAR(34)&amp;"island"&amp;CHAR(34)&amp;",","")</f>
        <v/>
      </c>
      <c r="FV3" s="48" t="str">
        <f t="shared" ref="FV3" si="64">IF(BZ3="y",CHAR(34)&amp;"landlo"&amp;CHAR(34)&amp;",","")</f>
        <v/>
      </c>
      <c r="FW3" s="48" t="str">
        <f t="shared" ref="FW3" si="65">IF(CA3="y",CHAR(34)&amp;"eunion"&amp;CHAR(34)&amp;",","")</f>
        <v/>
      </c>
      <c r="FX3" s="48" t="str">
        <f t="shared" ref="FX3" si="66">SUBSTITUTE(IFERROR(SEARCH("[",A3),IFERROR(IF(AND(CA3&lt;&gt;"y",SEARCH("Europe",R3)&gt;0),CHAR(34)&amp;"noeuni"&amp;CHAR(34)&amp;",",""),"")),"1","")</f>
        <v/>
      </c>
      <c r="FY3" s="48" t="str">
        <f t="shared" ref="FY3" si="67">IFERROR(IF(SEARCH("Arabic",CB3)&gt;0,CHAR(34)&amp;"arabic"&amp;CHAR(34)&amp;",",""),"")</f>
        <v/>
      </c>
      <c r="FZ3" s="48" t="str">
        <f t="shared" ref="FZ3" si="68">IFERROR(IF(SEARCH("English",CB3)&gt;0,CHAR(34)&amp;"englis"&amp;CHAR(34)&amp;",",""),"")</f>
        <v/>
      </c>
      <c r="GA3" s="48" t="str">
        <f t="shared" ref="GA3" si="69">IFERROR(IF(SEARCH("French",CB3)&gt;0,CHAR(34)&amp;"french"&amp;CHAR(34)&amp;",",""),"")</f>
        <v/>
      </c>
      <c r="GB3" s="48" t="str">
        <f t="shared" ref="GB3" si="70">IFERROR(IF(SEARCH("Spanish",CB3)&gt;0,CHAR(34)&amp;"spanis"&amp;CHAR(34)&amp;",",""),"")</f>
        <v/>
      </c>
      <c r="GC3" s="48" t="str">
        <f t="shared" ref="GC3" si="71">IFERROR(IF(SEARCH("Portuguese",CB3)&gt;0,CHAR(34)&amp;"portug"&amp;CHAR(34)&amp;",",""),"")</f>
        <v/>
      </c>
      <c r="GD3" s="48" t="str">
        <f t="shared" ref="GD3" si="72">IFERROR(IF(SEARCH("German",CB3)&gt;0,CHAR(34)&amp;"german"&amp;CHAR(34)&amp;",",""),"")</f>
        <v/>
      </c>
      <c r="GE3" s="48" t="str">
        <f t="shared" ref="GE3" si="73">IFERROR(IF(SEARCH("Dutch",CB3)&gt;0,CHAR(34)&amp;"dutchs"&amp;CHAR(34)&amp;",",""),"")</f>
        <v/>
      </c>
      <c r="GF3" s="48" t="str">
        <f t="shared" ref="GF3" si="74">IFERROR(IF(SEARCH("Historical",AU3)&gt;0,CHAR(34)&amp;"histor"&amp;CHAR(34)&amp;",",""),"")</f>
        <v/>
      </c>
      <c r="GG3" s="48" t="str">
        <f t="shared" ref="GG3" si="75">IF(BU3="y",CHAR(34)&amp;"unjack"&amp;CHAR(34)&amp;",","")</f>
        <v/>
      </c>
      <c r="GH3" s="48" t="str">
        <f t="shared" ref="GH3" si="76">IF(CD3=1,CHAR(34)&amp;"southc"&amp;CHAR(34)&amp;",","")</f>
        <v/>
      </c>
      <c r="GI3" s="48" t="str">
        <f t="shared" ref="GI3" si="77">IF(CE3=1,CHAR(34)&amp;"hasmap"&amp;CHAR(34)&amp;",","")</f>
        <v/>
      </c>
      <c r="GJ3" s="48" t="str">
        <f t="shared" ref="GJ3" si="78">IF(CP3="y",CHAR(34)&amp;CP$1&amp;CHAR(34)&amp;",","")</f>
        <v/>
      </c>
      <c r="GK3" s="48" t="str">
        <f t="shared" ref="GK3" si="79">IF(GJ3="",CHAR(34)&amp;"HasSta"&amp;CHAR(34)&amp;",","")</f>
        <v>"HasSta",</v>
      </c>
      <c r="GL3" s="48" t="str">
        <f t="shared" si="4"/>
        <v>"1Stars",</v>
      </c>
      <c r="GM3" s="48" t="str">
        <f t="shared" si="4"/>
        <v/>
      </c>
      <c r="GN3" s="48" t="str">
        <f t="shared" si="4"/>
        <v/>
      </c>
      <c r="GP3" s="48" t="str">
        <f t="shared" ref="GP3" si="80">CHAR(34)&amp;AU3&amp;CHAR(34)</f>
        <v>"Island"</v>
      </c>
      <c r="GS3" s="48" t="str">
        <f t="shared" ref="GS3" si="81">SUBSTITUTE("["&amp;_xlfn.CONCAT(CW3:GN3)&amp;"]",",]","]")</f>
        <v>["3Color","words2","exact2","lets11","startD","REEDEL","dgband","NoBand","Horizo","staRED","NO_BLU","NO_WHI","NO_BLA","BAWHNO","BLWHNO","WHRENO","001YEL","003GRE","myrGRE","HasSta","1Stars"]</v>
      </c>
      <c r="GT3" s="48" t="str">
        <f t="shared" si="5"/>
        <v>"cl_YEL",</v>
      </c>
      <c r="GU3" s="48" t="str">
        <f t="shared" si="5"/>
        <v>"cl_GRE",</v>
      </c>
      <c r="GV3" s="48" t="str">
        <f t="shared" si="5"/>
        <v>"cl_RED",</v>
      </c>
      <c r="GW3" s="48" t="str">
        <f t="shared" si="5"/>
        <v/>
      </c>
      <c r="GX3" s="48" t="str">
        <f t="shared" si="5"/>
        <v/>
      </c>
      <c r="GY3" s="48" t="str">
        <f t="shared" si="5"/>
        <v/>
      </c>
      <c r="GZ3" s="48" t="str">
        <f t="shared" si="5"/>
        <v/>
      </c>
      <c r="HA3" s="48" t="str">
        <f t="shared" si="5"/>
        <v/>
      </c>
      <c r="HB3" s="48" t="str">
        <f t="shared" si="5"/>
        <v/>
      </c>
      <c r="HC3" s="48" t="str">
        <f t="shared" ref="HC3" si="82">SUBSTITUTE("["&amp;_xlfn.CONCAT(GT3:HB3)&amp;"]",",]","]")</f>
        <v>["cl_YEL","cl_GRE","cl_RED"]</v>
      </c>
      <c r="HE3" s="71"/>
      <c r="HF3" s="72" t="str">
        <f t="shared" ref="HF3" si="83">"{couname:"&amp;CT3&amp;(IF(HK3&lt;&gt;"",",subtype:"&amp;CHAR(34)&amp;HK3&amp;CHAR(34),""))&amp;",year:"&amp;HJ3&amp;",region:"&amp;CU3&amp;",Colors:"&amp;HC3&amp;",Items:"&amp;GS3&amp;",Flag:"&amp;CV3&amp;",HDFlag:"&amp;CHAR(34)&amp;E3&amp;CHAR(34)&amp;",type:"&amp;GP3&amp;", describe: "&amp;HH3&amp;", isnew:"&amp;CHAR(34)&amp;F3&amp;CHAR(34)&amp;", links: "&amp;HL3&amp;"},"</f>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isnew:"www", links: "https://vexillology.fandom.com/wiki/Flags_of_Islands_of_the_Pitcairn_Islands"},</v>
      </c>
      <c r="HG3" s="73" t="str">
        <f t="shared" ref="HG3" si="84">"{couname:"&amp;CT3&amp;(IF(HK3&lt;&gt;"",",subtype:"&amp;CHAR(34)&amp;HK3&amp;CHAR(34),""))&amp;",year:"&amp;HJ3&amp;",region:"&amp;CU3&amp;",Colors:"&amp;HC3&amp;",Items:"&amp;GS3&amp;",Flag:"&amp;CV3&amp;",HDFlag:"&amp;CHAR(34)&amp;E3&amp;CHAR(34)&amp;",type:"&amp;GP3&amp;", describe: "&amp;HI3&amp;", links: "&amp;HL3&amp;"},"</f>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links: "https://vexillology.fandom.com/wiki/Flags_of_Islands_of_the_Pitcairn_Islands"},</v>
      </c>
      <c r="HH3" s="48" t="str">
        <f t="shared" ref="HH3" si="85">IF(P3&lt;&gt;"",CHAR(34)&amp;"\n"&amp;P3&amp;CHAR(34),CHAR(34)&amp;CHAR(34))</f>
        <v>"\nN/A"</v>
      </c>
      <c r="HI3" s="48" t="str">
        <f t="shared" ref="HI3" si="86">IF(J3=0,CHAR(34)&amp;CHAR(34),HH3)</f>
        <v>"\nN/A"</v>
      </c>
      <c r="HJ3" s="48" t="str">
        <f t="shared" ref="HJ3" si="87">CHAR(34)&amp;O3&amp;CHAR(34)</f>
        <v>"???"</v>
      </c>
      <c r="HL3" s="48" t="str">
        <f t="shared" ref="HL3" si="88">CHAR(34)&amp;I3&amp;CHAR(34)</f>
        <v>"https://vexillology.fandom.com/wiki/Flags_of_Islands_of_the_Pitcairn_Islands"</v>
      </c>
      <c r="HM3" s="72" t="str">
        <f t="shared" ref="HM3"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"isnew": "www", "links": "https://vexillology.fandom.com/wiki/Flags_of_Islands_of_the_Pitcairn_Islands"},</v>
      </c>
      <c r="HN3" s="74" t="str">
        <f t="shared" ref="HN3"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{"couname":"[PCN] Ducie Island","year":"???","region":"rgn_Oceania","Colors":["cl_YEL","cl_GRE","cl_RED"],"Items":["3Color","words2","exact2","lets11","startD","REEDEL","dgband","NoBand","Horizo","staRED","NO_BLU","NO_WHI","NO_BLA","BAWHNO","BLWHNO","WHRENO","001YEL","003GRE","myrGRE","HasSta","1Stars"],"Flag":"https://i.ibb.co/MSJbjXV/Ducie-Island.png","HDFlag":"https://i.ibb.co/MSJbjXV/Ducie-Island.png","type":"Island", "describe": "\nN/A", "isnew": "www", "links": "https://vexillology.fandom.com/wiki/Flags_of_Islands_of_the_Pitcairn_Islands"},</v>
      </c>
      <c r="HO3" s="75"/>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L3" s="48">
        <f t="shared" ref="IL3" si="91">SUM(IC3:IK3)</f>
        <v>0</v>
      </c>
      <c r="IM3" s="45">
        <f t="shared" ref="IM3" si="92">COUNTIF(IC3:IK3,"&gt;0")-CG3</f>
        <v>-3</v>
      </c>
      <c r="IN3" s="78" t="str">
        <f t="shared" ref="IN3" si="93">"http://mkweb.bcgsc.ca/color-summarizer/?url="&amp;D3&amp;"&amp;precision=low&amp;num_clusters="&amp;CG3&amp;"&amp;text=1"</f>
        <v>http://mkweb.bcgsc.ca/color-summarizer/?url=https://i.ibb.co/MSJbjXV/Ducie-Island.png&amp;precision=low&amp;num_clusters=3&amp;text=1</v>
      </c>
      <c r="IO3" s="48" t="str">
        <f t="shared" ref="IO3" si="94">IF(HP3&lt;&gt;"",CHAR(34)&amp;"black"&amp;CHAR(34),"")</f>
        <v/>
      </c>
      <c r="IP3" s="48" t="str">
        <f t="shared" ref="IP3" si="95">IF(HQ3&lt;&gt;"",CHAR(34)&amp;"blue"&amp;CHAR(34),"")</f>
        <v/>
      </c>
      <c r="IQ3" s="48" t="str">
        <f t="shared" ref="IQ3" si="96">IF(HR3&lt;&gt;"",CHAR(34)&amp;"green"&amp;CHAR(34),"")</f>
        <v>"green"</v>
      </c>
      <c r="IR3" s="48" t="str">
        <f t="shared" ref="IR3" si="97">IF(HS3&lt;&gt;"",CHAR(34)&amp;"red"&amp;CHAR(34),"")</f>
        <v>"red"</v>
      </c>
      <c r="IS3" s="48" t="str">
        <f t="shared" ref="IS3" si="98">IF(HT3&lt;&gt;"",CHAR(34)&amp;"yellow"&amp;CHAR(34),"")</f>
        <v>"yellow"</v>
      </c>
      <c r="IT3" s="48" t="str">
        <f t="shared" ref="IT3" si="99">IF(HU3&lt;&gt;"",CHAR(34)&amp;"orange"&amp;CHAR(34),"")</f>
        <v/>
      </c>
      <c r="IU3" s="48" t="str">
        <f t="shared" ref="IU3" si="100">IF(HV3&lt;&gt;"",CHAR(34)&amp;"brown"&amp;CHAR(34),"")</f>
        <v/>
      </c>
      <c r="IV3" s="48" t="str">
        <f t="shared" ref="IV3" si="101">IF(HW3&lt;&gt;"",CHAR(34)&amp;"purple"&amp;CHAR(34),"")</f>
        <v/>
      </c>
      <c r="IW3" s="48" t="str">
        <f t="shared" ref="IW3" si="102">IF(HX3&lt;&gt;"",CHAR(34)&amp;"white"&amp;CHAR(34),"")</f>
        <v/>
      </c>
      <c r="IX3" s="48" t="str">
        <f t="shared" ref="IX3" si="103">"{"&amp;CHAR(34)&amp;"url"&amp;CHAR(34)&amp;":"&amp;CHAR(34)&amp;IN3&amp;CHAR(34)&amp;","&amp;CHAR(34)&amp;"name"&amp;CHAR(34)&amp;":"&amp;CHAR(34)&amp;A3&amp;CHAR(34)&amp;"},"</f>
        <v>{"url":"http://mkweb.bcgsc.ca/color-summarizer/?url=https://i.ibb.co/MSJbjXV/Ducie-Island.png&amp;precision=low&amp;num_clusters=3&amp;text=1","name":"[PCN] Ducie Island"},</v>
      </c>
      <c r="IY3" s="48">
        <v>327</v>
      </c>
    </row>
  </sheetData>
  <conditionalFormatting sqref="H1 CW1:GS1 IA1:IB1">
    <cfRule type="cellIs" dxfId="3515" priority="107" operator="greaterThan">
      <formula>0</formula>
    </cfRule>
  </conditionalFormatting>
  <conditionalFormatting sqref="H1">
    <cfRule type="cellIs" dxfId="3514" priority="73" stopIfTrue="1" operator="notEqual">
      <formula>""</formula>
    </cfRule>
  </conditionalFormatting>
  <conditionalFormatting sqref="T1:BK1">
    <cfRule type="cellIs" dxfId="3513" priority="110" operator="greaterThan">
      <formula>0</formula>
    </cfRule>
  </conditionalFormatting>
  <conditionalFormatting sqref="BV1:BW1">
    <cfRule type="cellIs" dxfId="3512" priority="109" operator="equal">
      <formula>"nc"</formula>
    </cfRule>
  </conditionalFormatting>
  <conditionalFormatting sqref="HF1:HG1">
    <cfRule type="cellIs" dxfId="3511" priority="111" operator="greaterThan">
      <formula>0</formula>
    </cfRule>
  </conditionalFormatting>
  <conditionalFormatting sqref="HK1">
    <cfRule type="cellIs" dxfId="3510" priority="108" operator="greaterThan">
      <formula>0</formula>
    </cfRule>
  </conditionalFormatting>
  <conditionalFormatting sqref="HP1:HX1">
    <cfRule type="cellIs" dxfId="3509" priority="85" operator="equal">
      <formula>"PIN"</formula>
    </cfRule>
    <cfRule type="cellIs" dxfId="3508" priority="86" operator="equal">
      <formula>"ORA"</formula>
    </cfRule>
    <cfRule type="cellIs" dxfId="3507" priority="87" operator="equal">
      <formula>"GRA"</formula>
    </cfRule>
    <cfRule type="cellIs" dxfId="3506" priority="88" operator="equal">
      <formula>"PUR"</formula>
    </cfRule>
    <cfRule type="cellIs" dxfId="3505" priority="89" operator="equal">
      <formula>"BRO"</formula>
    </cfRule>
    <cfRule type="cellIs" dxfId="3504" priority="90" operator="equal">
      <formula>"YEL"</formula>
    </cfRule>
    <cfRule type="cellIs" dxfId="3503" priority="91" operator="equal">
      <formula>"BLU"</formula>
    </cfRule>
    <cfRule type="cellIs" dxfId="3502" priority="92" operator="equal">
      <formula>"WHI"</formula>
    </cfRule>
    <cfRule type="cellIs" dxfId="3501" priority="93" operator="equal">
      <formula>"GRE"</formula>
    </cfRule>
    <cfRule type="cellIs" dxfId="3500" priority="94" operator="equal">
      <formula>"RED"</formula>
    </cfRule>
    <cfRule type="cellIs" dxfId="3499" priority="95" operator="equal">
      <formula>"BLA"</formula>
    </cfRule>
  </conditionalFormatting>
  <conditionalFormatting sqref="IC1:IK1">
    <cfRule type="cellIs" dxfId="3498" priority="96" operator="equal">
      <formula>"PIN"</formula>
    </cfRule>
    <cfRule type="cellIs" dxfId="3497" priority="97" operator="equal">
      <formula>"ORA"</formula>
    </cfRule>
    <cfRule type="cellIs" dxfId="3496" priority="98" operator="equal">
      <formula>"GRA"</formula>
    </cfRule>
    <cfRule type="cellIs" dxfId="3495" priority="99" operator="equal">
      <formula>"PUR"</formula>
    </cfRule>
    <cfRule type="cellIs" dxfId="3494" priority="100" operator="equal">
      <formula>"BRO"</formula>
    </cfRule>
    <cfRule type="cellIs" dxfId="3493" priority="101" operator="equal">
      <formula>"YEL"</formula>
    </cfRule>
    <cfRule type="cellIs" dxfId="3492" priority="102" operator="equal">
      <formula>"BLU"</formula>
    </cfRule>
    <cfRule type="cellIs" dxfId="3491" priority="103" operator="equal">
      <formula>"WHI"</formula>
    </cfRule>
    <cfRule type="cellIs" dxfId="3490" priority="104" operator="equal">
      <formula>"GRE"</formula>
    </cfRule>
    <cfRule type="cellIs" dxfId="3489" priority="105" operator="equal">
      <formula>"RED"</formula>
    </cfRule>
    <cfRule type="cellIs" dxfId="3488" priority="106" operator="equal">
      <formula>"BLA"</formula>
    </cfRule>
  </conditionalFormatting>
  <conditionalFormatting sqref="IO1:IW1">
    <cfRule type="cellIs" dxfId="3487" priority="74" operator="equal">
      <formula>"PIN"</formula>
    </cfRule>
    <cfRule type="cellIs" dxfId="3486" priority="75" operator="equal">
      <formula>"ORA"</formula>
    </cfRule>
    <cfRule type="cellIs" dxfId="3485" priority="76" operator="equal">
      <formula>"GRA"</formula>
    </cfRule>
    <cfRule type="cellIs" dxfId="3484" priority="77" operator="equal">
      <formula>"PUR"</formula>
    </cfRule>
    <cfRule type="cellIs" dxfId="3483" priority="78" operator="equal">
      <formula>"BRO"</formula>
    </cfRule>
    <cfRule type="cellIs" dxfId="3482" priority="79" operator="equal">
      <formula>"YEL"</formula>
    </cfRule>
    <cfRule type="cellIs" dxfId="3481" priority="80" operator="equal">
      <formula>"BLU"</formula>
    </cfRule>
    <cfRule type="cellIs" dxfId="3480" priority="81" operator="equal">
      <formula>"WHI"</formula>
    </cfRule>
    <cfRule type="cellIs" dxfId="3479" priority="82" operator="equal">
      <formula>"GRE"</formula>
    </cfRule>
    <cfRule type="cellIs" dxfId="3478" priority="83" operator="equal">
      <formula>"RED"</formula>
    </cfRule>
    <cfRule type="cellIs" dxfId="3477" priority="84" operator="equal">
      <formula>"BLA"</formula>
    </cfRule>
  </conditionalFormatting>
  <conditionalFormatting sqref="H2">
    <cfRule type="cellIs" dxfId="3476" priority="42" stopIfTrue="1" operator="notEqual">
      <formula>""</formula>
    </cfRule>
  </conditionalFormatting>
  <conditionalFormatting sqref="R2 CU2">
    <cfRule type="cellIs" dxfId="3475" priority="44" operator="greaterThan">
      <formula>0</formula>
    </cfRule>
  </conditionalFormatting>
  <conditionalFormatting sqref="T2:AS2 CH2:CS2">
    <cfRule type="cellIs" dxfId="3474" priority="39" stopIfTrue="1" operator="equal">
      <formula>"n"</formula>
    </cfRule>
    <cfRule type="cellIs" dxfId="3473" priority="40" stopIfTrue="1" operator="equal">
      <formula>"y"</formula>
    </cfRule>
    <cfRule type="cellIs" dxfId="3472" priority="41" operator="greaterThan">
      <formula>0</formula>
    </cfRule>
  </conditionalFormatting>
  <conditionalFormatting sqref="AZ2:BB2">
    <cfRule type="expression" dxfId="3471" priority="38">
      <formula>$AT2=0</formula>
    </cfRule>
  </conditionalFormatting>
  <conditionalFormatting sqref="AZ2:BU2">
    <cfRule type="cellIs" dxfId="3470" priority="47" operator="equal">
      <formula>"PIN"</formula>
    </cfRule>
    <cfRule type="cellIs" dxfId="3469" priority="48" operator="equal">
      <formula>"ORA"</formula>
    </cfRule>
    <cfRule type="cellIs" dxfId="3468" priority="49" operator="equal">
      <formula>"GRA"</formula>
    </cfRule>
    <cfRule type="cellIs" dxfId="3467" priority="50" operator="equal">
      <formula>"PUR"</formula>
    </cfRule>
    <cfRule type="cellIs" dxfId="3466" priority="51" operator="equal">
      <formula>"BRO"</formula>
    </cfRule>
    <cfRule type="cellIs" dxfId="3465" priority="52" operator="equal">
      <formula>"YEL"</formula>
    </cfRule>
    <cfRule type="cellIs" dxfId="3464" priority="53" operator="equal">
      <formula>"BLU"</formula>
    </cfRule>
    <cfRule type="cellIs" dxfId="3463" priority="54" operator="equal">
      <formula>"WHI"</formula>
    </cfRule>
    <cfRule type="cellIs" dxfId="3462" priority="55" operator="equal">
      <formula>"GRE"</formula>
    </cfRule>
    <cfRule type="cellIs" dxfId="3461" priority="56" operator="equal">
      <formula>"RED"</formula>
    </cfRule>
    <cfRule type="cellIs" dxfId="3460" priority="57" operator="equal">
      <formula>"BLA"</formula>
    </cfRule>
  </conditionalFormatting>
  <conditionalFormatting sqref="BV2:BW2">
    <cfRule type="cellIs" dxfId="3459" priority="69" operator="equal">
      <formula>"nc"</formula>
    </cfRule>
  </conditionalFormatting>
  <conditionalFormatting sqref="BX2:CA2 CD2:CF2">
    <cfRule type="cellIs" dxfId="3458" priority="43" operator="equal">
      <formula>"y"</formula>
    </cfRule>
    <cfRule type="cellIs" dxfId="3457" priority="58" operator="equal">
      <formula>"PIN"</formula>
    </cfRule>
    <cfRule type="cellIs" dxfId="3456" priority="59" operator="equal">
      <formula>"ORA"</formula>
    </cfRule>
    <cfRule type="cellIs" dxfId="3455" priority="60" operator="equal">
      <formula>"GRA"</formula>
    </cfRule>
    <cfRule type="cellIs" dxfId="3454" priority="61" operator="equal">
      <formula>"PUR"</formula>
    </cfRule>
    <cfRule type="cellIs" dxfId="3453" priority="62" operator="equal">
      <formula>"BRO"</formula>
    </cfRule>
    <cfRule type="cellIs" dxfId="3452" priority="63" operator="equal">
      <formula>"YEL"</formula>
    </cfRule>
    <cfRule type="cellIs" dxfId="3451" priority="64" operator="equal">
      <formula>"BLU"</formula>
    </cfRule>
    <cfRule type="cellIs" dxfId="3450" priority="65" operator="equal">
      <formula>"WHI"</formula>
    </cfRule>
    <cfRule type="cellIs" dxfId="3449" priority="66" operator="equal">
      <formula>"GRE"</formula>
    </cfRule>
    <cfRule type="cellIs" dxfId="3448" priority="67" operator="equal">
      <formula>"RED"</formula>
    </cfRule>
    <cfRule type="cellIs" dxfId="3447" priority="68" operator="equal">
      <formula>"BLA"</formula>
    </cfRule>
  </conditionalFormatting>
  <conditionalFormatting sqref="BZ2:CA2 CD2:CF2">
    <cfRule type="cellIs" dxfId="3446" priority="45" operator="greaterThan">
      <formula>0</formula>
    </cfRule>
  </conditionalFormatting>
  <conditionalFormatting sqref="IC2:IK2">
    <cfRule type="expression" dxfId="3445"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1770" priority="5" stopIfTrue="1" operator="notEqual">
      <formula>""</formula>
    </cfRule>
  </conditionalFormatting>
  <conditionalFormatting sqref="R3 CU3">
    <cfRule type="cellIs" dxfId="1769" priority="7" operator="greaterThan">
      <formula>0</formula>
    </cfRule>
  </conditionalFormatting>
  <conditionalFormatting sqref="T3:AS3 CH3:CS3">
    <cfRule type="cellIs" dxfId="1768" priority="2" stopIfTrue="1" operator="equal">
      <formula>"n"</formula>
    </cfRule>
    <cfRule type="cellIs" dxfId="1767" priority="3" stopIfTrue="1" operator="equal">
      <formula>"y"</formula>
    </cfRule>
    <cfRule type="cellIs" dxfId="1766" priority="4" operator="greaterThan">
      <formula>0</formula>
    </cfRule>
  </conditionalFormatting>
  <conditionalFormatting sqref="AZ3:BB3">
    <cfRule type="expression" dxfId="1765" priority="1">
      <formula>$AT3=0</formula>
    </cfRule>
  </conditionalFormatting>
  <conditionalFormatting sqref="AZ3:BU3">
    <cfRule type="cellIs" dxfId="1764" priority="10" operator="equal">
      <formula>"PIN"</formula>
    </cfRule>
    <cfRule type="cellIs" dxfId="1763" priority="11" operator="equal">
      <formula>"ORA"</formula>
    </cfRule>
    <cfRule type="cellIs" dxfId="1762" priority="12" operator="equal">
      <formula>"GRA"</formula>
    </cfRule>
    <cfRule type="cellIs" dxfId="1761" priority="13" operator="equal">
      <formula>"PUR"</formula>
    </cfRule>
    <cfRule type="cellIs" dxfId="1760" priority="14" operator="equal">
      <formula>"BRO"</formula>
    </cfRule>
    <cfRule type="cellIs" dxfId="1759" priority="15" operator="equal">
      <formula>"YEL"</formula>
    </cfRule>
    <cfRule type="cellIs" dxfId="1758" priority="16" operator="equal">
      <formula>"BLU"</formula>
    </cfRule>
    <cfRule type="cellIs" dxfId="1757" priority="17" operator="equal">
      <formula>"WHI"</formula>
    </cfRule>
    <cfRule type="cellIs" dxfId="1756" priority="18" operator="equal">
      <formula>"GRE"</formula>
    </cfRule>
    <cfRule type="cellIs" dxfId="1755" priority="19" operator="equal">
      <formula>"RED"</formula>
    </cfRule>
    <cfRule type="cellIs" dxfId="1754" priority="20" operator="equal">
      <formula>"BLA"</formula>
    </cfRule>
  </conditionalFormatting>
  <conditionalFormatting sqref="BV3">
    <cfRule type="cellIs" dxfId="1753" priority="32" operator="equal">
      <formula>"nc"</formula>
    </cfRule>
  </conditionalFormatting>
  <conditionalFormatting sqref="BX3:CA3 CD3:CF3">
    <cfRule type="cellIs" dxfId="1752" priority="6" operator="equal">
      <formula>"y"</formula>
    </cfRule>
    <cfRule type="cellIs" dxfId="1751" priority="21" operator="equal">
      <formula>"PIN"</formula>
    </cfRule>
    <cfRule type="cellIs" dxfId="1750" priority="22" operator="equal">
      <formula>"ORA"</formula>
    </cfRule>
    <cfRule type="cellIs" dxfId="1749" priority="23" operator="equal">
      <formula>"GRA"</formula>
    </cfRule>
    <cfRule type="cellIs" dxfId="1748" priority="24" operator="equal">
      <formula>"PUR"</formula>
    </cfRule>
    <cfRule type="cellIs" dxfId="1747" priority="25" operator="equal">
      <formula>"BRO"</formula>
    </cfRule>
    <cfRule type="cellIs" dxfId="1746" priority="26" operator="equal">
      <formula>"YEL"</formula>
    </cfRule>
    <cfRule type="cellIs" dxfId="1745" priority="27" operator="equal">
      <formula>"BLU"</formula>
    </cfRule>
    <cfRule type="cellIs" dxfId="1744" priority="28" operator="equal">
      <formula>"WHI"</formula>
    </cfRule>
    <cfRule type="cellIs" dxfId="1743" priority="29" operator="equal">
      <formula>"GRE"</formula>
    </cfRule>
    <cfRule type="cellIs" dxfId="1742" priority="30" operator="equal">
      <formula>"RED"</formula>
    </cfRule>
    <cfRule type="cellIs" dxfId="1741" priority="31" operator="equal">
      <formula>"BLA"</formula>
    </cfRule>
  </conditionalFormatting>
  <conditionalFormatting sqref="BZ3:CA3 CD3:CF3">
    <cfRule type="cellIs" dxfId="1740" priority="8" operator="greaterThan">
      <formula>0</formula>
    </cfRule>
  </conditionalFormatting>
  <conditionalFormatting sqref="IC3:IK3">
    <cfRule type="expression" dxfId="1739"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E2" r:id="rId1" xr:uid="{0862BFC6-7312-4E25-98DE-3C89F4A7CACB}"/>
    <hyperlink ref="D3" r:id="rId2" xr:uid="{44873ACE-ACA7-43DB-AEBB-AF2F2FB2BB4D}"/>
    <hyperlink ref="E3" r:id="rId3" xr:uid="{F09F0453-8D77-473B-9099-BF4450F35C6C}"/>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17C1-A717-4987-AAAC-6A231047D7AA}">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310</v>
      </c>
      <c r="B2" s="40" t="e" vm="104">
        <v>#VALUE!</v>
      </c>
      <c r="C2" s="41">
        <v>1</v>
      </c>
      <c r="D2" s="42" t="s">
        <v>311</v>
      </c>
      <c r="E2" s="43" t="s">
        <v>312</v>
      </c>
      <c r="F2" s="44" t="s">
        <v>166</v>
      </c>
      <c r="G2" s="45">
        <f>COUNTIF($A$1:$A$8199,A2)</f>
        <v>1</v>
      </c>
      <c r="H2" s="46"/>
      <c r="I2" s="47" t="s">
        <v>313</v>
      </c>
      <c r="J2" s="48" t="str">
        <f>""</f>
        <v/>
      </c>
      <c r="K2" s="49">
        <v>225681</v>
      </c>
      <c r="L2" s="50">
        <v>175000</v>
      </c>
      <c r="M2" s="50" t="s">
        <v>314</v>
      </c>
      <c r="N2" s="51" t="s">
        <v>169</v>
      </c>
      <c r="O2" s="52" t="s">
        <v>315</v>
      </c>
      <c r="P2" s="53" t="s">
        <v>316</v>
      </c>
      <c r="Q2" s="54">
        <v>1</v>
      </c>
      <c r="R2" s="55" t="s">
        <v>169</v>
      </c>
      <c r="S2" s="56">
        <v>0</v>
      </c>
      <c r="T2" s="57" t="s">
        <v>173</v>
      </c>
      <c r="U2" s="58" t="s">
        <v>173</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5</v>
      </c>
      <c r="AU2" s="59"/>
      <c r="AV2" s="59" t="str">
        <f>IF(LEFT(A2,1)="[",LEFT(A2,5)&amp;AU2&amp;A2,"")</f>
        <v/>
      </c>
      <c r="AW2" s="59" t="str">
        <f>C2&amp;H2&amp;A2</f>
        <v>1Samoa</v>
      </c>
      <c r="AX2" s="61" t="str">
        <f>_xlfn.TEXTJOIN(";",TRUE,AU2:AW2)</f>
        <v>1Samoa</v>
      </c>
      <c r="AY2" s="61" t="s">
        <v>172</v>
      </c>
      <c r="AZ2" s="62"/>
      <c r="BA2" s="62"/>
      <c r="BB2" s="62"/>
      <c r="BC2" s="63"/>
      <c r="BD2" s="64" t="s">
        <v>152</v>
      </c>
      <c r="BE2" s="47"/>
      <c r="BF2" s="64"/>
      <c r="BG2" s="64"/>
      <c r="BH2" s="64"/>
      <c r="BI2" s="64"/>
      <c r="BJ2" s="64"/>
      <c r="BK2" s="47"/>
      <c r="BL2" s="64" t="s">
        <v>152</v>
      </c>
      <c r="BM2" s="64" t="s">
        <v>154</v>
      </c>
      <c r="BN2" s="64" t="s">
        <v>159</v>
      </c>
      <c r="BO2" s="64" t="s">
        <v>155</v>
      </c>
      <c r="BP2" s="64" t="s">
        <v>153</v>
      </c>
      <c r="BQ2" s="64"/>
      <c r="BR2" s="64"/>
      <c r="BS2" s="64"/>
      <c r="BT2" s="64"/>
      <c r="BU2" s="65" t="s">
        <v>172</v>
      </c>
      <c r="BV2" s="66" t="s">
        <v>172</v>
      </c>
      <c r="BW2" s="66" t="s">
        <v>174</v>
      </c>
      <c r="BX2" s="47"/>
      <c r="CB2" s="6" t="s">
        <v>317</v>
      </c>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n</v>
      </c>
      <c r="CQ2" s="59" t="str">
        <f>IF(AT2=1,"y","n")</f>
        <v>n</v>
      </c>
      <c r="CR2" s="59" t="str">
        <f>IF(AT2=2,"y","n")</f>
        <v>n</v>
      </c>
      <c r="CS2" s="59" t="str">
        <f>IF(AT2&gt;=3,"y","n")</f>
        <v>y</v>
      </c>
      <c r="CT2" s="69" t="str">
        <f>CHAR(34)&amp;A2&amp;CHAR(34)</f>
        <v>"Samoa"</v>
      </c>
      <c r="CU2" s="70" t="str">
        <f>CHAR(34)&amp;"rgn_"&amp;R2&amp;CHAR(34)</f>
        <v>"rgn_Oceania"</v>
      </c>
      <c r="CV2" s="48" t="str">
        <f>CHAR(34)&amp;D2&amp;CHAR(34)</f>
        <v>"https://i.ibb.co/tQfV41n/Samoa-Flag.png"</v>
      </c>
      <c r="CW2" s="48" t="str">
        <f t="shared" ref="CW2:CZ3" si="0">IF(CH2="y",CHAR(34)&amp;CH$1&amp;CHAR(34)&amp;",","")</f>
        <v/>
      </c>
      <c r="CX2" s="48" t="str">
        <f t="shared" si="0"/>
        <v/>
      </c>
      <c r="CY2" s="48" t="str">
        <f t="shared" si="0"/>
        <v/>
      </c>
      <c r="CZ2" s="48" t="str">
        <f t="shared" si="0"/>
        <v>"5+Colo",</v>
      </c>
      <c r="DA2" s="48" t="str">
        <f>IF(Q2&gt;1,CHAR(34)&amp;"words2"&amp;CHAR(34)&amp;",","")</f>
        <v/>
      </c>
      <c r="DB2" s="48" t="str">
        <f>IF(Q2&gt;2,CHAR(34)&amp;"words3"&amp;CHAR(34)&amp;",","")</f>
        <v/>
      </c>
      <c r="DC2" s="48" t="str">
        <f>IF(Q2=2,CHAR(34)&amp;"exact2"&amp;CHAR(34)&amp;",","")</f>
        <v/>
      </c>
      <c r="DD2" s="48" t="str">
        <f>IF(LEN(CHAR(34)&amp;"lets"&amp;LEN(SUBSTITUTE(SUBSTITUTE(IFERROR(TRIM(SUBSTITUTE(SUBSTITUTE(SUBSTITUTE(IFERROR(TRIM(SUBSTITUTE(A2,MID(A2,FIND("(",A2),FIND(")",A2)-FIND("(",A2)+1),"")),A2),"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",""),"-",""))&amp;CHAR(34)&amp;",")=9,CHAR(34)&amp;"lets"&amp;LEN(SUBSTITUTE(SUBSTITUTE(IFERROR(TRIM(SUBSTITUTE(SUBSTITUTE(SUBSTITUTE(IFERROR(TRIM(SUBSTITUTE(A2,MID(A2,FIND("(",A2),FIND(")",A2)-FIND("(",A2)+1),"")),A2),"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",""),"-",""))&amp;CHAR(34)&amp;",",CHAR(34)&amp;"lets0"&amp;LEN(SUBSTITUTE(SUBSTITUTE(IFERROR(TRIM(SUBSTITUTE(SUBSTITUTE(SUBSTITUTE(IFERROR(TRIM(SUBSTITUTE(A2,MID(A2,FIND("(",A2),FIND(")",A2)-FIND("(",A2)+1),"")),A2)," ",""),"-",""),MID(SUBSTITUTE(SUBSTITUTE(IFERROR(TRIM(SUBSTITUTE(A2,MID(A2,FIND("(",A2),FIND(")",A2)-FIND("(",A2)+1),"")),A2)," ",""),"-",""),FIND("[",SUBSTITUTE(SUBSTITUTE(IFERROR(TRIM(SUBSTITUTE(A2,MID(A2,FIND("(",A2),FIND(")",A2)-FIND("(",A2)+1),"")),A2)," ",""),"-","")),FIND("]",SUBSTITUTE(SUBSTITUTE(IFERROR(TRIM(SUBSTITUTE(A2,MID(A2,FIND("(",A2),FIND(")",A2)-FIND("(",A2)+1),"")),A2)," ",""),"-",""))-FIND("[",SUBSTITUTE(SUBSTITUTE(IFERROR(TRIM(SUBSTITUTE(A2,MID(A2,FIND("(",A2),FIND(")",A2)-FIND("(",A2)+1),"")),A2)," ",""),"-",""))+1),"")),SUBSTITUTE(SUBSTITUTE(IFERROR(TRIM(SUBSTITUTE(A2,MID(A2,FIND("(",A2),FIND(")",A2)-FIND("(",A2)+1),"")),A2)," ",""),"-",""))," ",""),"-",""))&amp;CHAR(34)&amp;",")</f>
        <v>"lets05",</v>
      </c>
      <c r="DE2" s="48" t="str">
        <f>IFERROR(CHAR(34)&amp;"start"&amp;LEFT(TRIM(SUBSTITUTE(SUBSTITUTE(TRIM(SUBSTITUTE(SUBSTITUTE(A2, MID(A2, FIND("[", A2), FIND("]", A2) - FIND("[", A2) + 1), ""), "  ", " ")), MID(TRIM(SUBSTITUTE(SUBSTITUTE(A2, MID(A2, FIND("[", A2), FIND("]", A2) - FIND("[", A2) + 1), ""), "  ", " ")), FIND("[", TRIM(SUBSTITUTE(SUBSTITUTE(A2, MID(A2, FIND("[", A2), FIND("]", A2) - FIND("[", A2) + 1), ""), "  ", " "))), FIND("]", TRIM(SUBSTITUTE(SUBSTITUTE(A2, MID(A2, FIND("[", A2), FIND("]", A2) - FIND("[", A2) + 1), ""), "  ", " "))) - FIND("[", TRIM(SUBSTITUTE(SUBSTITUTE(A2, MID(A2, FIND("[", A2), FIND("]", A2) - FIND("[", A2) + 1), ""), "  ", " "))) + 1), ""), "  ", " ")),1)&amp;CHAR(34)&amp;",",CHAR(34)&amp;"start"&amp;IFERROR(LEFT(SUBSTITUTE(A2,"["&amp;MID(A2,FIND("[",A2)+1,FIND("]",A2)-FIND("[",A2)-1)&amp;"]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V2" s="48" t="str">
        <f>IF(IA2&lt;&gt;"",(IF(IA2="y",CHAR(34)&amp;"largec"&amp;CHAR(34)&amp;",",CHAR(34)&amp;"smallc"&amp;CHAR(34)&amp;",")),"")</f>
        <v>"smallc",</v>
      </c>
      <c r="DW2" s="48" t="str">
        <f t="shared" ref="DW2:DZ3" si="1">IF(CL2="y",CHAR(34)&amp;CL$1&amp;CHAR(34)&amp;",","")</f>
        <v>"NoBand",</v>
      </c>
      <c r="DX2" s="48" t="str">
        <f t="shared" si="1"/>
        <v/>
      </c>
      <c r="DY2" s="48" t="str">
        <f t="shared" si="1"/>
        <v/>
      </c>
      <c r="DZ2" s="48" t="str">
        <f t="shared" si="1"/>
        <v/>
      </c>
      <c r="EA2" s="48" t="str">
        <f t="shared" ref="EA2:EE3" si="2">IF(T2="y",CHAR(34)&amp;T$1&amp;CHAR(34)&amp;",","")</f>
        <v/>
      </c>
      <c r="EB2" s="48" t="str">
        <f t="shared" si="2"/>
        <v/>
      </c>
      <c r="EC2" s="48" t="str">
        <f t="shared" si="2"/>
        <v/>
      </c>
      <c r="ED2" s="48" t="str">
        <f t="shared" si="2"/>
        <v/>
      </c>
      <c r="EE2" s="48" t="str">
        <f t="shared" si="2"/>
        <v/>
      </c>
      <c r="EF2" s="48" t="str">
        <f>IF(AND(Y2&lt;&gt;"n",Y2&lt;&gt;""),CHAR(34)&amp;Y$1&amp;CHAR(34)&amp;",","")</f>
        <v/>
      </c>
      <c r="EG2" s="48" t="str">
        <f t="shared" ref="EG2:EZ3"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v>
      </c>
      <c r="FB2" s="48" t="str">
        <f>IF(AND(AT2&gt;0,BA2&lt;&gt;""),CHAR(34)&amp;"sta"&amp;BA2&amp;CHAR(34)&amp;",","")</f>
        <v/>
      </c>
      <c r="FC2" s="48" t="str">
        <f>IF(AND(AT2&gt;0,BB2&lt;&gt;""),CHAR(34)&amp;"sta"&amp;BB2&amp;CHAR(34)&amp;",","")</f>
        <v/>
      </c>
      <c r="FD2" s="48" t="str">
        <f>IF(BV2="n",CHAR(34)&amp;"tcWHYE"&amp;CHAR(34)&amp;",",IF(BV2="y",CHAR(34)&amp;FD$1&amp;CHAR(34)&amp;",",""))</f>
        <v>"ntWHYE",</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"island",</v>
      </c>
      <c r="FV2" s="48" t="str">
        <f>IF(BZ2="y",CHAR(34)&amp;"landlo"&amp;CHAR(34)&amp;",","")</f>
        <v/>
      </c>
      <c r="FW2" s="48" t="str">
        <f>IF(CA2="y",CHAR(34)&amp;"eunion"&amp;CHAR(34)&amp;",","")</f>
        <v/>
      </c>
      <c r="FX2" s="48" t="str">
        <f>SUBSTITUTE(IFERROR(SEARCH("[",A2),IFERROR(IF(AND(CA2&lt;&gt;"y",SEARCH("Europe",R2)&gt;0),CHAR(34)&amp;"noeuni"&amp;CHAR(34)&amp;",",""),"")),"1","")</f>
        <v/>
      </c>
      <c r="FY2" s="48" t="str">
        <f>IFERROR(IF(SEARCH("Arabic",CB2)&gt;0,CHAR(34)&amp;"arabic"&amp;CHAR(34)&amp;",",""),"")</f>
        <v/>
      </c>
      <c r="FZ2" s="48" t="str">
        <f>IFERROR(IF(SEARCH("English",CB2)&gt;0,CHAR(34)&amp;"englis"&amp;CHAR(34)&amp;",",""),"")</f>
        <v>"englis",</v>
      </c>
      <c r="GA2" s="48" t="str">
        <f>IFERROR(IF(SEARCH("French",CB2)&gt;0,CHAR(34)&amp;"french"&amp;CHAR(34)&amp;",",""),"")</f>
        <v/>
      </c>
      <c r="GB2" s="48" t="str">
        <f>IFERROR(IF(SEARCH("Spanish",CB2)&gt;0,CHAR(34)&amp;"spanis"&amp;CHAR(34)&amp;",",""),"")</f>
        <v/>
      </c>
      <c r="GC2" s="48" t="str">
        <f>IFERROR(IF(SEARCH("Portuguese",CB2)&gt;0,CHAR(34)&amp;"portug"&amp;CHAR(34)&amp;",",""),"")</f>
        <v/>
      </c>
      <c r="GD2" s="48" t="str">
        <f>IFERROR(IF(SEARCH("German",CB2)&gt;0,CHAR(34)&amp;"german"&amp;CHAR(34)&amp;",",""),"")</f>
        <v/>
      </c>
      <c r="GE2" s="48" t="str">
        <f>IFERROR(IF(SEARCH("Dutch",CB2)&gt;0,CHAR(34)&amp;"dutchs"&amp;CHAR(34)&amp;",",""),"")</f>
        <v/>
      </c>
      <c r="GF2" s="48" t="str">
        <f>IFERROR(IF(SEARCH("Histor",AU2)&gt;0,CHAR(34)&amp;"histor"&amp;CHAR(34)&amp;",",""),"")</f>
        <v/>
      </c>
      <c r="GG2" s="48" t="str">
        <f>IF(BU2="y",CHAR(34)&amp;"unjack"&amp;CHAR(34)&amp;",","")</f>
        <v>"unjack",</v>
      </c>
      <c r="GH2" s="48" t="str">
        <f>IF(CD2=1,CHAR(34)&amp;"southc"&amp;CHAR(34)&amp;",","")</f>
        <v/>
      </c>
      <c r="GI2" s="48" t="str">
        <f>IF(CE2=1,CHAR(34)&amp;"hasmap"&amp;CHAR(34)&amp;",","")</f>
        <v/>
      </c>
      <c r="GJ2" s="48" t="str">
        <f>IF(CP2="y",CHAR(34)&amp;CP$1&amp;CHAR(34)&amp;",","")</f>
        <v/>
      </c>
      <c r="GK2" s="48" t="str">
        <f>IF(GJ2="",CHAR(34)&amp;"HasSta"&amp;CHAR(34)&amp;",","")</f>
        <v>"HasSta",</v>
      </c>
      <c r="GL2" s="48" t="str">
        <f t="shared" ref="GL2:GN3" si="4">IF(CQ2="y",CHAR(34)&amp;CQ$1&amp;CHAR(34)&amp;",","")</f>
        <v/>
      </c>
      <c r="GM2" s="48" t="str">
        <f t="shared" si="4"/>
        <v/>
      </c>
      <c r="GN2" s="48" t="str">
        <f t="shared" si="4"/>
        <v>"3+Star",</v>
      </c>
      <c r="GP2" s="48" t="str">
        <f>CHAR(34)&amp;AU2&amp;CHAR(34)</f>
        <v>""</v>
      </c>
      <c r="GS2" s="48" t="str">
        <f>SUBSTITUTE("["&amp;_xlfn.CONCAT(CW2:GN2)&amp;"]",",]","]")</f>
        <v>["5+Colo","lets05","startS","year19","smallc","NoBand","Canton","sta","ntWHYE","NO_BLA","myrBLU","island","englis","unjack","HasSta","3+Star"]</v>
      </c>
      <c r="GT2" s="48" t="str">
        <f t="shared" ref="GT2:HB3" si="5">IF(BL2&lt;&gt;"",CHAR(34)&amp;"cl_"&amp;BL2&amp;CHAR(34)&amp;",","")</f>
        <v>"cl_BLU",</v>
      </c>
      <c r="GU2" s="48" t="str">
        <f t="shared" si="5"/>
        <v>"cl_RED",</v>
      </c>
      <c r="GV2" s="48" t="str">
        <f t="shared" si="5"/>
        <v>"cl_WHI",</v>
      </c>
      <c r="GW2" s="48" t="str">
        <f t="shared" si="5"/>
        <v>"cl_YEL",</v>
      </c>
      <c r="GX2" s="48" t="str">
        <f t="shared" si="5"/>
        <v>"cl_GRE",</v>
      </c>
      <c r="GY2" s="48" t="str">
        <f t="shared" si="5"/>
        <v/>
      </c>
      <c r="GZ2" s="48" t="str">
        <f t="shared" si="5"/>
        <v/>
      </c>
      <c r="HA2" s="48" t="str">
        <f t="shared" si="5"/>
        <v/>
      </c>
      <c r="HB2" s="48" t="str">
        <f t="shared" si="5"/>
        <v/>
      </c>
      <c r="HC2" s="48" t="str">
        <f>SUBSTITUTE("["&amp;_xlfn.CONCAT(GT2:HB2)&amp;"]",",]","]")</f>
        <v>["cl_BLU","cl_RED","cl_WHI","cl_YEL","cl_GRE"]</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links: "https://en.wikipedia.org/wiki/Flag_of_Samoa"},</v>
      </c>
      <c r="HG2" s="73" t="str">
        <f>"{couname:"&amp;CT2&amp;(IF(HK2&lt;&gt;"",",subtype:"&amp;CHAR(34)&amp;HK2&amp;CHAR(34),""))&amp;",year:"&amp;HJ2&amp;",region:"&amp;CU2&amp;",Colors:"&amp;HC2&amp;",Items:"&amp;GS2&amp;",Flag:"&amp;CV2&amp;",HDFlag:"&amp;CHAR(34)&amp;E2&amp;CHAR(34)&amp;",type:"&amp;GP2&amp;", describe: "&amp;HI2&amp;", links: "&amp;HL2&amp;"},"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links: "https://en.wikipedia.org/wiki/Flag_of_Samoa"},</v>
      </c>
      <c r="HH2" s="48" t="str">
        <f>IF(P2&lt;&gt;"",CHAR(34)&amp;"\n"&amp;P2&amp;CHAR(34),CHAR(34)&amp;CHAR(34))</f>
        <v>"\nThe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v>
      </c>
      <c r="HI2" s="48" t="str">
        <f>IF(J2=0,CHAR(34)&amp;CHAR(34),HH2)</f>
        <v>"\nThe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v>
      </c>
      <c r="HJ2" s="48" t="str">
        <f>CHAR(34)&amp;O2&amp;CHAR(34)</f>
        <v>"1949, 1962 "</v>
      </c>
      <c r="HL2" s="48" t="str">
        <f>CHAR(34)&amp;I2&amp;CHAR(34)</f>
        <v>"https://en.wikipedia.org/wiki/Flag_of_Samoa"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 "links": "https://en.wikipedia.org/wiki/Flag_of_Samoa"},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{"couname":"Samoa","year":"1949, 1962 ","region":"rgn_Oceania","Colors":["cl_BLU","cl_RED","cl_WHI","cl_YEL","cl_GRE"],"Items":["5+Colo","lets05","startS","year19","smallc","NoBand","Canton","sta","ntWHYE","NO_BLA","myrBLU","island","englis","unjack","HasSta","3+Star"],"Flag":"https://i.ibb.co/tQfV41n/Samoa-Flag.png","HDFlag":"https://upload.wikimedia.org/wikipedia/commons/thumb/3/31/Flag_of_Samoa.svg/2560px-Flag_of_Samoa.svg.png","type":"", "describe": "\nThe Samoan flag features a red background with a blue rectangle in the upper left corner. Inside the blue rectangle are five white stars that represent the Southern Cross constellation. The red background represents courage, while the blue rectangle and stars symbolize freedom and Samoa's position in the Southern Hemisphere.", "isnew": ".", "links": "https://en.wikipedia.org/wiki/Flag_of_Samoa"},</v>
      </c>
      <c r="HO2" s="75"/>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t="s">
        <v>173</v>
      </c>
      <c r="IB2" s="6" t="s">
        <v>172</v>
      </c>
      <c r="IC2" s="77"/>
      <c r="ID2" s="77"/>
      <c r="IE2" s="77"/>
      <c r="IF2" s="77"/>
      <c r="IG2" s="77"/>
      <c r="IH2" s="77"/>
      <c r="II2" s="77"/>
      <c r="IJ2" s="77"/>
      <c r="IK2" s="77"/>
      <c r="IL2" s="48">
        <f>SUM(IC2:IK2)</f>
        <v>0</v>
      </c>
      <c r="IM2" s="45">
        <f>COUNTIF(IC2:IK2,"&gt;0")-CG2</f>
        <v>-5</v>
      </c>
      <c r="IN2" s="78" t="str">
        <f>"http://mkweb.bcgsc.ca/color-summarizer/?url="&amp;D2&amp;"&amp;precision=low&amp;num_clusters="&amp;CG2&amp;"&amp;text=1"</f>
        <v>http://mkweb.bcgsc.ca/color-summarizer/?url=https://i.ibb.co/tQfV41n/Samoa-Flag.png&amp;precision=low&amp;num_clusters=5&amp;text=1</v>
      </c>
      <c r="IO2" s="48" t="str">
        <f>IF(HP2&lt;&gt;"",CHAR(34)&amp;"black"&amp;CHAR(34),"")</f>
        <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{"url":"http://mkweb.bcgsc.ca/color-summarizer/?url=https://i.ibb.co/tQfV41n/Samoa-Flag.png&amp;precision=low&amp;num_clusters=5&amp;text=1","name":"Samoa"},</v>
      </c>
      <c r="IY2" s="48">
        <v>75</v>
      </c>
    </row>
    <row r="3" spans="1:259" s="48" customFormat="1" ht="38.4" customHeight="1" thickBot="1" x14ac:dyDescent="0.35">
      <c r="A3" s="81" t="s">
        <v>833</v>
      </c>
      <c r="B3" s="40" t="e" vm="105">
        <v>#VALUE!</v>
      </c>
      <c r="C3" s="41">
        <v>3</v>
      </c>
      <c r="D3" s="42" t="s">
        <v>834</v>
      </c>
      <c r="E3" s="43" t="s">
        <v>835</v>
      </c>
      <c r="F3" s="44" t="s">
        <v>166</v>
      </c>
      <c r="G3" s="45">
        <f>COUNTIF($A$1:$A$8199,A3)</f>
        <v>1</v>
      </c>
      <c r="H3" s="46" t="s">
        <v>836</v>
      </c>
      <c r="I3" s="47" t="s">
        <v>837</v>
      </c>
      <c r="J3" s="48" t="str">
        <f>""</f>
        <v/>
      </c>
      <c r="K3" s="49"/>
      <c r="L3" s="50"/>
      <c r="M3" s="50"/>
      <c r="N3" s="51" t="s">
        <v>169</v>
      </c>
      <c r="O3" s="52" t="s">
        <v>838</v>
      </c>
      <c r="P3" s="53" t="s">
        <v>839</v>
      </c>
      <c r="Q3" s="54">
        <v>4</v>
      </c>
      <c r="R3" s="55" t="s">
        <v>169</v>
      </c>
      <c r="S3" s="56">
        <v>0</v>
      </c>
      <c r="T3" s="57" t="s">
        <v>173</v>
      </c>
      <c r="U3" s="58" t="s">
        <v>172</v>
      </c>
      <c r="V3" s="58" t="s">
        <v>173</v>
      </c>
      <c r="W3" s="58" t="s">
        <v>173</v>
      </c>
      <c r="X3" s="58" t="s">
        <v>172</v>
      </c>
      <c r="Y3" s="58" t="s">
        <v>173</v>
      </c>
      <c r="Z3" s="58" t="s">
        <v>173</v>
      </c>
      <c r="AA3" s="58" t="s">
        <v>172</v>
      </c>
      <c r="AB3" s="58" t="s">
        <v>173</v>
      </c>
      <c r="AC3" s="58" t="s">
        <v>173</v>
      </c>
      <c r="AD3" s="58" t="s">
        <v>173</v>
      </c>
      <c r="AE3" s="58" t="s">
        <v>173</v>
      </c>
      <c r="AF3" s="59" t="s">
        <v>173</v>
      </c>
      <c r="AG3" s="59" t="s">
        <v>173</v>
      </c>
      <c r="AH3" s="59" t="s">
        <v>173</v>
      </c>
      <c r="AI3" s="59" t="s">
        <v>172</v>
      </c>
      <c r="AJ3" s="59" t="s">
        <v>173</v>
      </c>
      <c r="AK3" s="59" t="s">
        <v>173</v>
      </c>
      <c r="AL3" s="59" t="s">
        <v>173</v>
      </c>
      <c r="AM3" s="59" t="s">
        <v>172</v>
      </c>
      <c r="AN3" s="59" t="s">
        <v>173</v>
      </c>
      <c r="AO3" s="59" t="s">
        <v>173</v>
      </c>
      <c r="AP3" s="59" t="s">
        <v>173</v>
      </c>
      <c r="AQ3" s="59" t="s">
        <v>173</v>
      </c>
      <c r="AR3" s="59" t="s">
        <v>173</v>
      </c>
      <c r="AS3" s="59" t="s">
        <v>173</v>
      </c>
      <c r="AT3" s="60">
        <v>0</v>
      </c>
      <c r="AU3" s="59" t="s">
        <v>677</v>
      </c>
      <c r="AV3" s="59" t="str">
        <f>IF(LEFT(A3,1)="[",LEFT(A3,5)&amp;AU3&amp;A3,"")</f>
        <v>[SMO]Historical[SMO] Western Samoa Trust Territory</v>
      </c>
      <c r="AW3" s="59" t="str">
        <f>C3&amp;H3&amp;A3</f>
        <v>3[SMO] Other[SMO] Western Samoa Trust Territory</v>
      </c>
      <c r="AX3" s="61"/>
      <c r="AY3" s="61"/>
      <c r="AZ3" s="62" t="s">
        <v>159</v>
      </c>
      <c r="BA3" s="62" t="s">
        <v>192</v>
      </c>
      <c r="BB3" s="62"/>
      <c r="BC3" s="63"/>
      <c r="BD3" s="64" t="s">
        <v>408</v>
      </c>
      <c r="BE3" s="47"/>
      <c r="BF3" s="64" t="s">
        <v>159</v>
      </c>
      <c r="BG3" s="64" t="s">
        <v>192</v>
      </c>
      <c r="BH3" s="64" t="s">
        <v>152</v>
      </c>
      <c r="BI3" s="64"/>
      <c r="BJ3" s="64"/>
      <c r="BK3" s="47"/>
      <c r="BL3" s="64" t="s">
        <v>151</v>
      </c>
      <c r="BM3" s="64" t="s">
        <v>152</v>
      </c>
      <c r="BN3" s="64" t="s">
        <v>153</v>
      </c>
      <c r="BO3" s="64" t="s">
        <v>154</v>
      </c>
      <c r="BP3" s="64" t="s">
        <v>155</v>
      </c>
      <c r="BQ3" s="64" t="s">
        <v>156</v>
      </c>
      <c r="BR3" s="64" t="s">
        <v>157</v>
      </c>
      <c r="BS3" s="64" t="s">
        <v>158</v>
      </c>
      <c r="BT3" s="64" t="s">
        <v>159</v>
      </c>
      <c r="BU3" s="65"/>
      <c r="BV3" s="66"/>
      <c r="BW3" s="66">
        <v>0</v>
      </c>
      <c r="BX3" s="47"/>
      <c r="BY3" s="48" t="s">
        <v>172</v>
      </c>
      <c r="CB3" s="6"/>
      <c r="CC3" s="6"/>
      <c r="CD3" s="67">
        <v>0</v>
      </c>
      <c r="CE3" s="67">
        <v>0</v>
      </c>
      <c r="CF3" s="67" t="e">
        <v>#REF!</v>
      </c>
      <c r="CG3" s="68" cm="1">
        <f t="array" ref="CG3">SUMPRODUCT(--(LEN(TRIM(BL3:BT3))&gt;0))</f>
        <v>9</v>
      </c>
      <c r="CH3" s="59" t="str">
        <f t="shared" ref="CH3" si="6">IF(CG3=2,"y","n")</f>
        <v>n</v>
      </c>
      <c r="CI3" s="59" t="str">
        <f t="shared" ref="CI3" si="7">IF(CG3=3,"y","n")</f>
        <v>n</v>
      </c>
      <c r="CJ3" s="59" t="str">
        <f t="shared" ref="CJ3" si="8">IF(CG3=4,"y","n")</f>
        <v>n</v>
      </c>
      <c r="CK3" s="59" t="str">
        <f t="shared" ref="CK3" si="9">IF(CG3&gt;4,"y","n")</f>
        <v>y</v>
      </c>
      <c r="CL3" s="59" t="str">
        <f t="shared" ref="CL3" si="10">IF(S3=0,"y","n")</f>
        <v>y</v>
      </c>
      <c r="CM3" s="59" t="str">
        <f t="shared" ref="CM3" si="11">IF(S3=2,"y","n")</f>
        <v>n</v>
      </c>
      <c r="CN3" s="59" t="str">
        <f t="shared" ref="CN3" si="12">IF(S3=3,"y","n")</f>
        <v>n</v>
      </c>
      <c r="CO3" s="59" t="str">
        <f t="shared" ref="CO3" si="13">IF(S3&gt;=4,"y","n")</f>
        <v>n</v>
      </c>
      <c r="CP3" s="59" t="str">
        <f t="shared" ref="CP3" si="14">IF(AT3=0,"y","n")</f>
        <v>y</v>
      </c>
      <c r="CQ3" s="59" t="str">
        <f t="shared" ref="CQ3" si="15">IF(AT3=1,"y","n")</f>
        <v>n</v>
      </c>
      <c r="CR3" s="59" t="str">
        <f t="shared" ref="CR3" si="16">IF(AT3=2,"y","n")</f>
        <v>n</v>
      </c>
      <c r="CS3" s="59" t="str">
        <f t="shared" ref="CS3" si="17">IF(AT3&gt;=3,"y","n")</f>
        <v>n</v>
      </c>
      <c r="CT3" s="69" t="str">
        <f t="shared" ref="CT3" si="18">CHAR(34)&amp;A3&amp;CHAR(34)</f>
        <v>"[SMO] Western Samoa Trust Territory"</v>
      </c>
      <c r="CU3" s="70" t="str">
        <f t="shared" ref="CU3" si="19">CHAR(34)&amp;"rgn_"&amp;R3&amp;CHAR(34)</f>
        <v>"rgn_Oceania"</v>
      </c>
      <c r="CV3" s="48" t="str">
        <f t="shared" ref="CV3" si="20">CHAR(34)&amp;D3&amp;CHAR(34)</f>
        <v>"https://upload.wikimedia.org/wikipedia/commons/thumb/6/67/Flag_of_the_Samoa_Trust_Territory.svg/640px-Flag_of_the_Samoa_Trust_Territory.svg.png"</v>
      </c>
      <c r="CW3" s="48" t="str">
        <f t="shared" si="0"/>
        <v/>
      </c>
      <c r="CX3" s="48" t="str">
        <f t="shared" si="0"/>
        <v/>
      </c>
      <c r="CY3" s="48" t="str">
        <f t="shared" si="0"/>
        <v/>
      </c>
      <c r="CZ3" s="48" t="str">
        <f t="shared" si="0"/>
        <v>"5+Colo",</v>
      </c>
      <c r="DA3" s="48" t="str">
        <f t="shared" ref="DA3" si="21">IF(Q3&gt;1,CHAR(34)&amp;"words2"&amp;CHAR(34)&amp;",","")</f>
        <v>"words2",</v>
      </c>
      <c r="DB3" s="48" t="str">
        <f t="shared" ref="DB3" si="22">IF(Q3&gt;2,CHAR(34)&amp;"words3"&amp;CHAR(34)&amp;",","")</f>
        <v>"words3",</v>
      </c>
      <c r="DD3" s="48" t="str">
        <f t="shared" ref="DD3" si="23">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"lets26",</v>
      </c>
      <c r="DE3" s="48" t="str">
        <f t="shared" ref="DE3" si="24">CHAR(34)&amp;"start"&amp;IFERROR(LEFT(SUBSTITUTE(A3,"["&amp;MID(A3,FIND("[",A3)+1,FIND("]",A3)-FIND("[",A3)-1)&amp;"] ",""),1),LEFT(A3,1))&amp;CHAR(34)&amp;","</f>
        <v>"startW",</v>
      </c>
      <c r="DF3" s="48" t="str">
        <f t="shared" ref="DF3" si="25">IFERROR(IF(SEARCH("tan",A3)&gt;0,CHAR(34)&amp;"withtn"&amp;CHAR(34)&amp;",",""),"")</f>
        <v/>
      </c>
      <c r="DG3" s="48" t="str">
        <f t="shared" ref="DG3" si="26">IFERROR(IF(SEARCH("q",A3)&gt;0,CHAR(34)&amp;"with_q"&amp;CHAR(34)&amp;",",""),"")</f>
        <v/>
      </c>
      <c r="DH3" s="48" t="str">
        <f t="shared" ref="DH3" si="27">IFERROR(IF(SEARCH("v",A3)&gt;0,CHAR(34)&amp;"with_v"&amp;CHAR(34)&amp;",",""),"")</f>
        <v/>
      </c>
      <c r="DI3" s="48" t="str">
        <f t="shared" ref="DI3" si="28">IFERROR(IF(SEARCH("w",A3)&gt;0,CHAR(34)&amp;"with_w"&amp;CHAR(34)&amp;",",""),"")</f>
        <v>"with_w",</v>
      </c>
      <c r="DJ3" s="48" t="str">
        <f t="shared" ref="DJ3" si="29">IFERROR(IF(SEARCH("y",A3)&gt;0,CHAR(34)&amp;"with_y"&amp;CHAR(34)&amp;",",""),"")</f>
        <v>"with_y",</v>
      </c>
      <c r="DK3" s="48" t="str">
        <f t="shared" ref="DK3" si="30">IFERROR(IF(SEARCH("z",A3)&gt;0,CHAR(34)&amp;"with_z"&amp;CHAR(34)&amp;",",""),"")</f>
        <v/>
      </c>
      <c r="DL3" s="48" t="str">
        <f t="shared" ref="DL3" si="31">IF(CG3=2, CHAR(34) &amp; _xlfn.TEXTJOIN("", TRUE, _xlfn._xlws.SORT(HP3:HX3)) &amp; CHAR(34) &amp; ",", "")</f>
        <v/>
      </c>
      <c r="DM3" s="48" t="str" cm="1">
        <f t="array" ref="DM3">IF(CG3=3,CHAR(34) &amp; _xlfn.TEXTJOIN("", TRUE, RIGHT(HP3:HX3, 2)) &amp; CHAR(34) &amp; ",", "")</f>
        <v/>
      </c>
      <c r="DN3" s="48" t="str">
        <f t="shared" ref="DN3" si="32">IF(AND(ISNUMBER(SEARCH("18", O3)), ISERROR(SEARCH("1918", O3)), ISERROR(SEARCH("2018", O3))), CHAR(34) &amp; "year18" &amp; CHAR(34) &amp; ",", "")</f>
        <v/>
      </c>
      <c r="DO3" s="48" t="str">
        <f t="shared" ref="DO3" si="33">IF(AND(ISNUMBER(SEARCH("19", O3)), ISERROR(SEARCH("1819", O3)),  ISERROR(SEARCH("1219", O3)),ISERROR(SEARCH("1119", O3)),ISERROR(SEARCH("1190", O3)),ISERROR(SEARCH("2019", O3))), CHAR(34) &amp; "year19" &amp; CHAR(34) &amp; ",", "")</f>
        <v>"year19",</v>
      </c>
      <c r="DP3" s="6" t="str">
        <f t="shared" ref="DP3" si="34">IF(AND(ISNUMBER(SEARCH("20", O3)), ISERROR(SEARCH("1920", O3))), CHAR(34)&amp;"year00"&amp;CHAR(34)&amp;",", "")</f>
        <v/>
      </c>
      <c r="DQ3" s="6" t="str">
        <f t="shared" ref="DQ3" si="35">IF(CC3="y",CHAR(34)&amp;"soviet"&amp;CHAR(34)&amp;",","")</f>
        <v/>
      </c>
      <c r="DR3" s="6" t="str">
        <f t="shared" ref="DR3" si="36">IF(BY3="y",CHAR(34)&amp;"dgband"&amp;CHAR(34)&amp;",","")</f>
        <v>"dgband",</v>
      </c>
      <c r="DS3" s="6" t="str">
        <f t="shared" ref="DS3" si="37">IF(W3="y",IF(AND(V3="n",BY3&lt;&gt;"y"),CHAR(34)&amp;"allver"&amp;CHAR(34)&amp;",",""),"")</f>
        <v/>
      </c>
      <c r="DT3" s="6" t="str">
        <f t="shared" ref="DT3" si="38">IF(V3="y",IF(AND(W3="n",BY3&lt;&gt;"y"),CHAR(34)&amp;"allhor"&amp;CHAR(34)&amp;",",""),"")</f>
        <v/>
      </c>
      <c r="DU3" s="6" t="str">
        <f t="shared" ref="DU3" si="39">IF(BY3="y",IF(AND(W3="n",V3="n"),CHAR(34)&amp;"alldia"&amp;CHAR(34)&amp;",",""),"")</f>
        <v>"alldia",</v>
      </c>
      <c r="DW3" s="48" t="str">
        <f t="shared" si="1"/>
        <v>"NoBand",</v>
      </c>
      <c r="DX3" s="48" t="str">
        <f t="shared" si="1"/>
        <v/>
      </c>
      <c r="DY3" s="48" t="str">
        <f t="shared" si="1"/>
        <v/>
      </c>
      <c r="DZ3" s="48" t="str">
        <f t="shared" si="1"/>
        <v/>
      </c>
      <c r="EA3" s="48" t="str">
        <f t="shared" si="2"/>
        <v/>
      </c>
      <c r="EB3" s="48" t="str">
        <f t="shared" si="2"/>
        <v>"Crosse",</v>
      </c>
      <c r="EC3" s="48" t="str">
        <f t="shared" si="2"/>
        <v/>
      </c>
      <c r="ED3" s="48" t="str">
        <f t="shared" si="2"/>
        <v/>
      </c>
      <c r="EE3" s="48" t="str">
        <f t="shared" si="2"/>
        <v>"Circle",</v>
      </c>
      <c r="EF3" s="48" t="str">
        <f t="shared" ref="EF3" si="40">IF(AND(Y3&lt;&gt;"n",Y3&lt;&gt;""),CHAR(34)&amp;Y$1&amp;CHAR(34)&amp;",","")</f>
        <v/>
      </c>
      <c r="EG3" s="48" t="str">
        <f t="shared" si="3"/>
        <v/>
      </c>
      <c r="EH3" s="48" t="str">
        <f t="shared" si="3"/>
        <v>"Plants",</v>
      </c>
      <c r="EI3" s="48" t="str">
        <f t="shared" si="3"/>
        <v/>
      </c>
      <c r="EJ3" s="48" t="str">
        <f t="shared" si="3"/>
        <v/>
      </c>
      <c r="EK3" s="48" t="str">
        <f t="shared" si="3"/>
        <v/>
      </c>
      <c r="EL3" s="48" t="str">
        <f t="shared" si="3"/>
        <v/>
      </c>
      <c r="EM3" s="48" t="str">
        <f t="shared" si="3"/>
        <v/>
      </c>
      <c r="EN3" s="48" t="str">
        <f t="shared" si="3"/>
        <v/>
      </c>
      <c r="EO3" s="48" t="str">
        <f t="shared" si="3"/>
        <v/>
      </c>
      <c r="EP3" s="48" t="str">
        <f t="shared" si="3"/>
        <v>"Canton",</v>
      </c>
      <c r="EQ3" s="48" t="str">
        <f t="shared" si="3"/>
        <v/>
      </c>
      <c r="ER3" s="48" t="str">
        <f t="shared" si="3"/>
        <v/>
      </c>
      <c r="ES3" s="48" t="str">
        <f t="shared" si="3"/>
        <v/>
      </c>
      <c r="ET3" s="48" t="str">
        <f t="shared" si="3"/>
        <v>"Geogrh",</v>
      </c>
      <c r="EU3" s="48" t="str">
        <f t="shared" si="3"/>
        <v/>
      </c>
      <c r="EV3" s="48" t="str">
        <f t="shared" si="3"/>
        <v/>
      </c>
      <c r="EW3" s="48" t="str">
        <f t="shared" si="3"/>
        <v/>
      </c>
      <c r="EX3" s="48" t="str">
        <f t="shared" si="3"/>
        <v/>
      </c>
      <c r="EY3" s="48" t="str">
        <f t="shared" si="3"/>
        <v/>
      </c>
      <c r="EZ3" s="48" t="str">
        <f t="shared" si="3"/>
        <v/>
      </c>
      <c r="FA3" s="48" t="str">
        <f t="shared" ref="FA3" si="41">IF(AT3&gt;0,CHAR(34)&amp;"sta"&amp;AZ3&amp;CHAR(34)&amp;",","")</f>
        <v/>
      </c>
      <c r="FB3" s="48" t="str">
        <f t="shared" ref="FB3" si="42">IF(AND(AT3&gt;0,BA3&lt;&gt;""),CHAR(34)&amp;"sta"&amp;BA3&amp;CHAR(34)&amp;",","")</f>
        <v/>
      </c>
      <c r="FD3" s="48" t="str">
        <f t="shared" ref="FD3" si="43">IF(BV3="n",CHAR(34)&amp;"tcWHYE"&amp;CHAR(34)&amp;",",IF(BV3="y",CHAR(34)&amp;FD$1&amp;CHAR(34)&amp;",",""))</f>
        <v/>
      </c>
      <c r="FE3" s="48" t="str">
        <f t="shared" ref="FE3" si="44">IF(COUNTIF(BL3:BT3,"BLU")=0,CHAR(34)&amp;"NO_BLU"&amp;CHAR(34)&amp;",", "")</f>
        <v/>
      </c>
      <c r="FF3" s="48" t="str">
        <f t="shared" ref="FF3" si="45">IF(COUNTIF(BL3:BT3,"WHI")=0,CHAR(34)&amp;"NO_WHI"&amp;CHAR(34)&amp;",", "")</f>
        <v/>
      </c>
      <c r="FG3" s="48" t="str">
        <f t="shared" ref="FG3" si="46">IF(COUNTIF(BL3:BT3,"RED")=0,CHAR(34)&amp;"NO_RED"&amp;CHAR(34)&amp;",", "")</f>
        <v/>
      </c>
      <c r="FH3" s="48" t="str">
        <f t="shared" ref="FH3" si="47">IF(COUNTIF(BL3:BS3,"GRE")=0,CHAR(34)&amp;"NO_GRE"&amp;CHAR(34)&amp;",", "")</f>
        <v/>
      </c>
      <c r="FI3" s="48" t="str">
        <f t="shared" ref="FI3" si="48">IF(COUNTIF(BL3:BT3,"YEL")=0,CHAR(34)&amp;"NO_YEL"&amp;CHAR(34)&amp;",", "")</f>
        <v/>
      </c>
      <c r="FJ3" s="48" t="str">
        <f t="shared" ref="FJ3" si="49">IF(COUNTIF(BL3:BT3,"BLA")=0,CHAR(34)&amp;"NO_BLA"&amp;CHAR(34)&amp;",", "")</f>
        <v/>
      </c>
      <c r="FK3" s="48" t="str">
        <f t="shared" ref="FK3" si="50">IF(AND(FH3&lt;&gt;"",FF3&lt;&gt;""),CHAR(34)&amp;"WHGRNO"&amp;CHAR(34)&amp;",","")</f>
        <v/>
      </c>
      <c r="FL3" s="48" t="str">
        <f t="shared" ref="FL3" si="51">IF(AND(FI3&lt;&gt;"",FF3&lt;&gt;""),CHAR(34)&amp;"WHYENO"&amp;CHAR(34)&amp;",","")</f>
        <v/>
      </c>
      <c r="FM3" s="48" t="str">
        <f t="shared" ref="FM3" si="52">IF(AND(FJ3&lt;&gt;"",FF3&lt;&gt;""),CHAR(34)&amp;"BAWHNO"&amp;CHAR(34)&amp;",","")</f>
        <v/>
      </c>
      <c r="FN3" s="48" t="str">
        <f t="shared" ref="FN3" si="53">IF(AND(FE3&lt;&gt;"",FF3&lt;&gt;""),CHAR(34)&amp;"BLWHNO"&amp;CHAR(34)&amp;",","")</f>
        <v/>
      </c>
      <c r="FO3" s="48" t="str">
        <f t="shared" ref="FO3" si="54">IF(AND(FE3&lt;&gt;"",FG3&lt;&gt;""),CHAR(34)&amp;"BLRENO"&amp;CHAR(34)&amp;",","")</f>
        <v/>
      </c>
      <c r="FP3" s="48" t="str">
        <f t="shared" ref="FP3" si="55">IF(AND(FF3&lt;&gt;"",FF3&lt;&gt;""),CHAR(34)&amp;"WHRENO"&amp;CHAR(34)&amp;",","")</f>
        <v/>
      </c>
      <c r="FQ3" s="48" t="str">
        <f t="shared" ref="FQ3" si="56">IF(LEN(BF3)=3,CHAR(34)&amp;"001"&amp;BF3&amp;CHAR(34)&amp;",","")</f>
        <v>"001WHI",</v>
      </c>
      <c r="FR3" s="48" t="str">
        <f t="shared" ref="FR3" si="57">IF(LEN(BG3)=3,CHAR(34)&amp;"002"&amp;BG3&amp;CHAR(34)&amp;",","")</f>
        <v/>
      </c>
      <c r="FS3" s="48" t="str">
        <f t="shared" ref="FS3" si="58">IF(LEN(BH3)=3,CHAR(34)&amp;"003"&amp;BH3&amp;CHAR(34)&amp;",","")</f>
        <v>"003BLU",</v>
      </c>
      <c r="FT3" s="48" t="str">
        <f t="shared" ref="FT3" si="59">CHAR(34)&amp;"myr"&amp;BD3&amp;CHAR(34)&amp;","</f>
        <v>"myrEQ",</v>
      </c>
      <c r="FU3" s="48" t="str">
        <f t="shared" ref="FU3" si="60">IF(AY3="y",CHAR(34)&amp;"island"&amp;CHAR(34)&amp;",","")</f>
        <v/>
      </c>
      <c r="FV3" s="48" t="str">
        <f t="shared" ref="FV3" si="61">IF(BZ3="y",CHAR(34)&amp;"landlo"&amp;CHAR(34)&amp;",","")</f>
        <v/>
      </c>
      <c r="FW3" s="48" t="str">
        <f t="shared" ref="FW3" si="62">IF(CA3="y",CHAR(34)&amp;"eunion"&amp;CHAR(34)&amp;",","")</f>
        <v/>
      </c>
      <c r="FY3" s="48" t="str">
        <f t="shared" ref="FY3" si="63">IFERROR(IF(SEARCH("Arabic",CB3)&gt;0,CHAR(34)&amp;"arabic"&amp;CHAR(34)&amp;",",""),"")</f>
        <v/>
      </c>
      <c r="FZ3" s="48" t="str">
        <f t="shared" ref="FZ3" si="64">IFERROR(IF(SEARCH("English",CB3)&gt;0,CHAR(34)&amp;"englis"&amp;CHAR(34)&amp;",",""),"")</f>
        <v/>
      </c>
      <c r="GA3" s="48" t="str">
        <f t="shared" ref="GA3" si="65">IFERROR(IF(SEARCH("French",CB3)&gt;0,CHAR(34)&amp;"french"&amp;CHAR(34)&amp;",",""),"")</f>
        <v/>
      </c>
      <c r="GB3" s="48" t="str">
        <f t="shared" ref="GB3" si="66">IFERROR(IF(SEARCH("Spanish",CB3)&gt;0,CHAR(34)&amp;"spanis"&amp;CHAR(34)&amp;",",""),"")</f>
        <v/>
      </c>
      <c r="GE3" s="48" t="str">
        <f t="shared" ref="GE3" si="67">IFERROR(IF(SEARCH("Dutch",CB3)&gt;0,CHAR(34)&amp;"dutchs"&amp;CHAR(34)&amp;",",""),"")</f>
        <v/>
      </c>
      <c r="GF3" s="48" t="str">
        <f t="shared" ref="GF3" si="68">IFERROR(IF(SEARCH("Historical",AU3)&gt;0,CHAR(34)&amp;"histor"&amp;CHAR(34)&amp;",",""),"")</f>
        <v>"histor",</v>
      </c>
      <c r="GG3" s="48" t="str">
        <f t="shared" ref="GG3" si="69">IF(BU3="y",CHAR(34)&amp;"unjack"&amp;CHAR(34)&amp;",","")</f>
        <v/>
      </c>
      <c r="GH3" s="48" t="str">
        <f t="shared" ref="GH3" si="70">IF(CD3=1,CHAR(34)&amp;"southc"&amp;CHAR(34)&amp;",","")</f>
        <v/>
      </c>
      <c r="GI3" s="48" t="str">
        <f t="shared" ref="GI3" si="71">IF(CE3=1,CHAR(34)&amp;"hasmap"&amp;CHAR(34)&amp;",","")</f>
        <v/>
      </c>
      <c r="GJ3" s="48" t="str">
        <f t="shared" ref="GJ3" si="72">IF(CP3="y",CHAR(34)&amp;CP$1&amp;CHAR(34)&amp;",","")</f>
        <v>"NoStar",</v>
      </c>
      <c r="GK3" s="48" t="str">
        <f t="shared" ref="GK3" si="73">IF(GJ3="",CHAR(34)&amp;"HasSta"&amp;CHAR(34)&amp;",","")</f>
        <v/>
      </c>
      <c r="GL3" s="48" t="str">
        <f t="shared" si="4"/>
        <v/>
      </c>
      <c r="GM3" s="48" t="str">
        <f t="shared" si="4"/>
        <v/>
      </c>
      <c r="GN3" s="48" t="str">
        <f t="shared" si="4"/>
        <v/>
      </c>
      <c r="GP3" s="48" t="str">
        <f t="shared" ref="GP3" si="74">CHAR(34)&amp;AU3&amp;CHAR(34)</f>
        <v>"Historical"</v>
      </c>
      <c r="GS3" s="48" t="str">
        <f t="shared" ref="GS3" si="75">SUBSTITUTE("["&amp;_xlfn.CONCAT(CW3:GN3)&amp;"]",",]","]")</f>
        <v>["5+Colo","words2","words3","lets26","startW","with_w","with_y","year19","dgband","alldia","NoBand","Crosse","Circle","Plants","Canton","Geogrh","001WHI","003BLU","myrEQ","histor","NoStar"]</v>
      </c>
      <c r="GT3" s="48" t="str">
        <f t="shared" si="5"/>
        <v>"cl_BLA",</v>
      </c>
      <c r="GU3" s="48" t="str">
        <f t="shared" si="5"/>
        <v>"cl_BLU",</v>
      </c>
      <c r="GV3" s="48" t="str">
        <f t="shared" si="5"/>
        <v>"cl_GRE",</v>
      </c>
      <c r="GW3" s="48" t="str">
        <f t="shared" si="5"/>
        <v>"cl_RED",</v>
      </c>
      <c r="GX3" s="48" t="str">
        <f t="shared" si="5"/>
        <v>"cl_YEL",</v>
      </c>
      <c r="GY3" s="48" t="str">
        <f t="shared" si="5"/>
        <v>"cl_ORA",</v>
      </c>
      <c r="GZ3" s="48" t="str">
        <f t="shared" si="5"/>
        <v>"cl_BRO",</v>
      </c>
      <c r="HA3" s="48" t="str">
        <f t="shared" si="5"/>
        <v>"cl_PUR",</v>
      </c>
      <c r="HB3" s="48" t="str">
        <f t="shared" si="5"/>
        <v>"cl_WHI",</v>
      </c>
      <c r="HC3" s="48" t="str">
        <f t="shared" ref="HC3" si="76">SUBSTITUTE("["&amp;_xlfn.CONCAT(GT3:HB3)&amp;"]",",]","]")</f>
        <v>["cl_BLA","cl_BLU","cl_GRE","cl_RED","cl_YEL","cl_ORA","cl_BRO","cl_PUR","cl_WHI"]</v>
      </c>
      <c r="HE3" s="71"/>
      <c r="HF3" s="72" t="str">
        <f t="shared" ref="HF3" si="77">"{couname:"&amp;CT3&amp;(IF(HK3&lt;&gt;"",",subtype:"&amp;CHAR(34)&amp;HK3&amp;CHAR(34),""))&amp;",year:"&amp;HJ3&amp;",region:"&amp;CU3&amp;",Colors:"&amp;HC3&amp;",Items:"&amp;GS3&amp;",Flag:"&amp;CV3&amp;",HDFlag:"&amp;CHAR(34)&amp;E3&amp;CHAR(34)&amp;",type:"&amp;GP3&amp;", describe: "&amp;HH3&amp;", isnew:"&amp;CHAR(34)&amp;F3&amp;CHAR(34)&amp;", links: "&amp;HL3&amp;"},"</f>
        <v>{couname:"[SMO] Western Samoa Trust Territory",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links: "https://en.wikipedia.org/wiki/Territory_of_Western_Samoa"},</v>
      </c>
      <c r="HG3" s="73" t="str">
        <f t="shared" ref="HG3" si="78">"{couname:"&amp;CT3&amp;(IF(HK3&lt;&gt;"",",subtype:"&amp;CHAR(34)&amp;HK3&amp;CHAR(34),""))&amp;",year:"&amp;HJ3&amp;",region:"&amp;CU3&amp;",Colors:"&amp;HC3&amp;",Items:"&amp;GS3&amp;",Flag:"&amp;CV3&amp;",HDFlag:"&amp;CHAR(34)&amp;E3&amp;CHAR(34)&amp;",type:"&amp;GP3&amp;", describe: "&amp;HI3&amp;", links: "&amp;HL3&amp;"},"</f>
        <v>{couname:"[SMO] Western Samoa Trust Territory",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links: "https://en.wikipedia.org/wiki/Territory_of_Western_Samoa"},</v>
      </c>
      <c r="HH3" s="48" t="str">
        <f t="shared" ref="HH3" si="79">IF(P3&lt;&gt;"",CHAR(34)&amp;"\n"&amp;P3&amp;CHAR(34),CHAR(34)&amp;CHAR(34))</f>
        <v>"\nA Defaced Blue Ensign with The Badge of Samoa. 1920-1948"</v>
      </c>
      <c r="HI3" s="48" t="str">
        <f t="shared" ref="HI3" si="80">IF(J3=0,CHAR(34)&amp;CHAR(34),HH3)</f>
        <v>"\nA Defaced Blue Ensign with The Badge of Samoa. 1920-1948"</v>
      </c>
      <c r="HJ3" s="48" t="str">
        <f t="shared" ref="HJ3" si="81">CHAR(34)&amp;O3&amp;CHAR(34)</f>
        <v>"1920"</v>
      </c>
      <c r="HL3" s="48" t="str">
        <f t="shared" ref="HL3" si="82">CHAR(34)&amp;I3&amp;CHAR(34)</f>
        <v>"https://en.wikipedia.org/wiki/Territory_of_Western_Samoa"</v>
      </c>
      <c r="HM3" s="72" t="str">
        <f t="shared" ref="HM3" si="83">"{"&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{"couname":"[SMO] Western Samoa Trust Territory","subtype":"[SMO] Other","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 "links": "https://en.wikipedia.org/wiki/Territory_of_Western_Samoa"},</v>
      </c>
      <c r="HN3" s="74" t="str">
        <f t="shared" ref="HN3" si="84">"{"&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{"couname":"[SMO] Western Samoa Trust Territory","subtype":"[SMO] Other","year":"1920","region":"rgn_Oceania","Colors":["cl_BLA","cl_BLU","cl_GRE","cl_RED","cl_YEL","cl_ORA","cl_BRO","cl_PUR","cl_WHI"],"Items":["5+Colo","words2","words3","lets26","startW","with_w","with_y","year19","dgband","alldia","NoBand","Crosse","Circle","Plants","Canton","Geogrh","001WHI","003BLU","myrEQ","histor","NoStar"],"Flag":"https://upload.wikimedia.org/wikipedia/commons/thumb/6/67/Flag_of_the_Samoa_Trust_Territory.svg/640px-Flag_of_the_Samoa_Trust_Territory.svg.png","HDFlag":"https://upload.wikimedia.org/wikipedia/commons/thumb/6/67/Flag_of_the_Samoa_Trust_Territory.svg/2560px-Flag_of_the_Samoa_Trust_Territory.svg.png","type":"Historical", "describe": "\nA Defaced Blue Ensign with The Badge of Samoa. 1920-1948", "isnew": ".", "links": "https://en.wikipedia.org/wiki/Territory_of_Western_Samoa"},</v>
      </c>
      <c r="HO3" s="75">
        <v>45610</v>
      </c>
      <c r="HP3" s="48" t="str" cm="1">
        <f t="array" ref="HP3">IF(_xlfn.TEXTJOIN(", ", TRUE, IF(ISNUMBER(SEARCH("BLA", BL3:BT3)), COLUMN(BL3:BT3) - COLUMN(BL3) + 1, ""))&lt;&gt;"","BLA","")</f>
        <v>BLA</v>
      </c>
      <c r="HQ3" s="48" t="str" cm="1">
        <f t="array" ref="HQ3">IF(_xlfn.TEXTJOIN(", ", TRUE, IF(ISNUMBER(SEARCH("BLU", BL3:BT3)), COLUMN(BL3:BT3) - COLUMN(BL3) + 1, ""))&lt;&gt;"","BLU","")</f>
        <v>BLU</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ORA</v>
      </c>
      <c r="HV3" s="48" t="str" cm="1">
        <f t="array" ref="HV3">IF(_xlfn.TEXTJOIN(", ", TRUE, IF(ISNUMBER(SEARCH("BRO", BL3:BT3)), COLUMN(BL3:BT3) - COLUMN(BL3) + 1, ""))&lt;&gt;"","BRO","")</f>
        <v>BRO</v>
      </c>
      <c r="HW3" s="48" t="str" cm="1">
        <f t="array" ref="HW3">IF(_xlfn.TEXTJOIN(", ", TRUE, IF(ISNUMBER(SEARCH("PUR", BL3:BT3)), COLUMN(BL3:BT3) - COLUMN(BL3) + 1, ""))&lt;&gt;"","PUR","")</f>
        <v>PUR</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ref="IM3" si="85">COUNTIF(IC3:IK3,"&gt;0")-CG3</f>
        <v>-9</v>
      </c>
      <c r="IN3" s="78" t="str">
        <f t="shared" ref="IN3" si="86">"http://mkweb.bcgsc.ca/color-summarizer/?url="&amp;D3&amp;"&amp;precision=low&amp;num_clusters="&amp;CG3&amp;"&amp;text=1"</f>
        <v>http://mkweb.bcgsc.ca/color-summarizer/?url=https://upload.wikimedia.org/wikipedia/commons/thumb/6/67/Flag_of_the_Samoa_Trust_Territory.svg/640px-Flag_of_the_Samoa_Trust_Territory.svg.png&amp;precision=low&amp;num_clusters=9&amp;text=1</v>
      </c>
      <c r="IO3" s="48" t="str">
        <f t="shared" ref="IO3" si="87">IF(HP3&lt;&gt;"",CHAR(34)&amp;"black"&amp;CHAR(34),"")</f>
        <v>"black"</v>
      </c>
      <c r="IP3" s="48" t="str">
        <f t="shared" ref="IP3" si="88">IF(HQ3&lt;&gt;"",CHAR(34)&amp;"blue"&amp;CHAR(34),"")</f>
        <v>"blue"</v>
      </c>
      <c r="IQ3" s="48" t="str">
        <f t="shared" ref="IQ3" si="89">IF(HR3&lt;&gt;"",CHAR(34)&amp;"green"&amp;CHAR(34),"")</f>
        <v>"green"</v>
      </c>
      <c r="IR3" s="48" t="str">
        <f t="shared" ref="IR3" si="90">IF(HS3&lt;&gt;"",CHAR(34)&amp;"red"&amp;CHAR(34),"")</f>
        <v>"red"</v>
      </c>
      <c r="IS3" s="48" t="str">
        <f t="shared" ref="IS3" si="91">IF(HT3&lt;&gt;"",CHAR(34)&amp;"yellow"&amp;CHAR(34),"")</f>
        <v>"yellow"</v>
      </c>
      <c r="IT3" s="48" t="str">
        <f t="shared" ref="IT3" si="92">IF(HU3&lt;&gt;"",CHAR(34)&amp;"orange"&amp;CHAR(34),"")</f>
        <v>"orange"</v>
      </c>
      <c r="IU3" s="48" t="str">
        <f t="shared" ref="IU3" si="93">IF(HV3&lt;&gt;"",CHAR(34)&amp;"brown"&amp;CHAR(34),"")</f>
        <v>"brown"</v>
      </c>
      <c r="IV3" s="48" t="str">
        <f t="shared" ref="IV3" si="94">IF(HW3&lt;&gt;"",CHAR(34)&amp;"purple"&amp;CHAR(34),"")</f>
        <v>"purple"</v>
      </c>
      <c r="IW3" s="48" t="str">
        <f t="shared" ref="IW3" si="95">IF(HX3&lt;&gt;"",CHAR(34)&amp;"white"&amp;CHAR(34),"")</f>
        <v>"white"</v>
      </c>
      <c r="IX3" s="48" t="str">
        <f t="shared" ref="IX3" si="96">"{"&amp;CHAR(34)&amp;"url"&amp;CHAR(34)&amp;":"&amp;CHAR(34)&amp;IN3&amp;CHAR(34)&amp;","&amp;CHAR(34)&amp;"name"&amp;CHAR(34)&amp;":"&amp;CHAR(34)&amp;A3&amp;CHAR(34)&amp;"},"</f>
        <v>{"url":"http://mkweb.bcgsc.ca/color-summarizer/?url=https://upload.wikimedia.org/wikipedia/commons/thumb/6/67/Flag_of_the_Samoa_Trust_Territory.svg/640px-Flag_of_the_Samoa_Trust_Territory.svg.png&amp;precision=low&amp;num_clusters=9&amp;text=1","name":"[SMO] Western Samoa Trust Territory"},</v>
      </c>
      <c r="IY3" s="48">
        <v>1486</v>
      </c>
    </row>
  </sheetData>
  <conditionalFormatting sqref="H1 CW1:GS1 IA1:IB1">
    <cfRule type="cellIs" dxfId="3444" priority="107" operator="greaterThan">
      <formula>0</formula>
    </cfRule>
  </conditionalFormatting>
  <conditionalFormatting sqref="H1">
    <cfRule type="cellIs" dxfId="3443" priority="73" stopIfTrue="1" operator="notEqual">
      <formula>""</formula>
    </cfRule>
  </conditionalFormatting>
  <conditionalFormatting sqref="T1:BK1">
    <cfRule type="cellIs" dxfId="3442" priority="110" operator="greaterThan">
      <formula>0</formula>
    </cfRule>
  </conditionalFormatting>
  <conditionalFormatting sqref="BV1:BW1">
    <cfRule type="cellIs" dxfId="3441" priority="109" operator="equal">
      <formula>"nc"</formula>
    </cfRule>
  </conditionalFormatting>
  <conditionalFormatting sqref="HF1:HG1">
    <cfRule type="cellIs" dxfId="3440" priority="111" operator="greaterThan">
      <formula>0</formula>
    </cfRule>
  </conditionalFormatting>
  <conditionalFormatting sqref="HK1">
    <cfRule type="cellIs" dxfId="3439" priority="108" operator="greaterThan">
      <formula>0</formula>
    </cfRule>
  </conditionalFormatting>
  <conditionalFormatting sqref="HP1:HX1">
    <cfRule type="cellIs" dxfId="3438" priority="85" operator="equal">
      <formula>"PIN"</formula>
    </cfRule>
    <cfRule type="cellIs" dxfId="3437" priority="86" operator="equal">
      <formula>"ORA"</formula>
    </cfRule>
    <cfRule type="cellIs" dxfId="3436" priority="87" operator="equal">
      <formula>"GRA"</formula>
    </cfRule>
    <cfRule type="cellIs" dxfId="3435" priority="88" operator="equal">
      <formula>"PUR"</formula>
    </cfRule>
    <cfRule type="cellIs" dxfId="3434" priority="89" operator="equal">
      <formula>"BRO"</formula>
    </cfRule>
    <cfRule type="cellIs" dxfId="3433" priority="90" operator="equal">
      <formula>"YEL"</formula>
    </cfRule>
    <cfRule type="cellIs" dxfId="3432" priority="91" operator="equal">
      <formula>"BLU"</formula>
    </cfRule>
    <cfRule type="cellIs" dxfId="3431" priority="92" operator="equal">
      <formula>"WHI"</formula>
    </cfRule>
    <cfRule type="cellIs" dxfId="3430" priority="93" operator="equal">
      <formula>"GRE"</formula>
    </cfRule>
    <cfRule type="cellIs" dxfId="3429" priority="94" operator="equal">
      <formula>"RED"</formula>
    </cfRule>
    <cfRule type="cellIs" dxfId="3428" priority="95" operator="equal">
      <formula>"BLA"</formula>
    </cfRule>
  </conditionalFormatting>
  <conditionalFormatting sqref="IC1:IK1">
    <cfRule type="cellIs" dxfId="3427" priority="96" operator="equal">
      <formula>"PIN"</formula>
    </cfRule>
    <cfRule type="cellIs" dxfId="3426" priority="97" operator="equal">
      <formula>"ORA"</formula>
    </cfRule>
    <cfRule type="cellIs" dxfId="3425" priority="98" operator="equal">
      <formula>"GRA"</formula>
    </cfRule>
    <cfRule type="cellIs" dxfId="3424" priority="99" operator="equal">
      <formula>"PUR"</formula>
    </cfRule>
    <cfRule type="cellIs" dxfId="3423" priority="100" operator="equal">
      <formula>"BRO"</formula>
    </cfRule>
    <cfRule type="cellIs" dxfId="3422" priority="101" operator="equal">
      <formula>"YEL"</formula>
    </cfRule>
    <cfRule type="cellIs" dxfId="3421" priority="102" operator="equal">
      <formula>"BLU"</formula>
    </cfRule>
    <cfRule type="cellIs" dxfId="3420" priority="103" operator="equal">
      <formula>"WHI"</formula>
    </cfRule>
    <cfRule type="cellIs" dxfId="3419" priority="104" operator="equal">
      <formula>"GRE"</formula>
    </cfRule>
    <cfRule type="cellIs" dxfId="3418" priority="105" operator="equal">
      <formula>"RED"</formula>
    </cfRule>
    <cfRule type="cellIs" dxfId="3417" priority="106" operator="equal">
      <formula>"BLA"</formula>
    </cfRule>
  </conditionalFormatting>
  <conditionalFormatting sqref="IO1:IW1">
    <cfRule type="cellIs" dxfId="3416" priority="74" operator="equal">
      <formula>"PIN"</formula>
    </cfRule>
    <cfRule type="cellIs" dxfId="3415" priority="75" operator="equal">
      <formula>"ORA"</formula>
    </cfRule>
    <cfRule type="cellIs" dxfId="3414" priority="76" operator="equal">
      <formula>"GRA"</formula>
    </cfRule>
    <cfRule type="cellIs" dxfId="3413" priority="77" operator="equal">
      <formula>"PUR"</formula>
    </cfRule>
    <cfRule type="cellIs" dxfId="3412" priority="78" operator="equal">
      <formula>"BRO"</formula>
    </cfRule>
    <cfRule type="cellIs" dxfId="3411" priority="79" operator="equal">
      <formula>"YEL"</formula>
    </cfRule>
    <cfRule type="cellIs" dxfId="3410" priority="80" operator="equal">
      <formula>"BLU"</formula>
    </cfRule>
    <cfRule type="cellIs" dxfId="3409" priority="81" operator="equal">
      <formula>"WHI"</formula>
    </cfRule>
    <cfRule type="cellIs" dxfId="3408" priority="82" operator="equal">
      <formula>"GRE"</formula>
    </cfRule>
    <cfRule type="cellIs" dxfId="3407" priority="83" operator="equal">
      <formula>"RED"</formula>
    </cfRule>
    <cfRule type="cellIs" dxfId="3406" priority="84" operator="equal">
      <formula>"BLA"</formula>
    </cfRule>
  </conditionalFormatting>
  <conditionalFormatting sqref="H2">
    <cfRule type="cellIs" dxfId="3405" priority="42" stopIfTrue="1" operator="notEqual">
      <formula>""</formula>
    </cfRule>
  </conditionalFormatting>
  <conditionalFormatting sqref="R2 CU2">
    <cfRule type="cellIs" dxfId="3404" priority="44" operator="greaterThan">
      <formula>0</formula>
    </cfRule>
  </conditionalFormatting>
  <conditionalFormatting sqref="T2:AS2 CH2:CS2">
    <cfRule type="cellIs" dxfId="3403" priority="39" stopIfTrue="1" operator="equal">
      <formula>"n"</formula>
    </cfRule>
    <cfRule type="cellIs" dxfId="3402" priority="40" stopIfTrue="1" operator="equal">
      <formula>"y"</formula>
    </cfRule>
    <cfRule type="cellIs" dxfId="3401" priority="41" operator="greaterThan">
      <formula>0</formula>
    </cfRule>
  </conditionalFormatting>
  <conditionalFormatting sqref="AZ2:BB2">
    <cfRule type="expression" dxfId="3400" priority="38">
      <formula>$AT2=0</formula>
    </cfRule>
  </conditionalFormatting>
  <conditionalFormatting sqref="AZ2:BU2">
    <cfRule type="cellIs" dxfId="3399" priority="47" operator="equal">
      <formula>"PIN"</formula>
    </cfRule>
    <cfRule type="cellIs" dxfId="3398" priority="48" operator="equal">
      <formula>"ORA"</formula>
    </cfRule>
    <cfRule type="cellIs" dxfId="3397" priority="49" operator="equal">
      <formula>"GRA"</formula>
    </cfRule>
    <cfRule type="cellIs" dxfId="3396" priority="50" operator="equal">
      <formula>"PUR"</formula>
    </cfRule>
    <cfRule type="cellIs" dxfId="3395" priority="51" operator="equal">
      <formula>"BRO"</formula>
    </cfRule>
    <cfRule type="cellIs" dxfId="3394" priority="52" operator="equal">
      <formula>"YEL"</formula>
    </cfRule>
    <cfRule type="cellIs" dxfId="3393" priority="53" operator="equal">
      <formula>"BLU"</formula>
    </cfRule>
    <cfRule type="cellIs" dxfId="3392" priority="54" operator="equal">
      <formula>"WHI"</formula>
    </cfRule>
    <cfRule type="cellIs" dxfId="3391" priority="55" operator="equal">
      <formula>"GRE"</formula>
    </cfRule>
    <cfRule type="cellIs" dxfId="3390" priority="56" operator="equal">
      <formula>"RED"</formula>
    </cfRule>
    <cfRule type="cellIs" dxfId="3389" priority="57" operator="equal">
      <formula>"BLA"</formula>
    </cfRule>
  </conditionalFormatting>
  <conditionalFormatting sqref="BV2">
    <cfRule type="cellIs" dxfId="3388" priority="69" operator="equal">
      <formula>"nc"</formula>
    </cfRule>
  </conditionalFormatting>
  <conditionalFormatting sqref="BX2:CA2 CD2:CF2">
    <cfRule type="cellIs" dxfId="3387" priority="43" operator="equal">
      <formula>"y"</formula>
    </cfRule>
    <cfRule type="cellIs" dxfId="3386" priority="58" operator="equal">
      <formula>"PIN"</formula>
    </cfRule>
    <cfRule type="cellIs" dxfId="3385" priority="59" operator="equal">
      <formula>"ORA"</formula>
    </cfRule>
    <cfRule type="cellIs" dxfId="3384" priority="60" operator="equal">
      <formula>"GRA"</formula>
    </cfRule>
    <cfRule type="cellIs" dxfId="3383" priority="61" operator="equal">
      <formula>"PUR"</formula>
    </cfRule>
    <cfRule type="cellIs" dxfId="3382" priority="62" operator="equal">
      <formula>"BRO"</formula>
    </cfRule>
    <cfRule type="cellIs" dxfId="3381" priority="63" operator="equal">
      <formula>"YEL"</formula>
    </cfRule>
    <cfRule type="cellIs" dxfId="3380" priority="64" operator="equal">
      <formula>"BLU"</formula>
    </cfRule>
    <cfRule type="cellIs" dxfId="3379" priority="65" operator="equal">
      <formula>"WHI"</formula>
    </cfRule>
    <cfRule type="cellIs" dxfId="3378" priority="66" operator="equal">
      <formula>"GRE"</formula>
    </cfRule>
    <cfRule type="cellIs" dxfId="3377" priority="67" operator="equal">
      <formula>"RED"</formula>
    </cfRule>
    <cfRule type="cellIs" dxfId="3376" priority="68" operator="equal">
      <formula>"BLA"</formula>
    </cfRule>
  </conditionalFormatting>
  <conditionalFormatting sqref="BZ2:CA2 CD2:CF2">
    <cfRule type="cellIs" dxfId="3375" priority="45" operator="greaterThan">
      <formula>0</formula>
    </cfRule>
  </conditionalFormatting>
  <conditionalFormatting sqref="IC2:IK2">
    <cfRule type="expression" dxfId="3374"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95" priority="5" stopIfTrue="1" operator="notEqual">
      <formula>""</formula>
    </cfRule>
  </conditionalFormatting>
  <conditionalFormatting sqref="R3 CU3">
    <cfRule type="cellIs" dxfId="94" priority="7" operator="greaterThan">
      <formula>0</formula>
    </cfRule>
  </conditionalFormatting>
  <conditionalFormatting sqref="T3:AS3 CH3:CS3">
    <cfRule type="cellIs" dxfId="93" priority="2" stopIfTrue="1" operator="equal">
      <formula>"n"</formula>
    </cfRule>
    <cfRule type="cellIs" dxfId="92" priority="3" stopIfTrue="1" operator="equal">
      <formula>"y"</formula>
    </cfRule>
    <cfRule type="cellIs" dxfId="91" priority="4" operator="greaterThan">
      <formula>0</formula>
    </cfRule>
  </conditionalFormatting>
  <conditionalFormatting sqref="AZ3:BB3">
    <cfRule type="expression" dxfId="90" priority="1">
      <formula>$AT3=0</formula>
    </cfRule>
  </conditionalFormatting>
  <conditionalFormatting sqref="AZ3:BU3">
    <cfRule type="cellIs" dxfId="89" priority="10" operator="equal">
      <formula>"PIN"</formula>
    </cfRule>
    <cfRule type="cellIs" dxfId="88" priority="11" operator="equal">
      <formula>"ORA"</formula>
    </cfRule>
    <cfRule type="cellIs" dxfId="87" priority="12" operator="equal">
      <formula>"GRA"</formula>
    </cfRule>
    <cfRule type="cellIs" dxfId="86" priority="13" operator="equal">
      <formula>"PUR"</formula>
    </cfRule>
    <cfRule type="cellIs" dxfId="85" priority="14" operator="equal">
      <formula>"BRO"</formula>
    </cfRule>
    <cfRule type="cellIs" dxfId="84" priority="15" operator="equal">
      <formula>"YEL"</formula>
    </cfRule>
    <cfRule type="cellIs" dxfId="83" priority="16" operator="equal">
      <formula>"BLU"</formula>
    </cfRule>
    <cfRule type="cellIs" dxfId="82" priority="17" operator="equal">
      <formula>"WHI"</formula>
    </cfRule>
    <cfRule type="cellIs" dxfId="81" priority="18" operator="equal">
      <formula>"GRE"</formula>
    </cfRule>
    <cfRule type="cellIs" dxfId="80" priority="19" operator="equal">
      <formula>"RED"</formula>
    </cfRule>
    <cfRule type="cellIs" dxfId="79" priority="20" operator="equal">
      <formula>"BLA"</formula>
    </cfRule>
  </conditionalFormatting>
  <conditionalFormatting sqref="BV3">
    <cfRule type="cellIs" dxfId="78" priority="32" operator="equal">
      <formula>"nc"</formula>
    </cfRule>
  </conditionalFormatting>
  <conditionalFormatting sqref="BX3:CA3 CD3:CF3">
    <cfRule type="cellIs" dxfId="77" priority="6" operator="equal">
      <formula>"y"</formula>
    </cfRule>
    <cfRule type="cellIs" dxfId="76" priority="21" operator="equal">
      <formula>"PIN"</formula>
    </cfRule>
    <cfRule type="cellIs" dxfId="75" priority="22" operator="equal">
      <formula>"ORA"</formula>
    </cfRule>
    <cfRule type="cellIs" dxfId="74" priority="23" operator="equal">
      <formula>"GRA"</formula>
    </cfRule>
    <cfRule type="cellIs" dxfId="73" priority="24" operator="equal">
      <formula>"PUR"</formula>
    </cfRule>
    <cfRule type="cellIs" dxfId="72" priority="25" operator="equal">
      <formula>"BRO"</formula>
    </cfRule>
    <cfRule type="cellIs" dxfId="71" priority="26" operator="equal">
      <formula>"YEL"</formula>
    </cfRule>
    <cfRule type="cellIs" dxfId="70" priority="27" operator="equal">
      <formula>"BLU"</formula>
    </cfRule>
    <cfRule type="cellIs" dxfId="69" priority="28" operator="equal">
      <formula>"WHI"</formula>
    </cfRule>
    <cfRule type="cellIs" dxfId="68" priority="29" operator="equal">
      <formula>"GRE"</formula>
    </cfRule>
    <cfRule type="cellIs" dxfId="67" priority="30" operator="equal">
      <formula>"RED"</formula>
    </cfRule>
    <cfRule type="cellIs" dxfId="66" priority="31" operator="equal">
      <formula>"BLA"</formula>
    </cfRule>
  </conditionalFormatting>
  <conditionalFormatting sqref="BZ3:CA3 CD3:CF3">
    <cfRule type="cellIs" dxfId="65" priority="8" operator="greaterThan">
      <formula>0</formula>
    </cfRule>
  </conditionalFormatting>
  <conditionalFormatting sqref="IC3:IK3">
    <cfRule type="expression" dxfId="64"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A2" r:id="rId1" display="https://fbref.com/en/country/SAM/Samoa-Football" xr:uid="{4CDC3163-4E03-4341-BC46-511FE8BB61E8}"/>
    <hyperlink ref="E2" r:id="rId2" xr:uid="{64B41A1F-C0F5-4471-BA16-6B24458629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42EA3A-1346-484C-AE30-78F9769CC8DA}">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318</v>
      </c>
      <c r="B2" s="40" t="e" vm="106">
        <v>#VALUE!</v>
      </c>
      <c r="C2" s="41">
        <v>1</v>
      </c>
      <c r="D2" s="42" t="s">
        <v>319</v>
      </c>
      <c r="E2" s="43" t="s">
        <v>320</v>
      </c>
      <c r="F2" s="44" t="s">
        <v>166</v>
      </c>
      <c r="G2" s="45">
        <f>COUNTIF($A$1:$A$8338,A2)</f>
        <v>1</v>
      </c>
      <c r="H2" s="46"/>
      <c r="I2" s="47" t="s">
        <v>321</v>
      </c>
      <c r="J2" s="48" t="str">
        <f>""</f>
        <v/>
      </c>
      <c r="K2" s="49">
        <v>740424</v>
      </c>
      <c r="L2" s="50">
        <v>32000</v>
      </c>
      <c r="M2" s="50" t="s">
        <v>322</v>
      </c>
      <c r="N2" s="51" t="s">
        <v>169</v>
      </c>
      <c r="O2" s="52" t="s">
        <v>323</v>
      </c>
      <c r="P2" s="53" t="s">
        <v>324</v>
      </c>
      <c r="Q2" s="54">
        <v>2</v>
      </c>
      <c r="R2" s="55" t="s">
        <v>169</v>
      </c>
      <c r="S2" s="56">
        <v>3</v>
      </c>
      <c r="T2" s="57" t="s">
        <v>172</v>
      </c>
      <c r="U2" s="58" t="s">
        <v>173</v>
      </c>
      <c r="V2" s="58" t="s">
        <v>173</v>
      </c>
      <c r="W2" s="58" t="s">
        <v>173</v>
      </c>
      <c r="X2" s="58" t="s">
        <v>173</v>
      </c>
      <c r="Y2" s="58" t="s">
        <v>173</v>
      </c>
      <c r="Z2" s="58" t="s">
        <v>173</v>
      </c>
      <c r="AA2" s="58" t="s">
        <v>173</v>
      </c>
      <c r="AB2" s="58" t="s">
        <v>173</v>
      </c>
      <c r="AC2" s="58" t="s">
        <v>173</v>
      </c>
      <c r="AD2" s="58" t="s">
        <v>173</v>
      </c>
      <c r="AE2" s="58" t="s">
        <v>173</v>
      </c>
      <c r="AF2" s="59" t="s">
        <v>173</v>
      </c>
      <c r="AG2" s="59" t="s">
        <v>172</v>
      </c>
      <c r="AH2" s="59" t="s">
        <v>173</v>
      </c>
      <c r="AI2" s="59" t="s">
        <v>173</v>
      </c>
      <c r="AJ2" s="59" t="s">
        <v>173</v>
      </c>
      <c r="AK2" s="59" t="s">
        <v>173</v>
      </c>
      <c r="AL2" s="59" t="s">
        <v>173</v>
      </c>
      <c r="AM2" s="59" t="s">
        <v>173</v>
      </c>
      <c r="AN2" s="59" t="s">
        <v>173</v>
      </c>
      <c r="AO2" s="59" t="s">
        <v>173</v>
      </c>
      <c r="AP2" s="59" t="s">
        <v>173</v>
      </c>
      <c r="AQ2" s="59" t="s">
        <v>173</v>
      </c>
      <c r="AR2" s="59" t="s">
        <v>173</v>
      </c>
      <c r="AS2" s="59" t="s">
        <v>173</v>
      </c>
      <c r="AT2" s="60">
        <v>5</v>
      </c>
      <c r="AU2" s="59"/>
      <c r="AV2" s="59" t="str">
        <f>IF(LEFT(A2,1)="[",LEFT(A2,5)&amp;AU2&amp;A2,"")</f>
        <v/>
      </c>
      <c r="AW2" s="59" t="str">
        <f>C2&amp;H2&amp;A2</f>
        <v>1Solomon Islands</v>
      </c>
      <c r="AX2" s="61"/>
      <c r="AY2" s="61"/>
      <c r="AZ2" s="62" t="s">
        <v>159</v>
      </c>
      <c r="BA2" s="62" t="s">
        <v>192</v>
      </c>
      <c r="BB2" s="62"/>
      <c r="BC2" s="63"/>
      <c r="BD2" s="64" t="s">
        <v>152</v>
      </c>
      <c r="BE2" s="47"/>
      <c r="BF2" s="64" t="s">
        <v>192</v>
      </c>
      <c r="BG2" s="64" t="s">
        <v>192</v>
      </c>
      <c r="BH2" s="64" t="s">
        <v>192</v>
      </c>
      <c r="BI2" s="64"/>
      <c r="BJ2" s="64"/>
      <c r="BK2" s="47"/>
      <c r="BL2" s="64" t="s">
        <v>192</v>
      </c>
      <c r="BM2" s="64" t="s">
        <v>152</v>
      </c>
      <c r="BN2" s="64" t="s">
        <v>192</v>
      </c>
      <c r="BO2" s="64" t="s">
        <v>192</v>
      </c>
      <c r="BP2" s="64" t="s">
        <v>192</v>
      </c>
      <c r="BQ2" s="64" t="s">
        <v>192</v>
      </c>
      <c r="BR2" s="64" t="s">
        <v>192</v>
      </c>
      <c r="BS2" s="64" t="s">
        <v>192</v>
      </c>
      <c r="BT2" s="64" t="s">
        <v>159</v>
      </c>
      <c r="BU2" s="65"/>
      <c r="BV2" s="66"/>
      <c r="BW2" s="66">
        <v>0</v>
      </c>
      <c r="BX2" s="47"/>
      <c r="BY2" s="48" t="s">
        <v>173</v>
      </c>
      <c r="CB2" s="6"/>
      <c r="CC2" s="6"/>
      <c r="CD2" s="67">
        <v>0</v>
      </c>
      <c r="CE2" s="67">
        <v>0</v>
      </c>
      <c r="CF2" s="67" t="e">
        <v>#REF!</v>
      </c>
      <c r="CG2" s="68" cm="1">
        <f t="array" ref="CG2">SUMPRODUCT(--(LEN(TRIM(BL2:BT2))&gt;0))</f>
        <v>2</v>
      </c>
      <c r="CH2" s="59" t="str">
        <f>IF(CG2=2,"y","n")</f>
        <v>y</v>
      </c>
      <c r="CI2" s="59" t="str">
        <f>IF(CG2=3,"y","n")</f>
        <v>n</v>
      </c>
      <c r="CJ2" s="59" t="str">
        <f>IF(CG2=4,"y","n")</f>
        <v>n</v>
      </c>
      <c r="CK2" s="59" t="str">
        <f>IF(CG2&gt;4,"y","n")</f>
        <v>n</v>
      </c>
      <c r="CL2" s="59" t="str">
        <f>IF(S2=0,"y","n")</f>
        <v>n</v>
      </c>
      <c r="CM2" s="59" t="str">
        <f>IF(S2=2,"y","n")</f>
        <v>n</v>
      </c>
      <c r="CN2" s="59" t="str">
        <f>IF(S2=3,"y","n")</f>
        <v>y</v>
      </c>
      <c r="CO2" s="59" t="str">
        <f>IF(S2&gt;=4,"y","n")</f>
        <v>n</v>
      </c>
      <c r="CP2" s="59" t="str">
        <f>IF(AT2=0,"y","n")</f>
        <v>n</v>
      </c>
      <c r="CQ2" s="59" t="str">
        <f>IF(AT2=1,"y","n")</f>
        <v>n</v>
      </c>
      <c r="CR2" s="59" t="str">
        <f>IF(AT2=2,"y","n")</f>
        <v>n</v>
      </c>
      <c r="CS2" s="59" t="str">
        <f>IF(AT2&gt;=3,"y","n")</f>
        <v>y</v>
      </c>
      <c r="CT2" s="69" t="str">
        <f>CHAR(34)&amp;A2&amp;CHAR(34)</f>
        <v>"Solomon Islands"</v>
      </c>
      <c r="CU2" s="70" t="str">
        <f>CHAR(34)&amp;"rgn_"&amp;R2&amp;CHAR(34)</f>
        <v>"rgn_Oceania"</v>
      </c>
      <c r="CV2" s="48" t="str">
        <f>CHAR(34)&amp;D2&amp;CHAR(34)</f>
        <v>"https://i.ibb.co/C7T6z7q/Solomon-Islands-Flag.png"</v>
      </c>
      <c r="CW2" s="48" t="str">
        <f t="shared" ref="CW2:CZ3" si="0">IF(CH2="y",CHAR(34)&amp;CH$1&amp;CHAR(34)&amp;",","")</f>
        <v>"2Color",</v>
      </c>
      <c r="CX2" s="48" t="str">
        <f t="shared" si="0"/>
        <v/>
      </c>
      <c r="CY2" s="48" t="str">
        <f t="shared" si="0"/>
        <v/>
      </c>
      <c r="CZ2" s="48" t="str">
        <f t="shared" si="0"/>
        <v/>
      </c>
      <c r="DA2" s="48" t="str">
        <f>IF(Q2&gt;1,CHAR(34)&amp;"words2"&amp;CHAR(34)&amp;",","")</f>
        <v>"words2",</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"lets14",</v>
      </c>
      <c r="DE2" s="48" t="str">
        <f>CHAR(34)&amp;"start"&amp;IFERROR(LEFT(SUBSTITUTE(A2,"["&amp;MID(A2,FIND("[",A2)+1,FIND("]",A2)-FIND("[",A2)-1)&amp;"] ",""),1),LEFT(A2,1))&amp;CHAR(34)&amp;","</f>
        <v>"startS",</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"BLUWHI",</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3" si="1">IF(CL2="y",CHAR(34)&amp;CL$1&amp;CHAR(34)&amp;",","")</f>
        <v/>
      </c>
      <c r="DX2" s="48" t="str">
        <f t="shared" si="1"/>
        <v/>
      </c>
      <c r="DY2" s="48" t="str">
        <f t="shared" si="1"/>
        <v>"3Bands",</v>
      </c>
      <c r="DZ2" s="48" t="str">
        <f t="shared" si="1"/>
        <v/>
      </c>
      <c r="EA2" s="48" t="str">
        <f t="shared" ref="EA2:EE3" si="2">IF(T2="y",CHAR(34)&amp;T$1&amp;CHAR(34)&amp;",","")</f>
        <v>"Diagon",</v>
      </c>
      <c r="EB2" s="48" t="str">
        <f t="shared" si="2"/>
        <v/>
      </c>
      <c r="EC2" s="48" t="str">
        <f t="shared" si="2"/>
        <v/>
      </c>
      <c r="ED2" s="48" t="str">
        <f t="shared" si="2"/>
        <v/>
      </c>
      <c r="EE2" s="48" t="str">
        <f t="shared" si="2"/>
        <v/>
      </c>
      <c r="EF2" s="48" t="str">
        <f>IF(AND(Y2&lt;&gt;"n",Y2&lt;&gt;""),CHAR(34)&amp;Y$1&amp;CHAR(34)&amp;",","")</f>
        <v/>
      </c>
      <c r="EG2" s="48" t="str">
        <f t="shared" ref="EG2:EZ3" si="3">IF(Z2="y",CHAR(34)&amp;Z$1&amp;CHAR(34)&amp;",","")</f>
        <v/>
      </c>
      <c r="EH2" s="48" t="str">
        <f t="shared" si="3"/>
        <v/>
      </c>
      <c r="EI2" s="48" t="str">
        <f t="shared" si="3"/>
        <v/>
      </c>
      <c r="EJ2" s="48" t="str">
        <f t="shared" si="3"/>
        <v/>
      </c>
      <c r="EK2" s="48" t="str">
        <f t="shared" si="3"/>
        <v/>
      </c>
      <c r="EL2" s="48" t="str">
        <f t="shared" si="3"/>
        <v/>
      </c>
      <c r="EM2" s="48" t="str">
        <f t="shared" si="3"/>
        <v/>
      </c>
      <c r="EN2" s="48" t="str">
        <f t="shared" si="3"/>
        <v>"Unequa",</v>
      </c>
      <c r="EO2" s="48" t="str">
        <f t="shared" si="3"/>
        <v/>
      </c>
      <c r="EP2" s="48" t="str">
        <f t="shared" si="3"/>
        <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"staWHI",</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"NO_RED",</v>
      </c>
      <c r="FH2" s="48" t="str">
        <f>IF(COUNTIF(BL2:BS2,"GRE")=0,CHAR(34)&amp;"NO_GRE"&amp;CHAR(34)&amp;",", "")</f>
        <v>"NO_GRE",</v>
      </c>
      <c r="FI2" s="48" t="str">
        <f>IF(COUNTIF(BL2:BT2,"YEL")=0,CHAR(34)&amp;"NO_YEL"&amp;CHAR(34)&amp;",", "")</f>
        <v>"NO_YEL",</v>
      </c>
      <c r="FJ2" s="48" t="str">
        <f>IF(COUNTIF(BL2:BT2,"BLA")=0,CHAR(34)&amp;"NO_BLA"&amp;CHAR(34)&amp;",", "")</f>
        <v>"NO_BLA",</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
      </c>
      <c r="FR2" s="48" t="str">
        <f>IF(LEN(BG2)=3,CHAR(34)&amp;"002"&amp;BG2&amp;CHAR(34)&amp;",","")</f>
        <v/>
      </c>
      <c r="FS2" s="48" t="str">
        <f>IF(LEN(BH2)=3,CHAR(34)&amp;"003"&amp;BH2&amp;CHAR(34)&amp;",","")</f>
        <v/>
      </c>
      <c r="FT2" s="48" t="str">
        <f>CHAR(34)&amp;"myr"&amp;BD2&amp;CHAR(34)&amp;","</f>
        <v>"myrBLU",</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 t="shared" ref="GL2:GN3" si="4">IF(CQ2="y",CHAR(34)&amp;CQ$1&amp;CHAR(34)&amp;",","")</f>
        <v/>
      </c>
      <c r="GM2" s="48" t="str">
        <f t="shared" si="4"/>
        <v/>
      </c>
      <c r="GN2" s="48" t="str">
        <f t="shared" si="4"/>
        <v>"3+Star",</v>
      </c>
      <c r="GP2" s="48" t="str">
        <f>CHAR(34)&amp;AU2&amp;CHAR(34)</f>
        <v>""</v>
      </c>
      <c r="GS2" s="48" t="str">
        <f>SUBSTITUTE("["&amp;_xlfn.CONCAT(CW2:GN2)&amp;"]",",]","]")</f>
        <v>["2Color","words2","lets14","startS","BLUWHI","year19","3Bands","Diagon","Unequa","staWHI","NO_RED","NO_GRE","NO_YEL","NO_BLA","myrBLU","HasSta","3+Star"]</v>
      </c>
      <c r="GT2" s="48" t="str">
        <f t="shared" ref="GT2:HB3" si="5">IF(BL2&lt;&gt;"",CHAR(34)&amp;"cl_"&amp;BL2&amp;CHAR(34)&amp;",","")</f>
        <v/>
      </c>
      <c r="GU2" s="48" t="str">
        <f t="shared" si="5"/>
        <v>"cl_BLU",</v>
      </c>
      <c r="GV2" s="48" t="str">
        <f t="shared" si="5"/>
        <v/>
      </c>
      <c r="GW2" s="48" t="str">
        <f t="shared" si="5"/>
        <v/>
      </c>
      <c r="GX2" s="48" t="str">
        <f t="shared" si="5"/>
        <v/>
      </c>
      <c r="GY2" s="48" t="str">
        <f t="shared" si="5"/>
        <v/>
      </c>
      <c r="GZ2" s="48" t="str">
        <f t="shared" si="5"/>
        <v/>
      </c>
      <c r="HA2" s="48" t="str">
        <f t="shared" si="5"/>
        <v/>
      </c>
      <c r="HB2" s="48" t="str">
        <f t="shared" si="5"/>
        <v>"cl_WHI",</v>
      </c>
      <c r="HC2" s="48" t="str">
        <f>SUBSTITUTE("["&amp;_xlfn.CONCAT(GT2:HB2)&amp;"]",",]","]")</f>
        <v>["cl_BLU","cl_WHI"]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links: "https://en.wikipedia.org/wiki/Flag_of_Solomon_Islands"},</v>
      </c>
      <c r="HG2" s="73" t="str">
        <f>"{couname:"&amp;CT2&amp;(IF(HK2&lt;&gt;"",",subtype:"&amp;CHAR(34)&amp;HK2&amp;CHAR(34),""))&amp;",year:"&amp;HJ2&amp;",region:"&amp;CU2&amp;",Colors:"&amp;HC2&amp;",Items:"&amp;GS2&amp;",Flag:"&amp;CV2&amp;",HDFlag:"&amp;CHAR(34)&amp;E2&amp;CHAR(34)&amp;",type:"&amp;GP2&amp;", describe: "&amp;HI2&amp;", links: "&amp;HL2&amp;"},"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links: "https://en.wikipedia.org/wiki/Flag_of_Solomon_Islands"},</v>
      </c>
      <c r="HH2" s="48" t="str">
        <f>IF(P2&lt;&gt;"",CHAR(34)&amp;"\n"&amp;P2&amp;CHAR(34),CHAR(34)&amp;CHAR(34))</f>
        <v>"\nThe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v>
      </c>
      <c r="HI2" s="48" t="str">
        <f>IF(J2=0,CHAR(34)&amp;CHAR(34),HH2)</f>
        <v>"\nThe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v>
      </c>
      <c r="HJ2" s="48" t="str">
        <f>CHAR(34)&amp;O2&amp;CHAR(34)</f>
        <v>"1977 "</v>
      </c>
      <c r="HL2" s="48" t="str">
        <f>CHAR(34)&amp;I2&amp;CHAR(34)</f>
        <v>"https://en.wikipedia.org/wiki/Flag_of_Solomon_Islands"</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 "links": "https://en.wikipedia.org/wiki/Flag_of_Solomon_Islands"},</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{"couname":"Solomon Islands","year":"1977 ","region":"rgn_Oceania","Colors":["cl_BLU","cl_WHI"],"Items":["2Color","words2","lets14","startS","BLUWHI","year19","3Bands","Diagon","Unequa","staWHI","NO_RED","NO_GRE","NO_YEL","NO_BLA","myrBLU","HasSta","3+Star"],"Flag":"https://i.ibb.co/C7T6z7q/Solomon-Islands-Flag.png","HDFlag":"https://upload.wikimedia.org/wikipedia/commons/thumb/7/74/Flag_of_the_Solomon_Islands.svg/2560px-Flag_of_the_Solomon_Islands.svg.png","type":"", "describe": "\nThe blue evokes the water, as well as its significance to the country in the form of rivers, rain, and the Pacific Ocean. The green alludes to the land, along with the trees and crops that grow on it. The yellow epitomizes the sun and its rays separating the land and the ocean.\n\nThe five stars are arranged in three offset rows at the canton, in the shape of the letter X. At first, these were meant to symbolize the provinces that the country was subdivided into at the time of independence (Central, Western, Eastern, Malaita and Honiara Capital). Even though new provinces have since been created, the number of stars has remained unchanged.", "isnew": ".", "links": "https://en.wikipedia.org/wiki/Flag_of_Solomon_Islands"},</v>
      </c>
      <c r="HO2" s="75">
        <v>45596</v>
      </c>
      <c r="HP2" s="48" t="str" cm="1">
        <f t="array" ref="HP2">IF(_xlfn.TEXTJOIN(", ", TRUE, IF(ISNUMBER(SEARCH("BLA", BL2:BT2)), COLUMN(BL2:BT2) - COLUMN(BL2) + 1, ""))&lt;&gt;"","BLA","")</f>
        <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
      </c>
      <c r="HT2" s="48" t="str" cm="1">
        <f t="array" ref="HT2">IF(_xlfn.TEXTJOIN(", ", TRUE, IF(ISNUMBER(SEARCH("YEL", BL2:BT2)), COLUMN(BL2:BT2) - COLUMN(BL2) + 1, ""))&lt;&gt;"","YEL","")</f>
        <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-2</v>
      </c>
      <c r="IN2" s="78" t="str">
        <f>"http://mkweb.bcgsc.ca/color-summarizer/?url="&amp;D2&amp;"&amp;precision=low&amp;num_clusters="&amp;CG2&amp;"&amp;text=1"</f>
        <v>http://mkweb.bcgsc.ca/color-summarizer/?url=https://i.ibb.co/C7T6z7q/Solomon-Islands-Flag.png&amp;precision=low&amp;num_clusters=2&amp;text=1</v>
      </c>
      <c r="IO2" s="48" t="str">
        <f>IF(HP2&lt;&gt;"",CHAR(34)&amp;"black"&amp;CHAR(34),"")</f>
        <v/>
      </c>
      <c r="IP2" s="48" t="str">
        <f>IF(HQ2&lt;&gt;"",CHAR(34)&amp;"blue"&amp;CHAR(34),"")</f>
        <v>"blue"</v>
      </c>
      <c r="IQ2" s="48" t="str">
        <f>IF(HR2&lt;&gt;"",CHAR(34)&amp;"green"&amp;CHAR(34),"")</f>
        <v/>
      </c>
      <c r="IR2" s="48" t="str">
        <f>IF(HS2&lt;&gt;"",CHAR(34)&amp;"red"&amp;CHAR(34),"")</f>
        <v/>
      </c>
      <c r="IS2" s="48" t="str">
        <f>IF(HT2&lt;&gt;"",CHAR(34)&amp;"yellow"&amp;CHAR(34),"")</f>
        <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{"url":"http://mkweb.bcgsc.ca/color-summarizer/?url=https://i.ibb.co/C7T6z7q/Solomon-Islands-Flag.png&amp;precision=low&amp;num_clusters=2&amp;text=1","name":"Solomon Islands"},</v>
      </c>
      <c r="IY2" s="48">
        <v>1289</v>
      </c>
    </row>
    <row r="3" spans="1:259" s="48" customFormat="1" ht="38.4" customHeight="1" thickBot="1" x14ac:dyDescent="0.35">
      <c r="A3" s="79" t="s">
        <v>594</v>
      </c>
      <c r="B3" s="40" t="e" vm="107">
        <v>#VALUE!</v>
      </c>
      <c r="C3" s="41">
        <v>2</v>
      </c>
      <c r="D3" s="42" t="s">
        <v>595</v>
      </c>
      <c r="E3" s="43" t="s">
        <v>596</v>
      </c>
      <c r="F3" s="44" t="s">
        <v>166</v>
      </c>
      <c r="G3" s="45">
        <f>COUNTIF($A$1:$A$8338,A3)</f>
        <v>1</v>
      </c>
      <c r="H3" s="46"/>
      <c r="I3" s="47" t="s">
        <v>321</v>
      </c>
      <c r="J3" s="48" t="str">
        <f>""</f>
        <v/>
      </c>
      <c r="K3" s="49"/>
      <c r="L3" s="50"/>
      <c r="M3" s="50"/>
      <c r="N3" s="51" t="s">
        <v>169</v>
      </c>
      <c r="O3" s="52" t="s">
        <v>355</v>
      </c>
      <c r="P3" s="53" t="s">
        <v>597</v>
      </c>
      <c r="Q3" s="54">
        <v>2</v>
      </c>
      <c r="R3" s="55" t="s">
        <v>169</v>
      </c>
      <c r="S3" s="56">
        <v>0</v>
      </c>
      <c r="T3" s="57" t="s">
        <v>172</v>
      </c>
      <c r="U3" s="58" t="s">
        <v>173</v>
      </c>
      <c r="V3" s="58" t="s">
        <v>173</v>
      </c>
      <c r="W3" s="58" t="s">
        <v>173</v>
      </c>
      <c r="X3" s="58" t="s">
        <v>173</v>
      </c>
      <c r="Y3" s="58" t="s">
        <v>173</v>
      </c>
      <c r="Z3" s="58" t="s">
        <v>173</v>
      </c>
      <c r="AA3" s="58" t="s">
        <v>173</v>
      </c>
      <c r="AB3" s="58" t="s">
        <v>173</v>
      </c>
      <c r="AC3" s="58" t="s">
        <v>173</v>
      </c>
      <c r="AD3" s="58" t="s">
        <v>173</v>
      </c>
      <c r="AE3" s="58" t="s">
        <v>173</v>
      </c>
      <c r="AF3" s="59" t="s">
        <v>173</v>
      </c>
      <c r="AG3" s="59" t="s">
        <v>173</v>
      </c>
      <c r="AH3" s="59" t="s">
        <v>173</v>
      </c>
      <c r="AI3" s="59" t="s">
        <v>172</v>
      </c>
      <c r="AJ3" s="59" t="s">
        <v>173</v>
      </c>
      <c r="AK3" s="59" t="s">
        <v>173</v>
      </c>
      <c r="AL3" s="59" t="s">
        <v>173</v>
      </c>
      <c r="AM3" s="59" t="s">
        <v>173</v>
      </c>
      <c r="AN3" s="59" t="s">
        <v>173</v>
      </c>
      <c r="AO3" s="59" t="s">
        <v>173</v>
      </c>
      <c r="AP3" s="59" t="s">
        <v>173</v>
      </c>
      <c r="AQ3" s="59" t="s">
        <v>173</v>
      </c>
      <c r="AR3" s="59" t="s">
        <v>173</v>
      </c>
      <c r="AS3" s="59" t="s">
        <v>173</v>
      </c>
      <c r="AT3" s="60">
        <v>7</v>
      </c>
      <c r="AU3" s="59" t="s">
        <v>467</v>
      </c>
      <c r="AV3" s="59" t="str">
        <f>IF(LEFT(A3,1)="[",LEFT(A3,5)&amp;AU3&amp;A3,"")</f>
        <v>[SOL]Province[SOL] Temotu Province</v>
      </c>
      <c r="AW3" s="59" t="str">
        <f>C3&amp;H3&amp;A3</f>
        <v>2[SOL] Temotu Province</v>
      </c>
      <c r="AX3" s="61"/>
      <c r="AY3" s="61"/>
      <c r="AZ3" s="62" t="s">
        <v>152</v>
      </c>
      <c r="BA3" s="62"/>
      <c r="BB3" s="62"/>
      <c r="BC3" s="63"/>
      <c r="BD3" s="64" t="s">
        <v>154</v>
      </c>
      <c r="BE3" s="47"/>
      <c r="BF3" s="64" t="s">
        <v>154</v>
      </c>
      <c r="BG3" s="64" t="s">
        <v>159</v>
      </c>
      <c r="BH3" s="64" t="s">
        <v>154</v>
      </c>
      <c r="BI3" s="64"/>
      <c r="BJ3" s="64"/>
      <c r="BK3" s="47"/>
      <c r="BL3" s="64" t="s">
        <v>154</v>
      </c>
      <c r="BM3" s="64" t="s">
        <v>159</v>
      </c>
      <c r="BN3" s="64" t="s">
        <v>152</v>
      </c>
      <c r="BO3" s="64"/>
      <c r="BP3" s="64"/>
      <c r="BQ3" s="64"/>
      <c r="BR3" s="64"/>
      <c r="BS3" s="64"/>
      <c r="BT3" s="64"/>
      <c r="BU3" s="65"/>
      <c r="BV3" s="66"/>
      <c r="BW3" s="66">
        <v>0</v>
      </c>
      <c r="BX3" s="47"/>
      <c r="BY3" s="48" t="s">
        <v>172</v>
      </c>
      <c r="CB3" s="6"/>
      <c r="CC3" s="6"/>
      <c r="CD3" s="67">
        <v>0</v>
      </c>
      <c r="CE3" s="67">
        <v>0</v>
      </c>
      <c r="CF3" s="67" t="e">
        <v>#REF!</v>
      </c>
      <c r="CG3" s="68" cm="1">
        <f t="array" ref="CG3">SUMPRODUCT(--(LEN(TRIM(BL3:BT3))&gt;0))</f>
        <v>3</v>
      </c>
      <c r="CH3" s="59" t="str">
        <f t="shared" ref="CH3" si="6">IF(CG3=2,"y","n")</f>
        <v>n</v>
      </c>
      <c r="CI3" s="59" t="str">
        <f t="shared" ref="CI3" si="7">IF(CG3=3,"y","n")</f>
        <v>y</v>
      </c>
      <c r="CJ3" s="59" t="str">
        <f t="shared" ref="CJ3" si="8">IF(CG3=4,"y","n")</f>
        <v>n</v>
      </c>
      <c r="CK3" s="59" t="str">
        <f t="shared" ref="CK3" si="9">IF(CG3&gt;4,"y","n")</f>
        <v>n</v>
      </c>
      <c r="CL3" s="59" t="str">
        <f t="shared" ref="CL3" si="10">IF(S3=0,"y","n")</f>
        <v>y</v>
      </c>
      <c r="CM3" s="59" t="str">
        <f t="shared" ref="CM3" si="11">IF(S3=2,"y","n")</f>
        <v>n</v>
      </c>
      <c r="CN3" s="59" t="str">
        <f t="shared" ref="CN3" si="12">IF(S3=3,"y","n")</f>
        <v>n</v>
      </c>
      <c r="CO3" s="59" t="str">
        <f t="shared" ref="CO3" si="13">IF(S3&gt;=4,"y","n")</f>
        <v>n</v>
      </c>
      <c r="CP3" s="59" t="str">
        <f t="shared" ref="CP3" si="14">IF(AT3=0,"y","n")</f>
        <v>n</v>
      </c>
      <c r="CQ3" s="59" t="str">
        <f t="shared" ref="CQ3" si="15">IF(AT3=1,"y","n")</f>
        <v>n</v>
      </c>
      <c r="CR3" s="59" t="str">
        <f t="shared" ref="CR3" si="16">IF(AT3=2,"y","n")</f>
        <v>n</v>
      </c>
      <c r="CS3" s="59" t="str">
        <f t="shared" ref="CS3" si="17">IF(AT3&gt;=3,"y","n")</f>
        <v>y</v>
      </c>
      <c r="CT3" s="69" t="str">
        <f t="shared" ref="CT3" si="18">CHAR(34)&amp;A3&amp;CHAR(34)</f>
        <v>"[SOL] Temotu Province"</v>
      </c>
      <c r="CU3" s="70" t="str">
        <f t="shared" ref="CU3" si="19">CHAR(34)&amp;"rgn_"&amp;R3&amp;CHAR(34)</f>
        <v>"rgn_Oceania"</v>
      </c>
      <c r="CV3" s="48" t="str">
        <f t="shared" ref="CV3" si="20">CHAR(34)&amp;D3&amp;CHAR(34)</f>
        <v>"https://upload.wikimedia.org/wikipedia/commons/thumb/b/b3/Temotu_province_flag.svg/640px-Temotu_province_flag.svg.png"</v>
      </c>
      <c r="CW3" s="48" t="str">
        <f t="shared" si="0"/>
        <v/>
      </c>
      <c r="CX3" s="48" t="str">
        <f t="shared" si="0"/>
        <v>"3Color",</v>
      </c>
      <c r="CY3" s="48" t="str">
        <f t="shared" si="0"/>
        <v/>
      </c>
      <c r="CZ3" s="48" t="str">
        <f t="shared" si="0"/>
        <v/>
      </c>
      <c r="DA3" s="48" t="str">
        <f t="shared" ref="DA3" si="21">IF(Q3&gt;1,CHAR(34)&amp;"words2"&amp;CHAR(34)&amp;",","")</f>
        <v>"words2",</v>
      </c>
      <c r="DB3" s="48" t="str">
        <f t="shared" ref="DB3" si="22">IF(Q3&gt;2,CHAR(34)&amp;"words3"&amp;CHAR(34)&amp;",","")</f>
        <v/>
      </c>
      <c r="DC3" s="48" t="str">
        <f t="shared" ref="DC3" si="23">IF(Q3=2,CHAR(34)&amp;"exact2"&amp;CHAR(34)&amp;",","")</f>
        <v>"exact2",</v>
      </c>
      <c r="DD3" s="48" t="str">
        <f t="shared" ref="DD3"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"lets14",</v>
      </c>
      <c r="DE3" s="48" t="str">
        <f t="shared" ref="DE3"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"startT",</v>
      </c>
      <c r="DF3" s="48" t="str">
        <f t="shared" ref="DF3" si="26">IFERROR(IF(SEARCH("tan",A3)&gt;0,CHAR(34)&amp;"withtn"&amp;CHAR(34)&amp;",",""),"")</f>
        <v/>
      </c>
      <c r="DG3" s="48" t="str">
        <f t="shared" ref="DG3" si="27">IFERROR(IF(SEARCH("q",A3)&gt;0,CHAR(34)&amp;"with_q"&amp;CHAR(34)&amp;",",""),"")</f>
        <v/>
      </c>
      <c r="DH3" s="48" t="str">
        <f t="shared" ref="DH3" si="28">IFERROR(IF(SEARCH("v",A3)&gt;0,CHAR(34)&amp;"with_v"&amp;CHAR(34)&amp;",",""),"")</f>
        <v>"with_v",</v>
      </c>
      <c r="DI3" s="48" t="str">
        <f t="shared" ref="DI3" si="29">IFERROR(IF(SEARCH("w",A3)&gt;0,CHAR(34)&amp;"with_w"&amp;CHAR(34)&amp;",",""),"")</f>
        <v/>
      </c>
      <c r="DJ3" s="48" t="str">
        <f t="shared" ref="DJ3" si="30">IFERROR(IF(SEARCH("y",A3)&gt;0,CHAR(34)&amp;"with_y"&amp;CHAR(34)&amp;",",""),"")</f>
        <v/>
      </c>
      <c r="DK3" s="48" t="str">
        <f t="shared" ref="DK3" si="31">IFERROR(IF(SEARCH("z",A3)&gt;0,CHAR(34)&amp;"with_z"&amp;CHAR(34)&amp;",",""),"")</f>
        <v/>
      </c>
      <c r="DL3" s="48" t="str">
        <f t="shared" ref="DL3" si="32">IF(CG3=2, CHAR(34) &amp; _xlfn.TEXTJOIN("", TRUE, _xlfn._xlws.SORT(HP3:HX3)) &amp; CHAR(34) &amp; ",", "")</f>
        <v/>
      </c>
      <c r="DM3" s="48" t="str" cm="1">
        <f t="array" ref="DM3">IF(CG3=3,CHAR(34) &amp; _xlfn.TEXTJOIN("", TRUE, RIGHT(HP3:HX3, 2)) &amp; CHAR(34) &amp; ",", "")</f>
        <v>"LUEDHI",</v>
      </c>
      <c r="DN3" s="48" t="str">
        <f t="shared" ref="DN3" si="33">IF(AND(ISNUMBER(SEARCH("18", O3)), ISERROR(SEARCH("1918", O3)), ISERROR(SEARCH("2018", O3))), CHAR(34) &amp; "year18" &amp; CHAR(34) &amp; ",", "")</f>
        <v/>
      </c>
      <c r="DO3" s="48" t="str">
        <f t="shared" ref="DO3" si="34">IF(AND(ISNUMBER(SEARCH("19", O3)), ISERROR(SEARCH("1819", O3)),  ISERROR(SEARCH("1219", O3)),ISERROR(SEARCH("1119", O3)),ISERROR(SEARCH("1190", O3)),ISERROR(SEARCH("2019", O3))), CHAR(34) &amp; "year19" &amp; CHAR(34) &amp; ",", "")</f>
        <v/>
      </c>
      <c r="DP3" s="6" t="str">
        <f t="shared" ref="DP3" si="35">IF(AND(ISNUMBER(SEARCH("20", O3)), ISERROR(SEARCH("1920", O3))), CHAR(34)&amp;"year00"&amp;CHAR(34)&amp;",", "")</f>
        <v/>
      </c>
      <c r="DQ3" s="6" t="str">
        <f t="shared" ref="DQ3" si="36">IF(CC3="y",CHAR(34)&amp;"soviet"&amp;CHAR(34)&amp;",","")</f>
        <v/>
      </c>
      <c r="DR3" s="6" t="str">
        <f t="shared" ref="DR3" si="37">IF(BY3="y",CHAR(34)&amp;"dgband"&amp;CHAR(34)&amp;",","")</f>
        <v>"dgband",</v>
      </c>
      <c r="DS3" s="6" t="str">
        <f t="shared" ref="DS3" si="38">IF(W3="y",IF(AND(V3="n",BY3&lt;&gt;"y"),CHAR(34)&amp;"allver"&amp;CHAR(34)&amp;",",""),"")</f>
        <v/>
      </c>
      <c r="DT3" s="6" t="str">
        <f t="shared" ref="DT3" si="39">IF(V3="y",IF(AND(W3="n",BY3&lt;&gt;"y"),CHAR(34)&amp;"allhor"&amp;CHAR(34)&amp;",",""),"")</f>
        <v/>
      </c>
      <c r="DU3" s="6" t="str">
        <f t="shared" ref="DU3" si="40">IF(BY3="y",IF(AND(W3="n",V3="n"),CHAR(34)&amp;"alldia"&amp;CHAR(34)&amp;",",""),"")</f>
        <v>"alldia",</v>
      </c>
      <c r="DV3" s="48" t="str">
        <f t="shared" ref="DV3" si="41">IF(IA3&lt;&gt;"",(IF(IA3="y",CHAR(34)&amp;"largec"&amp;CHAR(34)&amp;",",CHAR(34)&amp;"smallc"&amp;CHAR(34)&amp;",")),"")</f>
        <v/>
      </c>
      <c r="DW3" s="48" t="str">
        <f t="shared" si="1"/>
        <v>"NoBand",</v>
      </c>
      <c r="DX3" s="48" t="str">
        <f t="shared" si="1"/>
        <v/>
      </c>
      <c r="DY3" s="48" t="str">
        <f t="shared" si="1"/>
        <v/>
      </c>
      <c r="DZ3" s="48" t="str">
        <f t="shared" si="1"/>
        <v/>
      </c>
      <c r="EA3" s="48" t="str">
        <f t="shared" si="2"/>
        <v>"Diagon",</v>
      </c>
      <c r="EB3" s="48" t="str">
        <f t="shared" si="2"/>
        <v/>
      </c>
      <c r="EC3" s="48" t="str">
        <f t="shared" si="2"/>
        <v/>
      </c>
      <c r="ED3" s="48" t="str">
        <f t="shared" si="2"/>
        <v/>
      </c>
      <c r="EE3" s="48" t="str">
        <f t="shared" si="2"/>
        <v/>
      </c>
      <c r="EF3" s="48" t="str">
        <f t="shared" ref="EF3" si="42">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
      </c>
      <c r="EO3" s="48" t="str">
        <f t="shared" si="3"/>
        <v/>
      </c>
      <c r="EP3" s="48" t="str">
        <f t="shared" si="3"/>
        <v>"Canton",</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 si="43">IF(AT3&gt;0,CHAR(34)&amp;"sta"&amp;AZ3&amp;CHAR(34)&amp;",","")</f>
        <v>"staBLU",</v>
      </c>
      <c r="FB3" s="48" t="str">
        <f t="shared" ref="FB3" si="44">IF(AND(AT3&gt;0,BA3&lt;&gt;""),CHAR(34)&amp;"sta"&amp;BA3&amp;CHAR(34)&amp;",","")</f>
        <v/>
      </c>
      <c r="FC3" s="48" t="str">
        <f t="shared" ref="FC3" si="45">IF(AND(AT3&gt;0,BB3&lt;&gt;""),CHAR(34)&amp;"sta"&amp;BB3&amp;CHAR(34)&amp;",","")</f>
        <v/>
      </c>
      <c r="FD3" s="48" t="str">
        <f t="shared" ref="FD3" si="46">IF(BV3="n",CHAR(34)&amp;"tcWHYE"&amp;CHAR(34)&amp;",",IF(BV3="y",CHAR(34)&amp;FD$1&amp;CHAR(34)&amp;",",""))</f>
        <v/>
      </c>
      <c r="FE3" s="48" t="str">
        <f t="shared" ref="FE3" si="47">IF(COUNTIF(BL3:BT3,"BLU")=0,CHAR(34)&amp;"NO_BLU"&amp;CHAR(34)&amp;",", "")</f>
        <v/>
      </c>
      <c r="FF3" s="48" t="str">
        <f t="shared" ref="FF3" si="48">IF(COUNTIF(BL3:BT3,"WHI")=0,CHAR(34)&amp;"NO_WHI"&amp;CHAR(34)&amp;",", "")</f>
        <v/>
      </c>
      <c r="FG3" s="48" t="str">
        <f t="shared" ref="FG3" si="49">IF(COUNTIF(BL3:BT3,"RED")=0,CHAR(34)&amp;"NO_RED"&amp;CHAR(34)&amp;",", "")</f>
        <v/>
      </c>
      <c r="FH3" s="48" t="str">
        <f t="shared" ref="FH3" si="50">IF(COUNTIF(BL3:BS3,"GRE")=0,CHAR(34)&amp;"NO_GRE"&amp;CHAR(34)&amp;",", "")</f>
        <v>"NO_GRE",</v>
      </c>
      <c r="FI3" s="48" t="str">
        <f t="shared" ref="FI3" si="51">IF(COUNTIF(BL3:BT3,"YEL")=0,CHAR(34)&amp;"NO_YEL"&amp;CHAR(34)&amp;",", "")</f>
        <v>"NO_YEL",</v>
      </c>
      <c r="FJ3" s="48" t="str">
        <f t="shared" ref="FJ3" si="52">IF(COUNTIF(BL3:BT3,"BLA")=0,CHAR(34)&amp;"NO_BLA"&amp;CHAR(34)&amp;",", "")</f>
        <v>"NO_BLA",</v>
      </c>
      <c r="FK3" s="48" t="str">
        <f t="shared" ref="FK3" si="53">IF(AND(FH3&lt;&gt;"",FF3&lt;&gt;""),CHAR(34)&amp;"WHGRNO"&amp;CHAR(34)&amp;",","")</f>
        <v/>
      </c>
      <c r="FL3" s="48" t="str">
        <f t="shared" ref="FL3" si="54">IF(AND(FI3&lt;&gt;"",FF3&lt;&gt;""),CHAR(34)&amp;"WHYENO"&amp;CHAR(34)&amp;",","")</f>
        <v/>
      </c>
      <c r="FM3" s="48" t="str">
        <f t="shared" ref="FM3" si="55">IF(AND(FJ3&lt;&gt;"",FF3&lt;&gt;""),CHAR(34)&amp;"BAWHNO"&amp;CHAR(34)&amp;",","")</f>
        <v/>
      </c>
      <c r="FN3" s="48" t="str">
        <f t="shared" ref="FN3" si="56">IF(AND(FE3&lt;&gt;"",FF3&lt;&gt;""),CHAR(34)&amp;"BLWHNO"&amp;CHAR(34)&amp;",","")</f>
        <v/>
      </c>
      <c r="FO3" s="48" t="str">
        <f t="shared" ref="FO3" si="57">IF(AND(FE3&lt;&gt;"",FG3&lt;&gt;""),CHAR(34)&amp;"BLRENO"&amp;CHAR(34)&amp;",","")</f>
        <v/>
      </c>
      <c r="FP3" s="48" t="str">
        <f t="shared" ref="FP3" si="58">IF(AND(FF3&lt;&gt;"",FF3&lt;&gt;""),CHAR(34)&amp;"WHRENO"&amp;CHAR(34)&amp;",","")</f>
        <v/>
      </c>
      <c r="FQ3" s="48" t="str">
        <f t="shared" ref="FQ3" si="59">IF(LEN(BF3)=3,CHAR(34)&amp;"001"&amp;BF3&amp;CHAR(34)&amp;",","")</f>
        <v>"001RED",</v>
      </c>
      <c r="FR3" s="48" t="str">
        <f t="shared" ref="FR3" si="60">IF(LEN(BG3)=3,CHAR(34)&amp;"002"&amp;BG3&amp;CHAR(34)&amp;",","")</f>
        <v>"002WHI",</v>
      </c>
      <c r="FS3" s="48" t="str">
        <f t="shared" ref="FS3" si="61">IF(LEN(BH3)=3,CHAR(34)&amp;"003"&amp;BH3&amp;CHAR(34)&amp;",","")</f>
        <v>"003RED",</v>
      </c>
      <c r="FT3" s="48" t="str">
        <f t="shared" ref="FT3" si="62">CHAR(34)&amp;"myr"&amp;BD3&amp;CHAR(34)&amp;","</f>
        <v>"myrRED",</v>
      </c>
      <c r="FU3" s="48" t="str">
        <f t="shared" ref="FU3" si="63">IF(AY3="y",CHAR(34)&amp;"island"&amp;CHAR(34)&amp;",","")</f>
        <v/>
      </c>
      <c r="FV3" s="48" t="str">
        <f t="shared" ref="FV3" si="64">IF(BZ3="y",CHAR(34)&amp;"landlo"&amp;CHAR(34)&amp;",","")</f>
        <v/>
      </c>
      <c r="FW3" s="48" t="str">
        <f t="shared" ref="FW3" si="65">IF(CA3="y",CHAR(34)&amp;"eunion"&amp;CHAR(34)&amp;",","")</f>
        <v/>
      </c>
      <c r="FX3" s="48" t="str">
        <f t="shared" ref="FX3" si="66">SUBSTITUTE(IFERROR(SEARCH("[",A3),IFERROR(IF(AND(CA3&lt;&gt;"y",SEARCH("Europe",R3)&gt;0),CHAR(34)&amp;"noeuni"&amp;CHAR(34)&amp;",",""),"")),"1","")</f>
        <v/>
      </c>
      <c r="FY3" s="48" t="str">
        <f t="shared" ref="FY3" si="67">IFERROR(IF(SEARCH("Arabic",CB3)&gt;0,CHAR(34)&amp;"arabic"&amp;CHAR(34)&amp;",",""),"")</f>
        <v/>
      </c>
      <c r="FZ3" s="48" t="str">
        <f t="shared" ref="FZ3" si="68">IFERROR(IF(SEARCH("English",CB3)&gt;0,CHAR(34)&amp;"englis"&amp;CHAR(34)&amp;",",""),"")</f>
        <v/>
      </c>
      <c r="GA3" s="48" t="str">
        <f t="shared" ref="GA3" si="69">IFERROR(IF(SEARCH("French",CB3)&gt;0,CHAR(34)&amp;"french"&amp;CHAR(34)&amp;",",""),"")</f>
        <v/>
      </c>
      <c r="GB3" s="48" t="str">
        <f t="shared" ref="GB3" si="70">IFERROR(IF(SEARCH("Spanish",CB3)&gt;0,CHAR(34)&amp;"spanis"&amp;CHAR(34)&amp;",",""),"")</f>
        <v/>
      </c>
      <c r="GC3" s="48" t="str">
        <f t="shared" ref="GC3" si="71">IFERROR(IF(SEARCH("Portuguese",CB3)&gt;0,CHAR(34)&amp;"portug"&amp;CHAR(34)&amp;",",""),"")</f>
        <v/>
      </c>
      <c r="GD3" s="48" t="str">
        <f t="shared" ref="GD3" si="72">IFERROR(IF(SEARCH("German",CB3)&gt;0,CHAR(34)&amp;"german"&amp;CHAR(34)&amp;",",""),"")</f>
        <v/>
      </c>
      <c r="GE3" s="48" t="str">
        <f t="shared" ref="GE3" si="73">IFERROR(IF(SEARCH("Dutch",CB3)&gt;0,CHAR(34)&amp;"dutchs"&amp;CHAR(34)&amp;",",""),"")</f>
        <v/>
      </c>
      <c r="GF3" s="48" t="str">
        <f t="shared" ref="GF3" si="74">IFERROR(IF(SEARCH("Historical",AU3)&gt;0,CHAR(34)&amp;"histor"&amp;CHAR(34)&amp;",",""),"")</f>
        <v/>
      </c>
      <c r="GG3" s="48" t="str">
        <f t="shared" ref="GG3" si="75">IF(BU3="y",CHAR(34)&amp;"unjack"&amp;CHAR(34)&amp;",","")</f>
        <v/>
      </c>
      <c r="GH3" s="48" t="str">
        <f t="shared" ref="GH3" si="76">IF(CD3=1,CHAR(34)&amp;"southc"&amp;CHAR(34)&amp;",","")</f>
        <v/>
      </c>
      <c r="GI3" s="48" t="str">
        <f t="shared" ref="GI3" si="77">IF(CE3=1,CHAR(34)&amp;"hasmap"&amp;CHAR(34)&amp;",","")</f>
        <v/>
      </c>
      <c r="GJ3" s="48" t="str">
        <f t="shared" ref="GJ3" si="78">IF(CP3="y",CHAR(34)&amp;CP$1&amp;CHAR(34)&amp;",","")</f>
        <v/>
      </c>
      <c r="GK3" s="48" t="str">
        <f t="shared" ref="GK3" si="79">IF(GJ3="",CHAR(34)&amp;"HasSta"&amp;CHAR(34)&amp;",","")</f>
        <v>"HasSta",</v>
      </c>
      <c r="GL3" s="48" t="str">
        <f t="shared" si="4"/>
        <v/>
      </c>
      <c r="GM3" s="48" t="str">
        <f t="shared" si="4"/>
        <v/>
      </c>
      <c r="GN3" s="48" t="str">
        <f t="shared" si="4"/>
        <v>"3+Star",</v>
      </c>
      <c r="GP3" s="48" t="str">
        <f t="shared" ref="GP3" si="80">CHAR(34)&amp;AU3&amp;CHAR(34)</f>
        <v>"Province"</v>
      </c>
      <c r="GS3" s="48" t="str">
        <f t="shared" ref="GS3" si="81">SUBSTITUTE("["&amp;_xlfn.CONCAT(CW3:GN3)&amp;"]",",]","]")</f>
        <v>["3Color","words2","exact2","lets14","startT","with_v","LUEDHI","dgband","alldia","NoBand","Diagon","Canton","staBLU","NO_GRE","NO_YEL","NO_BLA","001RED","002WHI","003RED","myrRED","HasSta","3+Star"]</v>
      </c>
      <c r="GT3" s="48" t="str">
        <f t="shared" si="5"/>
        <v>"cl_RED",</v>
      </c>
      <c r="GU3" s="48" t="str">
        <f t="shared" si="5"/>
        <v>"cl_WHI",</v>
      </c>
      <c r="GV3" s="48" t="str">
        <f t="shared" si="5"/>
        <v>"cl_BLU",</v>
      </c>
      <c r="GW3" s="48" t="str">
        <f t="shared" si="5"/>
        <v/>
      </c>
      <c r="GX3" s="48" t="str">
        <f t="shared" si="5"/>
        <v/>
      </c>
      <c r="GY3" s="48" t="str">
        <f t="shared" si="5"/>
        <v/>
      </c>
      <c r="GZ3" s="48" t="str">
        <f t="shared" si="5"/>
        <v/>
      </c>
      <c r="HA3" s="48" t="str">
        <f t="shared" si="5"/>
        <v/>
      </c>
      <c r="HB3" s="48" t="str">
        <f t="shared" si="5"/>
        <v/>
      </c>
      <c r="HC3" s="48" t="str">
        <f t="shared" ref="HC3" si="82">SUBSTITUTE("["&amp;_xlfn.CONCAT(GT3:HB3)&amp;"]",",]","]")</f>
        <v>["cl_RED","cl_WHI","cl_BLU"]</v>
      </c>
      <c r="HE3" s="71"/>
      <c r="HF3" s="72" t="str">
        <f t="shared" ref="HF3" si="83">"{couname:"&amp;CT3&amp;(IF(HK3&lt;&gt;"",",subtype:"&amp;CHAR(34)&amp;HK3&amp;CHAR(34),""))&amp;",year:"&amp;HJ3&amp;",region:"&amp;CU3&amp;",Colors:"&amp;HC3&amp;",Items:"&amp;GS3&amp;",Flag:"&amp;CV3&amp;",HDFlag:"&amp;CHAR(34)&amp;E3&amp;CHAR(34)&amp;",type:"&amp;GP3&amp;", describe: "&amp;HH3&amp;", isnew:"&amp;CHAR(34)&amp;F3&amp;CHAR(34)&amp;", links: "&amp;HL3&amp;"},"</f>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links: "https://en.wikipedia.org/wiki/Flag_of_Solomon_Islands"},</v>
      </c>
      <c r="HG3" s="73" t="str">
        <f t="shared" ref="HG3" si="84">"{couname:"&amp;CT3&amp;(IF(HK3&lt;&gt;"",",subtype:"&amp;CHAR(34)&amp;HK3&amp;CHAR(34),""))&amp;",year:"&amp;HJ3&amp;",region:"&amp;CU3&amp;",Colors:"&amp;HC3&amp;",Items:"&amp;GS3&amp;",Flag:"&amp;CV3&amp;",HDFlag:"&amp;CHAR(34)&amp;E3&amp;CHAR(34)&amp;",type:"&amp;GP3&amp;", describe: "&amp;HI3&amp;", links: "&amp;HL3&amp;"},"</f>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links: "https://en.wikipedia.org/wiki/Flag_of_Solomon_Islands"},</v>
      </c>
      <c r="HH3" s="48" t="str">
        <f t="shared" ref="HH3" si="85">IF(P3&lt;&gt;"",CHAR(34)&amp;"\n"&amp;P3&amp;CHAR(34),CHAR(34)&amp;CHAR(34))</f>
        <v>"\nThe flag is red with the Solomon Islands flag in canton and the two white five-pointed stars (one above the other) in the fly"</v>
      </c>
      <c r="HI3" s="48" t="str">
        <f t="shared" ref="HI3" si="86">IF(J3=0,CHAR(34)&amp;CHAR(34),HH3)</f>
        <v>"\nThe flag is red with the Solomon Islands flag in canton and the two white five-pointed stars (one above the other) in the fly"</v>
      </c>
      <c r="HJ3" s="48" t="str">
        <f t="shared" ref="HJ3" si="87">CHAR(34)&amp;O3&amp;CHAR(34)</f>
        <v>"???"</v>
      </c>
      <c r="HL3" s="48" t="str">
        <f t="shared" ref="HL3" si="88">CHAR(34)&amp;I3&amp;CHAR(34)</f>
        <v>"https://en.wikipedia.org/wiki/Flag_of_Solomon_Islands"</v>
      </c>
      <c r="HM3" s="72" t="str">
        <f t="shared" ref="HM3"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 "links": "https://en.wikipedia.org/wiki/Flag_of_Solomon_Islands"},</v>
      </c>
      <c r="HN3" s="74" t="str">
        <f t="shared" ref="HN3"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{"couname":"[SOL] Temotu Province","year":"???","region":"rgn_Oceania","Colors":["cl_RED","cl_WHI","cl_BLU"],"Items":["3Color","words2","exact2","lets14","startT","with_v","LUEDHI","dgband","alldia","NoBand","Diagon","Canton","staBLU","NO_GRE","NO_YEL","NO_BLA","001RED","002WHI","003RED","myrRED","HasSta","3+Star"],"Flag":"https://upload.wikimedia.org/wikipedia/commons/thumb/b/b3/Temotu_province_flag.svg/640px-Temotu_province_flag.svg.png","HDFlag":"https://upload.wikimedia.org/wikipedia/commons/thumb/b/b3/Temotu_province_flag.svg/2560px-Temotu_province_flag.svg.png","type":"Province", "describe": "\nThe flag is red with the Solomon Islands flag in canton and the two white five-pointed stars (one above the other) in the fly", "isnew": ".", "links": "https://en.wikipedia.org/wiki/Flag_of_Solomon_Islands"},</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 si="91">SUM(IC3:IK3)</f>
        <v>0</v>
      </c>
      <c r="IM3" s="45">
        <f t="shared" ref="IM3" si="92">COUNTIF(IC3:IK3,"&gt;0")-CG3</f>
        <v>-3</v>
      </c>
      <c r="IN3" s="78" t="str">
        <f t="shared" ref="IN3" si="93">"http://mkweb.bcgsc.ca/color-summarizer/?url="&amp;D3&amp;"&amp;precision=low&amp;num_clusters="&amp;CG3&amp;"&amp;text=1"</f>
        <v>http://mkweb.bcgsc.ca/color-summarizer/?url=https://upload.wikimedia.org/wikipedia/commons/thumb/b/b3/Temotu_province_flag.svg/640px-Temotu_province_flag.svg.png&amp;precision=low&amp;num_clusters=3&amp;text=1</v>
      </c>
      <c r="IO3" s="48" t="str">
        <f t="shared" ref="IO3" si="94">IF(HP3&lt;&gt;"",CHAR(34)&amp;"black"&amp;CHAR(34),"")</f>
        <v/>
      </c>
      <c r="IP3" s="48" t="str">
        <f t="shared" ref="IP3" si="95">IF(HQ3&lt;&gt;"",CHAR(34)&amp;"blue"&amp;CHAR(34),"")</f>
        <v>"blue"</v>
      </c>
      <c r="IQ3" s="48" t="str">
        <f t="shared" ref="IQ3" si="96">IF(HR3&lt;&gt;"",CHAR(34)&amp;"green"&amp;CHAR(34),"")</f>
        <v/>
      </c>
      <c r="IR3" s="48" t="str">
        <f t="shared" ref="IR3" si="97">IF(HS3&lt;&gt;"",CHAR(34)&amp;"red"&amp;CHAR(34),"")</f>
        <v>"red"</v>
      </c>
      <c r="IS3" s="48" t="str">
        <f t="shared" ref="IS3" si="98">IF(HT3&lt;&gt;"",CHAR(34)&amp;"yellow"&amp;CHAR(34),"")</f>
        <v/>
      </c>
      <c r="IT3" s="48" t="str">
        <f t="shared" ref="IT3" si="99">IF(HU3&lt;&gt;"",CHAR(34)&amp;"orange"&amp;CHAR(34),"")</f>
        <v/>
      </c>
      <c r="IU3" s="48" t="str">
        <f t="shared" ref="IU3" si="100">IF(HV3&lt;&gt;"",CHAR(34)&amp;"brown"&amp;CHAR(34),"")</f>
        <v/>
      </c>
      <c r="IV3" s="48" t="str">
        <f t="shared" ref="IV3" si="101">IF(HW3&lt;&gt;"",CHAR(34)&amp;"purple"&amp;CHAR(34),"")</f>
        <v/>
      </c>
      <c r="IW3" s="48" t="str">
        <f t="shared" ref="IW3" si="102">IF(HX3&lt;&gt;"",CHAR(34)&amp;"white"&amp;CHAR(34),"")</f>
        <v>"white"</v>
      </c>
      <c r="IX3" s="48" t="str">
        <f t="shared" ref="IX3" si="103">"{"&amp;CHAR(34)&amp;"url"&amp;CHAR(34)&amp;":"&amp;CHAR(34)&amp;IN3&amp;CHAR(34)&amp;","&amp;CHAR(34)&amp;"name"&amp;CHAR(34)&amp;":"&amp;CHAR(34)&amp;A3&amp;CHAR(34)&amp;"},"</f>
        <v>{"url":"http://mkweb.bcgsc.ca/color-summarizer/?url=https://upload.wikimedia.org/wikipedia/commons/thumb/b/b3/Temotu_province_flag.svg/640px-Temotu_province_flag.svg.png&amp;precision=low&amp;num_clusters=3&amp;text=1","name":"[SOL] Temotu Province"},</v>
      </c>
      <c r="IY3" s="48">
        <v>340</v>
      </c>
    </row>
  </sheetData>
  <conditionalFormatting sqref="H1 CW1:GS1 IA1:IB1">
    <cfRule type="cellIs" dxfId="3373" priority="107" operator="greaterThan">
      <formula>0</formula>
    </cfRule>
  </conditionalFormatting>
  <conditionalFormatting sqref="H1">
    <cfRule type="cellIs" dxfId="3372" priority="73" stopIfTrue="1" operator="notEqual">
      <formula>""</formula>
    </cfRule>
  </conditionalFormatting>
  <conditionalFormatting sqref="T1:BK1">
    <cfRule type="cellIs" dxfId="3371" priority="110" operator="greaterThan">
      <formula>0</formula>
    </cfRule>
  </conditionalFormatting>
  <conditionalFormatting sqref="BV1:BW1">
    <cfRule type="cellIs" dxfId="3370" priority="109" operator="equal">
      <formula>"nc"</formula>
    </cfRule>
  </conditionalFormatting>
  <conditionalFormatting sqref="HF1:HG1">
    <cfRule type="cellIs" dxfId="3369" priority="111" operator="greaterThan">
      <formula>0</formula>
    </cfRule>
  </conditionalFormatting>
  <conditionalFormatting sqref="HK1">
    <cfRule type="cellIs" dxfId="3368" priority="108" operator="greaterThan">
      <formula>0</formula>
    </cfRule>
  </conditionalFormatting>
  <conditionalFormatting sqref="HP1:HX1">
    <cfRule type="cellIs" dxfId="3367" priority="85" operator="equal">
      <formula>"PIN"</formula>
    </cfRule>
    <cfRule type="cellIs" dxfId="3366" priority="86" operator="equal">
      <formula>"ORA"</formula>
    </cfRule>
    <cfRule type="cellIs" dxfId="3365" priority="87" operator="equal">
      <formula>"GRA"</formula>
    </cfRule>
    <cfRule type="cellIs" dxfId="3364" priority="88" operator="equal">
      <formula>"PUR"</formula>
    </cfRule>
    <cfRule type="cellIs" dxfId="3363" priority="89" operator="equal">
      <formula>"BRO"</formula>
    </cfRule>
    <cfRule type="cellIs" dxfId="3362" priority="90" operator="equal">
      <formula>"YEL"</formula>
    </cfRule>
    <cfRule type="cellIs" dxfId="3361" priority="91" operator="equal">
      <formula>"BLU"</formula>
    </cfRule>
    <cfRule type="cellIs" dxfId="3360" priority="92" operator="equal">
      <formula>"WHI"</formula>
    </cfRule>
    <cfRule type="cellIs" dxfId="3359" priority="93" operator="equal">
      <formula>"GRE"</formula>
    </cfRule>
    <cfRule type="cellIs" dxfId="3358" priority="94" operator="equal">
      <formula>"RED"</formula>
    </cfRule>
    <cfRule type="cellIs" dxfId="3357" priority="95" operator="equal">
      <formula>"BLA"</formula>
    </cfRule>
  </conditionalFormatting>
  <conditionalFormatting sqref="IC1:IK1">
    <cfRule type="cellIs" dxfId="3356" priority="96" operator="equal">
      <formula>"PIN"</formula>
    </cfRule>
    <cfRule type="cellIs" dxfId="3355" priority="97" operator="equal">
      <formula>"ORA"</formula>
    </cfRule>
    <cfRule type="cellIs" dxfId="3354" priority="98" operator="equal">
      <formula>"GRA"</formula>
    </cfRule>
    <cfRule type="cellIs" dxfId="3353" priority="99" operator="equal">
      <formula>"PUR"</formula>
    </cfRule>
    <cfRule type="cellIs" dxfId="3352" priority="100" operator="equal">
      <formula>"BRO"</formula>
    </cfRule>
    <cfRule type="cellIs" dxfId="3351" priority="101" operator="equal">
      <formula>"YEL"</formula>
    </cfRule>
    <cfRule type="cellIs" dxfId="3350" priority="102" operator="equal">
      <formula>"BLU"</formula>
    </cfRule>
    <cfRule type="cellIs" dxfId="3349" priority="103" operator="equal">
      <formula>"WHI"</formula>
    </cfRule>
    <cfRule type="cellIs" dxfId="3348" priority="104" operator="equal">
      <formula>"GRE"</formula>
    </cfRule>
    <cfRule type="cellIs" dxfId="3347" priority="105" operator="equal">
      <formula>"RED"</formula>
    </cfRule>
    <cfRule type="cellIs" dxfId="3346" priority="106" operator="equal">
      <formula>"BLA"</formula>
    </cfRule>
  </conditionalFormatting>
  <conditionalFormatting sqref="IO1:IW1">
    <cfRule type="cellIs" dxfId="3345" priority="74" operator="equal">
      <formula>"PIN"</formula>
    </cfRule>
    <cfRule type="cellIs" dxfId="3344" priority="75" operator="equal">
      <formula>"ORA"</formula>
    </cfRule>
    <cfRule type="cellIs" dxfId="3343" priority="76" operator="equal">
      <formula>"GRA"</formula>
    </cfRule>
    <cfRule type="cellIs" dxfId="3342" priority="77" operator="equal">
      <formula>"PUR"</formula>
    </cfRule>
    <cfRule type="cellIs" dxfId="3341" priority="78" operator="equal">
      <formula>"BRO"</formula>
    </cfRule>
    <cfRule type="cellIs" dxfId="3340" priority="79" operator="equal">
      <formula>"YEL"</formula>
    </cfRule>
    <cfRule type="cellIs" dxfId="3339" priority="80" operator="equal">
      <formula>"BLU"</formula>
    </cfRule>
    <cfRule type="cellIs" dxfId="3338" priority="81" operator="equal">
      <formula>"WHI"</formula>
    </cfRule>
    <cfRule type="cellIs" dxfId="3337" priority="82" operator="equal">
      <formula>"GRE"</formula>
    </cfRule>
    <cfRule type="cellIs" dxfId="3336" priority="83" operator="equal">
      <formula>"RED"</formula>
    </cfRule>
    <cfRule type="cellIs" dxfId="3335" priority="84" operator="equal">
      <formula>"BLA"</formula>
    </cfRule>
  </conditionalFormatting>
  <conditionalFormatting sqref="H2">
    <cfRule type="cellIs" dxfId="3334" priority="42" stopIfTrue="1" operator="notEqual">
      <formula>""</formula>
    </cfRule>
  </conditionalFormatting>
  <conditionalFormatting sqref="R2 CU2">
    <cfRule type="cellIs" dxfId="3333" priority="44" operator="greaterThan">
      <formula>0</formula>
    </cfRule>
  </conditionalFormatting>
  <conditionalFormatting sqref="T2:AS2 CH2:CS2">
    <cfRule type="cellIs" dxfId="3332" priority="39" stopIfTrue="1" operator="equal">
      <formula>"n"</formula>
    </cfRule>
    <cfRule type="cellIs" dxfId="3331" priority="40" stopIfTrue="1" operator="equal">
      <formula>"y"</formula>
    </cfRule>
    <cfRule type="cellIs" dxfId="3330" priority="41" operator="greaterThan">
      <formula>0</formula>
    </cfRule>
  </conditionalFormatting>
  <conditionalFormatting sqref="AZ2:BB2">
    <cfRule type="expression" dxfId="3329" priority="38">
      <formula>$AT2=0</formula>
    </cfRule>
  </conditionalFormatting>
  <conditionalFormatting sqref="AZ2:BU2">
    <cfRule type="cellIs" dxfId="3328" priority="47" operator="equal">
      <formula>"PIN"</formula>
    </cfRule>
    <cfRule type="cellIs" dxfId="3327" priority="48" operator="equal">
      <formula>"ORA"</formula>
    </cfRule>
    <cfRule type="cellIs" dxfId="3326" priority="49" operator="equal">
      <formula>"GRA"</formula>
    </cfRule>
    <cfRule type="cellIs" dxfId="3325" priority="50" operator="equal">
      <formula>"PUR"</formula>
    </cfRule>
    <cfRule type="cellIs" dxfId="3324" priority="51" operator="equal">
      <formula>"BRO"</formula>
    </cfRule>
    <cfRule type="cellIs" dxfId="3323" priority="52" operator="equal">
      <formula>"YEL"</formula>
    </cfRule>
    <cfRule type="cellIs" dxfId="3322" priority="53" operator="equal">
      <formula>"BLU"</formula>
    </cfRule>
    <cfRule type="cellIs" dxfId="3321" priority="54" operator="equal">
      <formula>"WHI"</formula>
    </cfRule>
    <cfRule type="cellIs" dxfId="3320" priority="55" operator="equal">
      <formula>"GRE"</formula>
    </cfRule>
    <cfRule type="cellIs" dxfId="3319" priority="56" operator="equal">
      <formula>"RED"</formula>
    </cfRule>
    <cfRule type="cellIs" dxfId="3318" priority="57" operator="equal">
      <formula>"BLA"</formula>
    </cfRule>
  </conditionalFormatting>
  <conditionalFormatting sqref="BV2">
    <cfRule type="cellIs" dxfId="3317" priority="69" operator="equal">
      <formula>"nc"</formula>
    </cfRule>
  </conditionalFormatting>
  <conditionalFormatting sqref="BX2:CA2 CD2:CF2">
    <cfRule type="cellIs" dxfId="3316" priority="43" operator="equal">
      <formula>"y"</formula>
    </cfRule>
    <cfRule type="cellIs" dxfId="3315" priority="58" operator="equal">
      <formula>"PIN"</formula>
    </cfRule>
    <cfRule type="cellIs" dxfId="3314" priority="59" operator="equal">
      <formula>"ORA"</formula>
    </cfRule>
    <cfRule type="cellIs" dxfId="3313" priority="60" operator="equal">
      <formula>"GRA"</formula>
    </cfRule>
    <cfRule type="cellIs" dxfId="3312" priority="61" operator="equal">
      <formula>"PUR"</formula>
    </cfRule>
    <cfRule type="cellIs" dxfId="3311" priority="62" operator="equal">
      <formula>"BRO"</formula>
    </cfRule>
    <cfRule type="cellIs" dxfId="3310" priority="63" operator="equal">
      <formula>"YEL"</formula>
    </cfRule>
    <cfRule type="cellIs" dxfId="3309" priority="64" operator="equal">
      <formula>"BLU"</formula>
    </cfRule>
    <cfRule type="cellIs" dxfId="3308" priority="65" operator="equal">
      <formula>"WHI"</formula>
    </cfRule>
    <cfRule type="cellIs" dxfId="3307" priority="66" operator="equal">
      <formula>"GRE"</formula>
    </cfRule>
    <cfRule type="cellIs" dxfId="3306" priority="67" operator="equal">
      <formula>"RED"</formula>
    </cfRule>
    <cfRule type="cellIs" dxfId="3305" priority="68" operator="equal">
      <formula>"BLA"</formula>
    </cfRule>
  </conditionalFormatting>
  <conditionalFormatting sqref="BZ2:CA2 CD2:CF2">
    <cfRule type="cellIs" dxfId="3304" priority="45" operator="greaterThan">
      <formula>0</formula>
    </cfRule>
  </conditionalFormatting>
  <conditionalFormatting sqref="IC2:IK2">
    <cfRule type="expression" dxfId="3303"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1482" priority="5" stopIfTrue="1" operator="notEqual">
      <formula>""</formula>
    </cfRule>
  </conditionalFormatting>
  <conditionalFormatting sqref="R3 CU3">
    <cfRule type="cellIs" dxfId="1481" priority="7" operator="greaterThan">
      <formula>0</formula>
    </cfRule>
  </conditionalFormatting>
  <conditionalFormatting sqref="T3:AS3 CH3:CS3">
    <cfRule type="cellIs" dxfId="1480" priority="2" stopIfTrue="1" operator="equal">
      <formula>"n"</formula>
    </cfRule>
    <cfRule type="cellIs" dxfId="1479" priority="3" stopIfTrue="1" operator="equal">
      <formula>"y"</formula>
    </cfRule>
    <cfRule type="cellIs" dxfId="1478" priority="4" operator="greaterThan">
      <formula>0</formula>
    </cfRule>
  </conditionalFormatting>
  <conditionalFormatting sqref="AZ3:BB3">
    <cfRule type="expression" dxfId="1477" priority="1">
      <formula>$AT3=0</formula>
    </cfRule>
  </conditionalFormatting>
  <conditionalFormatting sqref="AZ3:BU3">
    <cfRule type="cellIs" dxfId="1476" priority="10" operator="equal">
      <formula>"PIN"</formula>
    </cfRule>
    <cfRule type="cellIs" dxfId="1475" priority="11" operator="equal">
      <formula>"ORA"</formula>
    </cfRule>
    <cfRule type="cellIs" dxfId="1474" priority="12" operator="equal">
      <formula>"GRA"</formula>
    </cfRule>
    <cfRule type="cellIs" dxfId="1473" priority="13" operator="equal">
      <formula>"PUR"</formula>
    </cfRule>
    <cfRule type="cellIs" dxfId="1472" priority="14" operator="equal">
      <formula>"BRO"</formula>
    </cfRule>
    <cfRule type="cellIs" dxfId="1471" priority="15" operator="equal">
      <formula>"YEL"</formula>
    </cfRule>
    <cfRule type="cellIs" dxfId="1470" priority="16" operator="equal">
      <formula>"BLU"</formula>
    </cfRule>
    <cfRule type="cellIs" dxfId="1469" priority="17" operator="equal">
      <formula>"WHI"</formula>
    </cfRule>
    <cfRule type="cellIs" dxfId="1468" priority="18" operator="equal">
      <formula>"GRE"</formula>
    </cfRule>
    <cfRule type="cellIs" dxfId="1467" priority="19" operator="equal">
      <formula>"RED"</formula>
    </cfRule>
    <cfRule type="cellIs" dxfId="1466" priority="20" operator="equal">
      <formula>"BLA"</formula>
    </cfRule>
  </conditionalFormatting>
  <conditionalFormatting sqref="BV3">
    <cfRule type="cellIs" dxfId="1465" priority="32" operator="equal">
      <formula>"nc"</formula>
    </cfRule>
  </conditionalFormatting>
  <conditionalFormatting sqref="BX3:CA3 CD3:CF3">
    <cfRule type="cellIs" dxfId="1464" priority="6" operator="equal">
      <formula>"y"</formula>
    </cfRule>
    <cfRule type="cellIs" dxfId="1463" priority="21" operator="equal">
      <formula>"PIN"</formula>
    </cfRule>
    <cfRule type="cellIs" dxfId="1462" priority="22" operator="equal">
      <formula>"ORA"</formula>
    </cfRule>
    <cfRule type="cellIs" dxfId="1461" priority="23" operator="equal">
      <formula>"GRA"</formula>
    </cfRule>
    <cfRule type="cellIs" dxfId="1460" priority="24" operator="equal">
      <formula>"PUR"</formula>
    </cfRule>
    <cfRule type="cellIs" dxfId="1459" priority="25" operator="equal">
      <formula>"BRO"</formula>
    </cfRule>
    <cfRule type="cellIs" dxfId="1458" priority="26" operator="equal">
      <formula>"YEL"</formula>
    </cfRule>
    <cfRule type="cellIs" dxfId="1457" priority="27" operator="equal">
      <formula>"BLU"</formula>
    </cfRule>
    <cfRule type="cellIs" dxfId="1456" priority="28" operator="equal">
      <formula>"WHI"</formula>
    </cfRule>
    <cfRule type="cellIs" dxfId="1455" priority="29" operator="equal">
      <formula>"GRE"</formula>
    </cfRule>
    <cfRule type="cellIs" dxfId="1454" priority="30" operator="equal">
      <formula>"RED"</formula>
    </cfRule>
    <cfRule type="cellIs" dxfId="1453" priority="31" operator="equal">
      <formula>"BLA"</formula>
    </cfRule>
  </conditionalFormatting>
  <conditionalFormatting sqref="BZ3:CA3 CD3:CF3">
    <cfRule type="cellIs" dxfId="1452" priority="8" operator="greaterThan">
      <formula>0</formula>
    </cfRule>
  </conditionalFormatting>
  <conditionalFormatting sqref="IC3:IK3">
    <cfRule type="expression" dxfId="1451"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A2" r:id="rId1" display="https://fbref.com/en/country/SOL/Solomon-Islands-Football" xr:uid="{E3F47C37-7912-41CB-8E4F-DBA5CFFC5D47}"/>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CB290D-5AB2-4D74-B62B-AC7F9E1B2F4B}">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325</v>
      </c>
      <c r="B2" s="40" t="e" vm="108">
        <v>#VALUE!</v>
      </c>
      <c r="C2" s="41">
        <v>1</v>
      </c>
      <c r="D2" s="42" t="s">
        <v>326</v>
      </c>
      <c r="E2" s="43" t="s">
        <v>327</v>
      </c>
      <c r="F2" s="44" t="s">
        <v>166</v>
      </c>
      <c r="G2" s="45">
        <f>COUNTIF($A$1:$A$8195,A2)</f>
        <v>1</v>
      </c>
      <c r="H2" s="46"/>
      <c r="I2" s="47" t="s">
        <v>328</v>
      </c>
      <c r="J2" s="48" t="str">
        <f>""</f>
        <v/>
      </c>
      <c r="K2" s="49">
        <v>107773</v>
      </c>
      <c r="L2" s="50">
        <v>36251</v>
      </c>
      <c r="M2" s="50" t="s">
        <v>329</v>
      </c>
      <c r="N2" s="51" t="s">
        <v>169</v>
      </c>
      <c r="O2" s="52" t="s">
        <v>330</v>
      </c>
      <c r="P2" s="53" t="s">
        <v>331</v>
      </c>
      <c r="Q2" s="54">
        <v>1</v>
      </c>
      <c r="R2" s="55" t="s">
        <v>169</v>
      </c>
      <c r="S2" s="56">
        <v>0</v>
      </c>
      <c r="T2" s="57" t="s">
        <v>173</v>
      </c>
      <c r="U2" s="58" t="s">
        <v>172</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0</v>
      </c>
      <c r="AU2" s="59"/>
      <c r="AV2" s="59" t="str">
        <f>IF(LEFT(A2,1)="[",LEFT(A2,5)&amp;AU2&amp;A2,"")</f>
        <v/>
      </c>
      <c r="AW2" s="59" t="str">
        <f>C2&amp;H2&amp;A2</f>
        <v>1Tonga</v>
      </c>
      <c r="AX2" s="61"/>
      <c r="AY2" s="61"/>
      <c r="AZ2" s="62" t="s">
        <v>192</v>
      </c>
      <c r="BA2" s="62" t="s">
        <v>192</v>
      </c>
      <c r="BB2" s="62"/>
      <c r="BC2" s="63"/>
      <c r="BD2" s="64" t="s">
        <v>154</v>
      </c>
      <c r="BE2" s="47"/>
      <c r="BF2" s="64" t="s">
        <v>159</v>
      </c>
      <c r="BG2" s="64" t="s">
        <v>152</v>
      </c>
      <c r="BH2" s="64" t="s">
        <v>154</v>
      </c>
      <c r="BI2" s="64"/>
      <c r="BJ2" s="64"/>
      <c r="BK2" s="47"/>
      <c r="BL2" s="64" t="s">
        <v>151</v>
      </c>
      <c r="BM2" s="64" t="s">
        <v>152</v>
      </c>
      <c r="BN2" s="64" t="s">
        <v>192</v>
      </c>
      <c r="BO2" s="64" t="s">
        <v>154</v>
      </c>
      <c r="BP2" s="64" t="s">
        <v>155</v>
      </c>
      <c r="BQ2" s="64" t="s">
        <v>192</v>
      </c>
      <c r="BR2" s="64" t="s">
        <v>192</v>
      </c>
      <c r="BS2" s="64" t="s">
        <v>192</v>
      </c>
      <c r="BT2" s="64" t="s">
        <v>159</v>
      </c>
      <c r="BU2" s="65" t="s">
        <v>173</v>
      </c>
      <c r="BV2" s="66"/>
      <c r="BW2" s="66">
        <v>0</v>
      </c>
      <c r="BX2" s="47"/>
      <c r="BY2" s="48" t="s">
        <v>173</v>
      </c>
      <c r="CB2" s="6"/>
      <c r="CC2" s="6"/>
      <c r="CD2" s="67">
        <v>0</v>
      </c>
      <c r="CE2" s="67">
        <v>0</v>
      </c>
      <c r="CF2" s="67" t="e">
        <v>#REF!</v>
      </c>
      <c r="CG2" s="68" cm="1">
        <f t="array" ref="CG2">SUMPRODUCT(--(LEN(TRIM(BL2:BT2))&gt;0))</f>
        <v>5</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"Tonga"</v>
      </c>
      <c r="CU2" s="70" t="str">
        <f>CHAR(34)&amp;"rgn_"&amp;R2&amp;CHAR(34)</f>
        <v>"rgn_Oceania"</v>
      </c>
      <c r="CV2" s="48" t="str">
        <f>CHAR(34)&amp;D2&amp;CHAR(34)</f>
        <v>"https://i.ibb.co/QMQsXwX/Tonga-Flag.png"</v>
      </c>
      <c r="CW2" s="48" t="str">
        <f t="shared" ref="CW2:CZ3" si="0">IF(CH2="y",CHAR(34)&amp;CH$1&amp;CHAR(34)&amp;",","")</f>
        <v/>
      </c>
      <c r="CX2" s="48" t="str">
        <f t="shared" si="0"/>
        <v/>
      </c>
      <c r="CY2" s="48" t="str">
        <f t="shared" si="0"/>
        <v/>
      </c>
      <c r="CZ2" s="48" t="str">
        <f t="shared" si="0"/>
        <v>"5+Colo",</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"lets05",</v>
      </c>
      <c r="DE2" s="48" t="str">
        <f>CHAR(34)&amp;"start"&amp;IFERROR(LEFT(SUBSTITUTE(A2,"["&amp;MID(A2,FIND("[",A2)+1,FIND("]",A2)-FIND("[",A2)-1)&amp;"] ",""),1),LEFT(A2,1))&amp;CHAR(34)&amp;","</f>
        <v>"startT",</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"year18",</v>
      </c>
      <c r="DO2" s="48" t="str">
        <f>IF(AND(ISNUMBER(SEARCH("19", O2)), ISERROR(SEARCH("1819", O2)),  ISERROR(SEARCH("1219", O2)),ISERROR(SEARCH("1119", O2)),ISERROR(SEARCH("1190", O2)),ISERROR(SEARCH("2019", O2))), CHAR(34) &amp; "year19" &amp; CHAR(34) &amp; ",", "")</f>
        <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3" si="1">IF(CL2="y",CHAR(34)&amp;CL$1&amp;CHAR(34)&amp;",","")</f>
        <v>"NoBand",</v>
      </c>
      <c r="DX2" s="48" t="str">
        <f t="shared" si="1"/>
        <v/>
      </c>
      <c r="DY2" s="48" t="str">
        <f t="shared" si="1"/>
        <v/>
      </c>
      <c r="DZ2" s="48" t="str">
        <f t="shared" si="1"/>
        <v/>
      </c>
      <c r="EA2" s="48" t="str">
        <f t="shared" ref="EA2:EE3" si="2">IF(T2="y",CHAR(34)&amp;T$1&amp;CHAR(34)&amp;",","")</f>
        <v/>
      </c>
      <c r="EB2" s="48" t="str">
        <f t="shared" si="2"/>
        <v>"Crosse",</v>
      </c>
      <c r="EC2" s="48" t="str">
        <f t="shared" si="2"/>
        <v/>
      </c>
      <c r="ED2" s="48" t="str">
        <f t="shared" si="2"/>
        <v/>
      </c>
      <c r="EE2" s="48" t="str">
        <f t="shared" si="2"/>
        <v/>
      </c>
      <c r="EF2" s="48" t="str">
        <f>IF(AND(Y2&lt;&gt;"n",Y2&lt;&gt;""),CHAR(34)&amp;Y$1&amp;CHAR(34)&amp;",","")</f>
        <v/>
      </c>
      <c r="EG2" s="48" t="str">
        <f t="shared" ref="EG2:EZ3"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"NO_GRE",</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"001WHI",</v>
      </c>
      <c r="FR2" s="48" t="str">
        <f>IF(LEN(BG2)=3,CHAR(34)&amp;"002"&amp;BG2&amp;CHAR(34)&amp;",","")</f>
        <v>"002BLU",</v>
      </c>
      <c r="FS2" s="48" t="str">
        <f>IF(LEN(BH2)=3,CHAR(34)&amp;"003"&amp;BH2&amp;CHAR(34)&amp;",","")</f>
        <v>"003RED",</v>
      </c>
      <c r="FT2" s="48" t="str">
        <f>CHAR(34)&amp;"myr"&amp;BD2&amp;CHAR(34)&amp;","</f>
        <v>"myrRED",</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3" si="4">IF(CQ2="y",CHAR(34)&amp;CQ$1&amp;CHAR(34)&amp;",","")</f>
        <v/>
      </c>
      <c r="GM2" s="48" t="str">
        <f t="shared" si="4"/>
        <v/>
      </c>
      <c r="GN2" s="48" t="str">
        <f t="shared" si="4"/>
        <v/>
      </c>
      <c r="GP2" s="48" t="str">
        <f>CHAR(34)&amp;AU2&amp;CHAR(34)</f>
        <v>""</v>
      </c>
      <c r="GS2" s="48" t="str">
        <f>SUBSTITUTE("["&amp;_xlfn.CONCAT(CW2:GN2)&amp;"]",",]","]")</f>
        <v>["5+Colo","lets05","startT","year18","NoBand","Crosse","Canton","NO_GRE","001WHI","002BLU","003RED","myrRED","NoStar"]</v>
      </c>
      <c r="GT2" s="48" t="str">
        <f t="shared" ref="GT2:HB3" si="5">IF(BL2&lt;&gt;"",CHAR(34)&amp;"cl_"&amp;BL2&amp;CHAR(34)&amp;",","")</f>
        <v>"cl_BLA",</v>
      </c>
      <c r="GU2" s="48" t="str">
        <f t="shared" si="5"/>
        <v>"cl_BLU",</v>
      </c>
      <c r="GV2" s="48" t="str">
        <f t="shared" si="5"/>
        <v/>
      </c>
      <c r="GW2" s="48" t="str">
        <f t="shared" si="5"/>
        <v>"cl_RED",</v>
      </c>
      <c r="GX2" s="48" t="str">
        <f t="shared" si="5"/>
        <v>"cl_YEL",</v>
      </c>
      <c r="GY2" s="48" t="str">
        <f t="shared" si="5"/>
        <v/>
      </c>
      <c r="GZ2" s="48" t="str">
        <f t="shared" si="5"/>
        <v/>
      </c>
      <c r="HA2" s="48" t="str">
        <f t="shared" si="5"/>
        <v/>
      </c>
      <c r="HB2" s="48" t="str">
        <f t="shared" si="5"/>
        <v>"cl_WHI",</v>
      </c>
      <c r="HC2" s="48" t="str">
        <f>SUBSTITUTE("["&amp;_xlfn.CONCAT(GT2:HB2)&amp;"]",",]","]")</f>
        <v>["cl_BLA","cl_BLU","cl_RED","cl_YEL","cl_WHI"]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links: "https://en.wikipedia.org/wiki/Flag_of_Tonga"},</v>
      </c>
      <c r="HG2" s="73" t="str">
        <f>"{couname:"&amp;CT2&amp;(IF(HK2&lt;&gt;"",",subtype:"&amp;CHAR(34)&amp;HK2&amp;CHAR(34),""))&amp;",year:"&amp;HJ2&amp;",region:"&amp;CU2&amp;",Colors:"&amp;HC2&amp;",Items:"&amp;GS2&amp;",Flag:"&amp;CV2&amp;",HDFlag:"&amp;CHAR(34)&amp;E2&amp;CHAR(34)&amp;",type:"&amp;GP2&amp;", describe: "&amp;HI2&amp;", links: "&amp;HL2&amp;"},"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links: "https://en.wikipedia.org/wiki/Flag_of_Tonga"},</v>
      </c>
      <c r="HH2" s="48" t="str">
        <f>IF(P2&lt;&gt;"",CHAR(34)&amp;"\n"&amp;P2&amp;CHAR(34),CHAR(34)&amp;CHAR(34))</f>
        <v>"\nThe red couped cross alludes to Christianity, the religion practised by approximately 97% of the country's population. The white epitomizes purity, while the red evokes the sacrifice of the Blood of Christ, which was shed during the Crucifixion."</v>
      </c>
      <c r="HI2" s="48" t="str">
        <f>IF(J2=0,CHAR(34)&amp;CHAR(34),HH2)</f>
        <v>"\nThe red couped cross alludes to Christianity, the religion practised by approximately 97% of the country's population. The white epitomizes purity, while the red evokes the sacrifice of the Blood of Christ, which was shed during the Crucifixion."</v>
      </c>
      <c r="HJ2" s="48" t="str">
        <f>CHAR(34)&amp;O2&amp;CHAR(34)</f>
        <v>"1875 "</v>
      </c>
      <c r="HL2" s="48" t="str">
        <f>CHAR(34)&amp;I2&amp;CHAR(34)</f>
        <v>"https://en.wikipedia.org/wiki/Flag_of_Tonga"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 "links": "https://en.wikipedia.org/wiki/Flag_of_Tonga"},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{"couname":"Tonga","year":"1875 ","region":"rgn_Oceania","Colors":["cl_BLA","cl_BLU","cl_RED","cl_YEL","cl_WHI"],"Items":["5+Colo","lets05","startT","year18","NoBand","Crosse","Canton","NO_GRE","001WHI","002BLU","003RED","myrRED","NoStar"],"Flag":"https://i.ibb.co/QMQsXwX/Tonga-Flag.png","HDFlag":"https://upload.wikimedia.org/wikipedia/commons/thumb/9/9a/Flag_of_Tonga.svg/2560px-Flag_of_Tonga.svg.png","type":"", "describe": "\nThe red couped cross alludes to Christianity, the religion practised by approximately 97% of the country's population. The white epitomizes purity, while the red evokes the sacrifice of the Blood of Christ, which was shed during the Crucifixion.", "isnew": ".", "links": "https://en.wikipedia.org/wiki/Flag_of_Tonga"},</v>
      </c>
      <c r="HO2" s="75">
        <v>45596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-5</v>
      </c>
      <c r="IN2" s="78" t="str">
        <f>"http://mkweb.bcgsc.ca/color-summarizer/?url="&amp;D2&amp;"&amp;precision=low&amp;num_clusters="&amp;CG2&amp;"&amp;text=1"</f>
        <v>http://mkweb.bcgsc.ca/color-summarizer/?url=https://i.ibb.co/QMQsXwX/Tonga-Flag.png&amp;precision=low&amp;num_clusters=5&amp;text=1</v>
      </c>
      <c r="IO2" s="48" t="str">
        <f>IF(HP2&lt;&gt;"",CHAR(34)&amp;"black"&amp;CHAR(34),"")</f>
        <v>"black"</v>
      </c>
      <c r="IP2" s="48" t="str">
        <f>IF(HQ2&lt;&gt;"",CHAR(34)&amp;"blue"&amp;CHAR(34),"")</f>
        <v>"blue"</v>
      </c>
      <c r="IQ2" s="48" t="str">
        <f>IF(HR2&lt;&gt;"",CHAR(34)&amp;"green"&amp;CHAR(34),"")</f>
        <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{"url":"http://mkweb.bcgsc.ca/color-summarizer/?url=https://i.ibb.co/QMQsXwX/Tonga-Flag.png&amp;precision=low&amp;num_clusters=5&amp;text=1","name":"Tonga"},</v>
      </c>
      <c r="IY2" s="48">
        <v>1291</v>
      </c>
    </row>
    <row r="3" spans="1:259" s="48" customFormat="1" ht="38.4" customHeight="1" thickBot="1" x14ac:dyDescent="0.35">
      <c r="A3" s="81" t="s">
        <v>840</v>
      </c>
      <c r="B3" s="40" t="e" vm="109">
        <v>#VALUE!</v>
      </c>
      <c r="C3" s="41">
        <v>3</v>
      </c>
      <c r="D3" s="42" t="s">
        <v>841</v>
      </c>
      <c r="E3" s="43" t="s">
        <v>841</v>
      </c>
      <c r="F3" s="44" t="s">
        <v>166</v>
      </c>
      <c r="G3" s="45">
        <f>COUNTIF($A$1:$A$8195,A3)</f>
        <v>1</v>
      </c>
      <c r="H3" s="46" t="s">
        <v>842</v>
      </c>
      <c r="I3" s="47" t="s">
        <v>843</v>
      </c>
      <c r="J3" s="48" t="str">
        <f>""</f>
        <v/>
      </c>
      <c r="K3" s="49"/>
      <c r="L3" s="50"/>
      <c r="M3" s="50"/>
      <c r="N3" s="51" t="s">
        <v>169</v>
      </c>
      <c r="O3" s="52" t="s">
        <v>556</v>
      </c>
      <c r="P3" s="53" t="s">
        <v>844</v>
      </c>
      <c r="Q3" s="54">
        <v>1</v>
      </c>
      <c r="R3" s="55" t="s">
        <v>169</v>
      </c>
      <c r="S3" s="56">
        <v>6</v>
      </c>
      <c r="T3" s="57" t="s">
        <v>173</v>
      </c>
      <c r="U3" s="58" t="s">
        <v>172</v>
      </c>
      <c r="V3" s="58" t="s">
        <v>172</v>
      </c>
      <c r="W3" s="58" t="s">
        <v>172</v>
      </c>
      <c r="X3" s="58" t="s">
        <v>173</v>
      </c>
      <c r="Y3" s="58" t="s">
        <v>173</v>
      </c>
      <c r="Z3" s="58" t="s">
        <v>173</v>
      </c>
      <c r="AA3" s="58" t="s">
        <v>173</v>
      </c>
      <c r="AB3" s="58" t="s">
        <v>173</v>
      </c>
      <c r="AC3" s="58" t="s">
        <v>173</v>
      </c>
      <c r="AD3" s="58" t="s">
        <v>173</v>
      </c>
      <c r="AE3" s="58" t="s">
        <v>173</v>
      </c>
      <c r="AF3" s="59" t="s">
        <v>173</v>
      </c>
      <c r="AG3" s="59" t="s">
        <v>173</v>
      </c>
      <c r="AH3" s="59" t="s">
        <v>173</v>
      </c>
      <c r="AI3" s="59" t="s">
        <v>172</v>
      </c>
      <c r="AJ3" s="59" t="s">
        <v>172</v>
      </c>
      <c r="AK3" s="59" t="s">
        <v>173</v>
      </c>
      <c r="AL3" s="59" t="s">
        <v>173</v>
      </c>
      <c r="AM3" s="59" t="s">
        <v>173</v>
      </c>
      <c r="AN3" s="59" t="s">
        <v>173</v>
      </c>
      <c r="AO3" s="59" t="s">
        <v>173</v>
      </c>
      <c r="AP3" s="59" t="s">
        <v>173</v>
      </c>
      <c r="AQ3" s="59" t="s">
        <v>173</v>
      </c>
      <c r="AR3" s="59" t="s">
        <v>173</v>
      </c>
      <c r="AS3" s="59" t="s">
        <v>173</v>
      </c>
      <c r="AT3" s="60">
        <v>0</v>
      </c>
      <c r="AU3" s="59" t="s">
        <v>845</v>
      </c>
      <c r="AV3" s="59" t="str">
        <f>IF(LEFT(A3,1)="[",LEFT(A3,5)&amp;AU3&amp;A3,"")</f>
        <v>[TON]Naval Ensign[TON] Tonga (Naval Ensign)</v>
      </c>
      <c r="AW3" s="59" t="str">
        <f>C3&amp;H3&amp;A3</f>
        <v>3[TON] Other[TON] Tonga (Naval Ensign)</v>
      </c>
      <c r="AX3" s="61"/>
      <c r="AY3" s="61"/>
      <c r="AZ3" s="62" t="s">
        <v>159</v>
      </c>
      <c r="BA3" s="62"/>
      <c r="BB3" s="62"/>
      <c r="BC3" s="63"/>
      <c r="BD3" s="64" t="s">
        <v>159</v>
      </c>
      <c r="BE3" s="47"/>
      <c r="BF3" s="64" t="s">
        <v>154</v>
      </c>
      <c r="BG3" s="64" t="s">
        <v>192</v>
      </c>
      <c r="BH3" s="64" t="s">
        <v>159</v>
      </c>
      <c r="BI3" s="64"/>
      <c r="BJ3" s="64"/>
      <c r="BK3" s="47"/>
      <c r="BL3" s="64" t="s">
        <v>151</v>
      </c>
      <c r="BM3" s="64" t="s">
        <v>192</v>
      </c>
      <c r="BN3" s="64" t="s">
        <v>153</v>
      </c>
      <c r="BO3" s="64" t="s">
        <v>154</v>
      </c>
      <c r="BP3" s="64" t="s">
        <v>192</v>
      </c>
      <c r="BQ3" s="64" t="s">
        <v>192</v>
      </c>
      <c r="BR3" s="64" t="s">
        <v>192</v>
      </c>
      <c r="BS3" s="64" t="s">
        <v>192</v>
      </c>
      <c r="BT3" s="64" t="s">
        <v>159</v>
      </c>
      <c r="BU3" s="65"/>
      <c r="BV3" s="66"/>
      <c r="BW3" s="66">
        <v>0</v>
      </c>
      <c r="BX3" s="47"/>
      <c r="BY3" s="48" t="s">
        <v>173</v>
      </c>
      <c r="CB3" s="6"/>
      <c r="CC3" s="6"/>
      <c r="CD3" s="67">
        <v>0</v>
      </c>
      <c r="CE3" s="67">
        <v>0</v>
      </c>
      <c r="CF3" s="67" t="e">
        <v>#REF!</v>
      </c>
      <c r="CG3" s="68" cm="1">
        <f t="array" ref="CG3">SUMPRODUCT(--(LEN(TRIM(BL3:BT3))&gt;0))</f>
        <v>4</v>
      </c>
      <c r="CH3" s="59" t="str">
        <f t="shared" ref="CH3" si="6">IF(CG3=2,"y","n")</f>
        <v>n</v>
      </c>
      <c r="CI3" s="59" t="str">
        <f t="shared" ref="CI3" si="7">IF(CG3=3,"y","n")</f>
        <v>n</v>
      </c>
      <c r="CJ3" s="59" t="str">
        <f t="shared" ref="CJ3" si="8">IF(CG3=4,"y","n")</f>
        <v>y</v>
      </c>
      <c r="CK3" s="59" t="str">
        <f t="shared" ref="CK3" si="9">IF(CG3&gt;4,"y","n")</f>
        <v>n</v>
      </c>
      <c r="CL3" s="59" t="str">
        <f t="shared" ref="CL3" si="10">IF(S3=0,"y","n")</f>
        <v>n</v>
      </c>
      <c r="CM3" s="59" t="str">
        <f t="shared" ref="CM3" si="11">IF(S3=2,"y","n")</f>
        <v>n</v>
      </c>
      <c r="CN3" s="59" t="str">
        <f t="shared" ref="CN3" si="12">IF(S3=3,"y","n")</f>
        <v>n</v>
      </c>
      <c r="CO3" s="59" t="str">
        <f t="shared" ref="CO3" si="13">IF(S3&gt;=4,"y","n")</f>
        <v>y</v>
      </c>
      <c r="CP3" s="59" t="str">
        <f t="shared" ref="CP3" si="14">IF(AT3=0,"y","n")</f>
        <v>y</v>
      </c>
      <c r="CQ3" s="59" t="str">
        <f t="shared" ref="CQ3" si="15">IF(AT3=1,"y","n")</f>
        <v>n</v>
      </c>
      <c r="CR3" s="59" t="str">
        <f t="shared" ref="CR3" si="16">IF(AT3=2,"y","n")</f>
        <v>n</v>
      </c>
      <c r="CS3" s="59" t="str">
        <f t="shared" ref="CS3" si="17">IF(AT3&gt;=3,"y","n")</f>
        <v>n</v>
      </c>
      <c r="CT3" s="69" t="str">
        <f t="shared" ref="CT3" si="18">CHAR(34)&amp;A3&amp;CHAR(34)</f>
        <v>"[TON] Tonga (Naval Ensign)"</v>
      </c>
      <c r="CU3" s="70" t="str">
        <f t="shared" ref="CU3" si="19">CHAR(34)&amp;"rgn_"&amp;R3&amp;CHAR(34)</f>
        <v>"rgn_Oceania"</v>
      </c>
      <c r="CV3" s="48" t="str">
        <f t="shared" ref="CV3" si="20">CHAR(34)&amp;D3&amp;CHAR(34)</f>
        <v>"https://upload.wikimedia.org/wikipedia/commons/thumb/8/8d/Naval_Ensign_of_Tonga.svg/2560px-Naval_Ensign_of_Tonga.svg.png"</v>
      </c>
      <c r="CW3" s="48" t="str">
        <f t="shared" si="0"/>
        <v/>
      </c>
      <c r="CX3" s="48" t="str">
        <f t="shared" si="0"/>
        <v/>
      </c>
      <c r="CY3" s="48" t="str">
        <f t="shared" si="0"/>
        <v>"4Color",</v>
      </c>
      <c r="CZ3" s="48" t="str">
        <f t="shared" si="0"/>
        <v/>
      </c>
      <c r="DA3" s="48" t="str">
        <f t="shared" ref="DA3" si="21">IF(Q3&gt;1,CHAR(34)&amp;"words2"&amp;CHAR(34)&amp;",","")</f>
        <v/>
      </c>
      <c r="DB3" s="48" t="str">
        <f t="shared" ref="DB3" si="22">IF(Q3&gt;2,CHAR(34)&amp;"words3"&amp;CHAR(34)&amp;",","")</f>
        <v/>
      </c>
      <c r="DD3" s="48" t="str">
        <f t="shared" ref="DD3" si="23">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"lets18",</v>
      </c>
      <c r="DE3" s="48" t="str">
        <f t="shared" ref="DE3" si="24">CHAR(34)&amp;"start"&amp;IFERROR(LEFT(SUBSTITUTE(A3,"["&amp;MID(A3,FIND("[",A3)+1,FIND("]",A3)-FIND("[",A3)-1)&amp;"] ",""),1),LEFT(A3,1))&amp;CHAR(34)&amp;","</f>
        <v>"startT",</v>
      </c>
      <c r="DF3" s="48" t="str">
        <f t="shared" ref="DF3" si="25">IFERROR(IF(SEARCH("tan",A3)&gt;0,CHAR(34)&amp;"withtn"&amp;CHAR(34)&amp;",",""),"")</f>
        <v/>
      </c>
      <c r="DG3" s="48" t="str">
        <f t="shared" ref="DG3" si="26">IFERROR(IF(SEARCH("q",A3)&gt;0,CHAR(34)&amp;"with_q"&amp;CHAR(34)&amp;",",""),"")</f>
        <v/>
      </c>
      <c r="DH3" s="48" t="str">
        <f t="shared" ref="DH3" si="27">IFERROR(IF(SEARCH("v",A3)&gt;0,CHAR(34)&amp;"with_v"&amp;CHAR(34)&amp;",",""),"")</f>
        <v>"with_v",</v>
      </c>
      <c r="DI3" s="48" t="str">
        <f t="shared" ref="DI3" si="28">IFERROR(IF(SEARCH("w",A3)&gt;0,CHAR(34)&amp;"with_w"&amp;CHAR(34)&amp;",",""),"")</f>
        <v/>
      </c>
      <c r="DJ3" s="48" t="str">
        <f t="shared" ref="DJ3" si="29">IFERROR(IF(SEARCH("y",A3)&gt;0,CHAR(34)&amp;"with_y"&amp;CHAR(34)&amp;",",""),"")</f>
        <v/>
      </c>
      <c r="DK3" s="48" t="str">
        <f t="shared" ref="DK3" si="30">IFERROR(IF(SEARCH("z",A3)&gt;0,CHAR(34)&amp;"with_z"&amp;CHAR(34)&amp;",",""),"")</f>
        <v/>
      </c>
      <c r="DL3" s="48" t="str">
        <f t="shared" ref="DL3" si="31">IF(CG3=2, CHAR(34) &amp; _xlfn.TEXTJOIN("", TRUE, _xlfn._xlws.SORT(HP3:HX3)) &amp; CHAR(34) &amp; ",", "")</f>
        <v/>
      </c>
      <c r="DM3" s="48" t="str" cm="1">
        <f t="array" ref="DM3">IF(CG3=3,CHAR(34) &amp; _xlfn.TEXTJOIN("", TRUE, RIGHT(HP3:HX3, 2)) &amp; CHAR(34) &amp; ",", "")</f>
        <v/>
      </c>
      <c r="DN3" s="48" t="str">
        <f t="shared" ref="DN3" si="32">IF(AND(ISNUMBER(SEARCH("18", O3)), ISERROR(SEARCH("1918", O3)), ISERROR(SEARCH("2018", O3))), CHAR(34) &amp; "year18" &amp; CHAR(34) &amp; ",", "")</f>
        <v/>
      </c>
      <c r="DO3" s="48" t="str">
        <f t="shared" ref="DO3" si="33">IF(AND(ISNUMBER(SEARCH("19", O3)), ISERROR(SEARCH("1819", O3)),  ISERROR(SEARCH("1219", O3)),ISERROR(SEARCH("1119", O3)),ISERROR(SEARCH("1190", O3)),ISERROR(SEARCH("2019", O3))), CHAR(34) &amp; "year19" &amp; CHAR(34) &amp; ",", "")</f>
        <v>"year19",</v>
      </c>
      <c r="DP3" s="6" t="str">
        <f t="shared" ref="DP3" si="34">IF(AND(ISNUMBER(SEARCH("20", O3)), ISERROR(SEARCH("1920", O3))), CHAR(34)&amp;"year00"&amp;CHAR(34)&amp;",", "")</f>
        <v/>
      </c>
      <c r="DQ3" s="6" t="str">
        <f t="shared" ref="DQ3" si="35">IF(CC3="y",CHAR(34)&amp;"soviet"&amp;CHAR(34)&amp;",","")</f>
        <v/>
      </c>
      <c r="DR3" s="6" t="str">
        <f t="shared" ref="DR3" si="36">IF(BY3="y",CHAR(34)&amp;"dgband"&amp;CHAR(34)&amp;",","")</f>
        <v/>
      </c>
      <c r="DS3" s="6" t="str">
        <f t="shared" ref="DS3" si="37">IF(W3="y",IF(AND(V3="n",BY3&lt;&gt;"y"),CHAR(34)&amp;"allver"&amp;CHAR(34)&amp;",",""),"")</f>
        <v/>
      </c>
      <c r="DT3" s="6" t="str">
        <f t="shared" ref="DT3" si="38">IF(V3="y",IF(AND(W3="n",BY3&lt;&gt;"y"),CHAR(34)&amp;"allhor"&amp;CHAR(34)&amp;",",""),"")</f>
        <v/>
      </c>
      <c r="DU3" s="6" t="str">
        <f t="shared" ref="DU3" si="39">IF(BY3="y",IF(AND(W3="n",V3="n"),CHAR(34)&amp;"alldia"&amp;CHAR(34)&amp;",",""),"")</f>
        <v/>
      </c>
      <c r="DW3" s="48" t="str">
        <f t="shared" si="1"/>
        <v/>
      </c>
      <c r="DX3" s="48" t="str">
        <f t="shared" si="1"/>
        <v/>
      </c>
      <c r="DY3" s="48" t="str">
        <f t="shared" si="1"/>
        <v/>
      </c>
      <c r="DZ3" s="48" t="str">
        <f t="shared" si="1"/>
        <v>"4+Band",</v>
      </c>
      <c r="EA3" s="48" t="str">
        <f t="shared" si="2"/>
        <v/>
      </c>
      <c r="EB3" s="48" t="str">
        <f t="shared" si="2"/>
        <v>"Crosse",</v>
      </c>
      <c r="EC3" s="48" t="str">
        <f t="shared" si="2"/>
        <v>"Horizo",</v>
      </c>
      <c r="ED3" s="48" t="str">
        <f t="shared" si="2"/>
        <v>"Vertic",</v>
      </c>
      <c r="EE3" s="48" t="str">
        <f t="shared" si="2"/>
        <v/>
      </c>
      <c r="EF3" s="48" t="str">
        <f t="shared" ref="EF3" si="40">IF(AND(Y3&lt;&gt;"n",Y3&lt;&gt;""),CHAR(34)&amp;Y$1&amp;CHAR(34)&amp;",","")</f>
        <v/>
      </c>
      <c r="EG3" s="48" t="str">
        <f t="shared" si="3"/>
        <v/>
      </c>
      <c r="EH3" s="48" t="str">
        <f t="shared" si="3"/>
        <v/>
      </c>
      <c r="EI3" s="48" t="str">
        <f t="shared" si="3"/>
        <v/>
      </c>
      <c r="EJ3" s="48" t="str">
        <f t="shared" si="3"/>
        <v/>
      </c>
      <c r="EK3" s="48" t="str">
        <f t="shared" si="3"/>
        <v/>
      </c>
      <c r="EL3" s="48" t="str">
        <f t="shared" si="3"/>
        <v/>
      </c>
      <c r="EM3" s="48" t="str">
        <f t="shared" si="3"/>
        <v/>
      </c>
      <c r="EN3" s="48" t="str">
        <f t="shared" si="3"/>
        <v/>
      </c>
      <c r="EO3" s="48" t="str">
        <f t="shared" si="3"/>
        <v/>
      </c>
      <c r="EP3" s="48" t="str">
        <f t="shared" si="3"/>
        <v>"Canton",</v>
      </c>
      <c r="EQ3" s="48" t="str">
        <f t="shared" si="3"/>
        <v>"Nordic",</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 si="41">IF(AT3&gt;0,CHAR(34)&amp;"sta"&amp;AZ3&amp;CHAR(34)&amp;",","")</f>
        <v/>
      </c>
      <c r="FB3" s="48" t="str">
        <f t="shared" ref="FB3" si="42">IF(AND(AT3&gt;0,BA3&lt;&gt;""),CHAR(34)&amp;"sta"&amp;BA3&amp;CHAR(34)&amp;",","")</f>
        <v/>
      </c>
      <c r="FD3" s="48" t="str">
        <f t="shared" ref="FD3" si="43">IF(BV3="n",CHAR(34)&amp;"tcWHYE"&amp;CHAR(34)&amp;",",IF(BV3="y",CHAR(34)&amp;FD$1&amp;CHAR(34)&amp;",",""))</f>
        <v/>
      </c>
      <c r="FE3" s="48" t="str">
        <f t="shared" ref="FE3" si="44">IF(COUNTIF(BL3:BT3,"BLU")=0,CHAR(34)&amp;"NO_BLU"&amp;CHAR(34)&amp;",", "")</f>
        <v>"NO_BLU",</v>
      </c>
      <c r="FF3" s="48" t="str">
        <f t="shared" ref="FF3" si="45">IF(COUNTIF(BL3:BT3,"WHI")=0,CHAR(34)&amp;"NO_WHI"&amp;CHAR(34)&amp;",", "")</f>
        <v/>
      </c>
      <c r="FG3" s="48" t="str">
        <f t="shared" ref="FG3" si="46">IF(COUNTIF(BL3:BT3,"RED")=0,CHAR(34)&amp;"NO_RED"&amp;CHAR(34)&amp;",", "")</f>
        <v/>
      </c>
      <c r="FH3" s="48" t="str">
        <f t="shared" ref="FH3" si="47">IF(COUNTIF(BL3:BS3,"GRE")=0,CHAR(34)&amp;"NO_GRE"&amp;CHAR(34)&amp;",", "")</f>
        <v/>
      </c>
      <c r="FI3" s="48" t="str">
        <f t="shared" ref="FI3" si="48">IF(COUNTIF(BL3:BT3,"YEL")=0,CHAR(34)&amp;"NO_YEL"&amp;CHAR(34)&amp;",", "")</f>
        <v>"NO_YEL",</v>
      </c>
      <c r="FJ3" s="48" t="str">
        <f t="shared" ref="FJ3" si="49">IF(COUNTIF(BL3:BT3,"BLA")=0,CHAR(34)&amp;"NO_BLA"&amp;CHAR(34)&amp;",", "")</f>
        <v/>
      </c>
      <c r="FK3" s="48" t="str">
        <f t="shared" ref="FK3" si="50">IF(AND(FH3&lt;&gt;"",FF3&lt;&gt;""),CHAR(34)&amp;"WHGRNO"&amp;CHAR(34)&amp;",","")</f>
        <v/>
      </c>
      <c r="FL3" s="48" t="str">
        <f t="shared" ref="FL3" si="51">IF(AND(FI3&lt;&gt;"",FF3&lt;&gt;""),CHAR(34)&amp;"WHYENO"&amp;CHAR(34)&amp;",","")</f>
        <v/>
      </c>
      <c r="FM3" s="48" t="str">
        <f t="shared" ref="FM3" si="52">IF(AND(FJ3&lt;&gt;"",FF3&lt;&gt;""),CHAR(34)&amp;"BAWHNO"&amp;CHAR(34)&amp;",","")</f>
        <v/>
      </c>
      <c r="FN3" s="48" t="str">
        <f t="shared" ref="FN3" si="53">IF(AND(FE3&lt;&gt;"",FF3&lt;&gt;""),CHAR(34)&amp;"BLWHNO"&amp;CHAR(34)&amp;",","")</f>
        <v/>
      </c>
      <c r="FO3" s="48" t="str">
        <f t="shared" ref="FO3" si="54">IF(AND(FE3&lt;&gt;"",FG3&lt;&gt;""),CHAR(34)&amp;"BLRENO"&amp;CHAR(34)&amp;",","")</f>
        <v/>
      </c>
      <c r="FP3" s="48" t="str">
        <f t="shared" ref="FP3" si="55">IF(AND(FF3&lt;&gt;"",FF3&lt;&gt;""),CHAR(34)&amp;"WHRENO"&amp;CHAR(34)&amp;",","")</f>
        <v/>
      </c>
      <c r="FQ3" s="48" t="str">
        <f t="shared" ref="FQ3" si="56">IF(LEN(BF3)=3,CHAR(34)&amp;"001"&amp;BF3&amp;CHAR(34)&amp;",","")</f>
        <v>"001RED",</v>
      </c>
      <c r="FR3" s="48" t="str">
        <f t="shared" ref="FR3" si="57">IF(LEN(BG3)=3,CHAR(34)&amp;"002"&amp;BG3&amp;CHAR(34)&amp;",","")</f>
        <v/>
      </c>
      <c r="FS3" s="48" t="str">
        <f t="shared" ref="FS3" si="58">IF(LEN(BH3)=3,CHAR(34)&amp;"003"&amp;BH3&amp;CHAR(34)&amp;",","")</f>
        <v>"003WHI",</v>
      </c>
      <c r="FT3" s="48" t="str">
        <f t="shared" ref="FT3" si="59">CHAR(34)&amp;"myr"&amp;BD3&amp;CHAR(34)&amp;","</f>
        <v>"myrWHI",</v>
      </c>
      <c r="FU3" s="48" t="str">
        <f t="shared" ref="FU3" si="60">IF(AY3="y",CHAR(34)&amp;"island"&amp;CHAR(34)&amp;",","")</f>
        <v/>
      </c>
      <c r="FV3" s="48" t="str">
        <f t="shared" ref="FV3" si="61">IF(BZ3="y",CHAR(34)&amp;"landlo"&amp;CHAR(34)&amp;",","")</f>
        <v/>
      </c>
      <c r="FW3" s="48" t="str">
        <f t="shared" ref="FW3" si="62">IF(CA3="y",CHAR(34)&amp;"eunion"&amp;CHAR(34)&amp;",","")</f>
        <v/>
      </c>
      <c r="FY3" s="48" t="str">
        <f t="shared" ref="FY3" si="63">IFERROR(IF(SEARCH("Arabic",CB3)&gt;0,CHAR(34)&amp;"arabic"&amp;CHAR(34)&amp;",",""),"")</f>
        <v/>
      </c>
      <c r="FZ3" s="48" t="str">
        <f t="shared" ref="FZ3" si="64">IFERROR(IF(SEARCH("English",CB3)&gt;0,CHAR(34)&amp;"englis"&amp;CHAR(34)&amp;",",""),"")</f>
        <v/>
      </c>
      <c r="GA3" s="48" t="str">
        <f t="shared" ref="GA3" si="65">IFERROR(IF(SEARCH("French",CB3)&gt;0,CHAR(34)&amp;"french"&amp;CHAR(34)&amp;",",""),"")</f>
        <v/>
      </c>
      <c r="GB3" s="48" t="str">
        <f t="shared" ref="GB3" si="66">IFERROR(IF(SEARCH("Spanish",CB3)&gt;0,CHAR(34)&amp;"spanis"&amp;CHAR(34)&amp;",",""),"")</f>
        <v/>
      </c>
      <c r="GE3" s="48" t="str">
        <f t="shared" ref="GE3" si="67">IFERROR(IF(SEARCH("Dutch",CB3)&gt;0,CHAR(34)&amp;"dutchs"&amp;CHAR(34)&amp;",",""),"")</f>
        <v/>
      </c>
      <c r="GF3" s="48" t="str">
        <f t="shared" ref="GF3" si="68">IFERROR(IF(SEARCH("Historical",AU3)&gt;0,CHAR(34)&amp;"histor"&amp;CHAR(34)&amp;",",""),"")</f>
        <v/>
      </c>
      <c r="GG3" s="48" t="str">
        <f t="shared" ref="GG3" si="69">IF(BU3="y",CHAR(34)&amp;"unjack"&amp;CHAR(34)&amp;",","")</f>
        <v/>
      </c>
      <c r="GH3" s="48" t="str">
        <f t="shared" ref="GH3" si="70">IF(CD3=1,CHAR(34)&amp;"southc"&amp;CHAR(34)&amp;",","")</f>
        <v/>
      </c>
      <c r="GI3" s="48" t="str">
        <f t="shared" ref="GI3" si="71">IF(CE3=1,CHAR(34)&amp;"hasmap"&amp;CHAR(34)&amp;",","")</f>
        <v/>
      </c>
      <c r="GJ3" s="48" t="str">
        <f t="shared" ref="GJ3" si="72">IF(CP3="y",CHAR(34)&amp;CP$1&amp;CHAR(34)&amp;",","")</f>
        <v>"NoStar",</v>
      </c>
      <c r="GK3" s="48" t="str">
        <f t="shared" ref="GK3" si="73">IF(GJ3="",CHAR(34)&amp;"HasSta"&amp;CHAR(34)&amp;",","")</f>
        <v/>
      </c>
      <c r="GL3" s="48" t="str">
        <f t="shared" si="4"/>
        <v/>
      </c>
      <c r="GM3" s="48" t="str">
        <f t="shared" si="4"/>
        <v/>
      </c>
      <c r="GN3" s="48" t="str">
        <f t="shared" si="4"/>
        <v/>
      </c>
      <c r="GP3" s="48" t="str">
        <f t="shared" ref="GP3" si="74">CHAR(34)&amp;AU3&amp;CHAR(34)</f>
        <v>"Naval Ensign"</v>
      </c>
      <c r="GS3" s="48" t="str">
        <f t="shared" ref="GS3" si="75">SUBSTITUTE("["&amp;_xlfn.CONCAT(CW3:GN3)&amp;"]",",]","]")</f>
        <v>["4Color","lets18","startT","with_v","year19","4+Band","Crosse","Horizo","Vertic","Canton","Nordic","NO_BLU","NO_YEL","001RED","003WHI","myrWHI","NoStar"]</v>
      </c>
      <c r="GT3" s="48" t="str">
        <f t="shared" si="5"/>
        <v>"cl_BLA",</v>
      </c>
      <c r="GU3" s="48" t="str">
        <f t="shared" si="5"/>
        <v/>
      </c>
      <c r="GV3" s="48" t="str">
        <f t="shared" si="5"/>
        <v>"cl_GRE",</v>
      </c>
      <c r="GW3" s="48" t="str">
        <f t="shared" si="5"/>
        <v>"cl_RED",</v>
      </c>
      <c r="GX3" s="48" t="str">
        <f t="shared" si="5"/>
        <v/>
      </c>
      <c r="GY3" s="48" t="str">
        <f t="shared" si="5"/>
        <v/>
      </c>
      <c r="GZ3" s="48" t="str">
        <f t="shared" si="5"/>
        <v/>
      </c>
      <c r="HA3" s="48" t="str">
        <f t="shared" si="5"/>
        <v/>
      </c>
      <c r="HB3" s="48" t="str">
        <f t="shared" si="5"/>
        <v>"cl_WHI",</v>
      </c>
      <c r="HC3" s="48" t="str">
        <f t="shared" ref="HC3" si="76">SUBSTITUTE("["&amp;_xlfn.CONCAT(GT3:HB3)&amp;"]",",]","]")</f>
        <v>["cl_BLA","cl_GRE","cl_RED","cl_WHI"]</v>
      </c>
      <c r="HE3" s="71"/>
      <c r="HF3" s="72" t="str">
        <f t="shared" ref="HF3" si="77">"{couname:"&amp;CT3&amp;(IF(HK3&lt;&gt;"",",subtype:"&amp;CHAR(34)&amp;HK3&amp;CHAR(34),""))&amp;",year:"&amp;HJ3&amp;",region:"&amp;CU3&amp;",Colors:"&amp;HC3&amp;",Items:"&amp;GS3&amp;",Flag:"&amp;CV3&amp;",HDFlag:"&amp;CHAR(34)&amp;E3&amp;CHAR(34)&amp;",type:"&amp;GP3&amp;", describe: "&amp;HH3&amp;", isnew:"&amp;CHAR(34)&amp;F3&amp;CHAR(34)&amp;", links: "&amp;HL3&amp;"},"</f>
        <v>{couname:"[TON] Tonga (Naval Ensign)",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links: "https://www.crwflags.com/fotw/flags/to%5E.html"},</v>
      </c>
      <c r="HG3" s="73" t="str">
        <f t="shared" ref="HG3" si="78">"{couname:"&amp;CT3&amp;(IF(HK3&lt;&gt;"",",subtype:"&amp;CHAR(34)&amp;HK3&amp;CHAR(34),""))&amp;",year:"&amp;HJ3&amp;",region:"&amp;CU3&amp;",Colors:"&amp;HC3&amp;",Items:"&amp;GS3&amp;",Flag:"&amp;CV3&amp;",HDFlag:"&amp;CHAR(34)&amp;E3&amp;CHAR(34)&amp;",type:"&amp;GP3&amp;", describe: "&amp;HI3&amp;", links: "&amp;HL3&amp;"},"</f>
        <v>{couname:"[TON] Tonga (Naval Ensign)",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links: "https://www.crwflags.com/fotw/flags/to%5E.html"},</v>
      </c>
      <c r="HH3" s="48" t="str">
        <f t="shared" ref="HH3" si="79">IF(P3&lt;&gt;"",CHAR(34)&amp;"\n"&amp;P3&amp;CHAR(34),CHAR(34)&amp;CHAR(34))</f>
        <v>"\nThe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v>
      </c>
      <c r="HI3" s="48" t="str">
        <f t="shared" ref="HI3" si="80">IF(J3=0,CHAR(34)&amp;CHAR(34),HH3)</f>
        <v>"\nThe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v>
      </c>
      <c r="HJ3" s="48" t="str">
        <f t="shared" ref="HJ3" si="81">CHAR(34)&amp;O3&amp;CHAR(34)</f>
        <v>"1985"</v>
      </c>
      <c r="HL3" s="48" t="str">
        <f t="shared" ref="HL3" si="82">CHAR(34)&amp;I3&amp;CHAR(34)</f>
        <v>"https://www.crwflags.com/fotw/flags/to%5E.html"</v>
      </c>
      <c r="HM3" s="72" t="str">
        <f t="shared" ref="HM3" si="83">"{"&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{"couname":"[TON] Tonga (Naval Ensign)","subtype":"[TON] Other","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 "links": "https://www.crwflags.com/fotw/flags/to%5E.html"},</v>
      </c>
      <c r="HN3" s="74" t="str">
        <f t="shared" ref="HN3" si="84">"{"&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{"couname":"[TON] Tonga (Naval Ensign)","subtype":"[TON] Other","year":"1985","region":"rgn_Oceania","Colors":["cl_BLA","cl_GRE","cl_RED","cl_WHI"],"Items":["4Color","lets18","startT","with_v","year19","4+Band","Crosse","Horizo","Vertic","Canton","Nordic","NO_BLU","NO_YEL","001RED","003WHI","myrWHI","NoStar"],"Flag":"https://upload.wikimedia.org/wikipedia/commons/thumb/8/8d/Naval_Ensign_of_Tonga.svg/2560px-Naval_Ensign_of_Tonga.svg.png","HDFlag":"https://upload.wikimedia.org/wikipedia/commons/thumb/8/8d/Naval_Ensign_of_Tonga.svg/2560px-Naval_Ensign_of_Tonga.svg.png","type":"Naval Ensign", "describe": "\nThe design seems to be inspired by the Tongan national flag, the British White Ensign, the German Imperial War Flag and the Scandinavian cross flags, all put together in one. The flag has a red Scandinavian cross bordered in white and red. In the white canton is a red Greek cross (as in the Tongan national flag). The flag was designed by Prince Tupouto'a, Minister of Foreign Affairs and Defence when the flag was adopted 13 September 1985", "isnew": ".", "links": "https://www.crwflags.com/fotw/flags/to%5E.html"},</v>
      </c>
      <c r="HO3" s="75">
        <v>45610</v>
      </c>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M3" s="45">
        <f t="shared" ref="IM3" si="85">COUNTIF(IC3:IK3,"&gt;0")-CG3</f>
        <v>-4</v>
      </c>
      <c r="IN3" s="78" t="str">
        <f t="shared" ref="IN3" si="86">"http://mkweb.bcgsc.ca/color-summarizer/?url="&amp;D3&amp;"&amp;precision=low&amp;num_clusters="&amp;CG3&amp;"&amp;text=1"</f>
        <v>http://mkweb.bcgsc.ca/color-summarizer/?url=https://upload.wikimedia.org/wikipedia/commons/thumb/8/8d/Naval_Ensign_of_Tonga.svg/2560px-Naval_Ensign_of_Tonga.svg.png&amp;precision=low&amp;num_clusters=4&amp;text=1</v>
      </c>
      <c r="IO3" s="48" t="str">
        <f t="shared" ref="IO3" si="87">IF(HP3&lt;&gt;"",CHAR(34)&amp;"black"&amp;CHAR(34),"")</f>
        <v>"black"</v>
      </c>
      <c r="IP3" s="48" t="str">
        <f t="shared" ref="IP3" si="88">IF(HQ3&lt;&gt;"",CHAR(34)&amp;"blue"&amp;CHAR(34),"")</f>
        <v/>
      </c>
      <c r="IQ3" s="48" t="str">
        <f t="shared" ref="IQ3" si="89">IF(HR3&lt;&gt;"",CHAR(34)&amp;"green"&amp;CHAR(34),"")</f>
        <v>"green"</v>
      </c>
      <c r="IR3" s="48" t="str">
        <f t="shared" ref="IR3" si="90">IF(HS3&lt;&gt;"",CHAR(34)&amp;"red"&amp;CHAR(34),"")</f>
        <v>"red"</v>
      </c>
      <c r="IS3" s="48" t="str">
        <f t="shared" ref="IS3" si="91">IF(HT3&lt;&gt;"",CHAR(34)&amp;"yellow"&amp;CHAR(34),"")</f>
        <v/>
      </c>
      <c r="IT3" s="48" t="str">
        <f t="shared" ref="IT3" si="92">IF(HU3&lt;&gt;"",CHAR(34)&amp;"orange"&amp;CHAR(34),"")</f>
        <v/>
      </c>
      <c r="IU3" s="48" t="str">
        <f t="shared" ref="IU3" si="93">IF(HV3&lt;&gt;"",CHAR(34)&amp;"brown"&amp;CHAR(34),"")</f>
        <v/>
      </c>
      <c r="IV3" s="48" t="str">
        <f t="shared" ref="IV3" si="94">IF(HW3&lt;&gt;"",CHAR(34)&amp;"purple"&amp;CHAR(34),"")</f>
        <v/>
      </c>
      <c r="IW3" s="48" t="str">
        <f t="shared" ref="IW3" si="95">IF(HX3&lt;&gt;"",CHAR(34)&amp;"white"&amp;CHAR(34),"")</f>
        <v>"white"</v>
      </c>
      <c r="IX3" s="48" t="str">
        <f t="shared" ref="IX3" si="96">"{"&amp;CHAR(34)&amp;"url"&amp;CHAR(34)&amp;":"&amp;CHAR(34)&amp;IN3&amp;CHAR(34)&amp;","&amp;CHAR(34)&amp;"name"&amp;CHAR(34)&amp;":"&amp;CHAR(34)&amp;A3&amp;CHAR(34)&amp;"},"</f>
        <v>{"url":"http://mkweb.bcgsc.ca/color-summarizer/?url=https://upload.wikimedia.org/wikipedia/commons/thumb/8/8d/Naval_Ensign_of_Tonga.svg/2560px-Naval_Ensign_of_Tonga.svg.png&amp;precision=low&amp;num_clusters=4&amp;text=1","name":"[TON] Tonga (Naval Ensign)"},</v>
      </c>
      <c r="IY3" s="48">
        <v>1488</v>
      </c>
    </row>
  </sheetData>
  <conditionalFormatting sqref="H1 CW1:GS1 IA1:IB1">
    <cfRule type="cellIs" dxfId="3302" priority="107" operator="greaterThan">
      <formula>0</formula>
    </cfRule>
  </conditionalFormatting>
  <conditionalFormatting sqref="H1">
    <cfRule type="cellIs" dxfId="3301" priority="73" stopIfTrue="1" operator="notEqual">
      <formula>""</formula>
    </cfRule>
  </conditionalFormatting>
  <conditionalFormatting sqref="T1:BK1">
    <cfRule type="cellIs" dxfId="3300" priority="110" operator="greaterThan">
      <formula>0</formula>
    </cfRule>
  </conditionalFormatting>
  <conditionalFormatting sqref="BV1:BW1">
    <cfRule type="cellIs" dxfId="3299" priority="109" operator="equal">
      <formula>"nc"</formula>
    </cfRule>
  </conditionalFormatting>
  <conditionalFormatting sqref="HF1:HG1">
    <cfRule type="cellIs" dxfId="3298" priority="111" operator="greaterThan">
      <formula>0</formula>
    </cfRule>
  </conditionalFormatting>
  <conditionalFormatting sqref="HK1">
    <cfRule type="cellIs" dxfId="3297" priority="108" operator="greaterThan">
      <formula>0</formula>
    </cfRule>
  </conditionalFormatting>
  <conditionalFormatting sqref="HP1:HX1">
    <cfRule type="cellIs" dxfId="3296" priority="85" operator="equal">
      <formula>"PIN"</formula>
    </cfRule>
    <cfRule type="cellIs" dxfId="3295" priority="86" operator="equal">
      <formula>"ORA"</formula>
    </cfRule>
    <cfRule type="cellIs" dxfId="3294" priority="87" operator="equal">
      <formula>"GRA"</formula>
    </cfRule>
    <cfRule type="cellIs" dxfId="3293" priority="88" operator="equal">
      <formula>"PUR"</formula>
    </cfRule>
    <cfRule type="cellIs" dxfId="3292" priority="89" operator="equal">
      <formula>"BRO"</formula>
    </cfRule>
    <cfRule type="cellIs" dxfId="3291" priority="90" operator="equal">
      <formula>"YEL"</formula>
    </cfRule>
    <cfRule type="cellIs" dxfId="3290" priority="91" operator="equal">
      <formula>"BLU"</formula>
    </cfRule>
    <cfRule type="cellIs" dxfId="3289" priority="92" operator="equal">
      <formula>"WHI"</formula>
    </cfRule>
    <cfRule type="cellIs" dxfId="3288" priority="93" operator="equal">
      <formula>"GRE"</formula>
    </cfRule>
    <cfRule type="cellIs" dxfId="3287" priority="94" operator="equal">
      <formula>"RED"</formula>
    </cfRule>
    <cfRule type="cellIs" dxfId="3286" priority="95" operator="equal">
      <formula>"BLA"</formula>
    </cfRule>
  </conditionalFormatting>
  <conditionalFormatting sqref="IC1:IK1">
    <cfRule type="cellIs" dxfId="3285" priority="96" operator="equal">
      <formula>"PIN"</formula>
    </cfRule>
    <cfRule type="cellIs" dxfId="3284" priority="97" operator="equal">
      <formula>"ORA"</formula>
    </cfRule>
    <cfRule type="cellIs" dxfId="3283" priority="98" operator="equal">
      <formula>"GRA"</formula>
    </cfRule>
    <cfRule type="cellIs" dxfId="3282" priority="99" operator="equal">
      <formula>"PUR"</formula>
    </cfRule>
    <cfRule type="cellIs" dxfId="3281" priority="100" operator="equal">
      <formula>"BRO"</formula>
    </cfRule>
    <cfRule type="cellIs" dxfId="3280" priority="101" operator="equal">
      <formula>"YEL"</formula>
    </cfRule>
    <cfRule type="cellIs" dxfId="3279" priority="102" operator="equal">
      <formula>"BLU"</formula>
    </cfRule>
    <cfRule type="cellIs" dxfId="3278" priority="103" operator="equal">
      <formula>"WHI"</formula>
    </cfRule>
    <cfRule type="cellIs" dxfId="3277" priority="104" operator="equal">
      <formula>"GRE"</formula>
    </cfRule>
    <cfRule type="cellIs" dxfId="3276" priority="105" operator="equal">
      <formula>"RED"</formula>
    </cfRule>
    <cfRule type="cellIs" dxfId="3275" priority="106" operator="equal">
      <formula>"BLA"</formula>
    </cfRule>
  </conditionalFormatting>
  <conditionalFormatting sqref="IO1:IW1">
    <cfRule type="cellIs" dxfId="3274" priority="74" operator="equal">
      <formula>"PIN"</formula>
    </cfRule>
    <cfRule type="cellIs" dxfId="3273" priority="75" operator="equal">
      <formula>"ORA"</formula>
    </cfRule>
    <cfRule type="cellIs" dxfId="3272" priority="76" operator="equal">
      <formula>"GRA"</formula>
    </cfRule>
    <cfRule type="cellIs" dxfId="3271" priority="77" operator="equal">
      <formula>"PUR"</formula>
    </cfRule>
    <cfRule type="cellIs" dxfId="3270" priority="78" operator="equal">
      <formula>"BRO"</formula>
    </cfRule>
    <cfRule type="cellIs" dxfId="3269" priority="79" operator="equal">
      <formula>"YEL"</formula>
    </cfRule>
    <cfRule type="cellIs" dxfId="3268" priority="80" operator="equal">
      <formula>"BLU"</formula>
    </cfRule>
    <cfRule type="cellIs" dxfId="3267" priority="81" operator="equal">
      <formula>"WHI"</formula>
    </cfRule>
    <cfRule type="cellIs" dxfId="3266" priority="82" operator="equal">
      <formula>"GRE"</formula>
    </cfRule>
    <cfRule type="cellIs" dxfId="3265" priority="83" operator="equal">
      <formula>"RED"</formula>
    </cfRule>
    <cfRule type="cellIs" dxfId="3264" priority="84" operator="equal">
      <formula>"BLA"</formula>
    </cfRule>
  </conditionalFormatting>
  <conditionalFormatting sqref="H2">
    <cfRule type="cellIs" dxfId="3263" priority="42" stopIfTrue="1" operator="notEqual">
      <formula>""</formula>
    </cfRule>
  </conditionalFormatting>
  <conditionalFormatting sqref="R2 CU2">
    <cfRule type="cellIs" dxfId="3262" priority="44" operator="greaterThan">
      <formula>0</formula>
    </cfRule>
  </conditionalFormatting>
  <conditionalFormatting sqref="T2:AS2 CH2:CS2">
    <cfRule type="cellIs" dxfId="3261" priority="39" stopIfTrue="1" operator="equal">
      <formula>"n"</formula>
    </cfRule>
    <cfRule type="cellIs" dxfId="3260" priority="40" stopIfTrue="1" operator="equal">
      <formula>"y"</formula>
    </cfRule>
    <cfRule type="cellIs" dxfId="3259" priority="41" operator="greaterThan">
      <formula>0</formula>
    </cfRule>
  </conditionalFormatting>
  <conditionalFormatting sqref="AZ2:BB2">
    <cfRule type="expression" dxfId="3258" priority="38">
      <formula>$AT2=0</formula>
    </cfRule>
  </conditionalFormatting>
  <conditionalFormatting sqref="AZ2:BU2">
    <cfRule type="cellIs" dxfId="3257" priority="47" operator="equal">
      <formula>"PIN"</formula>
    </cfRule>
    <cfRule type="cellIs" dxfId="3256" priority="48" operator="equal">
      <formula>"ORA"</formula>
    </cfRule>
    <cfRule type="cellIs" dxfId="3255" priority="49" operator="equal">
      <formula>"GRA"</formula>
    </cfRule>
    <cfRule type="cellIs" dxfId="3254" priority="50" operator="equal">
      <formula>"PUR"</formula>
    </cfRule>
    <cfRule type="cellIs" dxfId="3253" priority="51" operator="equal">
      <formula>"BRO"</formula>
    </cfRule>
    <cfRule type="cellIs" dxfId="3252" priority="52" operator="equal">
      <formula>"YEL"</formula>
    </cfRule>
    <cfRule type="cellIs" dxfId="3251" priority="53" operator="equal">
      <formula>"BLU"</formula>
    </cfRule>
    <cfRule type="cellIs" dxfId="3250" priority="54" operator="equal">
      <formula>"WHI"</formula>
    </cfRule>
    <cfRule type="cellIs" dxfId="3249" priority="55" operator="equal">
      <formula>"GRE"</formula>
    </cfRule>
    <cfRule type="cellIs" dxfId="3248" priority="56" operator="equal">
      <formula>"RED"</formula>
    </cfRule>
    <cfRule type="cellIs" dxfId="3247" priority="57" operator="equal">
      <formula>"BLA"</formula>
    </cfRule>
  </conditionalFormatting>
  <conditionalFormatting sqref="BV2">
    <cfRule type="cellIs" dxfId="3246" priority="69" operator="equal">
      <formula>"nc"</formula>
    </cfRule>
  </conditionalFormatting>
  <conditionalFormatting sqref="BX2:CA2 CD2:CF2">
    <cfRule type="cellIs" dxfId="3245" priority="43" operator="equal">
      <formula>"y"</formula>
    </cfRule>
    <cfRule type="cellIs" dxfId="3244" priority="58" operator="equal">
      <formula>"PIN"</formula>
    </cfRule>
    <cfRule type="cellIs" dxfId="3243" priority="59" operator="equal">
      <formula>"ORA"</formula>
    </cfRule>
    <cfRule type="cellIs" dxfId="3242" priority="60" operator="equal">
      <formula>"GRA"</formula>
    </cfRule>
    <cfRule type="cellIs" dxfId="3241" priority="61" operator="equal">
      <formula>"PUR"</formula>
    </cfRule>
    <cfRule type="cellIs" dxfId="3240" priority="62" operator="equal">
      <formula>"BRO"</formula>
    </cfRule>
    <cfRule type="cellIs" dxfId="3239" priority="63" operator="equal">
      <formula>"YEL"</formula>
    </cfRule>
    <cfRule type="cellIs" dxfId="3238" priority="64" operator="equal">
      <formula>"BLU"</formula>
    </cfRule>
    <cfRule type="cellIs" dxfId="3237" priority="65" operator="equal">
      <formula>"WHI"</formula>
    </cfRule>
    <cfRule type="cellIs" dxfId="3236" priority="66" operator="equal">
      <formula>"GRE"</formula>
    </cfRule>
    <cfRule type="cellIs" dxfId="3235" priority="67" operator="equal">
      <formula>"RED"</formula>
    </cfRule>
    <cfRule type="cellIs" dxfId="3234" priority="68" operator="equal">
      <formula>"BLA"</formula>
    </cfRule>
  </conditionalFormatting>
  <conditionalFormatting sqref="BZ2:CA2 CD2:CF2">
    <cfRule type="cellIs" dxfId="3233" priority="45" operator="greaterThan">
      <formula>0</formula>
    </cfRule>
  </conditionalFormatting>
  <conditionalFormatting sqref="IC2:IK2">
    <cfRule type="expression" dxfId="3232"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63" priority="5" stopIfTrue="1" operator="notEqual">
      <formula>""</formula>
    </cfRule>
  </conditionalFormatting>
  <conditionalFormatting sqref="R3 CU3">
    <cfRule type="cellIs" dxfId="62" priority="7" operator="greaterThan">
      <formula>0</formula>
    </cfRule>
  </conditionalFormatting>
  <conditionalFormatting sqref="T3:AS3 CH3:CS3">
    <cfRule type="cellIs" dxfId="61" priority="2" stopIfTrue="1" operator="equal">
      <formula>"n"</formula>
    </cfRule>
    <cfRule type="cellIs" dxfId="60" priority="3" stopIfTrue="1" operator="equal">
      <formula>"y"</formula>
    </cfRule>
    <cfRule type="cellIs" dxfId="59" priority="4" operator="greaterThan">
      <formula>0</formula>
    </cfRule>
  </conditionalFormatting>
  <conditionalFormatting sqref="AZ3:BB3">
    <cfRule type="expression" dxfId="58" priority="1">
      <formula>$AT3=0</formula>
    </cfRule>
  </conditionalFormatting>
  <conditionalFormatting sqref="AZ3:BU3">
    <cfRule type="cellIs" dxfId="57" priority="10" operator="equal">
      <formula>"PIN"</formula>
    </cfRule>
    <cfRule type="cellIs" dxfId="56" priority="11" operator="equal">
      <formula>"ORA"</formula>
    </cfRule>
    <cfRule type="cellIs" dxfId="55" priority="12" operator="equal">
      <formula>"GRA"</formula>
    </cfRule>
    <cfRule type="cellIs" dxfId="54" priority="13" operator="equal">
      <formula>"PUR"</formula>
    </cfRule>
    <cfRule type="cellIs" dxfId="53" priority="14" operator="equal">
      <formula>"BRO"</formula>
    </cfRule>
    <cfRule type="cellIs" dxfId="52" priority="15" operator="equal">
      <formula>"YEL"</formula>
    </cfRule>
    <cfRule type="cellIs" dxfId="51" priority="16" operator="equal">
      <formula>"BLU"</formula>
    </cfRule>
    <cfRule type="cellIs" dxfId="50" priority="17" operator="equal">
      <formula>"WHI"</formula>
    </cfRule>
    <cfRule type="cellIs" dxfId="49" priority="18" operator="equal">
      <formula>"GRE"</formula>
    </cfRule>
    <cfRule type="cellIs" dxfId="48" priority="19" operator="equal">
      <formula>"RED"</formula>
    </cfRule>
    <cfRule type="cellIs" dxfId="47" priority="20" operator="equal">
      <formula>"BLA"</formula>
    </cfRule>
  </conditionalFormatting>
  <conditionalFormatting sqref="BV3">
    <cfRule type="cellIs" dxfId="46" priority="32" operator="equal">
      <formula>"nc"</formula>
    </cfRule>
  </conditionalFormatting>
  <conditionalFormatting sqref="BX3:CA3 CD3:CF3">
    <cfRule type="cellIs" dxfId="45" priority="6" operator="equal">
      <formula>"y"</formula>
    </cfRule>
    <cfRule type="cellIs" dxfId="44" priority="21" operator="equal">
      <formula>"PIN"</formula>
    </cfRule>
    <cfRule type="cellIs" dxfId="43" priority="22" operator="equal">
      <formula>"ORA"</formula>
    </cfRule>
    <cfRule type="cellIs" dxfId="42" priority="23" operator="equal">
      <formula>"GRA"</formula>
    </cfRule>
    <cfRule type="cellIs" dxfId="41" priority="24" operator="equal">
      <formula>"PUR"</formula>
    </cfRule>
    <cfRule type="cellIs" dxfId="40" priority="25" operator="equal">
      <formula>"BRO"</formula>
    </cfRule>
    <cfRule type="cellIs" dxfId="39" priority="26" operator="equal">
      <formula>"YEL"</formula>
    </cfRule>
    <cfRule type="cellIs" dxfId="38" priority="27" operator="equal">
      <formula>"BLU"</formula>
    </cfRule>
    <cfRule type="cellIs" dxfId="37" priority="28" operator="equal">
      <formula>"WHI"</formula>
    </cfRule>
    <cfRule type="cellIs" dxfId="36" priority="29" operator="equal">
      <formula>"GRE"</formula>
    </cfRule>
    <cfRule type="cellIs" dxfId="35" priority="30" operator="equal">
      <formula>"RED"</formula>
    </cfRule>
    <cfRule type="cellIs" dxfId="34" priority="31" operator="equal">
      <formula>"BLA"</formula>
    </cfRule>
  </conditionalFormatting>
  <conditionalFormatting sqref="BZ3:CA3 CD3:CF3">
    <cfRule type="cellIs" dxfId="33" priority="8" operator="greaterThan">
      <formula>0</formula>
    </cfRule>
  </conditionalFormatting>
  <conditionalFormatting sqref="IC3:IK3">
    <cfRule type="expression" dxfId="32"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A2" r:id="rId1" display="https://fbref.com/en/country/TGA/Tonga-Football" xr:uid="{62C3F8C8-63E3-4F99-92BF-748225574338}"/>
    <hyperlink ref="E3" r:id="rId2" xr:uid="{B7774895-1140-4153-9DAA-468A7685D808}"/>
    <hyperlink ref="D3" r:id="rId3" xr:uid="{B3F7C479-9035-4489-9C96-D5A57C99C562}"/>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86BC4-D452-43CA-85B8-5FC3B005A72D}">
  <dimension ref="A1:IY4"/>
  <sheetViews>
    <sheetView tabSelected="1" zoomScale="70" zoomScaleNormal="70" workbookViewId="0">
      <selection activeCell="A4" sqref="A4:XFD4"/>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332</v>
      </c>
      <c r="B2" s="40" t="e" vm="110">
        <v>#VALUE!</v>
      </c>
      <c r="C2" s="41">
        <v>1</v>
      </c>
      <c r="D2" s="42" t="s">
        <v>333</v>
      </c>
      <c r="E2" s="43" t="s">
        <v>334</v>
      </c>
      <c r="F2" s="44" t="s">
        <v>166</v>
      </c>
      <c r="G2" s="45">
        <f>COUNTIF($A$1:$A$8213,A2)</f>
        <v>1</v>
      </c>
      <c r="H2" s="46"/>
      <c r="I2" s="47" t="s">
        <v>335</v>
      </c>
      <c r="J2" s="48" t="str">
        <f>""</f>
        <v/>
      </c>
      <c r="K2" s="49">
        <v>11396</v>
      </c>
      <c r="L2" s="50">
        <v>3136</v>
      </c>
      <c r="M2" s="50" t="s">
        <v>336</v>
      </c>
      <c r="N2" s="51" t="s">
        <v>169</v>
      </c>
      <c r="O2" s="52" t="s">
        <v>337</v>
      </c>
      <c r="P2" s="53" t="s">
        <v>338</v>
      </c>
      <c r="Q2" s="54">
        <v>1</v>
      </c>
      <c r="R2" s="55" t="s">
        <v>169</v>
      </c>
      <c r="S2" s="56">
        <v>0</v>
      </c>
      <c r="T2" s="57" t="s">
        <v>173</v>
      </c>
      <c r="U2" s="58" t="s">
        <v>172</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9</v>
      </c>
      <c r="AU2" s="59"/>
      <c r="AV2" s="59" t="str">
        <f>IF(LEFT(A2,1)="[",LEFT(A2,5)&amp;AU2&amp;A2,"")</f>
        <v/>
      </c>
      <c r="AW2" s="59" t="str">
        <f>C2&amp;H2&amp;A2</f>
        <v>1Tuvalu</v>
      </c>
      <c r="AX2" s="61"/>
      <c r="AY2" s="61"/>
      <c r="AZ2" s="62" t="s">
        <v>192</v>
      </c>
      <c r="BA2" s="62" t="s">
        <v>192</v>
      </c>
      <c r="BB2" s="62"/>
      <c r="BC2" s="63"/>
      <c r="BD2" s="64" t="s">
        <v>159</v>
      </c>
      <c r="BE2" s="47"/>
      <c r="BF2" s="64" t="s">
        <v>159</v>
      </c>
      <c r="BG2" s="64" t="s">
        <v>192</v>
      </c>
      <c r="BH2" s="64" t="s">
        <v>152</v>
      </c>
      <c r="BI2" s="64"/>
      <c r="BJ2" s="64"/>
      <c r="BK2" s="47"/>
      <c r="BL2" s="64" t="s">
        <v>151</v>
      </c>
      <c r="BM2" s="64" t="s">
        <v>152</v>
      </c>
      <c r="BN2" s="64" t="s">
        <v>153</v>
      </c>
      <c r="BO2" s="64" t="s">
        <v>154</v>
      </c>
      <c r="BP2" s="64" t="s">
        <v>155</v>
      </c>
      <c r="BQ2" s="64" t="s">
        <v>192</v>
      </c>
      <c r="BR2" s="64" t="s">
        <v>192</v>
      </c>
      <c r="BS2" s="64" t="s">
        <v>192</v>
      </c>
      <c r="BT2" s="64" t="s">
        <v>159</v>
      </c>
      <c r="BU2" s="65"/>
      <c r="BV2" s="66"/>
      <c r="BW2" s="66">
        <v>0</v>
      </c>
      <c r="BX2" s="47"/>
      <c r="CB2" s="6"/>
      <c r="CC2" s="6"/>
      <c r="CD2" s="67">
        <v>0</v>
      </c>
      <c r="CE2" s="67">
        <v>0</v>
      </c>
      <c r="CF2" s="67" t="e">
        <v>#REF!</v>
      </c>
      <c r="CG2" s="68" cm="1">
        <f t="array" ref="CG2">SUMPRODUCT(--(LEN(TRIM(BL2:BT2))&gt;0))</f>
        <v>6</v>
      </c>
      <c r="CH2" s="59" t="str">
        <f>IF(CG2=2,"y","n")</f>
        <v>n</v>
      </c>
      <c r="CI2" s="59" t="str">
        <f>IF(CG2=3,"y","n")</f>
        <v>n</v>
      </c>
      <c r="CJ2" s="59" t="str">
        <f>IF(CG2=4,"y","n")</f>
        <v>n</v>
      </c>
      <c r="CK2" s="59" t="str">
        <f>IF(CG2&gt;4,"y","n")</f>
        <v>y</v>
      </c>
      <c r="CL2" s="59" t="str">
        <f>IF(S2=0,"y","n")</f>
        <v>y</v>
      </c>
      <c r="CM2" s="59" t="str">
        <f>IF(S2=2,"y","n")</f>
        <v>n</v>
      </c>
      <c r="CN2" s="59" t="str">
        <f>IF(S2=3,"y","n")</f>
        <v>n</v>
      </c>
      <c r="CO2" s="59" t="str">
        <f>IF(S2&gt;=4,"y","n")</f>
        <v>n</v>
      </c>
      <c r="CP2" s="59" t="str">
        <f>IF(AT2=0,"y","n")</f>
        <v>n</v>
      </c>
      <c r="CQ2" s="59" t="str">
        <f>IF(AT2=1,"y","n")</f>
        <v>n</v>
      </c>
      <c r="CR2" s="59" t="str">
        <f>IF(AT2=2,"y","n")</f>
        <v>n</v>
      </c>
      <c r="CS2" s="59" t="str">
        <f>IF(AT2&gt;=3,"y","n")</f>
        <v>y</v>
      </c>
      <c r="CT2" s="69" t="str">
        <f>CHAR(34)&amp;A2&amp;CHAR(34)</f>
        <v>"Tuvalu"</v>
      </c>
      <c r="CU2" s="70" t="str">
        <f>CHAR(34)&amp;"rgn_"&amp;R2&amp;CHAR(34)</f>
        <v>"rgn_Oceania"</v>
      </c>
      <c r="CV2" s="48" t="str">
        <f>CHAR(34)&amp;D2&amp;CHAR(34)</f>
        <v>"https://i.ibb.co/RQ3gYR5/Tuvalu-Flag.png"</v>
      </c>
      <c r="CW2" s="48" t="str">
        <f t="shared" ref="CW2:CZ4" si="0">IF(CH2="y",CHAR(34)&amp;CH$1&amp;CHAR(34)&amp;",","")</f>
        <v/>
      </c>
      <c r="CX2" s="48" t="str">
        <f t="shared" si="0"/>
        <v/>
      </c>
      <c r="CY2" s="48" t="str">
        <f t="shared" si="0"/>
        <v/>
      </c>
      <c r="CZ2" s="48" t="str">
        <f t="shared" si="0"/>
        <v>"5+Colo",</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"lets06",</v>
      </c>
      <c r="DE2" s="48" t="str">
        <f>CHAR(34)&amp;"start"&amp;IFERROR(LEFT(SUBSTITUTE(A2,"["&amp;MID(A2,FIND("[",A2)+1,FIND("]",A2)-FIND("[",A2)-1)&amp;"] ",""),1),LEFT(A2,1))&amp;CHAR(34)&amp;","</f>
        <v>"startT",</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4" si="1">IF(CL2="y",CHAR(34)&amp;CL$1&amp;CHAR(34)&amp;",","")</f>
        <v>"NoBand",</v>
      </c>
      <c r="DX2" s="48" t="str">
        <f t="shared" si="1"/>
        <v/>
      </c>
      <c r="DY2" s="48" t="str">
        <f t="shared" si="1"/>
        <v/>
      </c>
      <c r="DZ2" s="48" t="str">
        <f t="shared" si="1"/>
        <v/>
      </c>
      <c r="EA2" s="48" t="str">
        <f t="shared" ref="EA2:EE4" si="2">IF(T2="y",CHAR(34)&amp;T$1&amp;CHAR(34)&amp;",","")</f>
        <v/>
      </c>
      <c r="EB2" s="48" t="str">
        <f t="shared" si="2"/>
        <v>"Crosse",</v>
      </c>
      <c r="EC2" s="48" t="str">
        <f t="shared" si="2"/>
        <v/>
      </c>
      <c r="ED2" s="48" t="str">
        <f t="shared" si="2"/>
        <v/>
      </c>
      <c r="EE2" s="48" t="str">
        <f t="shared" si="2"/>
        <v/>
      </c>
      <c r="EF2" s="48" t="str">
        <f>IF(AND(Y2&lt;&gt;"n",Y2&lt;&gt;""),CHAR(34)&amp;Y$1&amp;CHAR(34)&amp;",","")</f>
        <v/>
      </c>
      <c r="EG2" s="48" t="str">
        <f t="shared" ref="EG2:EZ4"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"sta",</v>
      </c>
      <c r="FB2" s="48" t="str">
        <f>IF(AND(AT2&gt;0,BA2&lt;&gt;""),CHAR(34)&amp;"sta"&amp;BA2&amp;CHAR(34)&amp;",","")</f>
        <v/>
      </c>
      <c r="FD2" s="48" t="str">
        <f>IF(BV2="n",CHAR(34)&amp;"tcWHYE"&amp;CHAR(34)&amp;",",IF(BV2="y",CHAR(34)&amp;FD$1&amp;CHAR(34)&amp;",",""))</f>
        <v/>
      </c>
      <c r="FE2" s="48" t="str">
        <f>IF(COUNTIF(BL2:BT2,"BLU")=0,CHAR(34)&amp;"NO_BLU"&amp;CHAR(34)&amp;",", "")</f>
        <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"001WHI",</v>
      </c>
      <c r="FR2" s="48" t="str">
        <f>IF(LEN(BG2)=3,CHAR(34)&amp;"002"&amp;BG2&amp;CHAR(34)&amp;",","")</f>
        <v/>
      </c>
      <c r="FS2" s="48" t="str">
        <f>IF(LEN(BH2)=3,CHAR(34)&amp;"003"&amp;BH2&amp;CHAR(34)&amp;",","")</f>
        <v>"003BLU",</v>
      </c>
      <c r="FT2" s="48" t="str">
        <f>CHAR(34)&amp;"myr"&amp;BD2&amp;CHAR(34)&amp;","</f>
        <v>"myrWHI",</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
      </c>
      <c r="GK2" s="48" t="str">
        <f>IF(GJ2="",CHAR(34)&amp;"HasSta"&amp;CHAR(34)&amp;",","")</f>
        <v>"HasSta",</v>
      </c>
      <c r="GL2" s="48" t="str">
        <f t="shared" ref="GL2:GN4" si="4">IF(CQ2="y",CHAR(34)&amp;CQ$1&amp;CHAR(34)&amp;",","")</f>
        <v/>
      </c>
      <c r="GM2" s="48" t="str">
        <f t="shared" si="4"/>
        <v/>
      </c>
      <c r="GN2" s="48" t="str">
        <f t="shared" si="4"/>
        <v>"3+Star",</v>
      </c>
      <c r="GP2" s="48" t="str">
        <f>CHAR(34)&amp;AU2&amp;CHAR(34)</f>
        <v>""</v>
      </c>
      <c r="GS2" s="48" t="str">
        <f>SUBSTITUTE("["&amp;_xlfn.CONCAT(CW2:GN2)&amp;"]",",]","]")</f>
        <v>["5+Colo","lets06","startT","with_v","year19","NoBand","Crosse","Canton","sta","001WHI","003BLU","myrWHI","HasSta","3+Star"]</v>
      </c>
      <c r="GT2" s="48" t="str">
        <f t="shared" ref="GT2:HB4" si="5">IF(BL2&lt;&gt;"",CHAR(34)&amp;"cl_"&amp;BL2&amp;CHAR(34)&amp;",","")</f>
        <v>"cl_BLA",</v>
      </c>
      <c r="GU2" s="48" t="str">
        <f t="shared" si="5"/>
        <v>"cl_BLU",</v>
      </c>
      <c r="GV2" s="48" t="str">
        <f t="shared" si="5"/>
        <v>"cl_GRE",</v>
      </c>
      <c r="GW2" s="48" t="str">
        <f t="shared" si="5"/>
        <v>"cl_RED",</v>
      </c>
      <c r="GX2" s="48" t="str">
        <f t="shared" si="5"/>
        <v>"cl_YEL",</v>
      </c>
      <c r="GY2" s="48" t="str">
        <f t="shared" si="5"/>
        <v/>
      </c>
      <c r="GZ2" s="48" t="str">
        <f t="shared" si="5"/>
        <v/>
      </c>
      <c r="HA2" s="48" t="str">
        <f t="shared" si="5"/>
        <v/>
      </c>
      <c r="HB2" s="48" t="str">
        <f t="shared" si="5"/>
        <v>"cl_WHI",</v>
      </c>
      <c r="HC2" s="48" t="str">
        <f>SUBSTITUTE("["&amp;_xlfn.CONCAT(GT2:HB2)&amp;"]",",]","]")</f>
        <v>["cl_BLA","cl_BLU","cl_GRE","cl_RED","cl_YEL","cl_WHI"]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links: "https://en.wikipedia.org/wiki/Flag_of_Tuvalu"},</v>
      </c>
      <c r="HG2" s="73" t="str">
        <f>"{couname:"&amp;CT2&amp;(IF(HK2&lt;&gt;"",",subtype:"&amp;CHAR(34)&amp;HK2&amp;CHAR(34),""))&amp;",year:"&amp;HJ2&amp;",region:"&amp;CU2&amp;",Colors:"&amp;HC2&amp;",Items:"&amp;GS2&amp;",Flag:"&amp;CV2&amp;",HDFlag:"&amp;CHAR(34)&amp;E2&amp;CHAR(34)&amp;",type:"&amp;GP2&amp;", describe: "&amp;HI2&amp;", links: "&amp;HL2&amp;"},"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links: "https://en.wikipedia.org/wiki/Flag_of_Tuvalu"},</v>
      </c>
      <c r="HH2" s="48" t="str">
        <f>IF(P2&lt;&gt;"",CHAR(34)&amp;"\n"&amp;P2&amp;CHAR(34),CHAR(34)&amp;CHAR(34))</f>
        <v>"\nThe stars represent the nine islands which comprise Tuvalu; the arrangement is geographically correct, with the east towards the top (i.e. north to the left)."</v>
      </c>
      <c r="HI2" s="48" t="str">
        <f>IF(J2=0,CHAR(34)&amp;CHAR(34),HH2)</f>
        <v>"\nThe stars represent the nine islands which comprise Tuvalu; the arrangement is geographically correct, with the east towards the top (i.e. north to the left)."</v>
      </c>
      <c r="HJ2" s="48" t="str">
        <f>CHAR(34)&amp;O2&amp;CHAR(34)</f>
        <v>"1978, 1997 "</v>
      </c>
      <c r="HL2" s="48" t="str">
        <f>CHAR(34)&amp;I2&amp;CHAR(34)</f>
        <v>"https://en.wikipedia.org/wiki/Flag_of_Tuvalu"</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 "links": "https://en.wikipedia.org/wiki/Flag_of_Tuvalu"},</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{"couname":"Tuvalu","year":"1978, 1997 ","region":"rgn_Oceania","Colors":["cl_BLA","cl_BLU","cl_GRE","cl_RED","cl_YEL","cl_WHI"],"Items":["5+Colo","lets06","startT","with_v","year19","NoBand","Crosse","Canton","sta","001WHI","003BLU","myrWHI","HasSta","3+Star"],"Flag":"https://i.ibb.co/RQ3gYR5/Tuvalu-Flag.png","HDFlag":"https://upload.wikimedia.org/wikipedia/commons/thumb/3/38/Flag_of_Tuvalu.svg/2560px-Flag_of_Tuvalu.svg.png","type":"", "describe": "\nThe stars represent the nine islands which comprise Tuvalu; the arrangement is geographically correct, with the east towards the top (i.e. north to the left).", "isnew": ".", "links": "https://en.wikipedia.org/wiki/Flag_of_Tuvalu"},</v>
      </c>
      <c r="HO2" s="75">
        <v>45596</v>
      </c>
      <c r="HP2" s="48" t="str" cm="1">
        <f t="array" ref="HP2">IF(_xlfn.TEXTJOIN(", ", TRUE, IF(ISNUMBER(SEARCH("BLA", BL2:BT2)), COLUMN(BL2:BT2) - COLUMN(BL2) + 1, ""))&lt;&gt;"","BLA","")</f>
        <v>BLA</v>
      </c>
      <c r="HQ2" s="48" t="str" cm="1">
        <f t="array" ref="HQ2">IF(_xlfn.TEXTJOIN(", ", TRUE, IF(ISNUMBER(SEARCH("BLU", BL2:BT2)), COLUMN(BL2:BT2) - COLUMN(BL2) + 1, ""))&lt;&gt;"","BLU","")</f>
        <v>BLU</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-6</v>
      </c>
      <c r="IN2" s="78" t="str">
        <f>"http://mkweb.bcgsc.ca/color-summarizer/?url="&amp;D2&amp;"&amp;precision=low&amp;num_clusters="&amp;CG2&amp;"&amp;text=1"</f>
        <v>http://mkweb.bcgsc.ca/color-summarizer/?url=https://i.ibb.co/RQ3gYR5/Tuvalu-Flag.png&amp;precision=low&amp;num_clusters=6&amp;text=1</v>
      </c>
      <c r="IO2" s="48" t="str">
        <f>IF(HP2&lt;&gt;"",CHAR(34)&amp;"black"&amp;CHAR(34),"")</f>
        <v>"black"</v>
      </c>
      <c r="IP2" s="48" t="str">
        <f>IF(HQ2&lt;&gt;"",CHAR(34)&amp;"blue"&amp;CHAR(34),"")</f>
        <v>"blue"</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{"url":"http://mkweb.bcgsc.ca/color-summarizer/?url=https://i.ibb.co/RQ3gYR5/Tuvalu-Flag.png&amp;precision=low&amp;num_clusters=6&amp;text=1","name":"Tuvalu"},</v>
      </c>
      <c r="IY2" s="48">
        <v>1292</v>
      </c>
    </row>
    <row r="3" spans="1:259" s="48" customFormat="1" ht="38.4" customHeight="1" thickBot="1" x14ac:dyDescent="0.35">
      <c r="A3" s="79" t="s">
        <v>598</v>
      </c>
      <c r="B3" s="40" t="e" vm="111">
        <v>#VALUE!</v>
      </c>
      <c r="C3" s="41">
        <v>2</v>
      </c>
      <c r="D3" s="42" t="s">
        <v>599</v>
      </c>
      <c r="E3" s="43" t="s">
        <v>599</v>
      </c>
      <c r="F3" s="44" t="s">
        <v>166</v>
      </c>
      <c r="G3" s="45">
        <f>COUNTIF($A$1:$A$8213,A3)</f>
        <v>1</v>
      </c>
      <c r="H3" s="46"/>
      <c r="I3" s="47" t="s">
        <v>600</v>
      </c>
      <c r="J3" s="48" t="str">
        <f>""</f>
        <v/>
      </c>
      <c r="K3" s="49"/>
      <c r="L3" s="50"/>
      <c r="M3" s="50"/>
      <c r="N3" s="51" t="s">
        <v>169</v>
      </c>
      <c r="O3" s="52" t="s">
        <v>601</v>
      </c>
      <c r="P3" s="53" t="s">
        <v>602</v>
      </c>
      <c r="Q3" s="54">
        <v>1</v>
      </c>
      <c r="R3" s="55" t="s">
        <v>169</v>
      </c>
      <c r="S3" s="56">
        <v>3</v>
      </c>
      <c r="T3" s="57" t="s">
        <v>173</v>
      </c>
      <c r="U3" s="58" t="s">
        <v>173</v>
      </c>
      <c r="V3" s="58" t="s">
        <v>173</v>
      </c>
      <c r="W3" s="58" t="s">
        <v>172</v>
      </c>
      <c r="X3" s="58" t="s">
        <v>173</v>
      </c>
      <c r="Y3" s="58" t="s">
        <v>172</v>
      </c>
      <c r="Z3" s="58" t="s">
        <v>172</v>
      </c>
      <c r="AA3" s="58" t="s">
        <v>172</v>
      </c>
      <c r="AB3" s="58" t="s">
        <v>172</v>
      </c>
      <c r="AC3" s="58" t="s">
        <v>173</v>
      </c>
      <c r="AD3" s="58" t="s">
        <v>173</v>
      </c>
      <c r="AE3" s="58" t="s">
        <v>173</v>
      </c>
      <c r="AF3" s="59" t="s">
        <v>173</v>
      </c>
      <c r="AG3" s="59" t="s">
        <v>172</v>
      </c>
      <c r="AH3" s="59" t="s">
        <v>172</v>
      </c>
      <c r="AI3" s="59" t="s">
        <v>173</v>
      </c>
      <c r="AJ3" s="59" t="s">
        <v>173</v>
      </c>
      <c r="AK3" s="59" t="s">
        <v>173</v>
      </c>
      <c r="AL3" s="59" t="s">
        <v>173</v>
      </c>
      <c r="AM3" s="59" t="s">
        <v>173</v>
      </c>
      <c r="AN3" s="59" t="s">
        <v>173</v>
      </c>
      <c r="AO3" s="59" t="s">
        <v>173</v>
      </c>
      <c r="AP3" s="59" t="s">
        <v>173</v>
      </c>
      <c r="AQ3" s="59" t="s">
        <v>173</v>
      </c>
      <c r="AR3" s="59" t="s">
        <v>173</v>
      </c>
      <c r="AS3" s="59" t="s">
        <v>173</v>
      </c>
      <c r="AT3" s="60">
        <v>7</v>
      </c>
      <c r="AU3" s="59" t="s">
        <v>357</v>
      </c>
      <c r="AV3" s="59" t="str">
        <f>IF(LEFT(A3,1)="[",LEFT(A3,5)&amp;AU3&amp;A3,"")</f>
        <v>[TUV]City[TUV] Funafuti</v>
      </c>
      <c r="AW3" s="59" t="str">
        <f>C3&amp;H3&amp;A3</f>
        <v>2[TUV] Funafuti</v>
      </c>
      <c r="AX3" s="61"/>
      <c r="AY3" s="61"/>
      <c r="AZ3" s="62"/>
      <c r="BA3" s="62"/>
      <c r="BB3" s="62"/>
      <c r="BC3" s="63"/>
      <c r="BD3" s="64" t="s">
        <v>154</v>
      </c>
      <c r="BE3" s="47"/>
      <c r="BF3" s="64" t="s">
        <v>151</v>
      </c>
      <c r="BG3" s="64"/>
      <c r="BH3" s="64" t="s">
        <v>154</v>
      </c>
      <c r="BI3" s="64"/>
      <c r="BJ3" s="64"/>
      <c r="BK3" s="47"/>
      <c r="BL3" s="64" t="s">
        <v>151</v>
      </c>
      <c r="BM3" s="64" t="s">
        <v>159</v>
      </c>
      <c r="BN3" s="64" t="s">
        <v>154</v>
      </c>
      <c r="BO3" s="64"/>
      <c r="BP3" s="64"/>
      <c r="BQ3" s="64"/>
      <c r="BR3" s="64"/>
      <c r="BS3" s="64"/>
      <c r="BT3" s="64"/>
      <c r="BU3" s="65"/>
      <c r="BV3" s="66"/>
      <c r="BW3" s="66">
        <v>0</v>
      </c>
      <c r="BX3" s="47"/>
      <c r="CB3" s="6"/>
      <c r="CC3" s="6"/>
      <c r="CD3" s="67">
        <v>0</v>
      </c>
      <c r="CE3" s="67">
        <v>0</v>
      </c>
      <c r="CF3" s="67" t="e">
        <v>#REF!</v>
      </c>
      <c r="CG3" s="68" cm="1">
        <f t="array" ref="CG3">SUMPRODUCT(--(LEN(TRIM(BL3:BT3))&gt;0))</f>
        <v>3</v>
      </c>
      <c r="CH3" s="59" t="str">
        <f t="shared" ref="CH3:CH4" si="6">IF(CG3=2,"y","n")</f>
        <v>n</v>
      </c>
      <c r="CI3" s="59" t="str">
        <f t="shared" ref="CI3:CI4" si="7">IF(CG3=3,"y","n")</f>
        <v>y</v>
      </c>
      <c r="CJ3" s="59" t="str">
        <f t="shared" ref="CJ3:CJ4" si="8">IF(CG3=4,"y","n")</f>
        <v>n</v>
      </c>
      <c r="CK3" s="59" t="str">
        <f t="shared" ref="CK3:CK4" si="9">IF(CG3&gt;4,"y","n")</f>
        <v>n</v>
      </c>
      <c r="CL3" s="59" t="str">
        <f t="shared" ref="CL3:CL4" si="10">IF(S3=0,"y","n")</f>
        <v>n</v>
      </c>
      <c r="CM3" s="59" t="str">
        <f t="shared" ref="CM3:CM4" si="11">IF(S3=2,"y","n")</f>
        <v>n</v>
      </c>
      <c r="CN3" s="59" t="str">
        <f t="shared" ref="CN3:CN4" si="12">IF(S3=3,"y","n")</f>
        <v>y</v>
      </c>
      <c r="CO3" s="59" t="str">
        <f t="shared" ref="CO3:CO4" si="13">IF(S3&gt;=4,"y","n")</f>
        <v>n</v>
      </c>
      <c r="CP3" s="59" t="str">
        <f t="shared" ref="CP3:CP4" si="14">IF(AT3=0,"y","n")</f>
        <v>n</v>
      </c>
      <c r="CQ3" s="59" t="str">
        <f t="shared" ref="CQ3:CQ4" si="15">IF(AT3=1,"y","n")</f>
        <v>n</v>
      </c>
      <c r="CR3" s="59" t="str">
        <f t="shared" ref="CR3:CR4" si="16">IF(AT3=2,"y","n")</f>
        <v>n</v>
      </c>
      <c r="CS3" s="59" t="str">
        <f t="shared" ref="CS3:CS4" si="17">IF(AT3&gt;=3,"y","n")</f>
        <v>y</v>
      </c>
      <c r="CT3" s="69" t="str">
        <f t="shared" ref="CT3:CT4" si="18">CHAR(34)&amp;A3&amp;CHAR(34)</f>
        <v>"[TUV] Funafuti"</v>
      </c>
      <c r="CU3" s="70" t="str">
        <f t="shared" ref="CU3:CU4" si="19">CHAR(34)&amp;"rgn_"&amp;R3&amp;CHAR(34)</f>
        <v>"rgn_Oceania"</v>
      </c>
      <c r="CV3" s="48" t="str">
        <f t="shared" ref="CV3:CV4" si="20">CHAR(34)&amp;D3&amp;CHAR(34)</f>
        <v>"https://upload.wikimedia.org/wikipedia/commons/thumb/5/5c/Flag_of_Funafuti.svg/648px-Flag_of_Funafuti.svg.png"</v>
      </c>
      <c r="CW3" s="48" t="str">
        <f t="shared" si="0"/>
        <v/>
      </c>
      <c r="CX3" s="48" t="str">
        <f t="shared" si="0"/>
        <v>"3Color",</v>
      </c>
      <c r="CY3" s="48" t="str">
        <f t="shared" si="0"/>
        <v/>
      </c>
      <c r="CZ3" s="48" t="str">
        <f t="shared" si="0"/>
        <v/>
      </c>
      <c r="DA3" s="48" t="str">
        <f t="shared" ref="DA3:DA4" si="21">IF(Q3&gt;1,CHAR(34)&amp;"words2"&amp;CHAR(34)&amp;",","")</f>
        <v/>
      </c>
      <c r="DB3" s="48" t="str">
        <f t="shared" ref="DB3:DB4" si="22">IF(Q3&gt;2,CHAR(34)&amp;"words3"&amp;CHAR(34)&amp;",","")</f>
        <v/>
      </c>
      <c r="DC3" s="48" t="str">
        <f t="shared" ref="DC3" si="23">IF(Q3=2,CHAR(34)&amp;"exact2"&amp;CHAR(34)&amp;",","")</f>
        <v/>
      </c>
      <c r="DD3" s="48" t="str">
        <f t="shared" ref="DD3" si="24">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"lets08",</v>
      </c>
      <c r="DE3" s="48" t="str">
        <f t="shared" ref="DE3" si="25">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"startF",</v>
      </c>
      <c r="DF3" s="48" t="str">
        <f t="shared" ref="DF3:DF4" si="26">IFERROR(IF(SEARCH("tan",A3)&gt;0,CHAR(34)&amp;"withtn"&amp;CHAR(34)&amp;",",""),"")</f>
        <v/>
      </c>
      <c r="DG3" s="48" t="str">
        <f t="shared" ref="DG3:DG4" si="27">IFERROR(IF(SEARCH("q",A3)&gt;0,CHAR(34)&amp;"with_q"&amp;CHAR(34)&amp;",",""),"")</f>
        <v/>
      </c>
      <c r="DH3" s="48" t="str">
        <f t="shared" ref="DH3:DH4" si="28">IFERROR(IF(SEARCH("v",A3)&gt;0,CHAR(34)&amp;"with_v"&amp;CHAR(34)&amp;",",""),"")</f>
        <v>"with_v",</v>
      </c>
      <c r="DI3" s="48" t="str">
        <f t="shared" ref="DI3:DI4" si="29">IFERROR(IF(SEARCH("w",A3)&gt;0,CHAR(34)&amp;"with_w"&amp;CHAR(34)&amp;",",""),"")</f>
        <v/>
      </c>
      <c r="DJ3" s="48" t="str">
        <f t="shared" ref="DJ3:DJ4" si="30">IFERROR(IF(SEARCH("y",A3)&gt;0,CHAR(34)&amp;"with_y"&amp;CHAR(34)&amp;",",""),"")</f>
        <v/>
      </c>
      <c r="DK3" s="48" t="str">
        <f t="shared" ref="DK3:DK4" si="31">IFERROR(IF(SEARCH("z",A3)&gt;0,CHAR(34)&amp;"with_z"&amp;CHAR(34)&amp;",",""),"")</f>
        <v/>
      </c>
      <c r="DL3" s="48" t="str">
        <f t="shared" ref="DL3:DL4" si="32">IF(CG3=2, CHAR(34) &amp; _xlfn.TEXTJOIN("", TRUE, _xlfn._xlws.SORT(HP3:HX3)) &amp; CHAR(34) &amp; ",", "")</f>
        <v/>
      </c>
      <c r="DM3" s="48" t="str" cm="1">
        <f t="array" ref="DM3">IF(CG3=3,CHAR(34) &amp; _xlfn.TEXTJOIN("", TRUE, RIGHT(HP3:HX3, 2)) &amp; CHAR(34) &amp; ",", "")</f>
        <v>"LAEDHI",</v>
      </c>
      <c r="DN3" s="48" t="str">
        <f t="shared" ref="DN3:DN4" si="33">IF(AND(ISNUMBER(SEARCH("18", O3)), ISERROR(SEARCH("1918", O3)), ISERROR(SEARCH("2018", O3))), CHAR(34) &amp; "year18" &amp; CHAR(34) &amp; ",", "")</f>
        <v/>
      </c>
      <c r="DO3" s="48" t="str">
        <f t="shared" ref="DO3:DO4" si="34">IF(AND(ISNUMBER(SEARCH("19", O3)), ISERROR(SEARCH("1819", O3)),  ISERROR(SEARCH("1219", O3)),ISERROR(SEARCH("1119", O3)),ISERROR(SEARCH("1190", O3)),ISERROR(SEARCH("2019", O3))), CHAR(34) &amp; "year19" &amp; CHAR(34) &amp; ",", "")</f>
        <v/>
      </c>
      <c r="DP3" s="6" t="str">
        <f t="shared" ref="DP3:DP4" si="35">IF(AND(ISNUMBER(SEARCH("20", O3)), ISERROR(SEARCH("1920", O3))), CHAR(34)&amp;"year00"&amp;CHAR(34)&amp;",", "")</f>
        <v/>
      </c>
      <c r="DQ3" s="6" t="str">
        <f t="shared" ref="DQ3:DQ4" si="36">IF(CC3="y",CHAR(34)&amp;"soviet"&amp;CHAR(34)&amp;",","")</f>
        <v/>
      </c>
      <c r="DR3" s="6" t="str">
        <f t="shared" ref="DR3:DR4" si="37">IF(BY3="y",CHAR(34)&amp;"dgband"&amp;CHAR(34)&amp;",","")</f>
        <v/>
      </c>
      <c r="DS3" s="6" t="str">
        <f t="shared" ref="DS3:DS4" si="38">IF(W3="y",IF(AND(V3="n",BY3&lt;&gt;"y"),CHAR(34)&amp;"allver"&amp;CHAR(34)&amp;",",""),"")</f>
        <v>"allver",</v>
      </c>
      <c r="DT3" s="6" t="str">
        <f t="shared" ref="DT3:DT4" si="39">IF(V3="y",IF(AND(W3="n",BY3&lt;&gt;"y"),CHAR(34)&amp;"allhor"&amp;CHAR(34)&amp;",",""),"")</f>
        <v/>
      </c>
      <c r="DU3" s="6" t="str">
        <f t="shared" ref="DU3:DU4" si="40">IF(BY3="y",IF(AND(W3="n",V3="n"),CHAR(34)&amp;"alldia"&amp;CHAR(34)&amp;",",""),"")</f>
        <v/>
      </c>
      <c r="DV3" s="48" t="str">
        <f t="shared" ref="DV3" si="41">IF(IA3&lt;&gt;"",(IF(IA3="y",CHAR(34)&amp;"largec"&amp;CHAR(34)&amp;",",CHAR(34)&amp;"smallc"&amp;CHAR(34)&amp;",")),"")</f>
        <v/>
      </c>
      <c r="DW3" s="48" t="str">
        <f t="shared" si="1"/>
        <v/>
      </c>
      <c r="DX3" s="48" t="str">
        <f t="shared" si="1"/>
        <v/>
      </c>
      <c r="DY3" s="48" t="str">
        <f t="shared" si="1"/>
        <v>"3Bands",</v>
      </c>
      <c r="DZ3" s="48" t="str">
        <f t="shared" si="1"/>
        <v/>
      </c>
      <c r="EA3" s="48" t="str">
        <f t="shared" si="2"/>
        <v/>
      </c>
      <c r="EB3" s="48" t="str">
        <f t="shared" si="2"/>
        <v/>
      </c>
      <c r="EC3" s="48" t="str">
        <f t="shared" si="2"/>
        <v/>
      </c>
      <c r="ED3" s="48" t="str">
        <f t="shared" si="2"/>
        <v>"Vertic",</v>
      </c>
      <c r="EE3" s="48" t="str">
        <f t="shared" si="2"/>
        <v/>
      </c>
      <c r="EF3" s="48" t="str">
        <f t="shared" ref="EF3:EF4" si="42">IF(AND(Y3&lt;&gt;"n",Y3&lt;&gt;""),CHAR(34)&amp;Y$1&amp;CHAR(34)&amp;",","")</f>
        <v>"Animal",</v>
      </c>
      <c r="EG3" s="48" t="str">
        <f t="shared" si="3"/>
        <v>"Bird",</v>
      </c>
      <c r="EH3" s="48" t="str">
        <f t="shared" si="3"/>
        <v>"Plants",</v>
      </c>
      <c r="EI3" s="48" t="str">
        <f t="shared" si="3"/>
        <v>"Texted",</v>
      </c>
      <c r="EJ3" s="48" t="str">
        <f t="shared" si="3"/>
        <v/>
      </c>
      <c r="EK3" s="48" t="str">
        <f t="shared" si="3"/>
        <v/>
      </c>
      <c r="EL3" s="48" t="str">
        <f t="shared" si="3"/>
        <v/>
      </c>
      <c r="EM3" s="48" t="str">
        <f t="shared" si="3"/>
        <v/>
      </c>
      <c r="EN3" s="48" t="str">
        <f t="shared" si="3"/>
        <v>"Unequa",</v>
      </c>
      <c r="EO3" s="48" t="str">
        <f t="shared" si="3"/>
        <v>"Center",</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 t="shared" ref="FA3:FA4" si="43">IF(AT3&gt;0,CHAR(34)&amp;"sta"&amp;AZ3&amp;CHAR(34)&amp;",","")</f>
        <v>"sta",</v>
      </c>
      <c r="FB3" s="48" t="str">
        <f t="shared" ref="FB3:FB4" si="44">IF(AND(AT3&gt;0,BA3&lt;&gt;""),CHAR(34)&amp;"sta"&amp;BA3&amp;CHAR(34)&amp;",","")</f>
        <v/>
      </c>
      <c r="FC3" s="48" t="str">
        <f t="shared" ref="FC3" si="45">IF(AND(AT3&gt;0,BB3&lt;&gt;""),CHAR(34)&amp;"sta"&amp;BB3&amp;CHAR(34)&amp;",","")</f>
        <v/>
      </c>
      <c r="FD3" s="48" t="str">
        <f t="shared" ref="FD3:FD4" si="46">IF(BV3="n",CHAR(34)&amp;"tcWHYE"&amp;CHAR(34)&amp;",",IF(BV3="y",CHAR(34)&amp;FD$1&amp;CHAR(34)&amp;",",""))</f>
        <v/>
      </c>
      <c r="FE3" s="48" t="str">
        <f t="shared" ref="FE3:FE4" si="47">IF(COUNTIF(BL3:BT3,"BLU")=0,CHAR(34)&amp;"NO_BLU"&amp;CHAR(34)&amp;",", "")</f>
        <v>"NO_BLU",</v>
      </c>
      <c r="FF3" s="48" t="str">
        <f t="shared" ref="FF3:FF4" si="48">IF(COUNTIF(BL3:BT3,"WHI")=0,CHAR(34)&amp;"NO_WHI"&amp;CHAR(34)&amp;",", "")</f>
        <v/>
      </c>
      <c r="FG3" s="48" t="str">
        <f t="shared" ref="FG3:FG4" si="49">IF(COUNTIF(BL3:BT3,"RED")=0,CHAR(34)&amp;"NO_RED"&amp;CHAR(34)&amp;",", "")</f>
        <v/>
      </c>
      <c r="FH3" s="48" t="str">
        <f t="shared" ref="FH3:FH4" si="50">IF(COUNTIF(BL3:BS3,"GRE")=0,CHAR(34)&amp;"NO_GRE"&amp;CHAR(34)&amp;",", "")</f>
        <v>"NO_GRE",</v>
      </c>
      <c r="FI3" s="48" t="str">
        <f t="shared" ref="FI3:FI4" si="51">IF(COUNTIF(BL3:BT3,"YEL")=0,CHAR(34)&amp;"NO_YEL"&amp;CHAR(34)&amp;",", "")</f>
        <v>"NO_YEL",</v>
      </c>
      <c r="FJ3" s="48" t="str">
        <f t="shared" ref="FJ3:FJ4" si="52">IF(COUNTIF(BL3:BT3,"BLA")=0,CHAR(34)&amp;"NO_BLA"&amp;CHAR(34)&amp;",", "")</f>
        <v/>
      </c>
      <c r="FK3" s="48" t="str">
        <f t="shared" ref="FK3:FK4" si="53">IF(AND(FH3&lt;&gt;"",FF3&lt;&gt;""),CHAR(34)&amp;"WHGRNO"&amp;CHAR(34)&amp;",","")</f>
        <v/>
      </c>
      <c r="FL3" s="48" t="str">
        <f t="shared" ref="FL3:FL4" si="54">IF(AND(FI3&lt;&gt;"",FF3&lt;&gt;""),CHAR(34)&amp;"WHYENO"&amp;CHAR(34)&amp;",","")</f>
        <v/>
      </c>
      <c r="FM3" s="48" t="str">
        <f t="shared" ref="FM3:FM4" si="55">IF(AND(FJ3&lt;&gt;"",FF3&lt;&gt;""),CHAR(34)&amp;"BAWHNO"&amp;CHAR(34)&amp;",","")</f>
        <v/>
      </c>
      <c r="FN3" s="48" t="str">
        <f t="shared" ref="FN3:FN4" si="56">IF(AND(FE3&lt;&gt;"",FF3&lt;&gt;""),CHAR(34)&amp;"BLWHNO"&amp;CHAR(34)&amp;",","")</f>
        <v/>
      </c>
      <c r="FO3" s="48" t="str">
        <f t="shared" ref="FO3:FO4" si="57">IF(AND(FE3&lt;&gt;"",FG3&lt;&gt;""),CHAR(34)&amp;"BLRENO"&amp;CHAR(34)&amp;",","")</f>
        <v/>
      </c>
      <c r="FP3" s="48" t="str">
        <f t="shared" ref="FP3:FP4" si="58">IF(AND(FF3&lt;&gt;"",FF3&lt;&gt;""),CHAR(34)&amp;"WHRENO"&amp;CHAR(34)&amp;",","")</f>
        <v/>
      </c>
      <c r="FQ3" s="48" t="str">
        <f t="shared" ref="FQ3:FQ4" si="59">IF(LEN(BF3)=3,CHAR(34)&amp;"001"&amp;BF3&amp;CHAR(34)&amp;",","")</f>
        <v>"001BLA",</v>
      </c>
      <c r="FR3" s="48" t="str">
        <f t="shared" ref="FR3:FR4" si="60">IF(LEN(BG3)=3,CHAR(34)&amp;"002"&amp;BG3&amp;CHAR(34)&amp;",","")</f>
        <v/>
      </c>
      <c r="FS3" s="48" t="str">
        <f t="shared" ref="FS3:FS4" si="61">IF(LEN(BH3)=3,CHAR(34)&amp;"003"&amp;BH3&amp;CHAR(34)&amp;",","")</f>
        <v>"003RED",</v>
      </c>
      <c r="FT3" s="48" t="str">
        <f t="shared" ref="FT3:FT4" si="62">CHAR(34)&amp;"myr"&amp;BD3&amp;CHAR(34)&amp;","</f>
        <v>"myrRED",</v>
      </c>
      <c r="FU3" s="48" t="str">
        <f t="shared" ref="FU3:FU4" si="63">IF(AY3="y",CHAR(34)&amp;"island"&amp;CHAR(34)&amp;",","")</f>
        <v/>
      </c>
      <c r="FV3" s="48" t="str">
        <f t="shared" ref="FV3:FV4" si="64">IF(BZ3="y",CHAR(34)&amp;"landlo"&amp;CHAR(34)&amp;",","")</f>
        <v/>
      </c>
      <c r="FW3" s="48" t="str">
        <f t="shared" ref="FW3:FW4" si="65">IF(CA3="y",CHAR(34)&amp;"eunion"&amp;CHAR(34)&amp;",","")</f>
        <v/>
      </c>
      <c r="FX3" s="48" t="str">
        <f t="shared" ref="FX3" si="66">SUBSTITUTE(IFERROR(SEARCH("[",A3),IFERROR(IF(AND(CA3&lt;&gt;"y",SEARCH("Europe",R3)&gt;0),CHAR(34)&amp;"noeuni"&amp;CHAR(34)&amp;",",""),"")),"1","")</f>
        <v/>
      </c>
      <c r="FY3" s="48" t="str">
        <f t="shared" ref="FY3:FY4" si="67">IFERROR(IF(SEARCH("Arabic",CB3)&gt;0,CHAR(34)&amp;"arabic"&amp;CHAR(34)&amp;",",""),"")</f>
        <v/>
      </c>
      <c r="FZ3" s="48" t="str">
        <f t="shared" ref="FZ3:FZ4" si="68">IFERROR(IF(SEARCH("English",CB3)&gt;0,CHAR(34)&amp;"englis"&amp;CHAR(34)&amp;",",""),"")</f>
        <v/>
      </c>
      <c r="GA3" s="48" t="str">
        <f t="shared" ref="GA3:GA4" si="69">IFERROR(IF(SEARCH("French",CB3)&gt;0,CHAR(34)&amp;"french"&amp;CHAR(34)&amp;",",""),"")</f>
        <v/>
      </c>
      <c r="GB3" s="48" t="str">
        <f t="shared" ref="GB3:GB4" si="70">IFERROR(IF(SEARCH("Spanish",CB3)&gt;0,CHAR(34)&amp;"spanis"&amp;CHAR(34)&amp;",",""),"")</f>
        <v/>
      </c>
      <c r="GC3" s="48" t="str">
        <f t="shared" ref="GC3" si="71">IFERROR(IF(SEARCH("Portuguese",CB3)&gt;0,CHAR(34)&amp;"portug"&amp;CHAR(34)&amp;",",""),"")</f>
        <v/>
      </c>
      <c r="GD3" s="48" t="str">
        <f t="shared" ref="GD3" si="72">IFERROR(IF(SEARCH("German",CB3)&gt;0,CHAR(34)&amp;"german"&amp;CHAR(34)&amp;",",""),"")</f>
        <v/>
      </c>
      <c r="GE3" s="48" t="str">
        <f t="shared" ref="GE3:GE4" si="73">IFERROR(IF(SEARCH("Dutch",CB3)&gt;0,CHAR(34)&amp;"dutchs"&amp;CHAR(34)&amp;",",""),"")</f>
        <v/>
      </c>
      <c r="GF3" s="48" t="str">
        <f t="shared" ref="GF3:GF4" si="74">IFERROR(IF(SEARCH("Historical",AU3)&gt;0,CHAR(34)&amp;"histor"&amp;CHAR(34)&amp;",",""),"")</f>
        <v/>
      </c>
      <c r="GG3" s="48" t="str">
        <f t="shared" ref="GG3:GG4" si="75">IF(BU3="y",CHAR(34)&amp;"unjack"&amp;CHAR(34)&amp;",","")</f>
        <v/>
      </c>
      <c r="GH3" s="48" t="str">
        <f t="shared" ref="GH3:GH4" si="76">IF(CD3=1,CHAR(34)&amp;"southc"&amp;CHAR(34)&amp;",","")</f>
        <v/>
      </c>
      <c r="GI3" s="48" t="str">
        <f t="shared" ref="GI3:GI4" si="77">IF(CE3=1,CHAR(34)&amp;"hasmap"&amp;CHAR(34)&amp;",","")</f>
        <v/>
      </c>
      <c r="GJ3" s="48" t="str">
        <f t="shared" ref="GJ3:GJ4" si="78">IF(CP3="y",CHAR(34)&amp;CP$1&amp;CHAR(34)&amp;",","")</f>
        <v/>
      </c>
      <c r="GK3" s="48" t="str">
        <f t="shared" ref="GK3:GK4" si="79">IF(GJ3="",CHAR(34)&amp;"HasSta"&amp;CHAR(34)&amp;",","")</f>
        <v>"HasSta",</v>
      </c>
      <c r="GL3" s="48" t="str">
        <f t="shared" si="4"/>
        <v/>
      </c>
      <c r="GM3" s="48" t="str">
        <f t="shared" si="4"/>
        <v/>
      </c>
      <c r="GN3" s="48" t="str">
        <f t="shared" si="4"/>
        <v>"3+Star",</v>
      </c>
      <c r="GP3" s="48" t="str">
        <f t="shared" ref="GP3:GP4" si="80">CHAR(34)&amp;AU3&amp;CHAR(34)</f>
        <v>"City"</v>
      </c>
      <c r="GS3" s="48" t="str">
        <f t="shared" ref="GS3:GS4" si="81">SUBSTITUTE("["&amp;_xlfn.CONCAT(CW3:GN3)&amp;"]",",]","]")</f>
        <v>["3Color","lets08","startF","with_v","LAEDHI","allver","3Bands","Vertic","Animal","Bird","Plants","Texted","Unequa","Center","sta","NO_BLU","NO_GRE","NO_YEL","001BLA","003RED","myrRED","HasSta","3+Star"]</v>
      </c>
      <c r="GT3" s="48" t="str">
        <f t="shared" si="5"/>
        <v>"cl_BLA",</v>
      </c>
      <c r="GU3" s="48" t="str">
        <f t="shared" si="5"/>
        <v>"cl_WHI",</v>
      </c>
      <c r="GV3" s="48" t="str">
        <f t="shared" si="5"/>
        <v>"cl_RED",</v>
      </c>
      <c r="GW3" s="48" t="str">
        <f t="shared" si="5"/>
        <v/>
      </c>
      <c r="GX3" s="48" t="str">
        <f t="shared" si="5"/>
        <v/>
      </c>
      <c r="GY3" s="48" t="str">
        <f t="shared" si="5"/>
        <v/>
      </c>
      <c r="GZ3" s="48" t="str">
        <f t="shared" si="5"/>
        <v/>
      </c>
      <c r="HA3" s="48" t="str">
        <f t="shared" si="5"/>
        <v/>
      </c>
      <c r="HB3" s="48" t="str">
        <f t="shared" si="5"/>
        <v/>
      </c>
      <c r="HC3" s="48" t="str">
        <f t="shared" ref="HC3:HC4" si="82">SUBSTITUTE("["&amp;_xlfn.CONCAT(GT3:HB3)&amp;"]",",]","]")</f>
        <v>["cl_BLA","cl_WHI","cl_RED"]</v>
      </c>
      <c r="HE3" s="71"/>
      <c r="HF3" s="72" t="str">
        <f t="shared" ref="HF3:HF4" si="83">"{couname:"&amp;CT3&amp;(IF(HK3&lt;&gt;"",",subtype:"&amp;CHAR(34)&amp;HK3&amp;CHAR(34),""))&amp;",year:"&amp;HJ3&amp;",region:"&amp;CU3&amp;",Colors:"&amp;HC3&amp;",Items:"&amp;GS3&amp;",Flag:"&amp;CV3&amp;",HDFlag:"&amp;CHAR(34)&amp;E3&amp;CHAR(34)&amp;",type:"&amp;GP3&amp;", describe: "&amp;HH3&amp;", isnew:"&amp;CHAR(34)&amp;F3&amp;CHAR(34)&amp;", links: "&amp;HL3&amp;"},"</f>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links: "https://en.wikipedia.org/wiki/Funafuti"},</v>
      </c>
      <c r="HG3" s="73" t="str">
        <f t="shared" ref="HG3:HG4" si="84">"{couname:"&amp;CT3&amp;(IF(HK3&lt;&gt;"",",subtype:"&amp;CHAR(34)&amp;HK3&amp;CHAR(34),""))&amp;",year:"&amp;HJ3&amp;",region:"&amp;CU3&amp;",Colors:"&amp;HC3&amp;",Items:"&amp;GS3&amp;",Flag:"&amp;CV3&amp;",HDFlag:"&amp;CHAR(34)&amp;E3&amp;CHAR(34)&amp;",type:"&amp;GP3&amp;", describe: "&amp;HI3&amp;", links: "&amp;HL3&amp;"},"</f>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links: "https://en.wikipedia.org/wiki/Funafuti"},</v>
      </c>
      <c r="HH3" s="48" t="str">
        <f t="shared" ref="HH3:HH4" si="85">IF(P3&lt;&gt;"",CHAR(34)&amp;"\n"&amp;P3&amp;CHAR(34),CHAR(34)&amp;CHAR(34))</f>
        <v>"\nFunafuti is the capital of the island nation of Tuvalu. More people live in Funafuti than the rest of Tuvalu combined, with it containing approximately 60% of the nation's population."</v>
      </c>
      <c r="HI3" s="48" t="str">
        <f t="shared" ref="HI3:HI4" si="86">IF(J3=0,CHAR(34)&amp;CHAR(34),HH3)</f>
        <v>"\nFunafuti is the capital of the island nation of Tuvalu. More people live in Funafuti than the rest of Tuvalu combined, with it containing approximately 60% of the nation's population."</v>
      </c>
      <c r="HJ3" s="48" t="str">
        <f t="shared" ref="HJ3:HJ4" si="87">CHAR(34)&amp;O3&amp;CHAR(34)</f>
        <v>"??? "</v>
      </c>
      <c r="HL3" s="48" t="str">
        <f t="shared" ref="HL3:HL4" si="88">CHAR(34)&amp;I3&amp;CHAR(34)</f>
        <v>"https://en.wikipedia.org/wiki/Funafuti"</v>
      </c>
      <c r="HM3" s="72" t="str">
        <f t="shared" ref="HM3:HM4" si="89">"{"&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 "links": "https://en.wikipedia.org/wiki/Funafuti"},</v>
      </c>
      <c r="HN3" s="74" t="str">
        <f t="shared" ref="HN3:HN4" si="90">"{"&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{"couname":"[TUV] Funafuti","year":"??? ","region":"rgn_Oceania","Colors":["cl_BLA","cl_WHI","cl_RED"],"Items":["3Color","lets08","startF","with_v","LAEDHI","allver","3Bands","Vertic","Animal","Bird","Plants","Texted","Unequa","Center","sta","NO_BLU","NO_GRE","NO_YEL","001BLA","003RED","myrRED","HasSta","3+Star"],"Flag":"https://upload.wikimedia.org/wikipedia/commons/thumb/5/5c/Flag_of_Funafuti.svg/648px-Flag_of_Funafuti.svg.png","HDFlag":"https://upload.wikimedia.org/wikipedia/commons/thumb/5/5c/Flag_of_Funafuti.svg/648px-Flag_of_Funafuti.svg.png","type":"City", "describe": "\nFunafuti is the capital of the island nation of Tuvalu. More people live in Funafuti than the rest of Tuvalu combined, with it containing approximately 60% of the nation's population.", "isnew": ".", "links": "https://en.wikipedia.org/wiki/Funafuti"},</v>
      </c>
      <c r="HO3" s="75"/>
      <c r="HP3" s="48" t="str" cm="1">
        <f t="array" ref="HP3">IF(_xlfn.TEXTJOIN(", ", TRUE, IF(ISNUMBER(SEARCH("BLA", BL3:BT3)), COLUMN(BL3:BT3) - COLUMN(BL3) + 1, ""))&lt;&gt;"","BLA","")</f>
        <v>BLA</v>
      </c>
      <c r="HQ3" s="48" t="str" cm="1">
        <f t="array" ref="HQ3">IF(_xlfn.TEXTJOIN(", ", TRUE, IF(ISNUMBER(SEARCH("BLU", BL3:BT3)), COLUMN(BL3:BT3) - COLUMN(BL3) + 1, ""))&lt;&gt;"","BLU","")</f>
        <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WHI</v>
      </c>
      <c r="HY3" s="76"/>
      <c r="HZ3" s="76"/>
      <c r="IA3" s="6"/>
      <c r="IB3" s="6"/>
      <c r="IC3" s="77"/>
      <c r="ID3" s="77"/>
      <c r="IE3" s="77"/>
      <c r="IF3" s="77"/>
      <c r="IG3" s="77"/>
      <c r="IH3" s="77"/>
      <c r="II3" s="77"/>
      <c r="IJ3" s="77"/>
      <c r="IK3" s="77"/>
      <c r="IL3" s="48">
        <f t="shared" ref="IL3" si="91">SUM(IC3:IK3)</f>
        <v>0</v>
      </c>
      <c r="IM3" s="45">
        <f t="shared" ref="IM3:IM4" si="92">COUNTIF(IC3:IK3,"&gt;0")-CG3</f>
        <v>-3</v>
      </c>
      <c r="IN3" s="78" t="str">
        <f t="shared" ref="IN3:IN4" si="93">"http://mkweb.bcgsc.ca/color-summarizer/?url="&amp;D3&amp;"&amp;precision=low&amp;num_clusters="&amp;CG3&amp;"&amp;text=1"</f>
        <v>http://mkweb.bcgsc.ca/color-summarizer/?url=https://upload.wikimedia.org/wikipedia/commons/thumb/5/5c/Flag_of_Funafuti.svg/648px-Flag_of_Funafuti.svg.png&amp;precision=low&amp;num_clusters=3&amp;text=1</v>
      </c>
      <c r="IO3" s="48" t="str">
        <f t="shared" ref="IO3:IO4" si="94">IF(HP3&lt;&gt;"",CHAR(34)&amp;"black"&amp;CHAR(34),"")</f>
        <v>"black"</v>
      </c>
      <c r="IP3" s="48" t="str">
        <f t="shared" ref="IP3:IP4" si="95">IF(HQ3&lt;&gt;"",CHAR(34)&amp;"blue"&amp;CHAR(34),"")</f>
        <v/>
      </c>
      <c r="IQ3" s="48" t="str">
        <f t="shared" ref="IQ3:IQ4" si="96">IF(HR3&lt;&gt;"",CHAR(34)&amp;"green"&amp;CHAR(34),"")</f>
        <v/>
      </c>
      <c r="IR3" s="48" t="str">
        <f t="shared" ref="IR3:IR4" si="97">IF(HS3&lt;&gt;"",CHAR(34)&amp;"red"&amp;CHAR(34),"")</f>
        <v>"red"</v>
      </c>
      <c r="IS3" s="48" t="str">
        <f t="shared" ref="IS3:IS4" si="98">IF(HT3&lt;&gt;"",CHAR(34)&amp;"yellow"&amp;CHAR(34),"")</f>
        <v/>
      </c>
      <c r="IT3" s="48" t="str">
        <f t="shared" ref="IT3:IT4" si="99">IF(HU3&lt;&gt;"",CHAR(34)&amp;"orange"&amp;CHAR(34),"")</f>
        <v/>
      </c>
      <c r="IU3" s="48" t="str">
        <f t="shared" ref="IU3:IU4" si="100">IF(HV3&lt;&gt;"",CHAR(34)&amp;"brown"&amp;CHAR(34),"")</f>
        <v/>
      </c>
      <c r="IV3" s="48" t="str">
        <f t="shared" ref="IV3:IV4" si="101">IF(HW3&lt;&gt;"",CHAR(34)&amp;"purple"&amp;CHAR(34),"")</f>
        <v/>
      </c>
      <c r="IW3" s="48" t="str">
        <f t="shared" ref="IW3:IW4" si="102">IF(HX3&lt;&gt;"",CHAR(34)&amp;"white"&amp;CHAR(34),"")</f>
        <v>"white"</v>
      </c>
      <c r="IX3" s="48" t="str">
        <f t="shared" ref="IX3:IX4" si="103">"{"&amp;CHAR(34)&amp;"url"&amp;CHAR(34)&amp;":"&amp;CHAR(34)&amp;IN3&amp;CHAR(34)&amp;","&amp;CHAR(34)&amp;"name"&amp;CHAR(34)&amp;":"&amp;CHAR(34)&amp;A3&amp;CHAR(34)&amp;"},"</f>
        <v>{"url":"http://mkweb.bcgsc.ca/color-summarizer/?url=https://upload.wikimedia.org/wikipedia/commons/thumb/5/5c/Flag_of_Funafuti.svg/648px-Flag_of_Funafuti.svg.png&amp;precision=low&amp;num_clusters=3&amp;text=1","name":"[TUV] Funafuti"},</v>
      </c>
      <c r="IY3" s="48">
        <v>341</v>
      </c>
    </row>
    <row r="4" spans="1:259" s="48" customFormat="1" ht="38.4" customHeight="1" thickBot="1" x14ac:dyDescent="0.35">
      <c r="A4" s="81" t="s">
        <v>846</v>
      </c>
      <c r="B4" s="40" t="e" vm="112">
        <v>#VALUE!</v>
      </c>
      <c r="C4" s="41">
        <v>3</v>
      </c>
      <c r="D4" s="42" t="s">
        <v>847</v>
      </c>
      <c r="E4" s="43" t="s">
        <v>848</v>
      </c>
      <c r="F4" s="44" t="s">
        <v>393</v>
      </c>
      <c r="G4" s="45">
        <f>COUNTIF($A$1:$A$8213,A4)</f>
        <v>1</v>
      </c>
      <c r="H4" s="46" t="s">
        <v>849</v>
      </c>
      <c r="I4" s="47" t="s">
        <v>850</v>
      </c>
      <c r="J4" s="48" t="str">
        <f>""</f>
        <v/>
      </c>
      <c r="K4" s="49"/>
      <c r="L4" s="50"/>
      <c r="M4" s="50"/>
      <c r="N4" s="51" t="s">
        <v>169</v>
      </c>
      <c r="O4" s="52">
        <v>1996</v>
      </c>
      <c r="P4" s="53" t="s">
        <v>851</v>
      </c>
      <c r="Q4" s="54">
        <v>2</v>
      </c>
      <c r="R4" s="55" t="s">
        <v>169</v>
      </c>
      <c r="S4" s="56">
        <v>5</v>
      </c>
      <c r="T4" s="57" t="s">
        <v>172</v>
      </c>
      <c r="U4" s="58" t="s">
        <v>173</v>
      </c>
      <c r="V4" s="58" t="s">
        <v>172</v>
      </c>
      <c r="W4" s="58" t="s">
        <v>173</v>
      </c>
      <c r="X4" s="58" t="s">
        <v>173</v>
      </c>
      <c r="Y4" s="58" t="s">
        <v>172</v>
      </c>
      <c r="Z4" s="58" t="s">
        <v>173</v>
      </c>
      <c r="AA4" s="58" t="s">
        <v>172</v>
      </c>
      <c r="AB4" s="58" t="s">
        <v>172</v>
      </c>
      <c r="AC4" s="58" t="s">
        <v>173</v>
      </c>
      <c r="AD4" s="58" t="s">
        <v>173</v>
      </c>
      <c r="AE4" s="58" t="s">
        <v>173</v>
      </c>
      <c r="AF4" s="59" t="s">
        <v>172</v>
      </c>
      <c r="AG4" s="59" t="s">
        <v>173</v>
      </c>
      <c r="AH4" s="59" t="s">
        <v>173</v>
      </c>
      <c r="AI4" s="59" t="s">
        <v>173</v>
      </c>
      <c r="AJ4" s="59" t="s">
        <v>173</v>
      </c>
      <c r="AK4" s="59" t="s">
        <v>173</v>
      </c>
      <c r="AL4" s="59" t="s">
        <v>173</v>
      </c>
      <c r="AM4" s="59" t="s">
        <v>172</v>
      </c>
      <c r="AN4" s="59" t="s">
        <v>173</v>
      </c>
      <c r="AO4" s="59" t="s">
        <v>172</v>
      </c>
      <c r="AP4" s="59" t="s">
        <v>173</v>
      </c>
      <c r="AQ4" s="59" t="s">
        <v>173</v>
      </c>
      <c r="AR4" s="59" t="s">
        <v>173</v>
      </c>
      <c r="AS4" s="59" t="s">
        <v>173</v>
      </c>
      <c r="AT4" s="60">
        <v>8</v>
      </c>
      <c r="AU4" s="59" t="s">
        <v>677</v>
      </c>
      <c r="AV4" s="59" t="str">
        <f>IF(LEFT(A4,1)="[",LEFT(A4,5)&amp;AU4&amp;A4,"")</f>
        <v>[TUV]Historical[TUV] Tuvalu (1996-1997)</v>
      </c>
      <c r="AW4" s="59" t="str">
        <f>C4&amp;H4&amp;A4</f>
        <v>3[TUV] Other[TUV] Tuvalu (1996-1997)</v>
      </c>
      <c r="AX4" s="61"/>
      <c r="AY4" s="61"/>
      <c r="AZ4" s="62" t="s">
        <v>192</v>
      </c>
      <c r="BA4" s="62" t="s">
        <v>192</v>
      </c>
      <c r="BB4" s="62"/>
      <c r="BC4" s="63"/>
      <c r="BD4" s="64" t="s">
        <v>408</v>
      </c>
      <c r="BE4" s="47"/>
      <c r="BF4" s="64" t="s">
        <v>154</v>
      </c>
      <c r="BG4" s="64" t="s">
        <v>159</v>
      </c>
      <c r="BH4" s="64" t="s">
        <v>152</v>
      </c>
      <c r="BI4" s="64"/>
      <c r="BJ4" s="64"/>
      <c r="BK4" s="47"/>
      <c r="BL4" s="64" t="s">
        <v>151</v>
      </c>
      <c r="BM4" s="64" t="s">
        <v>152</v>
      </c>
      <c r="BN4" s="64" t="s">
        <v>153</v>
      </c>
      <c r="BO4" s="64" t="s">
        <v>154</v>
      </c>
      <c r="BP4" s="64" t="s">
        <v>155</v>
      </c>
      <c r="BQ4" s="64" t="s">
        <v>192</v>
      </c>
      <c r="BR4" s="64" t="s">
        <v>157</v>
      </c>
      <c r="BS4" s="64" t="s">
        <v>192</v>
      </c>
      <c r="BT4" s="64" t="s">
        <v>159</v>
      </c>
      <c r="BU4" s="65"/>
      <c r="BV4" s="66"/>
      <c r="BW4" s="66">
        <v>0</v>
      </c>
      <c r="BX4" s="47"/>
      <c r="BY4" s="48" t="s">
        <v>172</v>
      </c>
      <c r="CB4" s="6"/>
      <c r="CC4" s="6"/>
      <c r="CD4" s="67">
        <v>0</v>
      </c>
      <c r="CE4" s="67">
        <v>0</v>
      </c>
      <c r="CF4" s="67" t="e">
        <v>#REF!</v>
      </c>
      <c r="CG4" s="68" cm="1">
        <f t="array" ref="CG4">SUMPRODUCT(--(LEN(TRIM(BL4:BT4))&gt;0))</f>
        <v>7</v>
      </c>
      <c r="CH4" s="59" t="str">
        <f t="shared" si="6"/>
        <v>n</v>
      </c>
      <c r="CI4" s="59" t="str">
        <f t="shared" si="7"/>
        <v>n</v>
      </c>
      <c r="CJ4" s="59" t="str">
        <f t="shared" si="8"/>
        <v>n</v>
      </c>
      <c r="CK4" s="59" t="str">
        <f t="shared" si="9"/>
        <v>y</v>
      </c>
      <c r="CL4" s="59" t="str">
        <f t="shared" si="10"/>
        <v>n</v>
      </c>
      <c r="CM4" s="59" t="str">
        <f t="shared" si="11"/>
        <v>n</v>
      </c>
      <c r="CN4" s="59" t="str">
        <f t="shared" si="12"/>
        <v>n</v>
      </c>
      <c r="CO4" s="59" t="str">
        <f t="shared" si="13"/>
        <v>y</v>
      </c>
      <c r="CP4" s="59" t="str">
        <f t="shared" si="14"/>
        <v>n</v>
      </c>
      <c r="CQ4" s="59" t="str">
        <f t="shared" si="15"/>
        <v>n</v>
      </c>
      <c r="CR4" s="59" t="str">
        <f t="shared" si="16"/>
        <v>n</v>
      </c>
      <c r="CS4" s="59" t="str">
        <f t="shared" si="17"/>
        <v>y</v>
      </c>
      <c r="CT4" s="69" t="str">
        <f t="shared" si="18"/>
        <v>"[TUV] Tuvalu (1996-1997)"</v>
      </c>
      <c r="CU4" s="70" t="str">
        <f t="shared" si="19"/>
        <v>"rgn_Oceania"</v>
      </c>
      <c r="CV4" s="48" t="str">
        <f t="shared" si="20"/>
        <v>"https://upload.wikimedia.org/wikipedia/commons/thumb/d/d3/Flag_of_Tuvalu_%281996%E2%80%931997%29.svg/640px-Flag_of_Tuvalu_%281996%E2%80%931997%29.svg.png"</v>
      </c>
      <c r="CW4" s="48" t="str">
        <f t="shared" si="0"/>
        <v/>
      </c>
      <c r="CX4" s="48" t="str">
        <f t="shared" si="0"/>
        <v/>
      </c>
      <c r="CY4" s="48" t="str">
        <f t="shared" si="0"/>
        <v/>
      </c>
      <c r="CZ4" s="48" t="str">
        <f t="shared" si="0"/>
        <v>"5+Colo",</v>
      </c>
      <c r="DA4" s="48" t="str">
        <f t="shared" si="21"/>
        <v>"words2",</v>
      </c>
      <c r="DB4" s="48" t="str">
        <f t="shared" si="22"/>
        <v/>
      </c>
      <c r="DD4" s="48" t="str">
        <f t="shared" ref="DD4" si="104">IF(LEN(CHAR(34)&amp;"lets"&amp;LEN(SUBSTITUTE(SUBSTITUTE(IFERROR(TRIM(SUBSTITUTE(A4,MID(A4,FIND("[",A4),FIND("]",A4)-FIND("[",A4)+1),"")),A4)," ",""),"-",""))&amp;CHAR(34)&amp;",")=9,CHAR(34)&amp;"lets"&amp;LEN(SUBSTITUTE(SUBSTITUTE(IFERROR(TRIM(SUBSTITUTE(A4,MID(A4,FIND("[",A4),FIND("]",A4)-FIND("[",A4)+1),"")),A4)," ",""),"-",""))&amp;CHAR(34)&amp;",",CHAR(34)&amp;"lets0"&amp;LEN(SUBSTITUTE(SUBSTITUTE(IFERROR(TRIM(SUBSTITUTE(A4,MID(A4,FIND("[",A4),FIND("]",A4)-FIND("[",A4)+1),"")),A4)," ",""),"-",""))&amp;CHAR(34)&amp;",")</f>
        <v>"lets16",</v>
      </c>
      <c r="DE4" s="48" t="str">
        <f t="shared" ref="DE4" si="105">CHAR(34)&amp;"start"&amp;IFERROR(LEFT(SUBSTITUTE(A4,"["&amp;MID(A4,FIND("[",A4)+1,FIND("]",A4)-FIND("[",A4)-1)&amp;"] ",""),1),LEFT(A4,1))&amp;CHAR(34)&amp;","</f>
        <v>"startT",</v>
      </c>
      <c r="DF4" s="48" t="str">
        <f t="shared" si="26"/>
        <v/>
      </c>
      <c r="DG4" s="48" t="str">
        <f t="shared" si="27"/>
        <v/>
      </c>
      <c r="DH4" s="48" t="str">
        <f t="shared" si="28"/>
        <v>"with_v",</v>
      </c>
      <c r="DI4" s="48" t="str">
        <f t="shared" si="29"/>
        <v/>
      </c>
      <c r="DJ4" s="48" t="str">
        <f t="shared" si="30"/>
        <v/>
      </c>
      <c r="DK4" s="48" t="str">
        <f t="shared" si="31"/>
        <v/>
      </c>
      <c r="DL4" s="48" t="str">
        <f t="shared" si="32"/>
        <v/>
      </c>
      <c r="DM4" s="48" t="str" cm="1">
        <f t="array" ref="DM4">IF(CG4=3,CHAR(34) &amp; _xlfn.TEXTJOIN("", TRUE, RIGHT(HP4:HX4, 2)) &amp; CHAR(34) &amp; ",", "")</f>
        <v/>
      </c>
      <c r="DN4" s="48" t="str">
        <f t="shared" si="33"/>
        <v/>
      </c>
      <c r="DO4" s="48" t="str">
        <f t="shared" si="34"/>
        <v>"year19",</v>
      </c>
      <c r="DP4" s="6" t="str">
        <f t="shared" si="35"/>
        <v/>
      </c>
      <c r="DQ4" s="6" t="str">
        <f t="shared" si="36"/>
        <v/>
      </c>
      <c r="DR4" s="6" t="str">
        <f t="shared" si="37"/>
        <v>"dgband",</v>
      </c>
      <c r="DS4" s="6" t="str">
        <f t="shared" si="38"/>
        <v/>
      </c>
      <c r="DT4" s="6" t="str">
        <f t="shared" si="39"/>
        <v/>
      </c>
      <c r="DU4" s="6" t="str">
        <f t="shared" si="40"/>
        <v/>
      </c>
      <c r="DW4" s="48" t="str">
        <f t="shared" si="1"/>
        <v/>
      </c>
      <c r="DX4" s="48" t="str">
        <f t="shared" si="1"/>
        <v/>
      </c>
      <c r="DY4" s="48" t="str">
        <f t="shared" si="1"/>
        <v/>
      </c>
      <c r="DZ4" s="48" t="str">
        <f t="shared" si="1"/>
        <v>"4+Band",</v>
      </c>
      <c r="EA4" s="48" t="str">
        <f t="shared" si="2"/>
        <v>"Diagon",</v>
      </c>
      <c r="EB4" s="48" t="str">
        <f t="shared" si="2"/>
        <v/>
      </c>
      <c r="EC4" s="48" t="str">
        <f t="shared" si="2"/>
        <v>"Horizo",</v>
      </c>
      <c r="ED4" s="48" t="str">
        <f t="shared" si="2"/>
        <v/>
      </c>
      <c r="EE4" s="48" t="str">
        <f t="shared" si="2"/>
        <v/>
      </c>
      <c r="EF4" s="48" t="str">
        <f t="shared" si="42"/>
        <v>"Animal",</v>
      </c>
      <c r="EG4" s="48" t="str">
        <f t="shared" si="3"/>
        <v/>
      </c>
      <c r="EH4" s="48" t="str">
        <f t="shared" si="3"/>
        <v>"Plants",</v>
      </c>
      <c r="EI4" s="48" t="str">
        <f t="shared" si="3"/>
        <v>"Texted",</v>
      </c>
      <c r="EJ4" s="48" t="str">
        <f t="shared" si="3"/>
        <v/>
      </c>
      <c r="EK4" s="48" t="str">
        <f t="shared" si="3"/>
        <v/>
      </c>
      <c r="EL4" s="48" t="str">
        <f t="shared" si="3"/>
        <v/>
      </c>
      <c r="EM4" s="48" t="str">
        <f t="shared" si="3"/>
        <v>"Trside",</v>
      </c>
      <c r="EN4" s="48" t="str">
        <f t="shared" si="3"/>
        <v/>
      </c>
      <c r="EO4" s="48" t="str">
        <f t="shared" si="3"/>
        <v/>
      </c>
      <c r="EP4" s="48" t="str">
        <f t="shared" si="3"/>
        <v/>
      </c>
      <c r="EQ4" s="48" t="str">
        <f t="shared" si="3"/>
        <v/>
      </c>
      <c r="ER4" s="48" t="str">
        <f t="shared" si="3"/>
        <v/>
      </c>
      <c r="ES4" s="48" t="str">
        <f t="shared" si="3"/>
        <v/>
      </c>
      <c r="ET4" s="48" t="str">
        <f t="shared" si="3"/>
        <v>"Geogrh",</v>
      </c>
      <c r="EU4" s="48" t="str">
        <f t="shared" si="3"/>
        <v/>
      </c>
      <c r="EV4" s="48" t="str">
        <f t="shared" si="3"/>
        <v>"Builds",</v>
      </c>
      <c r="EW4" s="48" t="str">
        <f t="shared" si="3"/>
        <v/>
      </c>
      <c r="EX4" s="48" t="str">
        <f t="shared" si="3"/>
        <v/>
      </c>
      <c r="EY4" s="48" t="str">
        <f t="shared" si="3"/>
        <v/>
      </c>
      <c r="EZ4" s="48" t="str">
        <f t="shared" si="3"/>
        <v/>
      </c>
      <c r="FA4" s="48" t="str">
        <f t="shared" si="43"/>
        <v>"sta",</v>
      </c>
      <c r="FB4" s="48" t="str">
        <f t="shared" si="44"/>
        <v/>
      </c>
      <c r="FD4" s="48" t="str">
        <f t="shared" si="46"/>
        <v/>
      </c>
      <c r="FE4" s="48" t="str">
        <f t="shared" si="47"/>
        <v/>
      </c>
      <c r="FF4" s="48" t="str">
        <f t="shared" si="48"/>
        <v/>
      </c>
      <c r="FG4" s="48" t="str">
        <f t="shared" si="49"/>
        <v/>
      </c>
      <c r="FH4" s="48" t="str">
        <f t="shared" si="50"/>
        <v/>
      </c>
      <c r="FI4" s="48" t="str">
        <f t="shared" si="51"/>
        <v/>
      </c>
      <c r="FJ4" s="48" t="str">
        <f t="shared" si="52"/>
        <v/>
      </c>
      <c r="FK4" s="48" t="str">
        <f t="shared" si="53"/>
        <v/>
      </c>
      <c r="FL4" s="48" t="str">
        <f t="shared" si="54"/>
        <v/>
      </c>
      <c r="FM4" s="48" t="str">
        <f t="shared" si="55"/>
        <v/>
      </c>
      <c r="FN4" s="48" t="str">
        <f t="shared" si="56"/>
        <v/>
      </c>
      <c r="FO4" s="48" t="str">
        <f t="shared" si="57"/>
        <v/>
      </c>
      <c r="FP4" s="48" t="str">
        <f t="shared" si="58"/>
        <v/>
      </c>
      <c r="FQ4" s="48" t="str">
        <f t="shared" si="59"/>
        <v>"001RED",</v>
      </c>
      <c r="FR4" s="48" t="str">
        <f t="shared" si="60"/>
        <v>"002WHI",</v>
      </c>
      <c r="FS4" s="48" t="str">
        <f t="shared" si="61"/>
        <v>"003BLU",</v>
      </c>
      <c r="FT4" s="48" t="str">
        <f t="shared" si="62"/>
        <v>"myrEQ",</v>
      </c>
      <c r="FU4" s="48" t="str">
        <f t="shared" si="63"/>
        <v/>
      </c>
      <c r="FV4" s="48" t="str">
        <f t="shared" si="64"/>
        <v/>
      </c>
      <c r="FW4" s="48" t="str">
        <f t="shared" si="65"/>
        <v/>
      </c>
      <c r="FY4" s="48" t="str">
        <f t="shared" si="67"/>
        <v/>
      </c>
      <c r="FZ4" s="48" t="str">
        <f t="shared" si="68"/>
        <v/>
      </c>
      <c r="GA4" s="48" t="str">
        <f t="shared" si="69"/>
        <v/>
      </c>
      <c r="GB4" s="48" t="str">
        <f t="shared" si="70"/>
        <v/>
      </c>
      <c r="GE4" s="48" t="str">
        <f t="shared" si="73"/>
        <v/>
      </c>
      <c r="GF4" s="48" t="str">
        <f t="shared" si="74"/>
        <v>"histor",</v>
      </c>
      <c r="GG4" s="48" t="str">
        <f t="shared" si="75"/>
        <v/>
      </c>
      <c r="GH4" s="48" t="str">
        <f t="shared" si="76"/>
        <v/>
      </c>
      <c r="GI4" s="48" t="str">
        <f t="shared" si="77"/>
        <v/>
      </c>
      <c r="GJ4" s="48" t="str">
        <f t="shared" si="78"/>
        <v/>
      </c>
      <c r="GK4" s="48" t="str">
        <f t="shared" si="79"/>
        <v>"HasSta",</v>
      </c>
      <c r="GL4" s="48" t="str">
        <f t="shared" si="4"/>
        <v/>
      </c>
      <c r="GM4" s="48" t="str">
        <f t="shared" si="4"/>
        <v/>
      </c>
      <c r="GN4" s="48" t="str">
        <f t="shared" si="4"/>
        <v>"3+Star",</v>
      </c>
      <c r="GP4" s="48" t="str">
        <f t="shared" si="80"/>
        <v>"Historical"</v>
      </c>
      <c r="GS4" s="48" t="str">
        <f t="shared" si="81"/>
        <v>["5+Colo","words2","lets16","startT","with_v","year19","dgband","4+Band","Diagon","Horizo","Animal","Plants","Texted","Trside","Geogrh","Builds","sta","001RED","002WHI","003BLU","myrEQ","histor","HasSta","3+Star"]</v>
      </c>
      <c r="GT4" s="48" t="str">
        <f t="shared" si="5"/>
        <v>"cl_BLA",</v>
      </c>
      <c r="GU4" s="48" t="str">
        <f t="shared" si="5"/>
        <v>"cl_BLU",</v>
      </c>
      <c r="GV4" s="48" t="str">
        <f t="shared" si="5"/>
        <v>"cl_GRE",</v>
      </c>
      <c r="GW4" s="48" t="str">
        <f t="shared" si="5"/>
        <v>"cl_RED",</v>
      </c>
      <c r="GX4" s="48" t="str">
        <f t="shared" si="5"/>
        <v>"cl_YEL",</v>
      </c>
      <c r="GY4" s="48" t="str">
        <f t="shared" si="5"/>
        <v/>
      </c>
      <c r="GZ4" s="48" t="str">
        <f t="shared" si="5"/>
        <v>"cl_BRO",</v>
      </c>
      <c r="HA4" s="48" t="str">
        <f t="shared" si="5"/>
        <v/>
      </c>
      <c r="HB4" s="48" t="str">
        <f t="shared" si="5"/>
        <v>"cl_WHI",</v>
      </c>
      <c r="HC4" s="48" t="str">
        <f t="shared" si="82"/>
        <v>["cl_BLA","cl_BLU","cl_GRE","cl_RED","cl_YEL","cl_BRO","cl_WHI"]</v>
      </c>
      <c r="HE4" s="71"/>
      <c r="HF4" s="72" t="str">
        <f t="shared" si="83"/>
        <v>{couname:"[TUV] Tuvalu (1996-1997)",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isnew:"www", links: "https://en.m.wikipedia.org/wiki/Flag_of_Tuvalu"},</v>
      </c>
      <c r="HG4" s="73" t="str">
        <f t="shared" si="84"/>
        <v>{couname:"[TUV] Tuvalu (1996-1997)",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links: "https://en.m.wikipedia.org/wiki/Flag_of_Tuvalu"},</v>
      </c>
      <c r="HH4" s="48" t="str">
        <f t="shared" si="85"/>
        <v>"\nA five banded horizontal flag of red, white, blue, white, and red with the blue band having a white triangle from the left side of the flag containing the coat of arms."</v>
      </c>
      <c r="HI4" s="48" t="str">
        <f t="shared" si="86"/>
        <v>"\nA five banded horizontal flag of red, white, blue, white, and red with the blue band having a white triangle from the left side of the flag containing the coat of arms."</v>
      </c>
      <c r="HJ4" s="48" t="str">
        <f t="shared" si="87"/>
        <v>"1996"</v>
      </c>
      <c r="HL4" s="48" t="str">
        <f t="shared" si="88"/>
        <v>"https://en.m.wikipedia.org/wiki/Flag_of_Tuvalu"</v>
      </c>
      <c r="HM4" s="72" t="str">
        <f t="shared" si="89"/>
        <v>{"couname":"[TUV] Tuvalu (1996-1997)","subtype":"[TUV] Other","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 "www", "links": "https://en.m.wikipedia.org/wiki/Flag_of_Tuvalu"},</v>
      </c>
      <c r="HN4" s="74" t="str">
        <f t="shared" si="90"/>
        <v>{"couname":"[TUV] Tuvalu (1996-1997)","subtype":"[TUV] Other","year":"1996","region":"rgn_Oceania","Colors":["cl_BLA","cl_BLU","cl_GRE","cl_RED","cl_YEL","cl_BRO","cl_WHI"],"Items":["5+Colo","words2","lets16","startT","with_v","year19","dgband","4+Band","Diagon","Horizo","Animal","Plants","Texted","Trside","Geogrh","Builds","sta","001RED","002WHI","003BLU","myrEQ","histor","HasSta","3+Star"],"Flag":"https://upload.wikimedia.org/wikipedia/commons/thumb/d/d3/Flag_of_Tuvalu_%281996%E2%80%931997%29.svg/640px-Flag_of_Tuvalu_%281996%E2%80%931997%29.svg.png","HDFlag":"https://upload.wikimedia.org/wikipedia/commons/thumb/d/d3/Flag_of_Tuvalu_%281996%E2%80%931997%29.svg/1280px-Flag_of_Tuvalu_%281996%E2%80%931997%29.svg.png","type":"Historical", "describe": "\nA five banded horizontal flag of red, white, blue, white, and red with the blue band having a white triangle from the left side of the flag containing the coat of arms.", "isnew": "www", "links": "https://en.m.wikipedia.org/wiki/Flag_of_Tuvalu"},</v>
      </c>
      <c r="HO4" s="75">
        <v>45610</v>
      </c>
      <c r="HP4" s="48" t="str" cm="1">
        <f t="array" ref="HP4">IF(_xlfn.TEXTJOIN(", ", TRUE, IF(ISNUMBER(SEARCH("BLA", BL4:BT4)), COLUMN(BL4:BT4) - COLUMN(BL4) + 1, ""))&lt;&gt;"","BLA","")</f>
        <v>BLA</v>
      </c>
      <c r="HQ4" s="48" t="str" cm="1">
        <f t="array" ref="HQ4">IF(_xlfn.TEXTJOIN(", ", TRUE, IF(ISNUMBER(SEARCH("BLU", BL4:BT4)), COLUMN(BL4:BT4) - COLUMN(BL4) + 1, ""))&lt;&gt;"","BLU","")</f>
        <v>BLU</v>
      </c>
      <c r="HR4" s="48" t="str" cm="1">
        <f t="array" ref="HR4">IF(_xlfn.TEXTJOIN(", ", TRUE, IF(ISNUMBER(SEARCH("GRE", BL4:BT4)), COLUMN(BL4:BT4) - COLUMN(BL4) + 1, ""))&lt;&gt;"","GRE","")</f>
        <v>GRE</v>
      </c>
      <c r="HS4" s="48" t="str" cm="1">
        <f t="array" ref="HS4">IF(_xlfn.TEXTJOIN(", ", TRUE, IF(ISNUMBER(SEARCH("RED", BL4:BT4)), COLUMN(BL4:BT4) - COLUMN(BL4) + 1, ""))&lt;&gt;"","RED","")</f>
        <v>RED</v>
      </c>
      <c r="HT4" s="48" t="str" cm="1">
        <f t="array" ref="HT4">IF(_xlfn.TEXTJOIN(", ", TRUE, IF(ISNUMBER(SEARCH("YEL", BL4:BT4)), COLUMN(BL4:BT4) - COLUMN(BL4) + 1, ""))&lt;&gt;"","YEL","")</f>
        <v>YEL</v>
      </c>
      <c r="HU4" s="48" t="str" cm="1">
        <f t="array" ref="HU4">IF(_xlfn.TEXTJOIN(", ", TRUE, IF(ISNUMBER(SEARCH("ORA", BL4:BT4)), COLUMN(BL4:BT4) - COLUMN(BL4) + 1, ""))&lt;&gt;"","ORA","")</f>
        <v/>
      </c>
      <c r="HV4" s="48" t="str" cm="1">
        <f t="array" ref="HV4">IF(_xlfn.TEXTJOIN(", ", TRUE, IF(ISNUMBER(SEARCH("BRO", BL4:BT4)), COLUMN(BL4:BT4) - COLUMN(BL4) + 1, ""))&lt;&gt;"","BRO","")</f>
        <v>BRO</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c r="IB4" s="6"/>
      <c r="IC4" s="77"/>
      <c r="ID4" s="77"/>
      <c r="IE4" s="77"/>
      <c r="IF4" s="77"/>
      <c r="IG4" s="77"/>
      <c r="IH4" s="77"/>
      <c r="II4" s="77"/>
      <c r="IJ4" s="77"/>
      <c r="IK4" s="77"/>
      <c r="IM4" s="45">
        <f t="shared" si="92"/>
        <v>-7</v>
      </c>
      <c r="IN4" s="78" t="str">
        <f t="shared" si="93"/>
        <v>http://mkweb.bcgsc.ca/color-summarizer/?url=https://upload.wikimedia.org/wikipedia/commons/thumb/d/d3/Flag_of_Tuvalu_%281996%E2%80%931997%29.svg/640px-Flag_of_Tuvalu_%281996%E2%80%931997%29.svg.png&amp;precision=low&amp;num_clusters=7&amp;text=1</v>
      </c>
      <c r="IO4" s="48" t="str">
        <f t="shared" si="94"/>
        <v>"black"</v>
      </c>
      <c r="IP4" s="48" t="str">
        <f t="shared" si="95"/>
        <v>"blue"</v>
      </c>
      <c r="IQ4" s="48" t="str">
        <f t="shared" si="96"/>
        <v>"green"</v>
      </c>
      <c r="IR4" s="48" t="str">
        <f t="shared" si="97"/>
        <v>"red"</v>
      </c>
      <c r="IS4" s="48" t="str">
        <f t="shared" si="98"/>
        <v>"yellow"</v>
      </c>
      <c r="IT4" s="48" t="str">
        <f t="shared" si="99"/>
        <v/>
      </c>
      <c r="IU4" s="48" t="str">
        <f t="shared" si="100"/>
        <v>"brown"</v>
      </c>
      <c r="IV4" s="48" t="str">
        <f t="shared" si="101"/>
        <v/>
      </c>
      <c r="IW4" s="48" t="str">
        <f t="shared" si="102"/>
        <v>"white"</v>
      </c>
      <c r="IX4" s="48" t="str">
        <f t="shared" si="103"/>
        <v>{"url":"http://mkweb.bcgsc.ca/color-summarizer/?url=https://upload.wikimedia.org/wikipedia/commons/thumb/d/d3/Flag_of_Tuvalu_%281996%E2%80%931997%29.svg/640px-Flag_of_Tuvalu_%281996%E2%80%931997%29.svg.png&amp;precision=low&amp;num_clusters=7&amp;text=1","name":"[TUV] Tuvalu (1996-1997)"},</v>
      </c>
      <c r="IY4" s="48">
        <v>1489</v>
      </c>
    </row>
  </sheetData>
  <conditionalFormatting sqref="H1 CW1:GS1 IA1:IB1">
    <cfRule type="cellIs" dxfId="3231" priority="143" operator="greaterThan">
      <formula>0</formula>
    </cfRule>
  </conditionalFormatting>
  <conditionalFormatting sqref="H1">
    <cfRule type="cellIs" dxfId="3230" priority="109" stopIfTrue="1" operator="notEqual">
      <formula>""</formula>
    </cfRule>
  </conditionalFormatting>
  <conditionalFormatting sqref="T1:BK1">
    <cfRule type="cellIs" dxfId="3229" priority="146" operator="greaterThan">
      <formula>0</formula>
    </cfRule>
  </conditionalFormatting>
  <conditionalFormatting sqref="BV1:BW1">
    <cfRule type="cellIs" dxfId="3228" priority="145" operator="equal">
      <formula>"nc"</formula>
    </cfRule>
  </conditionalFormatting>
  <conditionalFormatting sqref="HF1:HG1">
    <cfRule type="cellIs" dxfId="3227" priority="147" operator="greaterThan">
      <formula>0</formula>
    </cfRule>
  </conditionalFormatting>
  <conditionalFormatting sqref="HK1">
    <cfRule type="cellIs" dxfId="3226" priority="144" operator="greaterThan">
      <formula>0</formula>
    </cfRule>
  </conditionalFormatting>
  <conditionalFormatting sqref="HP1:HX1">
    <cfRule type="cellIs" dxfId="3225" priority="121" operator="equal">
      <formula>"PIN"</formula>
    </cfRule>
    <cfRule type="cellIs" dxfId="3224" priority="122" operator="equal">
      <formula>"ORA"</formula>
    </cfRule>
    <cfRule type="cellIs" dxfId="3223" priority="123" operator="equal">
      <formula>"GRA"</formula>
    </cfRule>
    <cfRule type="cellIs" dxfId="3222" priority="124" operator="equal">
      <formula>"PUR"</formula>
    </cfRule>
    <cfRule type="cellIs" dxfId="3221" priority="125" operator="equal">
      <formula>"BRO"</formula>
    </cfRule>
    <cfRule type="cellIs" dxfId="3220" priority="126" operator="equal">
      <formula>"YEL"</formula>
    </cfRule>
    <cfRule type="cellIs" dxfId="3219" priority="127" operator="equal">
      <formula>"BLU"</formula>
    </cfRule>
    <cfRule type="cellIs" dxfId="3218" priority="128" operator="equal">
      <formula>"WHI"</formula>
    </cfRule>
    <cfRule type="cellIs" dxfId="3217" priority="129" operator="equal">
      <formula>"GRE"</formula>
    </cfRule>
    <cfRule type="cellIs" dxfId="3216" priority="130" operator="equal">
      <formula>"RED"</formula>
    </cfRule>
    <cfRule type="cellIs" dxfId="3215" priority="131" operator="equal">
      <formula>"BLA"</formula>
    </cfRule>
  </conditionalFormatting>
  <conditionalFormatting sqref="IC1:IK1">
    <cfRule type="cellIs" dxfId="3214" priority="132" operator="equal">
      <formula>"PIN"</formula>
    </cfRule>
    <cfRule type="cellIs" dxfId="3213" priority="133" operator="equal">
      <formula>"ORA"</formula>
    </cfRule>
    <cfRule type="cellIs" dxfId="3212" priority="134" operator="equal">
      <formula>"GRA"</formula>
    </cfRule>
    <cfRule type="cellIs" dxfId="3211" priority="135" operator="equal">
      <formula>"PUR"</formula>
    </cfRule>
    <cfRule type="cellIs" dxfId="3210" priority="136" operator="equal">
      <formula>"BRO"</formula>
    </cfRule>
    <cfRule type="cellIs" dxfId="3209" priority="137" operator="equal">
      <formula>"YEL"</formula>
    </cfRule>
    <cfRule type="cellIs" dxfId="3208" priority="138" operator="equal">
      <formula>"BLU"</formula>
    </cfRule>
    <cfRule type="cellIs" dxfId="3207" priority="139" operator="equal">
      <formula>"WHI"</formula>
    </cfRule>
    <cfRule type="cellIs" dxfId="3206" priority="140" operator="equal">
      <formula>"GRE"</formula>
    </cfRule>
    <cfRule type="cellIs" dxfId="3205" priority="141" operator="equal">
      <formula>"RED"</formula>
    </cfRule>
    <cfRule type="cellIs" dxfId="3204" priority="142" operator="equal">
      <formula>"BLA"</formula>
    </cfRule>
  </conditionalFormatting>
  <conditionalFormatting sqref="IO1:IW1">
    <cfRule type="cellIs" dxfId="3203" priority="110" operator="equal">
      <formula>"PIN"</formula>
    </cfRule>
    <cfRule type="cellIs" dxfId="3202" priority="111" operator="equal">
      <formula>"ORA"</formula>
    </cfRule>
    <cfRule type="cellIs" dxfId="3201" priority="112" operator="equal">
      <formula>"GRA"</formula>
    </cfRule>
    <cfRule type="cellIs" dxfId="3200" priority="113" operator="equal">
      <formula>"PUR"</formula>
    </cfRule>
    <cfRule type="cellIs" dxfId="3199" priority="114" operator="equal">
      <formula>"BRO"</formula>
    </cfRule>
    <cfRule type="cellIs" dxfId="3198" priority="115" operator="equal">
      <formula>"YEL"</formula>
    </cfRule>
    <cfRule type="cellIs" dxfId="3197" priority="116" operator="equal">
      <formula>"BLU"</formula>
    </cfRule>
    <cfRule type="cellIs" dxfId="3196" priority="117" operator="equal">
      <formula>"WHI"</formula>
    </cfRule>
    <cfRule type="cellIs" dxfId="3195" priority="118" operator="equal">
      <formula>"GRE"</formula>
    </cfRule>
    <cfRule type="cellIs" dxfId="3194" priority="119" operator="equal">
      <formula>"RED"</formula>
    </cfRule>
    <cfRule type="cellIs" dxfId="3193" priority="120" operator="equal">
      <formula>"BLA"</formula>
    </cfRule>
  </conditionalFormatting>
  <conditionalFormatting sqref="H2">
    <cfRule type="cellIs" dxfId="3192" priority="78" stopIfTrue="1" operator="notEqual">
      <formula>""</formula>
    </cfRule>
  </conditionalFormatting>
  <conditionalFormatting sqref="R2 CU2">
    <cfRule type="cellIs" dxfId="3191" priority="80" operator="greaterThan">
      <formula>0</formula>
    </cfRule>
  </conditionalFormatting>
  <conditionalFormatting sqref="T2:AS2 CH2:CS2">
    <cfRule type="cellIs" dxfId="3190" priority="75" stopIfTrue="1" operator="equal">
      <formula>"n"</formula>
    </cfRule>
    <cfRule type="cellIs" dxfId="3189" priority="76" stopIfTrue="1" operator="equal">
      <formula>"y"</formula>
    </cfRule>
    <cfRule type="cellIs" dxfId="3188" priority="77" operator="greaterThan">
      <formula>0</formula>
    </cfRule>
  </conditionalFormatting>
  <conditionalFormatting sqref="AZ2:BB2">
    <cfRule type="expression" dxfId="3187" priority="74">
      <formula>$AT2=0</formula>
    </cfRule>
  </conditionalFormatting>
  <conditionalFormatting sqref="AZ2:BU2">
    <cfRule type="cellIs" dxfId="3186" priority="83" operator="equal">
      <formula>"PIN"</formula>
    </cfRule>
    <cfRule type="cellIs" dxfId="3185" priority="84" operator="equal">
      <formula>"ORA"</formula>
    </cfRule>
    <cfRule type="cellIs" dxfId="3184" priority="85" operator="equal">
      <formula>"GRA"</formula>
    </cfRule>
    <cfRule type="cellIs" dxfId="3183" priority="86" operator="equal">
      <formula>"PUR"</formula>
    </cfRule>
    <cfRule type="cellIs" dxfId="3182" priority="87" operator="equal">
      <formula>"BRO"</formula>
    </cfRule>
    <cfRule type="cellIs" dxfId="3181" priority="88" operator="equal">
      <formula>"YEL"</formula>
    </cfRule>
    <cfRule type="cellIs" dxfId="3180" priority="89" operator="equal">
      <formula>"BLU"</formula>
    </cfRule>
    <cfRule type="cellIs" dxfId="3179" priority="90" operator="equal">
      <formula>"WHI"</formula>
    </cfRule>
    <cfRule type="cellIs" dxfId="3178" priority="91" operator="equal">
      <formula>"GRE"</formula>
    </cfRule>
    <cfRule type="cellIs" dxfId="3177" priority="92" operator="equal">
      <formula>"RED"</formula>
    </cfRule>
    <cfRule type="cellIs" dxfId="3176" priority="93" operator="equal">
      <formula>"BLA"</formula>
    </cfRule>
  </conditionalFormatting>
  <conditionalFormatting sqref="BV2:BW2">
    <cfRule type="cellIs" dxfId="3175" priority="105" operator="equal">
      <formula>"nc"</formula>
    </cfRule>
  </conditionalFormatting>
  <conditionalFormatting sqref="BX2:CA2 CD2:CF2">
    <cfRule type="cellIs" dxfId="3174" priority="79" operator="equal">
      <formula>"y"</formula>
    </cfRule>
    <cfRule type="cellIs" dxfId="3173" priority="94" operator="equal">
      <formula>"PIN"</formula>
    </cfRule>
    <cfRule type="cellIs" dxfId="3172" priority="95" operator="equal">
      <formula>"ORA"</formula>
    </cfRule>
    <cfRule type="cellIs" dxfId="3171" priority="96" operator="equal">
      <formula>"GRA"</formula>
    </cfRule>
    <cfRule type="cellIs" dxfId="3170" priority="97" operator="equal">
      <formula>"PUR"</formula>
    </cfRule>
    <cfRule type="cellIs" dxfId="3169" priority="98" operator="equal">
      <formula>"BRO"</formula>
    </cfRule>
    <cfRule type="cellIs" dxfId="3168" priority="99" operator="equal">
      <formula>"YEL"</formula>
    </cfRule>
    <cfRule type="cellIs" dxfId="3167" priority="100" operator="equal">
      <formula>"BLU"</formula>
    </cfRule>
    <cfRule type="cellIs" dxfId="3166" priority="101" operator="equal">
      <formula>"WHI"</formula>
    </cfRule>
    <cfRule type="cellIs" dxfId="3165" priority="102" operator="equal">
      <formula>"GRE"</formula>
    </cfRule>
    <cfRule type="cellIs" dxfId="3164" priority="103" operator="equal">
      <formula>"RED"</formula>
    </cfRule>
    <cfRule type="cellIs" dxfId="3163" priority="104" operator="equal">
      <formula>"BLA"</formula>
    </cfRule>
  </conditionalFormatting>
  <conditionalFormatting sqref="BZ2:CA2 CD2:CF2">
    <cfRule type="cellIs" dxfId="3162" priority="81" operator="greaterThan">
      <formula>0</formula>
    </cfRule>
  </conditionalFormatting>
  <conditionalFormatting sqref="IC2:IK2">
    <cfRule type="expression" dxfId="3161" priority="82">
      <formula>$IL2&gt;0</formula>
    </cfRule>
  </conditionalFormatting>
  <conditionalFormatting sqref="S2">
    <cfRule type="colorScale" priority="106">
      <colorScale>
        <cfvo type="min"/>
        <cfvo type="max"/>
        <color rgb="FFFCFCFF"/>
        <color rgb="FF754BFB"/>
      </colorScale>
    </cfRule>
  </conditionalFormatting>
  <conditionalFormatting sqref="AT2">
    <cfRule type="colorScale" priority="107">
      <colorScale>
        <cfvo type="min"/>
        <cfvo type="max"/>
        <color rgb="FFFCFCFF"/>
        <color theme="8" tint="0.39997558519241921"/>
      </colorScale>
    </cfRule>
  </conditionalFormatting>
  <conditionalFormatting sqref="CG2">
    <cfRule type="colorScale" priority="108">
      <colorScale>
        <cfvo type="min"/>
        <cfvo type="max"/>
        <color rgb="FFFCFCFF"/>
        <color rgb="FF63BE7B"/>
      </colorScale>
    </cfRule>
  </conditionalFormatting>
  <conditionalFormatting sqref="J2">
    <cfRule type="colorScale" priority="73">
      <colorScale>
        <cfvo type="min"/>
        <cfvo type="percentile" val="50"/>
        <cfvo type="max"/>
        <color rgb="FFF8696B"/>
        <color rgb="FFFFEB84"/>
        <color rgb="FF63BE7B"/>
      </colorScale>
    </cfRule>
  </conditionalFormatting>
  <conditionalFormatting sqref="H3">
    <cfRule type="cellIs" dxfId="1450" priority="41" stopIfTrue="1" operator="notEqual">
      <formula>""</formula>
    </cfRule>
  </conditionalFormatting>
  <conditionalFormatting sqref="R3 CU3">
    <cfRule type="cellIs" dxfId="1449" priority="43" operator="greaterThan">
      <formula>0</formula>
    </cfRule>
  </conditionalFormatting>
  <conditionalFormatting sqref="T3:AS3 CH3:CS3">
    <cfRule type="cellIs" dxfId="1448" priority="38" stopIfTrue="1" operator="equal">
      <formula>"n"</formula>
    </cfRule>
    <cfRule type="cellIs" dxfId="1447" priority="39" stopIfTrue="1" operator="equal">
      <formula>"y"</formula>
    </cfRule>
    <cfRule type="cellIs" dxfId="1446" priority="40" operator="greaterThan">
      <formula>0</formula>
    </cfRule>
  </conditionalFormatting>
  <conditionalFormatting sqref="AZ3:BB3">
    <cfRule type="expression" dxfId="1445" priority="37">
      <formula>$AT3=0</formula>
    </cfRule>
  </conditionalFormatting>
  <conditionalFormatting sqref="AZ3:BU3">
    <cfRule type="cellIs" dxfId="1444" priority="46" operator="equal">
      <formula>"PIN"</formula>
    </cfRule>
    <cfRule type="cellIs" dxfId="1443" priority="47" operator="equal">
      <formula>"ORA"</formula>
    </cfRule>
    <cfRule type="cellIs" dxfId="1442" priority="48" operator="equal">
      <formula>"GRA"</formula>
    </cfRule>
    <cfRule type="cellIs" dxfId="1441" priority="49" operator="equal">
      <formula>"PUR"</formula>
    </cfRule>
    <cfRule type="cellIs" dxfId="1440" priority="50" operator="equal">
      <formula>"BRO"</formula>
    </cfRule>
    <cfRule type="cellIs" dxfId="1439" priority="51" operator="equal">
      <formula>"YEL"</formula>
    </cfRule>
    <cfRule type="cellIs" dxfId="1438" priority="52" operator="equal">
      <formula>"BLU"</formula>
    </cfRule>
    <cfRule type="cellIs" dxfId="1437" priority="53" operator="equal">
      <formula>"WHI"</formula>
    </cfRule>
    <cfRule type="cellIs" dxfId="1436" priority="54" operator="equal">
      <formula>"GRE"</formula>
    </cfRule>
    <cfRule type="cellIs" dxfId="1435" priority="55" operator="equal">
      <formula>"RED"</formula>
    </cfRule>
    <cfRule type="cellIs" dxfId="1434" priority="56" operator="equal">
      <formula>"BLA"</formula>
    </cfRule>
  </conditionalFormatting>
  <conditionalFormatting sqref="BV3">
    <cfRule type="cellIs" dxfId="1433" priority="68" operator="equal">
      <formula>"nc"</formula>
    </cfRule>
  </conditionalFormatting>
  <conditionalFormatting sqref="BX3:CA3 CD3:CF3">
    <cfRule type="cellIs" dxfId="1432" priority="42" operator="equal">
      <formula>"y"</formula>
    </cfRule>
    <cfRule type="cellIs" dxfId="1431" priority="57" operator="equal">
      <formula>"PIN"</formula>
    </cfRule>
    <cfRule type="cellIs" dxfId="1430" priority="58" operator="equal">
      <formula>"ORA"</formula>
    </cfRule>
    <cfRule type="cellIs" dxfId="1429" priority="59" operator="equal">
      <formula>"GRA"</formula>
    </cfRule>
    <cfRule type="cellIs" dxfId="1428" priority="60" operator="equal">
      <formula>"PUR"</formula>
    </cfRule>
    <cfRule type="cellIs" dxfId="1427" priority="61" operator="equal">
      <formula>"BRO"</formula>
    </cfRule>
    <cfRule type="cellIs" dxfId="1426" priority="62" operator="equal">
      <formula>"YEL"</formula>
    </cfRule>
    <cfRule type="cellIs" dxfId="1425" priority="63" operator="equal">
      <formula>"BLU"</formula>
    </cfRule>
    <cfRule type="cellIs" dxfId="1424" priority="64" operator="equal">
      <formula>"WHI"</formula>
    </cfRule>
    <cfRule type="cellIs" dxfId="1423" priority="65" operator="equal">
      <formula>"GRE"</formula>
    </cfRule>
    <cfRule type="cellIs" dxfId="1422" priority="66" operator="equal">
      <formula>"RED"</formula>
    </cfRule>
    <cfRule type="cellIs" dxfId="1421" priority="67" operator="equal">
      <formula>"BLA"</formula>
    </cfRule>
  </conditionalFormatting>
  <conditionalFormatting sqref="BZ3:CA3 CD3:CF3">
    <cfRule type="cellIs" dxfId="1420" priority="44" operator="greaterThan">
      <formula>0</formula>
    </cfRule>
  </conditionalFormatting>
  <conditionalFormatting sqref="IC3:IK3">
    <cfRule type="expression" dxfId="1419" priority="45">
      <formula>$IL3&gt;0</formula>
    </cfRule>
  </conditionalFormatting>
  <conditionalFormatting sqref="J3">
    <cfRule type="colorScale" priority="69">
      <colorScale>
        <cfvo type="min"/>
        <cfvo type="percentile" val="50"/>
        <cfvo type="max"/>
        <color rgb="FFF8696B"/>
        <color rgb="FFFFEB84"/>
        <color rgb="FF63BE7B"/>
      </colorScale>
    </cfRule>
  </conditionalFormatting>
  <conditionalFormatting sqref="S3">
    <cfRule type="colorScale" priority="70">
      <colorScale>
        <cfvo type="min"/>
        <cfvo type="max"/>
        <color rgb="FFFCFCFF"/>
        <color rgb="FF754BFB"/>
      </colorScale>
    </cfRule>
  </conditionalFormatting>
  <conditionalFormatting sqref="AT3">
    <cfRule type="colorScale" priority="71">
      <colorScale>
        <cfvo type="min"/>
        <cfvo type="max"/>
        <color rgb="FFFCFCFF"/>
        <color theme="8" tint="0.39997558519241921"/>
      </colorScale>
    </cfRule>
  </conditionalFormatting>
  <conditionalFormatting sqref="CG3">
    <cfRule type="colorScale" priority="72">
      <colorScale>
        <cfvo type="min"/>
        <cfvo type="max"/>
        <color rgb="FFFCFCFF"/>
        <color rgb="FF63BE7B"/>
      </colorScale>
    </cfRule>
  </conditionalFormatting>
  <conditionalFormatting sqref="H4">
    <cfRule type="cellIs" dxfId="31" priority="5" stopIfTrue="1" operator="notEqual">
      <formula>""</formula>
    </cfRule>
  </conditionalFormatting>
  <conditionalFormatting sqref="R4 CU4">
    <cfRule type="cellIs" dxfId="30" priority="7" operator="greaterThan">
      <formula>0</formula>
    </cfRule>
  </conditionalFormatting>
  <conditionalFormatting sqref="T4:AS4 CH4:CS4">
    <cfRule type="cellIs" dxfId="29" priority="2" stopIfTrue="1" operator="equal">
      <formula>"n"</formula>
    </cfRule>
    <cfRule type="cellIs" dxfId="28" priority="3" stopIfTrue="1" operator="equal">
      <formula>"y"</formula>
    </cfRule>
    <cfRule type="cellIs" dxfId="27" priority="4" operator="greaterThan">
      <formula>0</formula>
    </cfRule>
  </conditionalFormatting>
  <conditionalFormatting sqref="AZ4:BB4">
    <cfRule type="expression" dxfId="26" priority="1">
      <formula>$AT4=0</formula>
    </cfRule>
  </conditionalFormatting>
  <conditionalFormatting sqref="AZ4:BU4">
    <cfRule type="cellIs" dxfId="25" priority="10" operator="equal">
      <formula>"PIN"</formula>
    </cfRule>
    <cfRule type="cellIs" dxfId="24" priority="11" operator="equal">
      <formula>"ORA"</formula>
    </cfRule>
    <cfRule type="cellIs" dxfId="23" priority="12" operator="equal">
      <formula>"GRA"</formula>
    </cfRule>
    <cfRule type="cellIs" dxfId="22" priority="13" operator="equal">
      <formula>"PUR"</formula>
    </cfRule>
    <cfRule type="cellIs" dxfId="21" priority="14" operator="equal">
      <formula>"BRO"</formula>
    </cfRule>
    <cfRule type="cellIs" dxfId="20" priority="15" operator="equal">
      <formula>"YEL"</formula>
    </cfRule>
    <cfRule type="cellIs" dxfId="19" priority="16" operator="equal">
      <formula>"BLU"</formula>
    </cfRule>
    <cfRule type="cellIs" dxfId="18" priority="17" operator="equal">
      <formula>"WHI"</formula>
    </cfRule>
    <cfRule type="cellIs" dxfId="17" priority="18" operator="equal">
      <formula>"GRE"</formula>
    </cfRule>
    <cfRule type="cellIs" dxfId="16" priority="19" operator="equal">
      <formula>"RED"</formula>
    </cfRule>
    <cfRule type="cellIs" dxfId="15" priority="20" operator="equal">
      <formula>"BLA"</formula>
    </cfRule>
  </conditionalFormatting>
  <conditionalFormatting sqref="BV4">
    <cfRule type="cellIs" dxfId="14" priority="32" operator="equal">
      <formula>"nc"</formula>
    </cfRule>
  </conditionalFormatting>
  <conditionalFormatting sqref="BX4:CA4 CD4:CF4">
    <cfRule type="cellIs" dxfId="13" priority="6" operator="equal">
      <formula>"y"</formula>
    </cfRule>
    <cfRule type="cellIs" dxfId="12" priority="21" operator="equal">
      <formula>"PIN"</formula>
    </cfRule>
    <cfRule type="cellIs" dxfId="11" priority="22" operator="equal">
      <formula>"ORA"</formula>
    </cfRule>
    <cfRule type="cellIs" dxfId="10" priority="23" operator="equal">
      <formula>"GRA"</formula>
    </cfRule>
    <cfRule type="cellIs" dxfId="9" priority="24" operator="equal">
      <formula>"PUR"</formula>
    </cfRule>
    <cfRule type="cellIs" dxfId="8" priority="25" operator="equal">
      <formula>"BRO"</formula>
    </cfRule>
    <cfRule type="cellIs" dxfId="7" priority="26" operator="equal">
      <formula>"YEL"</formula>
    </cfRule>
    <cfRule type="cellIs" dxfId="6" priority="27" operator="equal">
      <formula>"BLU"</formula>
    </cfRule>
    <cfRule type="cellIs" dxfId="5" priority="28" operator="equal">
      <formula>"WHI"</formula>
    </cfRule>
    <cfRule type="cellIs" dxfId="4" priority="29" operator="equal">
      <formula>"GRE"</formula>
    </cfRule>
    <cfRule type="cellIs" dxfId="3" priority="30" operator="equal">
      <formula>"RED"</formula>
    </cfRule>
    <cfRule type="cellIs" dxfId="2" priority="31" operator="equal">
      <formula>"BLA"</formula>
    </cfRule>
  </conditionalFormatting>
  <conditionalFormatting sqref="BZ4:CA4 CD4:CF4">
    <cfRule type="cellIs" dxfId="1" priority="8" operator="greaterThan">
      <formula>0</formula>
    </cfRule>
  </conditionalFormatting>
  <conditionalFormatting sqref="IC4:IK4">
    <cfRule type="expression" dxfId="0" priority="9">
      <formula>$IL4&gt;0</formula>
    </cfRule>
  </conditionalFormatting>
  <conditionalFormatting sqref="J4">
    <cfRule type="colorScale" priority="33">
      <colorScale>
        <cfvo type="min"/>
        <cfvo type="percentile" val="50"/>
        <cfvo type="max"/>
        <color rgb="FFF8696B"/>
        <color rgb="FFFFEB84"/>
        <color rgb="FF63BE7B"/>
      </colorScale>
    </cfRule>
  </conditionalFormatting>
  <conditionalFormatting sqref="S4">
    <cfRule type="colorScale" priority="34">
      <colorScale>
        <cfvo type="min"/>
        <cfvo type="max"/>
        <color rgb="FFFCFCFF"/>
        <color rgb="FF754BFB"/>
      </colorScale>
    </cfRule>
  </conditionalFormatting>
  <conditionalFormatting sqref="AT4">
    <cfRule type="colorScale" priority="35">
      <colorScale>
        <cfvo type="min"/>
        <cfvo type="max"/>
        <color rgb="FFFCFCFF"/>
        <color theme="8" tint="0.39997558519241921"/>
      </colorScale>
    </cfRule>
  </conditionalFormatting>
  <conditionalFormatting sqref="CG4">
    <cfRule type="colorScale" priority="36">
      <colorScale>
        <cfvo type="min"/>
        <cfvo type="max"/>
        <color rgb="FFFCFCFF"/>
        <color rgb="FF63BE7B"/>
      </colorScale>
    </cfRule>
  </conditionalFormatting>
  <hyperlinks>
    <hyperlink ref="E2" r:id="rId1" xr:uid="{E9A83DEA-2595-4EE5-A478-A0F6923A2BB4}"/>
    <hyperlink ref="D3" r:id="rId2" xr:uid="{82559DAD-9D4C-4799-A35F-08662EB6BDBB}"/>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F0F11B-E05A-4C8F-A36E-2CFB418DC2C9}">
  <dimension ref="A1:IY3"/>
  <sheetViews>
    <sheetView zoomScale="70" zoomScaleNormal="70" workbookViewId="0">
      <selection activeCell="A3" sqref="A3:XFD3"/>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339</v>
      </c>
      <c r="B2" s="40" t="e" vm="113">
        <v>#VALUE!</v>
      </c>
      <c r="C2" s="41">
        <v>1</v>
      </c>
      <c r="D2" s="42" t="s">
        <v>340</v>
      </c>
      <c r="E2" s="43" t="s">
        <v>341</v>
      </c>
      <c r="F2" s="44" t="s">
        <v>166</v>
      </c>
      <c r="G2" s="45">
        <f>COUNTIF($A$1:$A$8268,A2)</f>
        <v>1</v>
      </c>
      <c r="H2" s="46"/>
      <c r="I2" s="47" t="s">
        <v>342</v>
      </c>
      <c r="J2" s="48" t="str">
        <f>""</f>
        <v/>
      </c>
      <c r="K2" s="49">
        <v>334506</v>
      </c>
      <c r="L2" s="50">
        <v>300000</v>
      </c>
      <c r="M2" s="50" t="s">
        <v>343</v>
      </c>
      <c r="N2" s="51" t="s">
        <v>169</v>
      </c>
      <c r="O2" s="52" t="s">
        <v>344</v>
      </c>
      <c r="P2" s="53" t="s">
        <v>345</v>
      </c>
      <c r="Q2" s="54">
        <v>1</v>
      </c>
      <c r="R2" s="55" t="s">
        <v>169</v>
      </c>
      <c r="S2" s="56">
        <v>5</v>
      </c>
      <c r="T2" s="57" t="s">
        <v>172</v>
      </c>
      <c r="U2" s="58" t="s">
        <v>173</v>
      </c>
      <c r="V2" s="58" t="s">
        <v>172</v>
      </c>
      <c r="W2" s="58" t="s">
        <v>173</v>
      </c>
      <c r="X2" s="58" t="s">
        <v>172</v>
      </c>
      <c r="Y2" s="58" t="s">
        <v>172</v>
      </c>
      <c r="Z2" s="58" t="s">
        <v>173</v>
      </c>
      <c r="AA2" s="58" t="s">
        <v>172</v>
      </c>
      <c r="AB2" s="58" t="s">
        <v>173</v>
      </c>
      <c r="AC2" s="58" t="s">
        <v>173</v>
      </c>
      <c r="AD2" s="58" t="s">
        <v>173</v>
      </c>
      <c r="AE2" s="58" t="s">
        <v>173</v>
      </c>
      <c r="AF2" s="59" t="s">
        <v>172</v>
      </c>
      <c r="AG2" s="59" t="s">
        <v>172</v>
      </c>
      <c r="AH2" s="59" t="s">
        <v>173</v>
      </c>
      <c r="AI2" s="59" t="s">
        <v>173</v>
      </c>
      <c r="AJ2" s="59" t="s">
        <v>173</v>
      </c>
      <c r="AK2" s="59" t="s">
        <v>173</v>
      </c>
      <c r="AL2" s="59" t="s">
        <v>172</v>
      </c>
      <c r="AM2" s="59" t="s">
        <v>173</v>
      </c>
      <c r="AN2" s="59" t="s">
        <v>173</v>
      </c>
      <c r="AO2" s="59" t="s">
        <v>173</v>
      </c>
      <c r="AP2" s="59" t="s">
        <v>173</v>
      </c>
      <c r="AQ2" s="59" t="s">
        <v>173</v>
      </c>
      <c r="AR2" s="59" t="s">
        <v>173</v>
      </c>
      <c r="AS2" s="59" t="s">
        <v>173</v>
      </c>
      <c r="AT2" s="60">
        <v>0</v>
      </c>
      <c r="AU2" s="59"/>
      <c r="AV2" s="59" t="str">
        <f>IF(LEFT(A2,1)="[",LEFT(A2,5)&amp;AU2&amp;A2,"")</f>
        <v/>
      </c>
      <c r="AW2" s="59" t="str">
        <f>C2&amp;H2&amp;A2</f>
        <v>1Vanuatu</v>
      </c>
      <c r="AX2" s="61"/>
      <c r="AY2" s="61"/>
      <c r="AZ2" s="62" t="s">
        <v>192</v>
      </c>
      <c r="BA2" s="62" t="s">
        <v>192</v>
      </c>
      <c r="BB2" s="62"/>
      <c r="BC2" s="63"/>
      <c r="BD2" s="64" t="s">
        <v>159</v>
      </c>
      <c r="BE2" s="47"/>
      <c r="BF2" s="64" t="s">
        <v>157</v>
      </c>
      <c r="BG2" s="64" t="s">
        <v>192</v>
      </c>
      <c r="BH2" s="64" t="s">
        <v>159</v>
      </c>
      <c r="BI2" s="64"/>
      <c r="BJ2" s="64"/>
      <c r="BK2" s="47"/>
      <c r="BL2" s="64" t="s">
        <v>151</v>
      </c>
      <c r="BM2" s="64" t="s">
        <v>192</v>
      </c>
      <c r="BN2" s="64" t="s">
        <v>153</v>
      </c>
      <c r="BO2" s="64" t="s">
        <v>154</v>
      </c>
      <c r="BP2" s="64" t="s">
        <v>155</v>
      </c>
      <c r="BQ2" s="64" t="s">
        <v>156</v>
      </c>
      <c r="BR2" s="64" t="s">
        <v>157</v>
      </c>
      <c r="BS2" s="64" t="s">
        <v>192</v>
      </c>
      <c r="BT2" s="64" t="s">
        <v>159</v>
      </c>
      <c r="BU2" s="65"/>
      <c r="BV2" s="66"/>
      <c r="BW2" s="66">
        <v>0</v>
      </c>
      <c r="BX2" s="47"/>
      <c r="CB2" s="6"/>
      <c r="CC2" s="6"/>
      <c r="CD2" s="67">
        <v>0</v>
      </c>
      <c r="CE2" s="67">
        <v>0</v>
      </c>
      <c r="CF2" s="67" t="e">
        <v>#REF!</v>
      </c>
      <c r="CG2" s="68" cm="1">
        <f t="array" ref="CG2">SUMPRODUCT(--(LEN(TRIM(BL2:BT2))&gt;0))</f>
        <v>7</v>
      </c>
      <c r="CH2" s="59" t="str">
        <f>IF(CG2=2,"y","n")</f>
        <v>n</v>
      </c>
      <c r="CI2" s="59" t="str">
        <f>IF(CG2=3,"y","n")</f>
        <v>n</v>
      </c>
      <c r="CJ2" s="59" t="str">
        <f>IF(CG2=4,"y","n")</f>
        <v>n</v>
      </c>
      <c r="CK2" s="59" t="str">
        <f>IF(CG2&gt;4,"y","n")</f>
        <v>y</v>
      </c>
      <c r="CL2" s="59" t="str">
        <f>IF(S2=0,"y","n")</f>
        <v>n</v>
      </c>
      <c r="CM2" s="59" t="str">
        <f>IF(S2=2,"y","n")</f>
        <v>n</v>
      </c>
      <c r="CN2" s="59" t="str">
        <f>IF(S2=3,"y","n")</f>
        <v>n</v>
      </c>
      <c r="CO2" s="59" t="str">
        <f>IF(S2&gt;=4,"y","n")</f>
        <v>y</v>
      </c>
      <c r="CP2" s="59" t="str">
        <f>IF(AT2=0,"y","n")</f>
        <v>y</v>
      </c>
      <c r="CQ2" s="59" t="str">
        <f>IF(AT2=1,"y","n")</f>
        <v>n</v>
      </c>
      <c r="CR2" s="59" t="str">
        <f>IF(AT2=2,"y","n")</f>
        <v>n</v>
      </c>
      <c r="CS2" s="59" t="str">
        <f>IF(AT2&gt;=3,"y","n")</f>
        <v>n</v>
      </c>
      <c r="CT2" s="69" t="str">
        <f>CHAR(34)&amp;A2&amp;CHAR(34)</f>
        <v>"Vanuatu"</v>
      </c>
      <c r="CU2" s="70" t="str">
        <f>CHAR(34)&amp;"rgn_"&amp;R2&amp;CHAR(34)</f>
        <v>"rgn_Oceania"</v>
      </c>
      <c r="CV2" s="48" t="str">
        <f>CHAR(34)&amp;D2&amp;CHAR(34)</f>
        <v>"https://i.ibb.co/J5QQTYW/Vanuatu-Flag.png"</v>
      </c>
      <c r="CW2" s="48" t="str">
        <f t="shared" ref="CW2:CZ3" si="0">IF(CH2="y",CHAR(34)&amp;CH$1&amp;CHAR(34)&amp;",","")</f>
        <v/>
      </c>
      <c r="CX2" s="48" t="str">
        <f t="shared" si="0"/>
        <v/>
      </c>
      <c r="CY2" s="48" t="str">
        <f t="shared" si="0"/>
        <v/>
      </c>
      <c r="CZ2" s="48" t="str">
        <f t="shared" si="0"/>
        <v>"5+Colo",</v>
      </c>
      <c r="DA2" s="48" t="str">
        <f>IF(Q2&gt;1,CHAR(34)&amp;"words2"&amp;CHAR(34)&amp;",","")</f>
        <v/>
      </c>
      <c r="DB2" s="48" t="str">
        <f>IF(Q2&gt;2,CHAR(34)&amp;"words3"&amp;CHAR(34)&amp;",","")</f>
        <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"lets07",</v>
      </c>
      <c r="DE2" s="48" t="str">
        <f>CHAR(34)&amp;"start"&amp;IFERROR(LEFT(SUBSTITUTE(A2,"["&amp;MID(A2,FIND("[",A2)+1,FIND("]",A2)-FIND("[",A2)-1)&amp;"] ",""),1),LEFT(A2,1))&amp;CHAR(34)&amp;","</f>
        <v>"startV",</v>
      </c>
      <c r="DF2" s="48" t="str">
        <f>IFERROR(IF(SEARCH("tan",A2)&gt;0,CHAR(34)&amp;"withtn"&amp;CHAR(34)&amp;",",""),"")</f>
        <v/>
      </c>
      <c r="DG2" s="48" t="str">
        <f>IFERROR(IF(SEARCH("q",A2)&gt;0,CHAR(34)&amp;"with_q"&amp;CHAR(34)&amp;",",""),"")</f>
        <v/>
      </c>
      <c r="DH2" s="48" t="str">
        <f>IFERROR(IF(SEARCH("v",A2)&gt;0,CHAR(34)&amp;"with_v"&amp;CHAR(34)&amp;",",""),"")</f>
        <v>"with_v",</v>
      </c>
      <c r="DI2" s="48" t="str">
        <f>IFERROR(IF(SEARCH("w",A2)&gt;0,CHAR(34)&amp;"with_w"&amp;CHAR(34)&amp;",",""),"")</f>
        <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"allhor",</v>
      </c>
      <c r="DU2" s="6" t="str">
        <f>IF(BY2="y",IF(AND(W2="n",V2="n"),CHAR(34)&amp;"alldia"&amp;CHAR(34)&amp;",",""),"")</f>
        <v/>
      </c>
      <c r="DW2" s="48" t="str">
        <f t="shared" ref="DW2:DZ3" si="1">IF(CL2="y",CHAR(34)&amp;CL$1&amp;CHAR(34)&amp;",","")</f>
        <v/>
      </c>
      <c r="DX2" s="48" t="str">
        <f t="shared" si="1"/>
        <v/>
      </c>
      <c r="DY2" s="48" t="str">
        <f t="shared" si="1"/>
        <v/>
      </c>
      <c r="DZ2" s="48" t="str">
        <f t="shared" si="1"/>
        <v>"4+Band",</v>
      </c>
      <c r="EA2" s="48" t="str">
        <f t="shared" ref="EA2:EE3" si="2">IF(T2="y",CHAR(34)&amp;T$1&amp;CHAR(34)&amp;",","")</f>
        <v>"Diagon",</v>
      </c>
      <c r="EB2" s="48" t="str">
        <f t="shared" si="2"/>
        <v/>
      </c>
      <c r="EC2" s="48" t="str">
        <f t="shared" si="2"/>
        <v>"Horizo",</v>
      </c>
      <c r="ED2" s="48" t="str">
        <f t="shared" si="2"/>
        <v/>
      </c>
      <c r="EE2" s="48" t="str">
        <f t="shared" si="2"/>
        <v>"Circle",</v>
      </c>
      <c r="EF2" s="48" t="str">
        <f>IF(AND(Y2&lt;&gt;"n",Y2&lt;&gt;""),CHAR(34)&amp;Y$1&amp;CHAR(34)&amp;",","")</f>
        <v>"Animal",</v>
      </c>
      <c r="EG2" s="48" t="str">
        <f t="shared" ref="EG2:EZ3" si="3">IF(Z2="y",CHAR(34)&amp;Z$1&amp;CHAR(34)&amp;",","")</f>
        <v/>
      </c>
      <c r="EH2" s="48" t="str">
        <f t="shared" si="3"/>
        <v>"Plants",</v>
      </c>
      <c r="EI2" s="48" t="str">
        <f t="shared" si="3"/>
        <v/>
      </c>
      <c r="EJ2" s="48" t="str">
        <f t="shared" si="3"/>
        <v/>
      </c>
      <c r="EK2" s="48" t="str">
        <f t="shared" si="3"/>
        <v/>
      </c>
      <c r="EL2" s="48" t="str">
        <f t="shared" si="3"/>
        <v/>
      </c>
      <c r="EM2" s="48" t="str">
        <f t="shared" si="3"/>
        <v>"Trside",</v>
      </c>
      <c r="EN2" s="48" t="str">
        <f t="shared" si="3"/>
        <v>"Unequa",</v>
      </c>
      <c r="EO2" s="48" t="str">
        <f t="shared" si="3"/>
        <v/>
      </c>
      <c r="EP2" s="48" t="str">
        <f t="shared" si="3"/>
        <v/>
      </c>
      <c r="EQ2" s="48" t="str">
        <f t="shared" si="3"/>
        <v/>
      </c>
      <c r="ER2" s="48" t="str">
        <f t="shared" si="3"/>
        <v/>
      </c>
      <c r="ES2" s="48" t="str">
        <f t="shared" si="3"/>
        <v>"Wavess",</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"NO_BLU",</v>
      </c>
      <c r="FF2" s="48" t="str">
        <f>IF(COUNTIF(BL2:BT2,"WHI")=0,CHAR(34)&amp;"NO_WHI"&amp;CHAR(34)&amp;",", "")</f>
        <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
      </c>
      <c r="FO2" s="48" t="str">
        <f>IF(AND(FE2&lt;&gt;"",FG2&lt;&gt;""),CHAR(34)&amp;"BLRENO"&amp;CHAR(34)&amp;",","")</f>
        <v/>
      </c>
      <c r="FP2" s="48" t="str">
        <f>IF(AND(FF2&lt;&gt;"",FF2&lt;&gt;""),CHAR(34)&amp;"WHRENO"&amp;CHAR(34)&amp;",","")</f>
        <v/>
      </c>
      <c r="FQ2" s="48" t="str">
        <f>IF(LEN(BF2)=3,CHAR(34)&amp;"001"&amp;BF2&amp;CHAR(34)&amp;",","")</f>
        <v>"001BRO",</v>
      </c>
      <c r="FR2" s="48" t="str">
        <f>IF(LEN(BG2)=3,CHAR(34)&amp;"002"&amp;BG2&amp;CHAR(34)&amp;",","")</f>
        <v/>
      </c>
      <c r="FS2" s="48" t="str">
        <f>IF(LEN(BH2)=3,CHAR(34)&amp;"003"&amp;BH2&amp;CHAR(34)&amp;",","")</f>
        <v>"003WHI",</v>
      </c>
      <c r="FT2" s="48" t="str">
        <f>CHAR(34)&amp;"myr"&amp;BD2&amp;CHAR(34)&amp;","</f>
        <v>"myrWHI",</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3" si="4">IF(CQ2="y",CHAR(34)&amp;CQ$1&amp;CHAR(34)&amp;",","")</f>
        <v/>
      </c>
      <c r="GM2" s="48" t="str">
        <f t="shared" si="4"/>
        <v/>
      </c>
      <c r="GN2" s="48" t="str">
        <f t="shared" si="4"/>
        <v/>
      </c>
      <c r="GP2" s="48" t="str">
        <f>CHAR(34)&amp;AU2&amp;CHAR(34)</f>
        <v>""</v>
      </c>
      <c r="GS2" s="48" t="str">
        <f>SUBSTITUTE("["&amp;_xlfn.CONCAT(CW2:GN2)&amp;"]",",]","]")</f>
        <v>["5+Colo","lets07","startV","with_v","year19","allhor","4+Band","Diagon","Horizo","Circle","Animal","Plants","Trside","Unequa","Wavess","NO_BLU","001BRO","003WHI","myrWHI","NoStar"]</v>
      </c>
      <c r="GT2" s="48" t="str">
        <f t="shared" ref="GT2:HB3" si="5">IF(BL2&lt;&gt;"",CHAR(34)&amp;"cl_"&amp;BL2&amp;CHAR(34)&amp;",","")</f>
        <v>"cl_BLA",</v>
      </c>
      <c r="GU2" s="48" t="str">
        <f t="shared" si="5"/>
        <v/>
      </c>
      <c r="GV2" s="48" t="str">
        <f t="shared" si="5"/>
        <v>"cl_GRE",</v>
      </c>
      <c r="GW2" s="48" t="str">
        <f t="shared" si="5"/>
        <v>"cl_RED",</v>
      </c>
      <c r="GX2" s="48" t="str">
        <f t="shared" si="5"/>
        <v>"cl_YEL",</v>
      </c>
      <c r="GY2" s="48" t="str">
        <f t="shared" si="5"/>
        <v>"cl_ORA",</v>
      </c>
      <c r="GZ2" s="48" t="str">
        <f t="shared" si="5"/>
        <v>"cl_BRO",</v>
      </c>
      <c r="HA2" s="48" t="str">
        <f t="shared" si="5"/>
        <v/>
      </c>
      <c r="HB2" s="48" t="str">
        <f t="shared" si="5"/>
        <v>"cl_WHI",</v>
      </c>
      <c r="HC2" s="48" t="str">
        <f>SUBSTITUTE("["&amp;_xlfn.CONCAT(GT2:HB2)&amp;"]",",]","]")</f>
        <v>["cl_BLA","cl_GRE","cl_RED","cl_YEL","cl_ORA","cl_BRO","cl_WHI"]</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links: "https://en.wikipedia.org/wiki/Flag_of_Vanuatu"},</v>
      </c>
      <c r="HG2" s="73" t="str">
        <f>"{couname:"&amp;CT2&amp;(IF(HK2&lt;&gt;"",",subtype:"&amp;CHAR(34)&amp;HK2&amp;CHAR(34),""))&amp;",year:"&amp;HJ2&amp;",region:"&amp;CU2&amp;",Colors:"&amp;HC2&amp;",Items:"&amp;GS2&amp;",Flag:"&amp;CV2&amp;",HDFlag:"&amp;CHAR(34)&amp;E2&amp;CHAR(34)&amp;",type:"&amp;GP2&amp;", describe: "&amp;HI2&amp;", links: "&amp;HL2&amp;"},"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links: "https://en.wikipedia.org/wiki/Flag_of_Vanuatu"},</v>
      </c>
      <c r="HH2" s="48" t="str">
        <f>IF(P2&lt;&gt;"",CHAR(34)&amp;"\n"&amp;P2&amp;CHAR(34),CHAR(34)&amp;CHAR(34))</f>
        <v>"\nThe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v>
      </c>
      <c r="HI2" s="48" t="str">
        <f>IF(J2=0,CHAR(34)&amp;CHAR(34),HH2)</f>
        <v>"\nThe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v>
      </c>
      <c r="HJ2" s="48" t="str">
        <f>CHAR(34)&amp;O2&amp;CHAR(34)</f>
        <v>"1980 "</v>
      </c>
      <c r="HL2" s="48" t="str">
        <f>CHAR(34)&amp;I2&amp;CHAR(34)</f>
        <v>"https://en.wikipedia.org/wiki/Flag_of_Vanuatu"</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 "links": "https://en.wikipedia.org/wiki/Flag_of_Vanuatu"},</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{"couname":"Vanuatu","year":"1980 ","region":"rgn_Oceania","Colors":["cl_BLA","cl_GRE","cl_RED","cl_YEL","cl_ORA","cl_BRO","cl_WHI"],"Items":["5+Colo","lets07","startV","with_v","year19","allhor","4+Band","Diagon","Horizo","Circle","Animal","Plants","Trside","Unequa","Wavess","NO_BLU","001BRO","003WHI","myrWHI","NoStar"],"Flag":"https://i.ibb.co/J5QQTYW/Vanuatu-Flag.png","HDFlag":"https://upload.wikimedia.org/wikipedia/commons/thumb/b/bc/Flag_of_Vanuatu.svg/2560px-Flag_of_Vanuatu.svg.png","type":"", "describe": "\nThe green represents the richness of the islands, the red symbolises blood which unites humanity as humans, and the black the ni-Vanuatu people. The Prime Minister of Vanuatu, Father Walter Lini, requested the inclusion of yellow and black fimbriations to make the black stand out. The yellow Y-shape (pall) represents the shape of Vanuatu islands on the map and the light of the gospel going through the pattern of the islands in the Pacific Ocean (approximately 83% of the people of Vanuatu profess Christianity).\n\nThe emblem in the black is a boar's tusk—the symbol of customs and tradition but also prosperity. It is worn as a pendant on the islands—along with two leaves of the local namele tree. These leaves are supposed to be a token of peace, and their 39 leaflets represent the original 39 members of the Parliament of Vanuatu.", "isnew": ".", "links": "https://en.wikipedia.org/wiki/Flag_of_Vanuatu"},</v>
      </c>
      <c r="HO2" s="75">
        <v>45610</v>
      </c>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ORA</v>
      </c>
      <c r="HV2" s="48" t="str" cm="1">
        <f t="array" ref="HV2">IF(_xlfn.TEXTJOIN(", ", TRUE, IF(ISNUMBER(SEARCH("BRO", BL2:BT2)), COLUMN(BL2:BT2) - COLUMN(BL2) + 1, ""))&lt;&gt;"","BRO","")</f>
        <v>BRO</v>
      </c>
      <c r="HW2" s="48" t="str" cm="1">
        <f t="array" ref="HW2">IF(_xlfn.TEXTJOIN(", ", TRUE, IF(ISNUMBER(SEARCH("PUR", BL2:BT2)), COLUMN(BL2:BT2) - COLUMN(BL2) + 1, ""))&lt;&gt;"","PUR","")</f>
        <v/>
      </c>
      <c r="HX2" s="48" t="str" cm="1">
        <f t="array" ref="HX2">IF(_xlfn.TEXTJOIN(", ", TRUE, IF(ISNUMBER(SEARCH("WHI", BL2:BT2)), COLUMN(BL2:BT2) - COLUMN(BL2) + 1, ""))&lt;&gt;"","WHI","")</f>
        <v>WHI</v>
      </c>
      <c r="HY2" s="76"/>
      <c r="HZ2" s="76"/>
      <c r="IA2" s="6"/>
      <c r="IB2" s="6"/>
      <c r="IC2" s="77"/>
      <c r="ID2" s="77"/>
      <c r="IE2" s="77"/>
      <c r="IF2" s="77"/>
      <c r="IG2" s="77"/>
      <c r="IH2" s="77"/>
      <c r="II2" s="77"/>
      <c r="IJ2" s="77"/>
      <c r="IK2" s="77"/>
      <c r="IM2" s="45">
        <f>COUNTIF(IC2:IK2,"&gt;0")-CG2</f>
        <v>-7</v>
      </c>
      <c r="IN2" s="78" t="str">
        <f>"http://mkweb.bcgsc.ca/color-summarizer/?url="&amp;D2&amp;"&amp;precision=low&amp;num_clusters="&amp;CG2&amp;"&amp;text=1"</f>
        <v>http://mkweb.bcgsc.ca/color-summarizer/?url=https://i.ibb.co/J5QQTYW/Vanuatu-Flag.png&amp;precision=low&amp;num_clusters=7&amp;text=1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"orange"</v>
      </c>
      <c r="IU2" s="48" t="str">
        <f>IF(HV2&lt;&gt;"",CHAR(34)&amp;"brown"&amp;CHAR(34),"")</f>
        <v>"brown"</v>
      </c>
      <c r="IV2" s="48" t="str">
        <f>IF(HW2&lt;&gt;"",CHAR(34)&amp;"purple"&amp;CHAR(34),"")</f>
        <v/>
      </c>
      <c r="IW2" s="48" t="str">
        <f>IF(HX2&lt;&gt;"",CHAR(34)&amp;"white"&amp;CHAR(34),"")</f>
        <v>"white"</v>
      </c>
      <c r="IX2" s="48" t="str">
        <f>"{"&amp;CHAR(34)&amp;"url"&amp;CHAR(34)&amp;":"&amp;CHAR(34)&amp;IN2&amp;CHAR(34)&amp;","&amp;CHAR(34)&amp;"name"&amp;CHAR(34)&amp;":"&amp;CHAR(34)&amp;A2&amp;CHAR(34)&amp;"},"</f>
        <v>{"url":"http://mkweb.bcgsc.ca/color-summarizer/?url=https://i.ibb.co/J5QQTYW/Vanuatu-Flag.png&amp;precision=low&amp;num_clusters=7&amp;text=1","name":"Vanuatu"},</v>
      </c>
      <c r="IY2" s="48">
        <v>1302</v>
      </c>
    </row>
    <row r="3" spans="1:259" s="48" customFormat="1" ht="38.4" customHeight="1" thickBot="1" x14ac:dyDescent="0.35">
      <c r="A3" s="79" t="s">
        <v>603</v>
      </c>
      <c r="B3" s="40" t="e" vm="114">
        <v>#VALUE!</v>
      </c>
      <c r="C3" s="41">
        <v>2</v>
      </c>
      <c r="D3" s="42" t="s">
        <v>604</v>
      </c>
      <c r="E3" s="43" t="s">
        <v>605</v>
      </c>
      <c r="F3" s="44" t="s">
        <v>166</v>
      </c>
      <c r="G3" s="45">
        <f>COUNTIF($A$1:$A$8268,A3)</f>
        <v>1</v>
      </c>
      <c r="H3" s="46"/>
      <c r="I3" s="47" t="s">
        <v>606</v>
      </c>
      <c r="J3" s="48" t="str">
        <f>""</f>
        <v/>
      </c>
      <c r="K3" s="49"/>
      <c r="L3" s="50"/>
      <c r="M3" s="50"/>
      <c r="N3" s="51" t="s">
        <v>169</v>
      </c>
      <c r="O3" s="52" t="s">
        <v>355</v>
      </c>
      <c r="P3" s="53" t="s">
        <v>607</v>
      </c>
      <c r="Q3" s="54">
        <v>2</v>
      </c>
      <c r="R3" s="55" t="s">
        <v>169</v>
      </c>
      <c r="S3" s="56">
        <v>7</v>
      </c>
      <c r="T3" s="57" t="s">
        <v>172</v>
      </c>
      <c r="U3" s="58" t="s">
        <v>173</v>
      </c>
      <c r="V3" s="58" t="s">
        <v>173</v>
      </c>
      <c r="W3" s="58" t="s">
        <v>172</v>
      </c>
      <c r="X3" s="58" t="s">
        <v>172</v>
      </c>
      <c r="Y3" s="58" t="s">
        <v>172</v>
      </c>
      <c r="Z3" s="58" t="s">
        <v>173</v>
      </c>
      <c r="AA3" s="58" t="s">
        <v>172</v>
      </c>
      <c r="AB3" s="58" t="s">
        <v>173</v>
      </c>
      <c r="AC3" s="58" t="s">
        <v>172</v>
      </c>
      <c r="AD3" s="58" t="s">
        <v>173</v>
      </c>
      <c r="AE3" s="58" t="s">
        <v>173</v>
      </c>
      <c r="AF3" s="59" t="s">
        <v>173</v>
      </c>
      <c r="AG3" s="59" t="s">
        <v>173</v>
      </c>
      <c r="AH3" s="59" t="s">
        <v>173</v>
      </c>
      <c r="AI3" s="59" t="s">
        <v>173</v>
      </c>
      <c r="AJ3" s="59" t="s">
        <v>173</v>
      </c>
      <c r="AK3" s="59" t="s">
        <v>173</v>
      </c>
      <c r="AL3" s="59" t="s">
        <v>173</v>
      </c>
      <c r="AM3" s="59" t="s">
        <v>173</v>
      </c>
      <c r="AN3" s="59" t="s">
        <v>173</v>
      </c>
      <c r="AO3" s="59" t="s">
        <v>173</v>
      </c>
      <c r="AP3" s="59" t="s">
        <v>173</v>
      </c>
      <c r="AQ3" s="59" t="s">
        <v>173</v>
      </c>
      <c r="AR3" s="59" t="s">
        <v>173</v>
      </c>
      <c r="AS3" s="59" t="s">
        <v>173</v>
      </c>
      <c r="AT3" s="60">
        <v>0</v>
      </c>
      <c r="AU3" s="59" t="s">
        <v>467</v>
      </c>
      <c r="AV3" s="59" t="str">
        <f>IF(LEFT(A3,1)="[",LEFT(A3,5)&amp;AU3&amp;A3,"")</f>
        <v>[VUT]Province[VUT] Torba Province</v>
      </c>
      <c r="AW3" s="59" t="str">
        <f>C3&amp;H3&amp;A3</f>
        <v>2[VUT] Torba Province</v>
      </c>
      <c r="AX3" s="61" t="str">
        <f>_xlfn.TEXTJOIN(";",TRUE,AU3:AW3)</f>
        <v>Province;[VUT]Province[VUT] Torba Province;2[VUT] Torba Province</v>
      </c>
      <c r="AY3" s="61"/>
      <c r="AZ3" s="62"/>
      <c r="BA3" s="62"/>
      <c r="BB3" s="62"/>
      <c r="BC3" s="63"/>
      <c r="BD3" s="64" t="s">
        <v>155</v>
      </c>
      <c r="BE3" s="47"/>
      <c r="BF3" s="64" t="s">
        <v>155</v>
      </c>
      <c r="BG3" s="64" t="s">
        <v>152</v>
      </c>
      <c r="BH3" s="64" t="s">
        <v>154</v>
      </c>
      <c r="BI3" s="64"/>
      <c r="BJ3" s="64"/>
      <c r="BK3" s="47"/>
      <c r="BL3" s="64" t="s">
        <v>155</v>
      </c>
      <c r="BM3" s="64" t="s">
        <v>152</v>
      </c>
      <c r="BN3" s="64" t="s">
        <v>154</v>
      </c>
      <c r="BO3" s="64"/>
      <c r="BP3" s="64"/>
      <c r="BQ3" s="64"/>
      <c r="BR3" s="64"/>
      <c r="BS3" s="64"/>
      <c r="BT3" s="64"/>
      <c r="BU3" s="65"/>
      <c r="BV3" s="66" t="s">
        <v>183</v>
      </c>
      <c r="BW3" s="66">
        <v>0</v>
      </c>
      <c r="BX3" s="47"/>
      <c r="CB3" s="6" t="s">
        <v>138</v>
      </c>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n</v>
      </c>
      <c r="CM3" s="59" t="str">
        <f>IF(S3=2,"y","n")</f>
        <v>n</v>
      </c>
      <c r="CN3" s="59" t="str">
        <f>IF(S3=3,"y","n")</f>
        <v>n</v>
      </c>
      <c r="CO3" s="59" t="str">
        <f>IF(S3&gt;=4,"y","n")</f>
        <v>y</v>
      </c>
      <c r="CP3" s="59" t="str">
        <f>IF(AT3=0,"y","n")</f>
        <v>y</v>
      </c>
      <c r="CQ3" s="59" t="str">
        <f>IF(AT3=1,"y","n")</f>
        <v>n</v>
      </c>
      <c r="CR3" s="59" t="str">
        <f>IF(AT3=2,"y","n")</f>
        <v>n</v>
      </c>
      <c r="CS3" s="59" t="str">
        <f>IF(AT3&gt;=3,"y","n")</f>
        <v>n</v>
      </c>
      <c r="CT3" s="69" t="str">
        <f>CHAR(34)&amp;A3&amp;CHAR(34)</f>
        <v>"[VUT] Torba Province"</v>
      </c>
      <c r="CU3" s="70" t="str">
        <f>CHAR(34)&amp;"rgn_"&amp;R3&amp;CHAR(34)</f>
        <v>"rgn_Oceania"</v>
      </c>
      <c r="CV3" s="48" t="str">
        <f>CHAR(34)&amp;D3&amp;CHAR(34)</f>
        <v>"https://www.crwflags.com/fotw/images/v/vu-tor_p.gif"</v>
      </c>
      <c r="CW3" s="48" t="str">
        <f t="shared" si="0"/>
        <v/>
      </c>
      <c r="CX3" s="48" t="str">
        <f t="shared" si="0"/>
        <v>"3Color",</v>
      </c>
      <c r="CY3" s="48" t="str">
        <f t="shared" si="0"/>
        <v/>
      </c>
      <c r="CZ3" s="48" t="str">
        <f t="shared" si="0"/>
        <v/>
      </c>
      <c r="DA3" s="48" t="str">
        <f>IF(Q3&gt;1,CHAR(34)&amp;"words2"&amp;CHAR(34)&amp;",","")</f>
        <v>"words2",</v>
      </c>
      <c r="DB3" s="48" t="str">
        <f>IF(Q3&gt;2,CHAR(34)&amp;"words3"&amp;CHAR(34)&amp;",","")</f>
        <v/>
      </c>
      <c r="DC3" s="48" t="str">
        <f>IF(Q3=2,CHAR(34)&amp;"exact2"&amp;CHAR(34)&amp;",","")</f>
        <v>"exact2",</v>
      </c>
      <c r="DD3" s="48" t="str">
        <f>IF(LEN(CHAR(34)&amp;"lets"&amp;LEN(SUBSTITUTE(SUBSTITUTE(IFERROR(TRIM(SUBSTITUTE(SUBSTITUTE(SUBSTITUTE(IFERROR(TRIM(SUBSTITUTE(A3,MID(A3,FIND("(",A3),FIND(")",A3)-FIND("(",A3)+1),"")),A3),"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",""),"-",""))&amp;CHAR(34)&amp;",")=9,CHAR(34)&amp;"lets"&amp;LEN(SUBSTITUTE(SUBSTITUTE(IFERROR(TRIM(SUBSTITUTE(SUBSTITUTE(SUBSTITUTE(IFERROR(TRIM(SUBSTITUTE(A3,MID(A3,FIND("(",A3),FIND(")",A3)-FIND("(",A3)+1),"")),A3),"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",""),"-",""))&amp;CHAR(34)&amp;",",CHAR(34)&amp;"lets0"&amp;LEN(SUBSTITUTE(SUBSTITUTE(IFERROR(TRIM(SUBSTITUTE(SUBSTITUTE(SUBSTITUTE(IFERROR(TRIM(SUBSTITUTE(A3,MID(A3,FIND("(",A3),FIND(")",A3)-FIND("(",A3)+1),"")),A3)," ",""),"-",""),MID(SUBSTITUTE(SUBSTITUTE(IFERROR(TRIM(SUBSTITUTE(A3,MID(A3,FIND("(",A3),FIND(")",A3)-FIND("(",A3)+1),"")),A3)," ",""),"-",""),FIND("[",SUBSTITUTE(SUBSTITUTE(IFERROR(TRIM(SUBSTITUTE(A3,MID(A3,FIND("(",A3),FIND(")",A3)-FIND("(",A3)+1),"")),A3)," ",""),"-","")),FIND("]",SUBSTITUTE(SUBSTITUTE(IFERROR(TRIM(SUBSTITUTE(A3,MID(A3,FIND("(",A3),FIND(")",A3)-FIND("(",A3)+1),"")),A3)," ",""),"-",""))-FIND("[",SUBSTITUTE(SUBSTITUTE(IFERROR(TRIM(SUBSTITUTE(A3,MID(A3,FIND("(",A3),FIND(")",A3)-FIND("(",A3)+1),"")),A3)," ",""),"-",""))+1),"")),SUBSTITUTE(SUBSTITUTE(IFERROR(TRIM(SUBSTITUTE(A3,MID(A3,FIND("(",A3),FIND(")",A3)-FIND("(",A3)+1),"")),A3)," ",""),"-",""))," ",""),"-",""))&amp;CHAR(34)&amp;",")</f>
        <v>"lets13",</v>
      </c>
      <c r="DE3" s="48" t="str">
        <f>IFERROR(CHAR(34)&amp;"start"&amp;LEFT(TRIM(SUBSTITUTE(SUBSTITUTE(TRIM(SUBSTITUTE(SUBSTITUTE(A3, MID(A3, FIND("[", A3), FIND("]", A3) - FIND("[", A3) + 1), ""), "  ", " ")), MID(TRIM(SUBSTITUTE(SUBSTITUTE(A3, MID(A3, FIND("[", A3), FIND("]", A3) - FIND("[", A3) + 1), ""), "  ", " ")), FIND("[", TRIM(SUBSTITUTE(SUBSTITUTE(A3, MID(A3, FIND("[", A3), FIND("]", A3) - FIND("[", A3) + 1), ""), "  ", " "))), FIND("]", TRIM(SUBSTITUTE(SUBSTITUTE(A3, MID(A3, FIND("[", A3), FIND("]", A3) - FIND("[", A3) + 1), ""), "  ", " "))) - FIND("[", TRIM(SUBSTITUTE(SUBSTITUTE(A3, MID(A3, FIND("[", A3), FIND("]", A3) - FIND("[", A3) + 1), ""), "  ", " "))) + 1), ""), "  ", " ")),1)&amp;CHAR(34)&amp;",",CHAR(34)&amp;"start"&amp;IFERROR(LEFT(SUBSTITUTE(A3,"["&amp;MID(A3,FIND("[",A3)+1,FIND("]",A3)-FIND("[",A3)-1)&amp;"] ",""),1),LEFT(A3,1))&amp;CHAR(34)&amp;",")</f>
        <v>"startT",</v>
      </c>
      <c r="DF3" s="48" t="str">
        <f>IFERROR(IF(SEARCH("tan",A3)&gt;0,CHAR(34)&amp;"withtn"&amp;CHAR(34)&amp;",",""),"")</f>
        <v/>
      </c>
      <c r="DG3" s="48" t="str">
        <f>IFERROR(IF(SEARCH("q",A3)&gt;0,CHAR(34)&amp;"with_q"&amp;CHAR(34)&amp;",",""),"")</f>
        <v/>
      </c>
      <c r="DH3" s="48" t="str">
        <f>IFERROR(IF(SEARCH("v",A3)&gt;0,CHAR(34)&amp;"with_v"&amp;CHAR(34)&amp;",",""),"")</f>
        <v>"with_v",</v>
      </c>
      <c r="DI3" s="48" t="str">
        <f>IFERROR(IF(SEARCH("w",A3)&gt;0,CHAR(34)&amp;"with_w"&amp;CHAR(34)&amp;",",""),"")</f>
        <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"LUEDEL",</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"allver",</v>
      </c>
      <c r="DT3" s="6" t="str">
        <f>IF(V3="y",IF(AND(W3="n",BY3&lt;&gt;"y"),CHAR(34)&amp;"allhor"&amp;CHAR(34)&amp;",",""),"")</f>
        <v/>
      </c>
      <c r="DU3" s="6" t="str">
        <f>IF(BY3="y",IF(AND(W3="n",V3="n"),CHAR(34)&amp;"alldia"&amp;CHAR(34)&amp;",",""),"")</f>
        <v/>
      </c>
      <c r="DV3" s="48" t="str">
        <f>IF(IA3&lt;&gt;"",(IF(IA3="y",CHAR(34)&amp;"largec"&amp;CHAR(34)&amp;",",CHAR(34)&amp;"smallc"&amp;CHAR(34)&amp;",")),"")</f>
        <v/>
      </c>
      <c r="DW3" s="48" t="str">
        <f t="shared" si="1"/>
        <v/>
      </c>
      <c r="DX3" s="48" t="str">
        <f t="shared" si="1"/>
        <v/>
      </c>
      <c r="DY3" s="48" t="str">
        <f t="shared" si="1"/>
        <v/>
      </c>
      <c r="DZ3" s="48" t="str">
        <f t="shared" si="1"/>
        <v>"4+Band",</v>
      </c>
      <c r="EA3" s="48" t="str">
        <f t="shared" si="2"/>
        <v>"Diagon",</v>
      </c>
      <c r="EB3" s="48" t="str">
        <f t="shared" si="2"/>
        <v/>
      </c>
      <c r="EC3" s="48" t="str">
        <f t="shared" si="2"/>
        <v/>
      </c>
      <c r="ED3" s="48" t="str">
        <f t="shared" si="2"/>
        <v>"Vertic",</v>
      </c>
      <c r="EE3" s="48" t="str">
        <f t="shared" si="2"/>
        <v>"Circle",</v>
      </c>
      <c r="EF3" s="48" t="str">
        <f>IF(AND(Y3&lt;&gt;"n",Y3&lt;&gt;""),CHAR(34)&amp;Y$1&amp;CHAR(34)&amp;",","")</f>
        <v>"Animal",</v>
      </c>
      <c r="EG3" s="48" t="str">
        <f t="shared" si="3"/>
        <v/>
      </c>
      <c r="EH3" s="48" t="str">
        <f t="shared" si="3"/>
        <v>"Plants",</v>
      </c>
      <c r="EI3" s="48" t="str">
        <f t="shared" si="3"/>
        <v/>
      </c>
      <c r="EJ3" s="48" t="str">
        <f t="shared" si="3"/>
        <v>"Weapon",</v>
      </c>
      <c r="EK3" s="48" t="str">
        <f t="shared" si="3"/>
        <v/>
      </c>
      <c r="EL3" s="48" t="str">
        <f t="shared" si="3"/>
        <v/>
      </c>
      <c r="EM3" s="48" t="str">
        <f t="shared" si="3"/>
        <v/>
      </c>
      <c r="EN3" s="48" t="str">
        <f t="shared" si="3"/>
        <v/>
      </c>
      <c r="EO3" s="48" t="str">
        <f t="shared" si="3"/>
        <v/>
      </c>
      <c r="EP3" s="48" t="str">
        <f t="shared" si="3"/>
        <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IF(AT3&gt;0,CHAR(34)&amp;"sta"&amp;AZ3&amp;CHAR(34)&amp;",","")</f>
        <v/>
      </c>
      <c r="FB3" s="48" t="str">
        <f>IF(AND(AT3&gt;0,BA3&lt;&gt;""),CHAR(34)&amp;"sta"&amp;BA3&amp;CHAR(34)&amp;",","")</f>
        <v/>
      </c>
      <c r="FC3" s="48" t="str">
        <f>IF(AND(AT3&gt;0,BB3&lt;&gt;""),CHAR(34)&amp;"sta"&amp;BB3&amp;CHAR(34)&amp;",","")</f>
        <v/>
      </c>
      <c r="FD3" s="48" t="str">
        <f>IF(BV3="n",CHAR(34)&amp;"tcWHYE"&amp;CHAR(34)&amp;",",IF(BV3="y",CHAR(34)&amp;FD$1&amp;CHAR(34)&amp;",",""))</f>
        <v/>
      </c>
      <c r="FE3" s="48" t="str">
        <f>IF(COUNTIF(BL3:BT3,"BLU")=0,CHAR(34)&amp;"NO_BLU"&amp;CHAR(34)&amp;",", "")</f>
        <v/>
      </c>
      <c r="FF3" s="48" t="str">
        <f>IF(COUNTIF(BL3:BT3,"WHI")=0,CHAR(34)&amp;"NO_WHI"&amp;CHAR(34)&amp;",", "")</f>
        <v>"NO_WHI",</v>
      </c>
      <c r="FG3" s="48" t="str">
        <f>IF(COUNTIF(BL3:BT3,"RED")=0,CHAR(34)&amp;"NO_RED"&amp;CHAR(34)&amp;",", "")</f>
        <v/>
      </c>
      <c r="FH3" s="48" t="str">
        <f>IF(COUNTIF(BL3:BS3,"GRE")=0,CHAR(34)&amp;"NO_GRE"&amp;CHAR(34)&amp;",", "")</f>
        <v>"NO_GRE",</v>
      </c>
      <c r="FI3" s="48" t="str">
        <f>IF(COUNTIF(BL3:BT3,"YEL")=0,CHAR(34)&amp;"NO_YEL"&amp;CHAR(34)&amp;",", "")</f>
        <v/>
      </c>
      <c r="FJ3" s="48" t="str">
        <f>IF(COUNTIF(BL3:BT3,"BLA")=0,CHAR(34)&amp;"NO_BLA"&amp;CHAR(34)&amp;",", "")</f>
        <v>"NO_BLA",</v>
      </c>
      <c r="FK3" s="48" t="str">
        <f>IF(AND(FH3&lt;&gt;"",FF3&lt;&gt;""),CHAR(34)&amp;"WHGRNO"&amp;CHAR(34)&amp;",","")</f>
        <v>"WHGRNO",</v>
      </c>
      <c r="FL3" s="48" t="str">
        <f>IF(AND(FI3&lt;&gt;"",FF3&lt;&gt;""),CHAR(34)&amp;"WHYENO"&amp;CHAR(34)&amp;",","")</f>
        <v/>
      </c>
      <c r="FM3" s="48" t="str">
        <f>IF(AND(FJ3&lt;&gt;"",FF3&lt;&gt;""),CHAR(34)&amp;"BAWHNO"&amp;CHAR(34)&amp;",","")</f>
        <v>"BAWHNO",</v>
      </c>
      <c r="FN3" s="48" t="str">
        <f>IF(AND(FE3&lt;&gt;"",FF3&lt;&gt;""),CHAR(34)&amp;"BLWHNO"&amp;CHAR(34)&amp;",","")</f>
        <v/>
      </c>
      <c r="FO3" s="48" t="str">
        <f>IF(AND(FE3&lt;&gt;"",FG3&lt;&gt;""),CHAR(34)&amp;"BLRENO"&amp;CHAR(34)&amp;",","")</f>
        <v/>
      </c>
      <c r="FP3" s="48" t="str">
        <f>IF(AND(FF3&lt;&gt;"",FF3&lt;&gt;""),CHAR(34)&amp;"WHRENO"&amp;CHAR(34)&amp;",","")</f>
        <v>"WHRENO",</v>
      </c>
      <c r="FQ3" s="48" t="str">
        <f>IF(LEN(BF3)=3,CHAR(34)&amp;"001"&amp;BF3&amp;CHAR(34)&amp;",","")</f>
        <v>"001YEL",</v>
      </c>
      <c r="FR3" s="48" t="str">
        <f>IF(LEN(BG3)=3,CHAR(34)&amp;"002"&amp;BG3&amp;CHAR(34)&amp;",","")</f>
        <v>"002BLU",</v>
      </c>
      <c r="FS3" s="48" t="str">
        <f>IF(LEN(BH3)=3,CHAR(34)&amp;"003"&amp;BH3&amp;CHAR(34)&amp;",","")</f>
        <v>"003RED",</v>
      </c>
      <c r="FT3" s="48" t="str">
        <f>CHAR(34)&amp;"myr"&amp;BD3&amp;CHAR(34)&amp;","</f>
        <v>"myrYEL",</v>
      </c>
      <c r="FU3" s="48" t="str">
        <f>IF(AY3="y",CHAR(34)&amp;"island"&amp;CHAR(34)&amp;",","")</f>
        <v/>
      </c>
      <c r="FV3" s="48" t="str">
        <f>IF(BZ3="y",CHAR(34)&amp;"landlo"&amp;CHAR(34)&amp;",","")</f>
        <v/>
      </c>
      <c r="FW3" s="48" t="str">
        <f>IF(CA3="y",CHAR(34)&amp;"eunion"&amp;CHAR(34)&amp;",","")</f>
        <v/>
      </c>
      <c r="FX3" s="48" t="str">
        <f>SUBSTITUTE(IFERROR(SEARCH("[",A3),IFERROR(IF(AND(CA3&lt;&gt;"y",SEARCH("Europe",R3)&gt;0),CHAR(34)&amp;"noeuni"&amp;CHAR(34)&amp;",",""),"")),"1","")</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"spanis",</v>
      </c>
      <c r="GC3" s="48" t="str">
        <f>IFERROR(IF(SEARCH("Portuguese",CB3)&gt;0,CHAR(34)&amp;"portug"&amp;CHAR(34)&amp;",",""),"")</f>
        <v/>
      </c>
      <c r="GD3" s="48" t="str">
        <f>IFERROR(IF(SEARCH("German",CB3)&gt;0,CHAR(34)&amp;"german"&amp;CHAR(34)&amp;",",""),"")</f>
        <v/>
      </c>
      <c r="GE3" s="48" t="str">
        <f>IFERROR(IF(SEARCH("Dutch",CB3)&gt;0,CHAR(34)&amp;"dutchs"&amp;CHAR(34)&amp;",",""),"")</f>
        <v/>
      </c>
      <c r="GF3" s="48" t="str">
        <f>IFERROR(IF(SEARCH("Histor",AU3)&gt;0,CHAR(34)&amp;"histor"&amp;CHAR(34)&amp;",",""),"")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4"/>
        <v/>
      </c>
      <c r="GM3" s="48" t="str">
        <f t="shared" si="4"/>
        <v/>
      </c>
      <c r="GN3" s="48" t="str">
        <f t="shared" si="4"/>
        <v/>
      </c>
      <c r="GP3" s="48" t="str">
        <f>CHAR(34)&amp;AU3&amp;CHAR(34)</f>
        <v>"Province"</v>
      </c>
      <c r="GS3" s="48" t="str">
        <f>SUBSTITUTE("["&amp;_xlfn.CONCAT(CW3:GN3)&amp;"]",",]","]")</f>
        <v>["3Color","words2","exact2","lets13","startT","with_v","LUEDEL","allver","4+Band","Diagon","Vertic","Circle","Animal","Plants","Weapon","NO_WHI","NO_GRE","NO_BLA","WHGRNO","BAWHNO","WHRENO","001YEL","002BLU","003RED","myrYEL","spanis","NoStar"]</v>
      </c>
      <c r="GT3" s="48" t="str">
        <f t="shared" si="5"/>
        <v>"cl_YEL",</v>
      </c>
      <c r="GU3" s="48" t="str">
        <f t="shared" si="5"/>
        <v>"cl_BLU",</v>
      </c>
      <c r="GV3" s="48" t="str">
        <f t="shared" si="5"/>
        <v>"cl_RED",</v>
      </c>
      <c r="GW3" s="48" t="str">
        <f t="shared" si="5"/>
        <v/>
      </c>
      <c r="GX3" s="48" t="str">
        <f t="shared" si="5"/>
        <v/>
      </c>
      <c r="GY3" s="48" t="str">
        <f t="shared" si="5"/>
        <v/>
      </c>
      <c r="GZ3" s="48" t="str">
        <f t="shared" si="5"/>
        <v/>
      </c>
      <c r="HA3" s="48" t="str">
        <f t="shared" si="5"/>
        <v/>
      </c>
      <c r="HB3" s="48" t="str">
        <f t="shared" si="5"/>
        <v/>
      </c>
      <c r="HC3" s="48" t="str">
        <f>SUBSTITUTE("["&amp;_xlfn.CONCAT(GT3:HB3)&amp;"]",",]","]")</f>
        <v>["cl_YEL","cl_BLU","cl_RED"]</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links: "https://en.wikipedia.org/wiki/Torba_Province"},</v>
      </c>
      <c r="HG3" s="73" t="str">
        <f>"{couname:"&amp;CT3&amp;(IF(HK3&lt;&gt;"",",subtype:"&amp;CHAR(34)&amp;HK3&amp;CHAR(34),""))&amp;",year:"&amp;HJ3&amp;",region:"&amp;CU3&amp;",Colors:"&amp;HC3&amp;",Items:"&amp;GS3&amp;",Flag:"&amp;CV3&amp;",HDFlag:"&amp;CHAR(34)&amp;E3&amp;CHAR(34)&amp;",type:"&amp;GP3&amp;", describe: "&amp;HI3&amp;", links: "&amp;HL3&amp;"},"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links: "https://en.wikipedia.org/wiki/Torba_Province"},</v>
      </c>
      <c r="HH3" s="48" t="str">
        <f>IF(P3&lt;&gt;"",CHAR(34)&amp;"\n"&amp;P3&amp;CHAR(34),CHAR(34)&amp;CHAR(34))</f>
        <v>"\nThe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v>
      </c>
      <c r="HI3" s="48" t="str">
        <f>IF(J3=0,CHAR(34)&amp;CHAR(34),HH3)</f>
        <v>"\nThe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v>
      </c>
      <c r="HJ3" s="48" t="str">
        <f>CHAR(34)&amp;O3&amp;CHAR(34)</f>
        <v>"???"</v>
      </c>
      <c r="HL3" s="48" t="str">
        <f>CHAR(34)&amp;I3&amp;CHAR(34)</f>
        <v>"https://en.wikipedia.org/wiki/Torba_Province"</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 "links": "https://en.wikipedia.org/wiki/Torba_Province"},</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{"couname":"[VUT] Torba Province","year":"???","region":"rgn_Oceania","Colors":["cl_YEL","cl_BLU","cl_RED"],"Items":["3Color","words2","exact2","lets13","startT","with_v","LUEDEL","allver","4+Band","Diagon","Vertic","Circle","Animal","Plants","Weapon","NO_WHI","NO_GRE","NO_BLA","WHGRNO","BAWHNO","WHRENO","001YEL","002BLU","003RED","myrYEL","spanis","NoStar"],"Flag":"https://www.crwflags.com/fotw/images/v/vu-tor_p.gif","HDFlag":"https://en.wikipedia.org/wiki/Torba_Province#/media/File:Flag_of_Torba_Province.png","type":"Province", "describe": "\nThe Torba Province (former District of Ambryn, District of Malakula and District of Paama) flag is diagonally arranged, blue in the upper hoist, stripes of red-yellow-black-white-green, and yellow in the lower fly. Overall, centred, but displaced to the lower part of the flag, is a series of local emblems: two ferns and crossed spears on the perimeter, a chain of white stone beads, a white boars tusk, and a black crayfish.\n\nSource: Michel Lupant; Gaceta de Banderas no. 110\nJens Pattke, 28 June 2006\n\nThe flag can be seen on the following Facebook pages:\n\nhttp://www.facebook.com/photo.php?fbid=10100827282351540&amp;set=pb.20919298.-2207520000.1350214968&amp;type=1&amp;permPage=1\nhttp://www.facebook.com/photo.php?fbid=10100827282246750&amp;set=pb.20919298.-2207520000.1350214968&amp;type=1&amp;permPage=1\nhttp://www.facebook.com/photo.php?fbid=10100827280210830&amp;set=pb.20919298.-2207520000.1350214968&amp;type=1&amp;permPage=1\nhttp://www.facebook.com/photo.php?fbid=10100827280480290&amp;set=pb.20919298.-2207520000.1350214968&amp;type=1&amp;permPage=1\n\nParaskevas Renesis, 14 October 2012\n\n[Torba Province (Vanuatu)] image located by Jens Pattke, 1 May 2016\n\nAn example of the flag of the Torba Province at http://bloximages.chicago2.vip.townnews.com (source: http://dailypost.vu/news/myth-about-torba/article_e8726512-1cfc-52a1-be3c-a23001bddede.html) shows the flag with the emblem in the lower yellow triangular field instead of centred.\nJens Pattke, 1 May 2016", "isnew": ".", "links": "https://en.wikipedia.org/wiki/Torba_Province"},</v>
      </c>
      <c r="HO3" s="75"/>
      <c r="HP3" s="48" t="str" cm="1">
        <f t="array" ref="HP3">IF(_xlfn.TEXTJOIN(", ", TRUE, IF(ISNUMBER(SEARCH("BLA", BL3:BT3)), COLUMN(BL3:BT3) - COLUMN(BL3) + 1, ""))&lt;&gt;"","BLA","")</f>
        <v/>
      </c>
      <c r="HQ3" s="48" t="str" cm="1">
        <f t="array" ref="HQ3">IF(_xlfn.TEXTJOIN(", ", TRUE, IF(ISNUMBER(SEARCH("BLU", BL3:BT3)), COLUMN(BL3:BT3) - COLUMN(BL3) + 1, ""))&lt;&gt;"","BLU","")</f>
        <v>BLU</v>
      </c>
      <c r="HR3" s="48" t="str" cm="1">
        <f t="array" ref="HR3">IF(_xlfn.TEXTJOIN(", ", TRUE, IF(ISNUMBER(SEARCH("GRE", BL3:BT3)), COLUMN(BL3:BT3) - COLUMN(BL3) + 1, ""))&lt;&gt;"","GRE","")</f>
        <v/>
      </c>
      <c r="HS3" s="48" t="str" cm="1">
        <f t="array" ref="HS3">IF(_xlfn.TEXTJOIN(", ", TRUE, IF(ISNUMBER(SEARCH("RED", BL3:BT3)), COLUMN(BL3:BT3) - COLUMN(BL3) + 1, ""))&lt;&gt;"","RED","")</f>
        <v>RED</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
      </c>
      <c r="HX3" s="48" t="str" cm="1">
        <f t="array" ref="HX3">IF(_xlfn.TEXTJOIN(", ", TRUE, IF(ISNUMBER(SEARCH("WHI", BL3:BT3)), COLUMN(BL3:BT3) - COLUMN(BL3) + 1, ""))&lt;&gt;"","WHI","")</f>
        <v/>
      </c>
      <c r="HY3" s="76"/>
      <c r="HZ3" s="76"/>
      <c r="IA3" s="6"/>
      <c r="IB3" s="6"/>
      <c r="IC3" s="77"/>
      <c r="ID3" s="77"/>
      <c r="IE3" s="77"/>
      <c r="IF3" s="77"/>
      <c r="IG3" s="77"/>
      <c r="IH3" s="77"/>
      <c r="II3" s="77"/>
      <c r="IJ3" s="77"/>
      <c r="IK3" s="77"/>
      <c r="IL3" s="48">
        <f>SUM(IC3:IK3)</f>
        <v>0</v>
      </c>
      <c r="IM3" s="45">
        <f>COUNTIF(IC3:IK3,"&gt;0")-CG3</f>
        <v>-3</v>
      </c>
      <c r="IN3" s="78" t="str">
        <f>"http://mkweb.bcgsc.ca/color-summarizer/?url="&amp;D3&amp;"&amp;precision=low&amp;num_clusters="&amp;CG3&amp;"&amp;text=1"</f>
        <v>http://mkweb.bcgsc.ca/color-summarizer/?url=https://www.crwflags.com/fotw/images/v/vu-tor_p.gif&amp;precision=low&amp;num_clusters=3&amp;text=1</v>
      </c>
      <c r="IO3" s="48" t="str">
        <f>IF(HP3&lt;&gt;"",CHAR(34)&amp;"black"&amp;CHAR(34),"")</f>
        <v/>
      </c>
      <c r="IP3" s="48" t="str">
        <f>IF(HQ3&lt;&gt;"",CHAR(34)&amp;"blue"&amp;CHAR(34),"")</f>
        <v>"blue"</v>
      </c>
      <c r="IQ3" s="48" t="str">
        <f>IF(HR3&lt;&gt;"",CHAR(34)&amp;"green"&amp;CHAR(34),"")</f>
        <v/>
      </c>
      <c r="IR3" s="48" t="str">
        <f>IF(HS3&lt;&gt;"",CHAR(34)&amp;"red"&amp;CHAR(34),"")</f>
        <v>"red"</v>
      </c>
      <c r="IS3" s="48" t="str">
        <f>IF(HT3&lt;&gt;"",CHAR(34)&amp;"yellow"&amp;CHAR(34),"")</f>
        <v>"yellow"</v>
      </c>
      <c r="IT3" s="48" t="str">
        <f>IF(HU3&lt;&gt;"",CHAR(34)&amp;"orange"&amp;CHAR(34),"")</f>
        <v/>
      </c>
      <c r="IU3" s="48" t="str">
        <f>IF(HV3&lt;&gt;"",CHAR(34)&amp;"brown"&amp;CHAR(34),"")</f>
        <v/>
      </c>
      <c r="IV3" s="48" t="str">
        <f>IF(HW3&lt;&gt;"",CHAR(34)&amp;"purple"&amp;CHAR(34),"")</f>
        <v/>
      </c>
      <c r="IW3" s="48" t="str">
        <f>IF(HX3&lt;&gt;"",CHAR(34)&amp;"white"&amp;CHAR(34),"")</f>
        <v/>
      </c>
      <c r="IX3" s="48" t="str">
        <f>"{"&amp;CHAR(34)&amp;"url"&amp;CHAR(34)&amp;":"&amp;CHAR(34)&amp;IN3&amp;CHAR(34)&amp;","&amp;CHAR(34)&amp;"name"&amp;CHAR(34)&amp;":"&amp;CHAR(34)&amp;A3&amp;CHAR(34)&amp;"},"</f>
        <v>{"url":"http://mkweb.bcgsc.ca/color-summarizer/?url=https://www.crwflags.com/fotw/images/v/vu-tor_p.gif&amp;precision=low&amp;num_clusters=3&amp;text=1","name":"[VUT] Torba Province"},</v>
      </c>
      <c r="IY3" s="48">
        <v>49</v>
      </c>
    </row>
  </sheetData>
  <conditionalFormatting sqref="H1 CW1:GS1 IA1:IB1">
    <cfRule type="cellIs" dxfId="3160" priority="107" operator="greaterThan">
      <formula>0</formula>
    </cfRule>
  </conditionalFormatting>
  <conditionalFormatting sqref="H1">
    <cfRule type="cellIs" dxfId="3159" priority="73" stopIfTrue="1" operator="notEqual">
      <formula>""</formula>
    </cfRule>
  </conditionalFormatting>
  <conditionalFormatting sqref="T1:BK1">
    <cfRule type="cellIs" dxfId="3158" priority="110" operator="greaterThan">
      <formula>0</formula>
    </cfRule>
  </conditionalFormatting>
  <conditionalFormatting sqref="BV1:BW1">
    <cfRule type="cellIs" dxfId="3157" priority="109" operator="equal">
      <formula>"nc"</formula>
    </cfRule>
  </conditionalFormatting>
  <conditionalFormatting sqref="HF1:HG1">
    <cfRule type="cellIs" dxfId="3156" priority="111" operator="greaterThan">
      <formula>0</formula>
    </cfRule>
  </conditionalFormatting>
  <conditionalFormatting sqref="HK1">
    <cfRule type="cellIs" dxfId="3155" priority="108" operator="greaterThan">
      <formula>0</formula>
    </cfRule>
  </conditionalFormatting>
  <conditionalFormatting sqref="HP1:HX1">
    <cfRule type="cellIs" dxfId="3154" priority="85" operator="equal">
      <formula>"PIN"</formula>
    </cfRule>
    <cfRule type="cellIs" dxfId="3153" priority="86" operator="equal">
      <formula>"ORA"</formula>
    </cfRule>
    <cfRule type="cellIs" dxfId="3152" priority="87" operator="equal">
      <formula>"GRA"</formula>
    </cfRule>
    <cfRule type="cellIs" dxfId="3151" priority="88" operator="equal">
      <formula>"PUR"</formula>
    </cfRule>
    <cfRule type="cellIs" dxfId="3150" priority="89" operator="equal">
      <formula>"BRO"</formula>
    </cfRule>
    <cfRule type="cellIs" dxfId="3149" priority="90" operator="equal">
      <formula>"YEL"</formula>
    </cfRule>
    <cfRule type="cellIs" dxfId="3148" priority="91" operator="equal">
      <formula>"BLU"</formula>
    </cfRule>
    <cfRule type="cellIs" dxfId="3147" priority="92" operator="equal">
      <formula>"WHI"</formula>
    </cfRule>
    <cfRule type="cellIs" dxfId="3146" priority="93" operator="equal">
      <formula>"GRE"</formula>
    </cfRule>
    <cfRule type="cellIs" dxfId="3145" priority="94" operator="equal">
      <formula>"RED"</formula>
    </cfRule>
    <cfRule type="cellIs" dxfId="3144" priority="95" operator="equal">
      <formula>"BLA"</formula>
    </cfRule>
  </conditionalFormatting>
  <conditionalFormatting sqref="IC1:IK1">
    <cfRule type="cellIs" dxfId="3143" priority="96" operator="equal">
      <formula>"PIN"</formula>
    </cfRule>
    <cfRule type="cellIs" dxfId="3142" priority="97" operator="equal">
      <formula>"ORA"</formula>
    </cfRule>
    <cfRule type="cellIs" dxfId="3141" priority="98" operator="equal">
      <formula>"GRA"</formula>
    </cfRule>
    <cfRule type="cellIs" dxfId="3140" priority="99" operator="equal">
      <formula>"PUR"</formula>
    </cfRule>
    <cfRule type="cellIs" dxfId="3139" priority="100" operator="equal">
      <formula>"BRO"</formula>
    </cfRule>
    <cfRule type="cellIs" dxfId="3138" priority="101" operator="equal">
      <formula>"YEL"</formula>
    </cfRule>
    <cfRule type="cellIs" dxfId="3137" priority="102" operator="equal">
      <formula>"BLU"</formula>
    </cfRule>
    <cfRule type="cellIs" dxfId="3136" priority="103" operator="equal">
      <formula>"WHI"</formula>
    </cfRule>
    <cfRule type="cellIs" dxfId="3135" priority="104" operator="equal">
      <formula>"GRE"</formula>
    </cfRule>
    <cfRule type="cellIs" dxfId="3134" priority="105" operator="equal">
      <formula>"RED"</formula>
    </cfRule>
    <cfRule type="cellIs" dxfId="3133" priority="106" operator="equal">
      <formula>"BLA"</formula>
    </cfRule>
  </conditionalFormatting>
  <conditionalFormatting sqref="IO1:IW1">
    <cfRule type="cellIs" dxfId="3132" priority="74" operator="equal">
      <formula>"PIN"</formula>
    </cfRule>
    <cfRule type="cellIs" dxfId="3131" priority="75" operator="equal">
      <formula>"ORA"</formula>
    </cfRule>
    <cfRule type="cellIs" dxfId="3130" priority="76" operator="equal">
      <formula>"GRA"</formula>
    </cfRule>
    <cfRule type="cellIs" dxfId="3129" priority="77" operator="equal">
      <formula>"PUR"</formula>
    </cfRule>
    <cfRule type="cellIs" dxfId="3128" priority="78" operator="equal">
      <formula>"BRO"</formula>
    </cfRule>
    <cfRule type="cellIs" dxfId="3127" priority="79" operator="equal">
      <formula>"YEL"</formula>
    </cfRule>
    <cfRule type="cellIs" dxfId="3126" priority="80" operator="equal">
      <formula>"BLU"</formula>
    </cfRule>
    <cfRule type="cellIs" dxfId="3125" priority="81" operator="equal">
      <formula>"WHI"</formula>
    </cfRule>
    <cfRule type="cellIs" dxfId="3124" priority="82" operator="equal">
      <formula>"GRE"</formula>
    </cfRule>
    <cfRule type="cellIs" dxfId="3123" priority="83" operator="equal">
      <formula>"RED"</formula>
    </cfRule>
    <cfRule type="cellIs" dxfId="3122" priority="84" operator="equal">
      <formula>"BLA"</formula>
    </cfRule>
  </conditionalFormatting>
  <conditionalFormatting sqref="H2">
    <cfRule type="cellIs" dxfId="3121" priority="42" stopIfTrue="1" operator="notEqual">
      <formula>""</formula>
    </cfRule>
  </conditionalFormatting>
  <conditionalFormatting sqref="R2 CU2">
    <cfRule type="cellIs" dxfId="3120" priority="44" operator="greaterThan">
      <formula>0</formula>
    </cfRule>
  </conditionalFormatting>
  <conditionalFormatting sqref="T2:AS2 CH2:CS2">
    <cfRule type="cellIs" dxfId="3119" priority="39" stopIfTrue="1" operator="equal">
      <formula>"n"</formula>
    </cfRule>
    <cfRule type="cellIs" dxfId="3118" priority="40" stopIfTrue="1" operator="equal">
      <formula>"y"</formula>
    </cfRule>
    <cfRule type="cellIs" dxfId="3117" priority="41" operator="greaterThan">
      <formula>0</formula>
    </cfRule>
  </conditionalFormatting>
  <conditionalFormatting sqref="AZ2:BB2">
    <cfRule type="expression" dxfId="3116" priority="38">
      <formula>$AT2=0</formula>
    </cfRule>
  </conditionalFormatting>
  <conditionalFormatting sqref="AZ2:BU2">
    <cfRule type="cellIs" dxfId="3115" priority="47" operator="equal">
      <formula>"PIN"</formula>
    </cfRule>
    <cfRule type="cellIs" dxfId="3114" priority="48" operator="equal">
      <formula>"ORA"</formula>
    </cfRule>
    <cfRule type="cellIs" dxfId="3113" priority="49" operator="equal">
      <formula>"GRA"</formula>
    </cfRule>
    <cfRule type="cellIs" dxfId="3112" priority="50" operator="equal">
      <formula>"PUR"</formula>
    </cfRule>
    <cfRule type="cellIs" dxfId="3111" priority="51" operator="equal">
      <formula>"BRO"</formula>
    </cfRule>
    <cfRule type="cellIs" dxfId="3110" priority="52" operator="equal">
      <formula>"YEL"</formula>
    </cfRule>
    <cfRule type="cellIs" dxfId="3109" priority="53" operator="equal">
      <formula>"BLU"</formula>
    </cfRule>
    <cfRule type="cellIs" dxfId="3108" priority="54" operator="equal">
      <formula>"WHI"</formula>
    </cfRule>
    <cfRule type="cellIs" dxfId="3107" priority="55" operator="equal">
      <formula>"GRE"</formula>
    </cfRule>
    <cfRule type="cellIs" dxfId="3106" priority="56" operator="equal">
      <formula>"RED"</formula>
    </cfRule>
    <cfRule type="cellIs" dxfId="3105" priority="57" operator="equal">
      <formula>"BLA"</formula>
    </cfRule>
  </conditionalFormatting>
  <conditionalFormatting sqref="BV2:BW2">
    <cfRule type="cellIs" dxfId="3104" priority="69" operator="equal">
      <formula>"nc"</formula>
    </cfRule>
  </conditionalFormatting>
  <conditionalFormatting sqref="BX2:CA2 CD2:CF2">
    <cfRule type="cellIs" dxfId="3103" priority="43" operator="equal">
      <formula>"y"</formula>
    </cfRule>
    <cfRule type="cellIs" dxfId="3102" priority="58" operator="equal">
      <formula>"PIN"</formula>
    </cfRule>
    <cfRule type="cellIs" dxfId="3101" priority="59" operator="equal">
      <formula>"ORA"</formula>
    </cfRule>
    <cfRule type="cellIs" dxfId="3100" priority="60" operator="equal">
      <formula>"GRA"</formula>
    </cfRule>
    <cfRule type="cellIs" dxfId="3099" priority="61" operator="equal">
      <formula>"PUR"</formula>
    </cfRule>
    <cfRule type="cellIs" dxfId="3098" priority="62" operator="equal">
      <formula>"BRO"</formula>
    </cfRule>
    <cfRule type="cellIs" dxfId="3097" priority="63" operator="equal">
      <formula>"YEL"</formula>
    </cfRule>
    <cfRule type="cellIs" dxfId="3096" priority="64" operator="equal">
      <formula>"BLU"</formula>
    </cfRule>
    <cfRule type="cellIs" dxfId="3095" priority="65" operator="equal">
      <formula>"WHI"</formula>
    </cfRule>
    <cfRule type="cellIs" dxfId="3094" priority="66" operator="equal">
      <formula>"GRE"</formula>
    </cfRule>
    <cfRule type="cellIs" dxfId="3093" priority="67" operator="equal">
      <formula>"RED"</formula>
    </cfRule>
    <cfRule type="cellIs" dxfId="3092" priority="68" operator="equal">
      <formula>"BLA"</formula>
    </cfRule>
  </conditionalFormatting>
  <conditionalFormatting sqref="BZ2:CA2 CD2:CF2">
    <cfRule type="cellIs" dxfId="3091" priority="45" operator="greaterThan">
      <formula>0</formula>
    </cfRule>
  </conditionalFormatting>
  <conditionalFormatting sqref="IC2:IK2">
    <cfRule type="expression" dxfId="3090" priority="46">
      <formula>$IL2&gt;0</formula>
    </cfRule>
  </conditionalFormatting>
  <conditionalFormatting sqref="S2">
    <cfRule type="colorScale" priority="70">
      <colorScale>
        <cfvo type="min"/>
        <cfvo type="max"/>
        <color rgb="FFFCFCFF"/>
        <color rgb="FF754BFB"/>
      </colorScale>
    </cfRule>
  </conditionalFormatting>
  <conditionalFormatting sqref="AT2">
    <cfRule type="colorScale" priority="71">
      <colorScale>
        <cfvo type="min"/>
        <cfvo type="max"/>
        <color rgb="FFFCFCFF"/>
        <color theme="8" tint="0.39997558519241921"/>
      </colorScale>
    </cfRule>
  </conditionalFormatting>
  <conditionalFormatting sqref="CG2">
    <cfRule type="colorScale" priority="72">
      <colorScale>
        <cfvo type="min"/>
        <cfvo type="max"/>
        <color rgb="FFFCFCFF"/>
        <color rgb="FF63BE7B"/>
      </colorScale>
    </cfRule>
  </conditionalFormatting>
  <conditionalFormatting sqref="J2">
    <cfRule type="colorScale" priority="37">
      <colorScale>
        <cfvo type="min"/>
        <cfvo type="percentile" val="50"/>
        <cfvo type="max"/>
        <color rgb="FFF8696B"/>
        <color rgb="FFFFEB84"/>
        <color rgb="FF63BE7B"/>
      </colorScale>
    </cfRule>
  </conditionalFormatting>
  <conditionalFormatting sqref="H3">
    <cfRule type="cellIs" dxfId="1418" priority="5" stopIfTrue="1" operator="notEqual">
      <formula>""</formula>
    </cfRule>
  </conditionalFormatting>
  <conditionalFormatting sqref="R3 CU3">
    <cfRule type="cellIs" dxfId="1417" priority="7" operator="greaterThan">
      <formula>0</formula>
    </cfRule>
  </conditionalFormatting>
  <conditionalFormatting sqref="T3:AS3 CH3:CS3">
    <cfRule type="cellIs" dxfId="1416" priority="2" stopIfTrue="1" operator="equal">
      <formula>"n"</formula>
    </cfRule>
    <cfRule type="cellIs" dxfId="1415" priority="3" stopIfTrue="1" operator="equal">
      <formula>"y"</formula>
    </cfRule>
    <cfRule type="cellIs" dxfId="1414" priority="4" operator="greaterThan">
      <formula>0</formula>
    </cfRule>
  </conditionalFormatting>
  <conditionalFormatting sqref="AZ3:BB3">
    <cfRule type="expression" dxfId="1413" priority="1">
      <formula>$AT3=0</formula>
    </cfRule>
  </conditionalFormatting>
  <conditionalFormatting sqref="AZ3:BU3">
    <cfRule type="cellIs" dxfId="1412" priority="10" operator="equal">
      <formula>"PIN"</formula>
    </cfRule>
    <cfRule type="cellIs" dxfId="1411" priority="11" operator="equal">
      <formula>"ORA"</formula>
    </cfRule>
    <cfRule type="cellIs" dxfId="1410" priority="12" operator="equal">
      <formula>"GRA"</formula>
    </cfRule>
    <cfRule type="cellIs" dxfId="1409" priority="13" operator="equal">
      <formula>"PUR"</formula>
    </cfRule>
    <cfRule type="cellIs" dxfId="1408" priority="14" operator="equal">
      <formula>"BRO"</formula>
    </cfRule>
    <cfRule type="cellIs" dxfId="1407" priority="15" operator="equal">
      <formula>"YEL"</formula>
    </cfRule>
    <cfRule type="cellIs" dxfId="1406" priority="16" operator="equal">
      <formula>"BLU"</formula>
    </cfRule>
    <cfRule type="cellIs" dxfId="1405" priority="17" operator="equal">
      <formula>"WHI"</formula>
    </cfRule>
    <cfRule type="cellIs" dxfId="1404" priority="18" operator="equal">
      <formula>"GRE"</formula>
    </cfRule>
    <cfRule type="cellIs" dxfId="1403" priority="19" operator="equal">
      <formula>"RED"</formula>
    </cfRule>
    <cfRule type="cellIs" dxfId="1402" priority="20" operator="equal">
      <formula>"BLA"</formula>
    </cfRule>
  </conditionalFormatting>
  <conditionalFormatting sqref="BV3">
    <cfRule type="cellIs" dxfId="1401" priority="32" operator="equal">
      <formula>"nc"</formula>
    </cfRule>
  </conditionalFormatting>
  <conditionalFormatting sqref="BX3:CA3 CD3:CF3">
    <cfRule type="cellIs" dxfId="1400" priority="6" operator="equal">
      <formula>"y"</formula>
    </cfRule>
    <cfRule type="cellIs" dxfId="1399" priority="21" operator="equal">
      <formula>"PIN"</formula>
    </cfRule>
    <cfRule type="cellIs" dxfId="1398" priority="22" operator="equal">
      <formula>"ORA"</formula>
    </cfRule>
    <cfRule type="cellIs" dxfId="1397" priority="23" operator="equal">
      <formula>"GRA"</formula>
    </cfRule>
    <cfRule type="cellIs" dxfId="1396" priority="24" operator="equal">
      <formula>"PUR"</formula>
    </cfRule>
    <cfRule type="cellIs" dxfId="1395" priority="25" operator="equal">
      <formula>"BRO"</formula>
    </cfRule>
    <cfRule type="cellIs" dxfId="1394" priority="26" operator="equal">
      <formula>"YEL"</formula>
    </cfRule>
    <cfRule type="cellIs" dxfId="1393" priority="27" operator="equal">
      <formula>"BLU"</formula>
    </cfRule>
    <cfRule type="cellIs" dxfId="1392" priority="28" operator="equal">
      <formula>"WHI"</formula>
    </cfRule>
    <cfRule type="cellIs" dxfId="1391" priority="29" operator="equal">
      <formula>"GRE"</formula>
    </cfRule>
    <cfRule type="cellIs" dxfId="1390" priority="30" operator="equal">
      <formula>"RED"</formula>
    </cfRule>
    <cfRule type="cellIs" dxfId="1389" priority="31" operator="equal">
      <formula>"BLA"</formula>
    </cfRule>
  </conditionalFormatting>
  <conditionalFormatting sqref="BZ3:CA3 CD3:CF3">
    <cfRule type="cellIs" dxfId="1388" priority="8" operator="greaterThan">
      <formula>0</formula>
    </cfRule>
  </conditionalFormatting>
  <conditionalFormatting sqref="IC3:IK3">
    <cfRule type="expression" dxfId="1387" priority="9">
      <formula>$IL3&gt;0</formula>
    </cfRule>
  </conditionalFormatting>
  <conditionalFormatting sqref="J3">
    <cfRule type="colorScale" priority="33">
      <colorScale>
        <cfvo type="min"/>
        <cfvo type="percentile" val="50"/>
        <cfvo type="max"/>
        <color rgb="FFF8696B"/>
        <color rgb="FFFFEB84"/>
        <color rgb="FF63BE7B"/>
      </colorScale>
    </cfRule>
  </conditionalFormatting>
  <conditionalFormatting sqref="S3">
    <cfRule type="colorScale" priority="34">
      <colorScale>
        <cfvo type="min"/>
        <cfvo type="max"/>
        <color rgb="FFFCFCFF"/>
        <color rgb="FF754BFB"/>
      </colorScale>
    </cfRule>
  </conditionalFormatting>
  <conditionalFormatting sqref="AT3">
    <cfRule type="colorScale" priority="35">
      <colorScale>
        <cfvo type="min"/>
        <cfvo type="max"/>
        <color rgb="FFFCFCFF"/>
        <color theme="8" tint="0.39997558519241921"/>
      </colorScale>
    </cfRule>
  </conditionalFormatting>
  <conditionalFormatting sqref="CG3">
    <cfRule type="colorScale" priority="36">
      <colorScale>
        <cfvo type="min"/>
        <cfvo type="max"/>
        <color rgb="FFFCFCFF"/>
        <color rgb="FF63BE7B"/>
      </colorScale>
    </cfRule>
  </conditionalFormatting>
  <hyperlinks>
    <hyperlink ref="A2" r:id="rId1" display="https://fbref.com/en/country/VAN/Vanuatu-Football" xr:uid="{AB245554-0C29-460D-A189-BE1A06E1DFD4}"/>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D6C11-F691-4B4A-BE31-852C8B4947A4}">
  <dimension ref="A1:IY5"/>
  <sheetViews>
    <sheetView zoomScale="70" zoomScaleNormal="70" workbookViewId="0">
      <selection activeCell="A5" sqref="A5:XFD5"/>
    </sheetView>
  </sheetViews>
  <sheetFormatPr defaultRowHeight="14.4" x14ac:dyDescent="0.3"/>
  <cols>
    <col min="1" max="1" width="24.33203125" customWidth="1"/>
    <col min="2" max="2" width="10.109375" customWidth="1"/>
  </cols>
  <sheetData>
    <row r="1" spans="1:259" s="6" customFormat="1" ht="38.4" customHeight="1" thickBot="1" x14ac:dyDescent="0.35">
      <c r="A1" s="1" t="s">
        <v>0</v>
      </c>
      <c r="B1" s="2"/>
      <c r="C1" s="3" t="s">
        <v>1</v>
      </c>
      <c r="D1" s="4"/>
      <c r="E1" s="4" t="s">
        <v>2</v>
      </c>
      <c r="F1" s="5"/>
      <c r="H1" s="7" t="s">
        <v>3</v>
      </c>
      <c r="K1" s="8" t="s">
        <v>4</v>
      </c>
      <c r="L1" s="9" t="s">
        <v>5</v>
      </c>
      <c r="M1" s="9" t="s">
        <v>6</v>
      </c>
      <c r="N1" s="10" t="s">
        <v>7</v>
      </c>
      <c r="O1" s="11" t="s">
        <v>8</v>
      </c>
      <c r="P1" s="12" t="s">
        <v>9</v>
      </c>
      <c r="Q1" s="12" t="s">
        <v>10</v>
      </c>
      <c r="R1" s="13" t="s">
        <v>0</v>
      </c>
      <c r="S1" s="14" t="s">
        <v>11</v>
      </c>
      <c r="T1" s="15" t="s">
        <v>12</v>
      </c>
      <c r="U1" s="15" t="s">
        <v>13</v>
      </c>
      <c r="V1" s="16" t="s">
        <v>14</v>
      </c>
      <c r="W1" s="15" t="s">
        <v>15</v>
      </c>
      <c r="X1" s="15" t="s">
        <v>16</v>
      </c>
      <c r="Y1" s="15" t="s">
        <v>17</v>
      </c>
      <c r="Z1" s="15" t="s">
        <v>18</v>
      </c>
      <c r="AA1" s="15" t="s">
        <v>19</v>
      </c>
      <c r="AB1" s="15" t="s">
        <v>20</v>
      </c>
      <c r="AC1" s="15" t="s">
        <v>21</v>
      </c>
      <c r="AD1" s="15" t="s">
        <v>22</v>
      </c>
      <c r="AE1" s="15" t="s">
        <v>23</v>
      </c>
      <c r="AF1" s="17" t="s">
        <v>24</v>
      </c>
      <c r="AG1" s="17" t="s">
        <v>25</v>
      </c>
      <c r="AH1" s="17" t="s">
        <v>26</v>
      </c>
      <c r="AI1" s="17" t="s">
        <v>27</v>
      </c>
      <c r="AJ1" s="17" t="s">
        <v>28</v>
      </c>
      <c r="AK1" s="17" t="s">
        <v>29</v>
      </c>
      <c r="AL1" s="17" t="s">
        <v>30</v>
      </c>
      <c r="AM1" s="17" t="s">
        <v>31</v>
      </c>
      <c r="AN1" s="17" t="s">
        <v>32</v>
      </c>
      <c r="AO1" s="17" t="s">
        <v>33</v>
      </c>
      <c r="AP1" s="17" t="s">
        <v>34</v>
      </c>
      <c r="AQ1" s="17" t="s">
        <v>35</v>
      </c>
      <c r="AR1" s="17" t="s">
        <v>36</v>
      </c>
      <c r="AS1" s="17" t="s">
        <v>37</v>
      </c>
      <c r="AT1" s="18" t="s">
        <v>38</v>
      </c>
      <c r="AU1" s="19" t="s">
        <v>39</v>
      </c>
      <c r="AV1" s="19" t="s">
        <v>40</v>
      </c>
      <c r="AW1" s="19" t="s">
        <v>41</v>
      </c>
      <c r="AX1" s="20"/>
      <c r="AY1" s="21" t="s">
        <v>42</v>
      </c>
      <c r="AZ1" s="20" t="s">
        <v>43</v>
      </c>
      <c r="BA1" s="20"/>
      <c r="BB1" s="20"/>
      <c r="BC1" s="22"/>
      <c r="BD1" s="20" t="s">
        <v>44</v>
      </c>
      <c r="BE1" s="22"/>
      <c r="BF1" s="20" t="s">
        <v>45</v>
      </c>
      <c r="BG1" s="20" t="s">
        <v>46</v>
      </c>
      <c r="BH1" s="20" t="s">
        <v>47</v>
      </c>
      <c r="BI1" s="20" t="s">
        <v>48</v>
      </c>
      <c r="BJ1" s="20" t="s">
        <v>49</v>
      </c>
      <c r="BK1" s="22"/>
      <c r="BL1" s="23" t="s">
        <v>50</v>
      </c>
      <c r="BM1" s="23"/>
      <c r="BN1" s="23"/>
      <c r="BO1" s="23"/>
      <c r="BP1" s="23"/>
      <c r="BQ1" s="23"/>
      <c r="BR1" s="23"/>
      <c r="BS1" s="23"/>
      <c r="BT1" s="24"/>
      <c r="BU1" s="24" t="s">
        <v>51</v>
      </c>
      <c r="BV1" s="24" t="s">
        <v>52</v>
      </c>
      <c r="BW1" s="24" t="s">
        <v>53</v>
      </c>
      <c r="BX1" s="24"/>
      <c r="BY1" s="24" t="s">
        <v>54</v>
      </c>
      <c r="BZ1" s="24" t="s">
        <v>55</v>
      </c>
      <c r="CA1" s="24" t="s">
        <v>56</v>
      </c>
      <c r="CB1" s="24" t="s">
        <v>57</v>
      </c>
      <c r="CC1" s="24" t="s">
        <v>58</v>
      </c>
      <c r="CD1" s="24" t="s">
        <v>59</v>
      </c>
      <c r="CE1" s="24" t="s">
        <v>60</v>
      </c>
      <c r="CF1" s="24" t="s">
        <v>61</v>
      </c>
      <c r="CG1" s="24"/>
      <c r="CH1" s="24" t="s">
        <v>62</v>
      </c>
      <c r="CI1" s="24" t="s">
        <v>63</v>
      </c>
      <c r="CJ1" s="24" t="s">
        <v>64</v>
      </c>
      <c r="CK1" s="24" t="s">
        <v>65</v>
      </c>
      <c r="CL1" s="25" t="s">
        <v>66</v>
      </c>
      <c r="CM1" s="25" t="s">
        <v>67</v>
      </c>
      <c r="CN1" s="25" t="s">
        <v>68</v>
      </c>
      <c r="CO1" s="25" t="s">
        <v>69</v>
      </c>
      <c r="CP1" s="25" t="s">
        <v>70</v>
      </c>
      <c r="CQ1" s="25" t="s">
        <v>71</v>
      </c>
      <c r="CR1" s="25" t="s">
        <v>72</v>
      </c>
      <c r="CS1" s="25" t="s">
        <v>73</v>
      </c>
      <c r="CT1" s="1" t="s">
        <v>74</v>
      </c>
      <c r="CU1" s="26" t="s">
        <v>0</v>
      </c>
      <c r="CV1" s="6" t="s">
        <v>75</v>
      </c>
      <c r="CW1" s="15" t="s">
        <v>76</v>
      </c>
      <c r="CX1" s="15" t="s">
        <v>77</v>
      </c>
      <c r="CY1" s="15" t="s">
        <v>64</v>
      </c>
      <c r="CZ1" s="15" t="s">
        <v>78</v>
      </c>
      <c r="DA1" s="15" t="s">
        <v>79</v>
      </c>
      <c r="DB1" s="15" t="s">
        <v>80</v>
      </c>
      <c r="DC1" s="15" t="s">
        <v>81</v>
      </c>
      <c r="DD1" s="15" t="s">
        <v>82</v>
      </c>
      <c r="DE1" s="15" t="s">
        <v>83</v>
      </c>
      <c r="DF1" s="15" t="s">
        <v>84</v>
      </c>
      <c r="DG1" s="15" t="s">
        <v>85</v>
      </c>
      <c r="DH1" s="15" t="s">
        <v>86</v>
      </c>
      <c r="DI1" s="15" t="s">
        <v>87</v>
      </c>
      <c r="DJ1" s="15" t="s">
        <v>88</v>
      </c>
      <c r="DK1" s="15" t="s">
        <v>89</v>
      </c>
      <c r="DL1" s="15" t="s">
        <v>90</v>
      </c>
      <c r="DM1" s="15" t="s">
        <v>91</v>
      </c>
      <c r="DN1" s="15" t="s">
        <v>92</v>
      </c>
      <c r="DO1" s="15" t="s">
        <v>93</v>
      </c>
      <c r="DP1" s="15" t="s">
        <v>94</v>
      </c>
      <c r="DQ1" s="15" t="s">
        <v>95</v>
      </c>
      <c r="DR1" s="15" t="s">
        <v>54</v>
      </c>
      <c r="DS1" s="15" t="s">
        <v>96</v>
      </c>
      <c r="DT1" s="15" t="s">
        <v>97</v>
      </c>
      <c r="DU1" s="15" t="s">
        <v>98</v>
      </c>
      <c r="DV1" s="15" t="s">
        <v>99</v>
      </c>
      <c r="DW1" s="15" t="s">
        <v>100</v>
      </c>
      <c r="DX1" s="15" t="s">
        <v>101</v>
      </c>
      <c r="DY1" s="15" t="s">
        <v>102</v>
      </c>
      <c r="DZ1" s="15" t="s">
        <v>103</v>
      </c>
      <c r="EA1" s="15" t="s">
        <v>104</v>
      </c>
      <c r="EB1" s="15" t="s">
        <v>105</v>
      </c>
      <c r="EC1" s="15" t="s">
        <v>106</v>
      </c>
      <c r="ED1" s="15" t="s">
        <v>107</v>
      </c>
      <c r="EE1" s="16" t="s">
        <v>16</v>
      </c>
      <c r="EF1" s="15" t="s">
        <v>17</v>
      </c>
      <c r="EG1" s="15" t="s">
        <v>18</v>
      </c>
      <c r="EH1" s="15" t="s">
        <v>19</v>
      </c>
      <c r="EI1" s="15" t="s">
        <v>108</v>
      </c>
      <c r="EJ1" s="15" t="s">
        <v>21</v>
      </c>
      <c r="EK1" s="15" t="s">
        <v>109</v>
      </c>
      <c r="EL1" s="15" t="s">
        <v>110</v>
      </c>
      <c r="EM1" s="15" t="s">
        <v>24</v>
      </c>
      <c r="EN1" s="17" t="s">
        <v>25</v>
      </c>
      <c r="EO1" s="17" t="s">
        <v>26</v>
      </c>
      <c r="EP1" s="17" t="s">
        <v>27</v>
      </c>
      <c r="EQ1" s="17" t="s">
        <v>111</v>
      </c>
      <c r="ER1" s="17" t="s">
        <v>29</v>
      </c>
      <c r="ES1" s="17" t="s">
        <v>30</v>
      </c>
      <c r="ET1" s="17" t="s">
        <v>112</v>
      </c>
      <c r="EU1" s="17" t="s">
        <v>32</v>
      </c>
      <c r="EV1" s="17" t="s">
        <v>33</v>
      </c>
      <c r="EW1" s="17" t="s">
        <v>113</v>
      </c>
      <c r="EX1" s="17" t="s">
        <v>35</v>
      </c>
      <c r="EY1" s="17" t="s">
        <v>36</v>
      </c>
      <c r="EZ1" s="17" t="s">
        <v>37</v>
      </c>
      <c r="FA1" s="17" t="s">
        <v>114</v>
      </c>
      <c r="FB1" s="17" t="s">
        <v>115</v>
      </c>
      <c r="FC1" s="17" t="s">
        <v>116</v>
      </c>
      <c r="FD1" s="17" t="s">
        <v>52</v>
      </c>
      <c r="FE1" s="17" t="s">
        <v>117</v>
      </c>
      <c r="FF1" s="17" t="s">
        <v>118</v>
      </c>
      <c r="FG1" s="17" t="s">
        <v>119</v>
      </c>
      <c r="FH1" s="17" t="s">
        <v>120</v>
      </c>
      <c r="FI1" s="17" t="s">
        <v>121</v>
      </c>
      <c r="FJ1" s="17" t="s">
        <v>122</v>
      </c>
      <c r="FK1" s="17" t="s">
        <v>123</v>
      </c>
      <c r="FL1" s="17" t="s">
        <v>124</v>
      </c>
      <c r="FM1" s="17" t="s">
        <v>125</v>
      </c>
      <c r="FN1" s="17" t="s">
        <v>126</v>
      </c>
      <c r="FO1" s="17" t="s">
        <v>127</v>
      </c>
      <c r="FP1" s="17" t="s">
        <v>128</v>
      </c>
      <c r="FQ1" s="17" t="s">
        <v>129</v>
      </c>
      <c r="FR1" s="17" t="s">
        <v>130</v>
      </c>
      <c r="FS1" s="17" t="s">
        <v>131</v>
      </c>
      <c r="FT1" s="17" t="s">
        <v>132</v>
      </c>
      <c r="FU1" s="17" t="s">
        <v>42</v>
      </c>
      <c r="FV1" s="17" t="s">
        <v>133</v>
      </c>
      <c r="FW1" s="17" t="s">
        <v>56</v>
      </c>
      <c r="FX1" s="17" t="s">
        <v>134</v>
      </c>
      <c r="FY1" s="17" t="s">
        <v>135</v>
      </c>
      <c r="FZ1" s="17" t="s">
        <v>136</v>
      </c>
      <c r="GA1" s="17" t="s">
        <v>137</v>
      </c>
      <c r="GB1" s="17" t="s">
        <v>138</v>
      </c>
      <c r="GC1" s="17" t="s">
        <v>139</v>
      </c>
      <c r="GD1" s="17" t="s">
        <v>140</v>
      </c>
      <c r="GE1" s="17" t="s">
        <v>141</v>
      </c>
      <c r="GF1" s="17" t="s">
        <v>142</v>
      </c>
      <c r="GG1" s="17" t="s">
        <v>143</v>
      </c>
      <c r="GH1" s="17" t="s">
        <v>59</v>
      </c>
      <c r="GI1" s="17" t="s">
        <v>60</v>
      </c>
      <c r="GJ1" s="15" t="s">
        <v>144</v>
      </c>
      <c r="GK1" s="15" t="s">
        <v>145</v>
      </c>
      <c r="GL1" s="15" t="s">
        <v>146</v>
      </c>
      <c r="GM1" s="18" t="s">
        <v>147</v>
      </c>
      <c r="GN1" s="27" t="s">
        <v>148</v>
      </c>
      <c r="GO1" s="27" t="s">
        <v>149</v>
      </c>
      <c r="GP1" s="19" t="s">
        <v>39</v>
      </c>
      <c r="GQ1" s="19" t="s">
        <v>40</v>
      </c>
      <c r="GR1" s="19" t="s">
        <v>41</v>
      </c>
      <c r="GS1" s="22"/>
      <c r="GT1" s="28" t="s">
        <v>50</v>
      </c>
      <c r="GU1" s="28"/>
      <c r="GV1" s="28"/>
      <c r="GW1" s="28"/>
      <c r="GX1" s="29"/>
      <c r="GY1" s="29"/>
      <c r="GZ1" s="29"/>
      <c r="HA1" s="29"/>
      <c r="HB1" s="29"/>
      <c r="HC1" s="29"/>
      <c r="HD1" s="30" t="s">
        <v>11</v>
      </c>
      <c r="HE1" s="31" t="s">
        <v>150</v>
      </c>
      <c r="HF1" s="32"/>
      <c r="HG1" s="33"/>
      <c r="HK1" s="33" t="s">
        <v>3</v>
      </c>
      <c r="HP1" s="34" t="s">
        <v>151</v>
      </c>
      <c r="HQ1" s="34" t="s">
        <v>152</v>
      </c>
      <c r="HR1" s="34" t="s">
        <v>153</v>
      </c>
      <c r="HS1" s="34" t="s">
        <v>154</v>
      </c>
      <c r="HT1" s="34" t="s">
        <v>155</v>
      </c>
      <c r="HU1" s="34" t="s">
        <v>156</v>
      </c>
      <c r="HV1" s="34" t="s">
        <v>157</v>
      </c>
      <c r="HW1" s="34" t="s">
        <v>158</v>
      </c>
      <c r="HX1" s="35" t="s">
        <v>159</v>
      </c>
      <c r="IA1" s="15" t="s">
        <v>160</v>
      </c>
      <c r="IB1" s="36" t="s">
        <v>161</v>
      </c>
      <c r="IC1" s="37" t="s">
        <v>151</v>
      </c>
      <c r="ID1" s="37" t="s">
        <v>152</v>
      </c>
      <c r="IE1" s="37" t="s">
        <v>154</v>
      </c>
      <c r="IF1" s="38" t="s">
        <v>159</v>
      </c>
      <c r="IG1" s="37" t="s">
        <v>155</v>
      </c>
      <c r="IH1" s="37" t="s">
        <v>156</v>
      </c>
      <c r="II1" s="37" t="s">
        <v>153</v>
      </c>
      <c r="IJ1" s="37" t="s">
        <v>157</v>
      </c>
      <c r="IK1" s="37" t="s">
        <v>158</v>
      </c>
      <c r="IO1" s="34" t="s">
        <v>151</v>
      </c>
      <c r="IP1" s="34" t="s">
        <v>152</v>
      </c>
      <c r="IQ1" s="34" t="s">
        <v>153</v>
      </c>
      <c r="IR1" s="34" t="s">
        <v>154</v>
      </c>
      <c r="IS1" s="34" t="s">
        <v>155</v>
      </c>
      <c r="IT1" s="34" t="s">
        <v>156</v>
      </c>
      <c r="IU1" s="34" t="s">
        <v>157</v>
      </c>
      <c r="IV1" s="34" t="s">
        <v>158</v>
      </c>
      <c r="IW1" s="35" t="s">
        <v>159</v>
      </c>
      <c r="IY1" s="6" t="s">
        <v>162</v>
      </c>
    </row>
    <row r="2" spans="1:259" s="48" customFormat="1" ht="38.4" customHeight="1" thickBot="1" x14ac:dyDescent="0.35">
      <c r="A2" s="39" t="s">
        <v>346</v>
      </c>
      <c r="B2" s="40" t="e" vm="115">
        <v>#VALUE!</v>
      </c>
      <c r="C2" s="41">
        <v>1</v>
      </c>
      <c r="D2" s="42" t="s">
        <v>347</v>
      </c>
      <c r="E2" s="43" t="s">
        <v>348</v>
      </c>
      <c r="F2" s="44" t="s">
        <v>166</v>
      </c>
      <c r="G2" s="45">
        <f>COUNTIF($A$1:$A$8344,A2)</f>
        <v>1</v>
      </c>
      <c r="H2" s="46"/>
      <c r="I2" s="47" t="s">
        <v>349</v>
      </c>
      <c r="J2" s="48" t="str">
        <f>""</f>
        <v/>
      </c>
      <c r="K2" s="49">
        <v>15289</v>
      </c>
      <c r="L2" s="50">
        <v>100</v>
      </c>
      <c r="M2" s="50" t="s">
        <v>350</v>
      </c>
      <c r="N2" s="51" t="s">
        <v>169</v>
      </c>
      <c r="O2" s="52" t="s">
        <v>170</v>
      </c>
      <c r="P2" s="53" t="s">
        <v>351</v>
      </c>
      <c r="Q2" s="54">
        <v>3</v>
      </c>
      <c r="R2" s="55" t="s">
        <v>169</v>
      </c>
      <c r="S2" s="56">
        <v>0</v>
      </c>
      <c r="T2" s="57" t="s">
        <v>172</v>
      </c>
      <c r="U2" s="58" t="s">
        <v>172</v>
      </c>
      <c r="V2" s="58" t="s">
        <v>173</v>
      </c>
      <c r="W2" s="58" t="s">
        <v>173</v>
      </c>
      <c r="X2" s="58" t="s">
        <v>173</v>
      </c>
      <c r="Y2" s="58" t="s">
        <v>173</v>
      </c>
      <c r="Z2" s="58" t="s">
        <v>173</v>
      </c>
      <c r="AA2" s="58" t="s">
        <v>173</v>
      </c>
      <c r="AB2" s="58" t="s">
        <v>173</v>
      </c>
      <c r="AC2" s="58" t="s">
        <v>173</v>
      </c>
      <c r="AD2" s="58" t="s">
        <v>173</v>
      </c>
      <c r="AE2" s="58" t="s">
        <v>173</v>
      </c>
      <c r="AF2" s="59" t="s">
        <v>173</v>
      </c>
      <c r="AG2" s="59" t="s">
        <v>173</v>
      </c>
      <c r="AH2" s="59" t="s">
        <v>173</v>
      </c>
      <c r="AI2" s="59" t="s">
        <v>172</v>
      </c>
      <c r="AJ2" s="59" t="s">
        <v>173</v>
      </c>
      <c r="AK2" s="59" t="s">
        <v>173</v>
      </c>
      <c r="AL2" s="59" t="s">
        <v>173</v>
      </c>
      <c r="AM2" s="59" t="s">
        <v>173</v>
      </c>
      <c r="AN2" s="59" t="s">
        <v>173</v>
      </c>
      <c r="AO2" s="59" t="s">
        <v>173</v>
      </c>
      <c r="AP2" s="59" t="s">
        <v>173</v>
      </c>
      <c r="AQ2" s="59" t="s">
        <v>173</v>
      </c>
      <c r="AR2" s="59" t="s">
        <v>173</v>
      </c>
      <c r="AS2" s="59" t="s">
        <v>173</v>
      </c>
      <c r="AT2" s="60">
        <v>0</v>
      </c>
      <c r="AU2" s="59"/>
      <c r="AV2" s="59" t="str">
        <f>IF(LEFT(A2,1)="[",LEFT(A2,5)&amp;AU2&amp;A2,"")</f>
        <v/>
      </c>
      <c r="AW2" s="59" t="str">
        <f>C2&amp;H2&amp;A2</f>
        <v>1Wallis and Futuna</v>
      </c>
      <c r="AX2" s="61"/>
      <c r="AY2" s="61"/>
      <c r="AZ2" s="62" t="s">
        <v>192</v>
      </c>
      <c r="BA2" s="62" t="s">
        <v>192</v>
      </c>
      <c r="BB2" s="62"/>
      <c r="BC2" s="63"/>
      <c r="BD2" s="64" t="s">
        <v>154</v>
      </c>
      <c r="BE2" s="47"/>
      <c r="BF2" s="64" t="s">
        <v>154</v>
      </c>
      <c r="BG2" s="64" t="s">
        <v>155</v>
      </c>
      <c r="BH2" s="64" t="s">
        <v>153</v>
      </c>
      <c r="BI2" s="64"/>
      <c r="BJ2" s="64"/>
      <c r="BK2" s="47"/>
      <c r="BL2" s="64" t="s">
        <v>151</v>
      </c>
      <c r="BM2" s="64" t="s">
        <v>192</v>
      </c>
      <c r="BN2" s="64" t="s">
        <v>153</v>
      </c>
      <c r="BO2" s="64" t="s">
        <v>154</v>
      </c>
      <c r="BP2" s="64" t="s">
        <v>155</v>
      </c>
      <c r="BQ2" s="64" t="s">
        <v>192</v>
      </c>
      <c r="BR2" s="64" t="s">
        <v>192</v>
      </c>
      <c r="BS2" s="64" t="s">
        <v>192</v>
      </c>
      <c r="BT2" s="64" t="s">
        <v>192</v>
      </c>
      <c r="BU2" s="65"/>
      <c r="BV2" s="66"/>
      <c r="BW2" s="66">
        <v>0</v>
      </c>
      <c r="BX2" s="47"/>
      <c r="CB2" s="6"/>
      <c r="CC2" s="6"/>
      <c r="CD2" s="67">
        <v>0</v>
      </c>
      <c r="CE2" s="67">
        <v>0</v>
      </c>
      <c r="CF2" s="67" t="e">
        <v>#REF!</v>
      </c>
      <c r="CG2" s="68" cm="1">
        <f t="array" ref="CG2">SUMPRODUCT(--(LEN(TRIM(BL2:BT2))&gt;0))</f>
        <v>4</v>
      </c>
      <c r="CH2" s="59" t="str">
        <f>IF(CG2=2,"y","n")</f>
        <v>n</v>
      </c>
      <c r="CI2" s="59" t="str">
        <f>IF(CG2=3,"y","n")</f>
        <v>n</v>
      </c>
      <c r="CJ2" s="59" t="str">
        <f>IF(CG2=4,"y","n")</f>
        <v>y</v>
      </c>
      <c r="CK2" s="59" t="str">
        <f>IF(CG2&gt;4,"y","n")</f>
        <v>n</v>
      </c>
      <c r="CL2" s="59" t="str">
        <f>IF(S2=0,"y","n")</f>
        <v>y</v>
      </c>
      <c r="CM2" s="59" t="str">
        <f>IF(S2=2,"y","n")</f>
        <v>n</v>
      </c>
      <c r="CN2" s="59" t="str">
        <f>IF(S2=3,"y","n")</f>
        <v>n</v>
      </c>
      <c r="CO2" s="59" t="str">
        <f>IF(S2&gt;=4,"y","n")</f>
        <v>n</v>
      </c>
      <c r="CP2" s="59" t="str">
        <f>IF(AT2=0,"y","n")</f>
        <v>y</v>
      </c>
      <c r="CQ2" s="59" t="str">
        <f>IF(AT2=1,"y","n")</f>
        <v>n</v>
      </c>
      <c r="CR2" s="59" t="str">
        <f>IF(AT2=2,"y","n")</f>
        <v>n</v>
      </c>
      <c r="CS2" s="59" t="str">
        <f>IF(AT2&gt;=3,"y","n")</f>
        <v>n</v>
      </c>
      <c r="CT2" s="69" t="str">
        <f>CHAR(34)&amp;A2&amp;CHAR(34)</f>
        <v>"Wallis and Futuna"</v>
      </c>
      <c r="CU2" s="70" t="str">
        <f>CHAR(34)&amp;"rgn_"&amp;R2&amp;CHAR(34)</f>
        <v>"rgn_Oceania"</v>
      </c>
      <c r="CV2" s="48" t="str">
        <f>CHAR(34)&amp;D2&amp;CHAR(34)</f>
        <v>"https://upload.wikimedia.org/wikipedia/commons/thumb/d/d2/Flag_of_Wallis_and_Futuna.svg/300px-Flag_of_Wallis_and_Futuna.svg.png"</v>
      </c>
      <c r="CW2" s="48" t="str">
        <f t="shared" ref="CW2:CZ5" si="0">IF(CH2="y",CHAR(34)&amp;CH$1&amp;CHAR(34)&amp;",","")</f>
        <v/>
      </c>
      <c r="CX2" s="48" t="str">
        <f t="shared" si="0"/>
        <v/>
      </c>
      <c r="CY2" s="48" t="str">
        <f t="shared" si="0"/>
        <v>"4Color",</v>
      </c>
      <c r="CZ2" s="48" t="str">
        <f t="shared" si="0"/>
        <v/>
      </c>
      <c r="DA2" s="48" t="str">
        <f>IF(Q2&gt;1,CHAR(34)&amp;"words2"&amp;CHAR(34)&amp;",","")</f>
        <v>"words2",</v>
      </c>
      <c r="DB2" s="48" t="str">
        <f>IF(Q2&gt;2,CHAR(34)&amp;"words3"&amp;CHAR(34)&amp;",","")</f>
        <v>"words3",</v>
      </c>
      <c r="DD2" s="48" t="str">
        <f>IF(LEN(CHAR(34)&amp;"lets"&amp;LEN(SUBSTITUTE(SUBSTITUTE(IFERROR(TRIM(SUBSTITUTE(A2,MID(A2,FIND("[",A2),FIND("]",A2)-FIND("[",A2)+1),"")),A2)," ",""),"-",""))&amp;CHAR(34)&amp;",")=9,CHAR(34)&amp;"lets"&amp;LEN(SUBSTITUTE(SUBSTITUTE(IFERROR(TRIM(SUBSTITUTE(A2,MID(A2,FIND("[",A2),FIND("]",A2)-FIND("[",A2)+1),"")),A2)," ",""),"-",""))&amp;CHAR(34)&amp;",",CHAR(34)&amp;"lets0"&amp;LEN(SUBSTITUTE(SUBSTITUTE(IFERROR(TRIM(SUBSTITUTE(A2,MID(A2,FIND("[",A2),FIND("]",A2)-FIND("[",A2)+1),"")),A2)," ",""),"-",""))&amp;CHAR(34)&amp;",")</f>
        <v>"lets15",</v>
      </c>
      <c r="DE2" s="48" t="str">
        <f>CHAR(34)&amp;"start"&amp;IFERROR(LEFT(SUBSTITUTE(A2,"["&amp;MID(A2,FIND("[",A2)+1,FIND("]",A2)-FIND("[",A2)-1)&amp;"] ",""),1),LEFT(A2,1))&amp;CHAR(34)&amp;","</f>
        <v>"startW",</v>
      </c>
      <c r="DF2" s="48" t="str">
        <f>IFERROR(IF(SEARCH("tan",A2)&gt;0,CHAR(34)&amp;"withtn"&amp;CHAR(34)&amp;",",""),"")</f>
        <v/>
      </c>
      <c r="DG2" s="48" t="str">
        <f>IFERROR(IF(SEARCH("q",A2)&gt;0,CHAR(34)&amp;"with_q"&amp;CHAR(34)&amp;",",""),"")</f>
        <v/>
      </c>
      <c r="DH2" s="48" t="str">
        <f>IFERROR(IF(SEARCH("v",A2)&gt;0,CHAR(34)&amp;"with_v"&amp;CHAR(34)&amp;",",""),"")</f>
        <v/>
      </c>
      <c r="DI2" s="48" t="str">
        <f>IFERROR(IF(SEARCH("w",A2)&gt;0,CHAR(34)&amp;"with_w"&amp;CHAR(34)&amp;",",""),"")</f>
        <v>"with_w",</v>
      </c>
      <c r="DJ2" s="48" t="str">
        <f>IFERROR(IF(SEARCH("y",A2)&gt;0,CHAR(34)&amp;"with_y"&amp;CHAR(34)&amp;",",""),"")</f>
        <v/>
      </c>
      <c r="DK2" s="48" t="str">
        <f>IFERROR(IF(SEARCH("z",A2)&gt;0,CHAR(34)&amp;"with_z"&amp;CHAR(34)&amp;",",""),"")</f>
        <v/>
      </c>
      <c r="DL2" s="48" t="str">
        <f>IF(CG2=2, CHAR(34) &amp; _xlfn.TEXTJOIN("", TRUE, _xlfn._xlws.SORT(HP2:HX2)) &amp; CHAR(34) &amp; ",", "")</f>
        <v/>
      </c>
      <c r="DM2" s="48" t="str" cm="1">
        <f t="array" ref="DM2">IF(CG2=3,CHAR(34) &amp; _xlfn.TEXTJOIN("", TRUE, RIGHT(HP2:HX2, 2)) &amp; CHAR(34) &amp; ",", "")</f>
        <v/>
      </c>
      <c r="DN2" s="48" t="str">
        <f>IF(AND(ISNUMBER(SEARCH("18", O2)), ISERROR(SEARCH("1918", O2)), ISERROR(SEARCH("2018", O2))), CHAR(34) &amp; "year18" &amp; CHAR(34) &amp; ",", "")</f>
        <v/>
      </c>
      <c r="DO2" s="48" t="str">
        <f>IF(AND(ISNUMBER(SEARCH("19", O2)), ISERROR(SEARCH("1819", O2)),  ISERROR(SEARCH("1219", O2)),ISERROR(SEARCH("1119", O2)),ISERROR(SEARCH("1190", O2)),ISERROR(SEARCH("2019", O2))), CHAR(34) &amp; "year19" &amp; CHAR(34) &amp; ",", "")</f>
        <v>"year19",</v>
      </c>
      <c r="DP2" s="6" t="str">
        <f>IF(AND(ISNUMBER(SEARCH("20", O2)), ISERROR(SEARCH("1920", O2))), CHAR(34)&amp;"year00"&amp;CHAR(34)&amp;",", "")</f>
        <v/>
      </c>
      <c r="DQ2" s="6" t="str">
        <f>IF(CC2="y",CHAR(34)&amp;"soviet"&amp;CHAR(34)&amp;",","")</f>
        <v/>
      </c>
      <c r="DR2" s="6" t="str">
        <f>IF(BY2="y",CHAR(34)&amp;"dgband"&amp;CHAR(34)&amp;",","")</f>
        <v/>
      </c>
      <c r="DS2" s="6" t="str">
        <f>IF(W2="y",IF(AND(V2="n",BY2&lt;&gt;"y"),CHAR(34)&amp;"allver"&amp;CHAR(34)&amp;",",""),"")</f>
        <v/>
      </c>
      <c r="DT2" s="6" t="str">
        <f>IF(V2="y",IF(AND(W2="n",BY2&lt;&gt;"y"),CHAR(34)&amp;"allhor"&amp;CHAR(34)&amp;",",""),"")</f>
        <v/>
      </c>
      <c r="DU2" s="6" t="str">
        <f>IF(BY2="y",IF(AND(W2="n",V2="n"),CHAR(34)&amp;"alldia"&amp;CHAR(34)&amp;",",""),"")</f>
        <v/>
      </c>
      <c r="DW2" s="48" t="str">
        <f t="shared" ref="DW2:DZ5" si="1">IF(CL2="y",CHAR(34)&amp;CL$1&amp;CHAR(34)&amp;",","")</f>
        <v>"NoBand",</v>
      </c>
      <c r="DX2" s="48" t="str">
        <f t="shared" si="1"/>
        <v/>
      </c>
      <c r="DY2" s="48" t="str">
        <f t="shared" si="1"/>
        <v/>
      </c>
      <c r="DZ2" s="48" t="str">
        <f t="shared" si="1"/>
        <v/>
      </c>
      <c r="EA2" s="48" t="str">
        <f t="shared" ref="EA2:EE5" si="2">IF(T2="y",CHAR(34)&amp;T$1&amp;CHAR(34)&amp;",","")</f>
        <v>"Diagon",</v>
      </c>
      <c r="EB2" s="48" t="str">
        <f t="shared" si="2"/>
        <v>"Crosse",</v>
      </c>
      <c r="EC2" s="48" t="str">
        <f t="shared" si="2"/>
        <v/>
      </c>
      <c r="ED2" s="48" t="str">
        <f t="shared" si="2"/>
        <v/>
      </c>
      <c r="EE2" s="48" t="str">
        <f t="shared" si="2"/>
        <v/>
      </c>
      <c r="EF2" s="48" t="str">
        <f>IF(AND(Y2&lt;&gt;"n",Y2&lt;&gt;""),CHAR(34)&amp;Y$1&amp;CHAR(34)&amp;",","")</f>
        <v/>
      </c>
      <c r="EG2" s="48" t="str">
        <f t="shared" ref="EG2:EZ5" si="3">IF(Z2="y",CHAR(34)&amp;Z$1&amp;CHAR(34)&amp;",","")</f>
        <v/>
      </c>
      <c r="EH2" s="48" t="str">
        <f t="shared" si="3"/>
        <v/>
      </c>
      <c r="EI2" s="48" t="str">
        <f t="shared" si="3"/>
        <v/>
      </c>
      <c r="EJ2" s="48" t="str">
        <f t="shared" si="3"/>
        <v/>
      </c>
      <c r="EK2" s="48" t="str">
        <f t="shared" si="3"/>
        <v/>
      </c>
      <c r="EL2" s="48" t="str">
        <f t="shared" si="3"/>
        <v/>
      </c>
      <c r="EM2" s="48" t="str">
        <f t="shared" si="3"/>
        <v/>
      </c>
      <c r="EN2" s="48" t="str">
        <f t="shared" si="3"/>
        <v/>
      </c>
      <c r="EO2" s="48" t="str">
        <f t="shared" si="3"/>
        <v/>
      </c>
      <c r="EP2" s="48" t="str">
        <f t="shared" si="3"/>
        <v>"Canton",</v>
      </c>
      <c r="EQ2" s="48" t="str">
        <f t="shared" si="3"/>
        <v/>
      </c>
      <c r="ER2" s="48" t="str">
        <f t="shared" si="3"/>
        <v/>
      </c>
      <c r="ES2" s="48" t="str">
        <f t="shared" si="3"/>
        <v/>
      </c>
      <c r="ET2" s="48" t="str">
        <f t="shared" si="3"/>
        <v/>
      </c>
      <c r="EU2" s="48" t="str">
        <f t="shared" si="3"/>
        <v/>
      </c>
      <c r="EV2" s="48" t="str">
        <f t="shared" si="3"/>
        <v/>
      </c>
      <c r="EW2" s="48" t="str">
        <f t="shared" si="3"/>
        <v/>
      </c>
      <c r="EX2" s="48" t="str">
        <f t="shared" si="3"/>
        <v/>
      </c>
      <c r="EY2" s="48" t="str">
        <f t="shared" si="3"/>
        <v/>
      </c>
      <c r="EZ2" s="48" t="str">
        <f t="shared" si="3"/>
        <v/>
      </c>
      <c r="FA2" s="48" t="str">
        <f>IF(AT2&gt;0,CHAR(34)&amp;"sta"&amp;AZ2&amp;CHAR(34)&amp;",","")</f>
        <v/>
      </c>
      <c r="FB2" s="48" t="str">
        <f>IF(AND(AT2&gt;0,BA2&lt;&gt;""),CHAR(34)&amp;"sta"&amp;BA2&amp;CHAR(34)&amp;",","")</f>
        <v/>
      </c>
      <c r="FD2" s="48" t="str">
        <f>IF(BV2="n",CHAR(34)&amp;"tcWHYE"&amp;CHAR(34)&amp;",",IF(BV2="y",CHAR(34)&amp;FD$1&amp;CHAR(34)&amp;",",""))</f>
        <v/>
      </c>
      <c r="FE2" s="48" t="str">
        <f>IF(COUNTIF(BL2:BT2,"BLU")=0,CHAR(34)&amp;"NO_BLU"&amp;CHAR(34)&amp;",", "")</f>
        <v>"NO_BLU",</v>
      </c>
      <c r="FF2" s="48" t="str">
        <f>IF(COUNTIF(BL2:BT2,"WHI")=0,CHAR(34)&amp;"NO_WHI"&amp;CHAR(34)&amp;",", "")</f>
        <v>"NO_WHI",</v>
      </c>
      <c r="FG2" s="48" t="str">
        <f>IF(COUNTIF(BL2:BT2,"RED")=0,CHAR(34)&amp;"NO_RED"&amp;CHAR(34)&amp;",", "")</f>
        <v/>
      </c>
      <c r="FH2" s="48" t="str">
        <f>IF(COUNTIF(BL2:BS2,"GRE")=0,CHAR(34)&amp;"NO_GRE"&amp;CHAR(34)&amp;",", "")</f>
        <v/>
      </c>
      <c r="FI2" s="48" t="str">
        <f>IF(COUNTIF(BL2:BT2,"YEL")=0,CHAR(34)&amp;"NO_YEL"&amp;CHAR(34)&amp;",", "")</f>
        <v/>
      </c>
      <c r="FJ2" s="48" t="str">
        <f>IF(COUNTIF(BL2:BT2,"BLA")=0,CHAR(34)&amp;"NO_BLA"&amp;CHAR(34)&amp;",", "")</f>
        <v/>
      </c>
      <c r="FK2" s="48" t="str">
        <f>IF(AND(FH2&lt;&gt;"",FF2&lt;&gt;""),CHAR(34)&amp;"WHGRNO"&amp;CHAR(34)&amp;",","")</f>
        <v/>
      </c>
      <c r="FL2" s="48" t="str">
        <f>IF(AND(FI2&lt;&gt;"",FF2&lt;&gt;""),CHAR(34)&amp;"WHYENO"&amp;CHAR(34)&amp;",","")</f>
        <v/>
      </c>
      <c r="FM2" s="48" t="str">
        <f>IF(AND(FJ2&lt;&gt;"",FF2&lt;&gt;""),CHAR(34)&amp;"BAWHNO"&amp;CHAR(34)&amp;",","")</f>
        <v/>
      </c>
      <c r="FN2" s="48" t="str">
        <f>IF(AND(FE2&lt;&gt;"",FF2&lt;&gt;""),CHAR(34)&amp;"BLWHNO"&amp;CHAR(34)&amp;",","")</f>
        <v>"BLWHNO",</v>
      </c>
      <c r="FO2" s="48" t="str">
        <f>IF(AND(FE2&lt;&gt;"",FG2&lt;&gt;""),CHAR(34)&amp;"BLRENO"&amp;CHAR(34)&amp;",","")</f>
        <v/>
      </c>
      <c r="FP2" s="48" t="str">
        <f>IF(AND(FF2&lt;&gt;"",FF2&lt;&gt;""),CHAR(34)&amp;"WHRENO"&amp;CHAR(34)&amp;",","")</f>
        <v>"WHRENO",</v>
      </c>
      <c r="FQ2" s="48" t="str">
        <f>IF(LEN(BF2)=3,CHAR(34)&amp;"001"&amp;BF2&amp;CHAR(34)&amp;",","")</f>
        <v>"001RED",</v>
      </c>
      <c r="FR2" s="48" t="str">
        <f>IF(LEN(BG2)=3,CHAR(34)&amp;"002"&amp;BG2&amp;CHAR(34)&amp;",","")</f>
        <v>"002YEL",</v>
      </c>
      <c r="FS2" s="48" t="str">
        <f>IF(LEN(BH2)=3,CHAR(34)&amp;"003"&amp;BH2&amp;CHAR(34)&amp;",","")</f>
        <v>"003GRE",</v>
      </c>
      <c r="FT2" s="48" t="str">
        <f>CHAR(34)&amp;"myr"&amp;BD2&amp;CHAR(34)&amp;","</f>
        <v>"myrRED",</v>
      </c>
      <c r="FU2" s="48" t="str">
        <f>IF(AY2="y",CHAR(34)&amp;"island"&amp;CHAR(34)&amp;",","")</f>
        <v/>
      </c>
      <c r="FV2" s="48" t="str">
        <f>IF(BZ2="y",CHAR(34)&amp;"landlo"&amp;CHAR(34)&amp;",","")</f>
        <v/>
      </c>
      <c r="FW2" s="48" t="str">
        <f>IF(CA2="y",CHAR(34)&amp;"eunion"&amp;CHAR(34)&amp;",","")</f>
        <v/>
      </c>
      <c r="FY2" s="48" t="str">
        <f>IFERROR(IF(SEARCH("Arabic",CB2)&gt;0,CHAR(34)&amp;"arabic"&amp;CHAR(34)&amp;",",""),"")</f>
        <v/>
      </c>
      <c r="FZ2" s="48" t="str">
        <f>IFERROR(IF(SEARCH("English",CB2)&gt;0,CHAR(34)&amp;"englis"&amp;CHAR(34)&amp;",",""),"")</f>
        <v/>
      </c>
      <c r="GA2" s="48" t="str">
        <f>IFERROR(IF(SEARCH("French",CB2)&gt;0,CHAR(34)&amp;"french"&amp;CHAR(34)&amp;",",""),"")</f>
        <v/>
      </c>
      <c r="GB2" s="48" t="str">
        <f>IFERROR(IF(SEARCH("Spanish",CB2)&gt;0,CHAR(34)&amp;"spanis"&amp;CHAR(34)&amp;",",""),"")</f>
        <v/>
      </c>
      <c r="GE2" s="48" t="str">
        <f>IFERROR(IF(SEARCH("Dutch",CB2)&gt;0,CHAR(34)&amp;"dutchs"&amp;CHAR(34)&amp;",",""),"")</f>
        <v/>
      </c>
      <c r="GF2" s="48" t="str">
        <f>IFERROR(IF(SEARCH("Historical",AU2)&gt;0,CHAR(34)&amp;"histor"&amp;CHAR(34)&amp;",",""),"")</f>
        <v/>
      </c>
      <c r="GG2" s="48" t="str">
        <f>IF(BU2="y",CHAR(34)&amp;"unjack"&amp;CHAR(34)&amp;",","")</f>
        <v/>
      </c>
      <c r="GH2" s="48" t="str">
        <f>IF(CD2=1,CHAR(34)&amp;"southc"&amp;CHAR(34)&amp;",","")</f>
        <v/>
      </c>
      <c r="GI2" s="48" t="str">
        <f>IF(CE2=1,CHAR(34)&amp;"hasmap"&amp;CHAR(34)&amp;",","")</f>
        <v/>
      </c>
      <c r="GJ2" s="48" t="str">
        <f>IF(CP2="y",CHAR(34)&amp;CP$1&amp;CHAR(34)&amp;",","")</f>
        <v>"NoStar",</v>
      </c>
      <c r="GK2" s="48" t="str">
        <f>IF(GJ2="",CHAR(34)&amp;"HasSta"&amp;CHAR(34)&amp;",","")</f>
        <v/>
      </c>
      <c r="GL2" s="48" t="str">
        <f t="shared" ref="GL2:GN5" si="4">IF(CQ2="y",CHAR(34)&amp;CQ$1&amp;CHAR(34)&amp;",","")</f>
        <v/>
      </c>
      <c r="GM2" s="48" t="str">
        <f t="shared" si="4"/>
        <v/>
      </c>
      <c r="GN2" s="48" t="str">
        <f t="shared" si="4"/>
        <v/>
      </c>
      <c r="GP2" s="48" t="str">
        <f>CHAR(34)&amp;AU2&amp;CHAR(34)</f>
        <v>""</v>
      </c>
      <c r="GS2" s="48" t="str">
        <f>SUBSTITUTE("["&amp;_xlfn.CONCAT(CW2:GN2)&amp;"]",",]","]")</f>
        <v>["4Color","words2","words3","lets15","startW","with_w","year19","NoBand","Diagon","Crosse","Canton","NO_BLU","NO_WHI","BLWHNO","WHRENO","001RED","002YEL","003GRE","myrRED","NoStar"]</v>
      </c>
      <c r="GT2" s="48" t="str">
        <f t="shared" ref="GT2:HB5" si="5">IF(BL2&lt;&gt;"",CHAR(34)&amp;"cl_"&amp;BL2&amp;CHAR(34)&amp;",","")</f>
        <v>"cl_BLA",</v>
      </c>
      <c r="GU2" s="48" t="str">
        <f t="shared" si="5"/>
        <v/>
      </c>
      <c r="GV2" s="48" t="str">
        <f t="shared" si="5"/>
        <v>"cl_GRE",</v>
      </c>
      <c r="GW2" s="48" t="str">
        <f t="shared" si="5"/>
        <v>"cl_RED",</v>
      </c>
      <c r="GX2" s="48" t="str">
        <f t="shared" si="5"/>
        <v>"cl_YEL",</v>
      </c>
      <c r="GY2" s="48" t="str">
        <f t="shared" si="5"/>
        <v/>
      </c>
      <c r="GZ2" s="48" t="str">
        <f t="shared" si="5"/>
        <v/>
      </c>
      <c r="HA2" s="48" t="str">
        <f t="shared" si="5"/>
        <v/>
      </c>
      <c r="HB2" s="48" t="str">
        <f t="shared" si="5"/>
        <v/>
      </c>
      <c r="HC2" s="48" t="str">
        <f>SUBSTITUTE("["&amp;_xlfn.CONCAT(GT2:HB2)&amp;"]",",]","]")</f>
        <v>["cl_BLA","cl_GRE","cl_RED","cl_YEL"]</v>
      </c>
      <c r="HE2" s="71"/>
      <c r="HF2" s="72" t="str">
        <f>"{couname:"&amp;CT2&amp;(IF(HK2&lt;&gt;"",",subtype:"&amp;CHAR(34)&amp;HK2&amp;CHAR(34),""))&amp;",year:"&amp;HJ2&amp;",region:"&amp;CU2&amp;",Colors:"&amp;HC2&amp;",Items:"&amp;GS2&amp;",Flag:"&amp;CV2&amp;",HDFlag:"&amp;CHAR(34)&amp;E2&amp;CHAR(34)&amp;",type:"&amp;GP2&amp;", describe: "&amp;HH2&amp;", isnew:"&amp;CHAR(34)&amp;F2&amp;CHAR(34)&amp;", links: "&amp;HL2&amp;"},"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links: "https://en.wikipedia.org/wiki/Flag_of_Wallis_and_Futuna"},</v>
      </c>
      <c r="HG2" s="73" t="str">
        <f>"{couname:"&amp;CT2&amp;(IF(HK2&lt;&gt;"",",subtype:"&amp;CHAR(34)&amp;HK2&amp;CHAR(34),""))&amp;",year:"&amp;HJ2&amp;",region:"&amp;CU2&amp;",Colors:"&amp;HC2&amp;",Items:"&amp;GS2&amp;",Flag:"&amp;CV2&amp;",HDFlag:"&amp;CHAR(34)&amp;E2&amp;CHAR(34)&amp;",type:"&amp;GP2&amp;", describe: "&amp;HI2&amp;", links: "&amp;HL2&amp;"},"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links: "https://en.wikipedia.org/wiki/Flag_of_Wallis_and_Futuna"},</v>
      </c>
      <c r="HH2" s="48" t="str">
        <f>IF(P2&lt;&gt;"",CHAR(34)&amp;"\n"&amp;P2&amp;CHAR(34),CHAR(34)&amp;CHAR(34))</f>
        <v>"\nThis flag features a red field with four white isosceles triangles in the middle. The color red symbolizes courage; while the white color represents purity of ideals. The four triangles represents the three native kings of the islands and the French administrator."</v>
      </c>
      <c r="HI2" s="48" t="str">
        <f>IF(J2=0,CHAR(34)&amp;CHAR(34),HH2)</f>
        <v>"\nThis flag features a red field with four white isosceles triangles in the middle. The color red symbolizes courage; while the white color represents purity of ideals. The four triangles represents the three native kings of the islands and the French administrator."</v>
      </c>
      <c r="HJ2" s="48" t="str">
        <f>CHAR(34)&amp;O2&amp;CHAR(34)</f>
        <v>"1960 "</v>
      </c>
      <c r="HL2" s="48" t="str">
        <f>CHAR(34)&amp;I2&amp;CHAR(34)</f>
        <v>"https://en.wikipedia.org/wiki/Flag_of_Wallis_and_Futuna"</v>
      </c>
      <c r="HM2" s="72"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"&amp;HH2&amp;", "&amp;CHAR(34)&amp;"isnew"&amp;CHAR(34)&amp;": "&amp;CHAR(34)&amp;F2&amp;CHAR(34)&amp;", "&amp;CHAR(34)&amp;"links"&amp;CHAR(34)&amp;": "&amp;HL2&amp;"},"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 "links": "https://en.wikipedia.org/wiki/Flag_of_Wallis_and_Futuna"},</v>
      </c>
      <c r="HN2" s="74" t="str">
        <f>"{"&amp;CHAR(34)&amp;"couname"&amp;CHAR(34)&amp;":"&amp;CT2&amp;(IF(H2&lt;&gt;"",","&amp;CHAR(34)&amp;"subtype"&amp;CHAR(34)&amp;":"&amp;CHAR(34)&amp;H2&amp;CHAR(34),""))&amp;","&amp;CHAR(34)&amp;"year"&amp;CHAR(34)&amp;":"&amp;HJ2&amp;","&amp;CHAR(34)&amp;"region"&amp;CHAR(34)&amp;":"&amp;CU2&amp;","&amp;CHAR(34)&amp;"Colors"&amp;CHAR(34)&amp;":"&amp;HC2&amp;","&amp;CHAR(34)&amp;"Items"&amp;CHAR(34)&amp;":"&amp;GS2&amp;","&amp;CHAR(34)&amp;"Flag"&amp;CHAR(34)&amp;":"&amp;CV2&amp;","&amp;CHAR(34)&amp;"HDFlag"&amp;CHAR(34)&amp;":"&amp;CHAR(34)&amp;E2&amp;CHAR(34)&amp;","&amp;CHAR(34)&amp;"type"&amp;CHAR(34)&amp;":"&amp;GP2&amp;", "&amp;CHAR(34)&amp;"describe"&amp;CHAR(34)&amp;": "&amp;HI2&amp;", "&amp;CHAR(34)&amp;"isnew"&amp;CHAR(34)&amp;": "&amp;CHAR(34)&amp;F2&amp;CHAR(34)&amp;", "&amp;CHAR(34)&amp;"links"&amp;CHAR(34)&amp;": "&amp;HL2&amp;"},"</f>
        <v>{"couname":"Wallis and Futuna","year":"1960 ","region":"rgn_Oceania","Colors":["cl_BLA","cl_GRE","cl_RED","cl_YEL"],"Items":["4Color","words2","words3","lets15","startW","with_w","year19","NoBand","Diagon","Crosse","Canton","NO_BLU","NO_WHI","BLWHNO","WHRENO","001RED","002YEL","003GRE","myrRED","NoStar"],"Flag":"https://upload.wikimedia.org/wikipedia/commons/thumb/d/d2/Flag_of_Wallis_and_Futuna.svg/300px-Flag_of_Wallis_and_Futuna.svg.png","HDFlag":"https://upload.wikimedia.org/wikipedia/commons/thumb/d/d2/Flag_of_Wallis_and_Futuna.svg/2560px-Flag_of_Wallis_and_Futuna.svg.png","type":"", "describe": "\nThis flag features a red field with four white isosceles triangles in the middle. The color red symbolizes courage; while the white color represents purity of ideals. The four triangles represents the three native kings of the islands and the French administrator.", "isnew": ".", "links": "https://en.wikipedia.org/wiki/Flag_of_Wallis_and_Futuna"},</v>
      </c>
      <c r="HO2" s="75">
        <v>45596</v>
      </c>
      <c r="HP2" s="48" t="str" cm="1">
        <f t="array" ref="HP2">IF(_xlfn.TEXTJOIN(", ", TRUE, IF(ISNUMBER(SEARCH("BLA", BL2:BT2)), COLUMN(BL2:BT2) - COLUMN(BL2) + 1, ""))&lt;&gt;"","BLA","")</f>
        <v>BLA</v>
      </c>
      <c r="HQ2" s="48" t="str" cm="1">
        <f t="array" ref="HQ2">IF(_xlfn.TEXTJOIN(", ", TRUE, IF(ISNUMBER(SEARCH("BLU", BL2:BT2)), COLUMN(BL2:BT2) - COLUMN(BL2) + 1, ""))&lt;&gt;"","BLU","")</f>
        <v/>
      </c>
      <c r="HR2" s="48" t="str" cm="1">
        <f t="array" ref="HR2">IF(_xlfn.TEXTJOIN(", ", TRUE, IF(ISNUMBER(SEARCH("GRE", BL2:BT2)), COLUMN(BL2:BT2) - COLUMN(BL2) + 1, ""))&lt;&gt;"","GRE","")</f>
        <v>GRE</v>
      </c>
      <c r="HS2" s="48" t="str" cm="1">
        <f t="array" ref="HS2">IF(_xlfn.TEXTJOIN(", ", TRUE, IF(ISNUMBER(SEARCH("RED", BL2:BT2)), COLUMN(BL2:BT2) - COLUMN(BL2) + 1, ""))&lt;&gt;"","RED","")</f>
        <v>RED</v>
      </c>
      <c r="HT2" s="48" t="str" cm="1">
        <f t="array" ref="HT2">IF(_xlfn.TEXTJOIN(", ", TRUE, IF(ISNUMBER(SEARCH("YEL", BL2:BT2)), COLUMN(BL2:BT2) - COLUMN(BL2) + 1, ""))&lt;&gt;"","YEL","")</f>
        <v>YEL</v>
      </c>
      <c r="HU2" s="48" t="str" cm="1">
        <f t="array" ref="HU2">IF(_xlfn.TEXTJOIN(", ", TRUE, IF(ISNUMBER(SEARCH("ORA", BL2:BT2)), COLUMN(BL2:BT2) - COLUMN(BL2) + 1, ""))&lt;&gt;"","ORA","")</f>
        <v/>
      </c>
      <c r="HV2" s="48" t="str" cm="1">
        <f t="array" ref="HV2">IF(_xlfn.TEXTJOIN(", ", TRUE, IF(ISNUMBER(SEARCH("BRO", BL2:BT2)), COLUMN(BL2:BT2) - COLUMN(BL2) + 1, ""))&lt;&gt;"","BRO","")</f>
        <v/>
      </c>
      <c r="HW2" s="48" t="str" cm="1">
        <f t="array" ref="HW2">IF(_xlfn.TEXTJOIN(", ", TRUE, IF(ISNUMBER(SEARCH("PUR", BL2:BT2)), COLUMN(BL2:BT2) - COLUMN(BL2) + 1, ""))&lt;&gt;"","PUR","")</f>
        <v/>
      </c>
      <c r="HX2" s="48" t="str" cm="1">
        <f t="array" ref="HX2">IF(_xlfn.TEXTJOIN(", ", TRUE, IF(ISNUMBER(SEARCH("WHI", BL2:BT2)), COLUMN(BL2:BT2) - COLUMN(BL2) + 1, ""))&lt;&gt;"","WHI","")</f>
        <v/>
      </c>
      <c r="HY2" s="76"/>
      <c r="HZ2" s="76"/>
      <c r="IA2" s="6"/>
      <c r="IB2" s="6"/>
      <c r="IC2" s="77"/>
      <c r="ID2" s="77"/>
      <c r="IE2" s="77"/>
      <c r="IF2" s="77"/>
      <c r="IG2" s="77"/>
      <c r="IH2" s="77"/>
      <c r="II2" s="77"/>
      <c r="IJ2" s="77"/>
      <c r="IK2" s="77"/>
      <c r="IM2" s="45">
        <f>COUNTIF(IC2:IK2,"&gt;0")-CG2</f>
        <v>-4</v>
      </c>
      <c r="IN2" s="78" t="str">
        <f>"http://mkweb.bcgsc.ca/color-summarizer/?url="&amp;D2&amp;"&amp;precision=low&amp;num_clusters="&amp;CG2&amp;"&amp;text=1"</f>
        <v>http://mkweb.bcgsc.ca/color-summarizer/?url=https://upload.wikimedia.org/wikipedia/commons/thumb/d/d2/Flag_of_Wallis_and_Futuna.svg/300px-Flag_of_Wallis_and_Futuna.svg.png&amp;precision=low&amp;num_clusters=4&amp;text=1</v>
      </c>
      <c r="IO2" s="48" t="str">
        <f>IF(HP2&lt;&gt;"",CHAR(34)&amp;"black"&amp;CHAR(34),"")</f>
        <v>"black"</v>
      </c>
      <c r="IP2" s="48" t="str">
        <f>IF(HQ2&lt;&gt;"",CHAR(34)&amp;"blue"&amp;CHAR(34),"")</f>
        <v/>
      </c>
      <c r="IQ2" s="48" t="str">
        <f>IF(HR2&lt;&gt;"",CHAR(34)&amp;"green"&amp;CHAR(34),"")</f>
        <v>"green"</v>
      </c>
      <c r="IR2" s="48" t="str">
        <f>IF(HS2&lt;&gt;"",CHAR(34)&amp;"red"&amp;CHAR(34),"")</f>
        <v>"red"</v>
      </c>
      <c r="IS2" s="48" t="str">
        <f>IF(HT2&lt;&gt;"",CHAR(34)&amp;"yellow"&amp;CHAR(34),"")</f>
        <v>"yellow"</v>
      </c>
      <c r="IT2" s="48" t="str">
        <f>IF(HU2&lt;&gt;"",CHAR(34)&amp;"orange"&amp;CHAR(34),"")</f>
        <v/>
      </c>
      <c r="IU2" s="48" t="str">
        <f>IF(HV2&lt;&gt;"",CHAR(34)&amp;"brown"&amp;CHAR(34),"")</f>
        <v/>
      </c>
      <c r="IV2" s="48" t="str">
        <f>IF(HW2&lt;&gt;"",CHAR(34)&amp;"purple"&amp;CHAR(34),"")</f>
        <v/>
      </c>
      <c r="IW2" s="48" t="str">
        <f>IF(HX2&lt;&gt;"",CHAR(34)&amp;"white"&amp;CHAR(34),"")</f>
        <v/>
      </c>
      <c r="IX2" s="48" t="str">
        <f>"{"&amp;CHAR(34)&amp;"url"&amp;CHAR(34)&amp;":"&amp;CHAR(34)&amp;IN2&amp;CHAR(34)&amp;","&amp;CHAR(34)&amp;"name"&amp;CHAR(34)&amp;":"&amp;CHAR(34)&amp;A2&amp;CHAR(34)&amp;"},"</f>
        <v>{"url":"http://mkweb.bcgsc.ca/color-summarizer/?url=https://upload.wikimedia.org/wikipedia/commons/thumb/d/d2/Flag_of_Wallis_and_Futuna.svg/300px-Flag_of_Wallis_and_Futuna.svg.png&amp;precision=low&amp;num_clusters=4&amp;text=1","name":"Wallis and Futuna"},</v>
      </c>
      <c r="IY2" s="48">
        <v>1328</v>
      </c>
    </row>
    <row r="3" spans="1:259" s="48" customFormat="1" ht="38.4" customHeight="1" thickBot="1" x14ac:dyDescent="0.35">
      <c r="A3" s="79" t="s">
        <v>608</v>
      </c>
      <c r="B3" s="40" t="e" vm="116">
        <v>#VALUE!</v>
      </c>
      <c r="C3" s="41">
        <v>2</v>
      </c>
      <c r="D3" s="42" t="s">
        <v>609</v>
      </c>
      <c r="E3" s="43" t="s">
        <v>610</v>
      </c>
      <c r="F3" s="44" t="s">
        <v>166</v>
      </c>
      <c r="G3" s="45">
        <f>COUNTIF($A$1:$A$8344,A3)</f>
        <v>1</v>
      </c>
      <c r="H3" s="46"/>
      <c r="I3" s="47" t="s">
        <v>611</v>
      </c>
      <c r="J3" s="48" t="str">
        <f>""</f>
        <v/>
      </c>
      <c r="K3" s="49"/>
      <c r="L3" s="50"/>
      <c r="M3" s="50"/>
      <c r="N3" s="51" t="s">
        <v>169</v>
      </c>
      <c r="O3" s="52" t="s">
        <v>355</v>
      </c>
      <c r="P3" s="53" t="s">
        <v>612</v>
      </c>
      <c r="Q3" s="54">
        <v>1</v>
      </c>
      <c r="R3" s="55" t="s">
        <v>169</v>
      </c>
      <c r="S3" s="56">
        <v>0</v>
      </c>
      <c r="T3" s="57" t="s">
        <v>172</v>
      </c>
      <c r="U3" s="58" t="s">
        <v>172</v>
      </c>
      <c r="V3" s="58" t="s">
        <v>173</v>
      </c>
      <c r="W3" s="58" t="s">
        <v>173</v>
      </c>
      <c r="X3" s="58" t="s">
        <v>173</v>
      </c>
      <c r="Y3" s="58" t="s">
        <v>173</v>
      </c>
      <c r="Z3" s="58" t="s">
        <v>173</v>
      </c>
      <c r="AA3" s="58" t="s">
        <v>172</v>
      </c>
      <c r="AB3" s="58" t="s">
        <v>173</v>
      </c>
      <c r="AC3" s="58" t="s">
        <v>172</v>
      </c>
      <c r="AD3" s="58" t="s">
        <v>173</v>
      </c>
      <c r="AE3" s="58" t="s">
        <v>173</v>
      </c>
      <c r="AF3" s="59" t="s">
        <v>173</v>
      </c>
      <c r="AG3" s="59" t="s">
        <v>173</v>
      </c>
      <c r="AH3" s="59" t="s">
        <v>173</v>
      </c>
      <c r="AI3" s="59" t="s">
        <v>172</v>
      </c>
      <c r="AJ3" s="59" t="s">
        <v>173</v>
      </c>
      <c r="AK3" s="59" t="s">
        <v>173</v>
      </c>
      <c r="AL3" s="59" t="s">
        <v>173</v>
      </c>
      <c r="AM3" s="59" t="s">
        <v>173</v>
      </c>
      <c r="AN3" s="59" t="s">
        <v>173</v>
      </c>
      <c r="AO3" s="59" t="s">
        <v>173</v>
      </c>
      <c r="AP3" s="59" t="s">
        <v>173</v>
      </c>
      <c r="AQ3" s="59" t="s">
        <v>173</v>
      </c>
      <c r="AR3" s="59" t="s">
        <v>173</v>
      </c>
      <c r="AS3" s="59" t="s">
        <v>173</v>
      </c>
      <c r="AT3" s="60">
        <v>0</v>
      </c>
      <c r="AU3" s="59" t="s">
        <v>613</v>
      </c>
      <c r="AV3" s="59" t="str">
        <f>IF(LEFT(A3,1)="[",LEFT(A3,5)&amp;AU3&amp;A3,"")</f>
        <v>[WLF]Chiefdom[WLF] Alo</v>
      </c>
      <c r="AW3" s="59" t="str">
        <f>C3&amp;H3&amp;A3</f>
        <v>2[WLF] Alo</v>
      </c>
      <c r="AX3" s="61"/>
      <c r="AY3" s="61"/>
      <c r="AZ3" s="62" t="s">
        <v>192</v>
      </c>
      <c r="BA3" s="62" t="s">
        <v>192</v>
      </c>
      <c r="BB3" s="62"/>
      <c r="BC3" s="63"/>
      <c r="BD3" s="64" t="s">
        <v>408</v>
      </c>
      <c r="BE3" s="47"/>
      <c r="BF3" s="64" t="s">
        <v>153</v>
      </c>
      <c r="BG3" s="64" t="s">
        <v>155</v>
      </c>
      <c r="BH3" s="64" t="s">
        <v>158</v>
      </c>
      <c r="BI3" s="64"/>
      <c r="BJ3" s="64"/>
      <c r="BK3" s="47"/>
      <c r="BL3" s="64" t="s">
        <v>192</v>
      </c>
      <c r="BM3" s="64" t="s">
        <v>192</v>
      </c>
      <c r="BN3" s="64" t="s">
        <v>153</v>
      </c>
      <c r="BO3" s="64" t="s">
        <v>192</v>
      </c>
      <c r="BP3" s="64" t="s">
        <v>155</v>
      </c>
      <c r="BQ3" s="64" t="s">
        <v>192</v>
      </c>
      <c r="BR3" s="64" t="s">
        <v>192</v>
      </c>
      <c r="BS3" s="64" t="s">
        <v>158</v>
      </c>
      <c r="BT3" s="64" t="s">
        <v>192</v>
      </c>
      <c r="BU3" s="65"/>
      <c r="BV3" s="66"/>
      <c r="BW3" s="66">
        <v>0</v>
      </c>
      <c r="BX3" s="47"/>
      <c r="CB3" s="6"/>
      <c r="CC3" s="6"/>
      <c r="CD3" s="67">
        <v>0</v>
      </c>
      <c r="CE3" s="67">
        <v>0</v>
      </c>
      <c r="CF3" s="67" t="e">
        <v>#REF!</v>
      </c>
      <c r="CG3" s="68" cm="1">
        <f t="array" ref="CG3">SUMPRODUCT(--(LEN(TRIM(BL3:BT3))&gt;0))</f>
        <v>3</v>
      </c>
      <c r="CH3" s="59" t="str">
        <f>IF(CG3=2,"y","n")</f>
        <v>n</v>
      </c>
      <c r="CI3" s="59" t="str">
        <f>IF(CG3=3,"y","n")</f>
        <v>y</v>
      </c>
      <c r="CJ3" s="59" t="str">
        <f>IF(CG3=4,"y","n")</f>
        <v>n</v>
      </c>
      <c r="CK3" s="59" t="str">
        <f>IF(CG3&gt;4,"y","n")</f>
        <v>n</v>
      </c>
      <c r="CL3" s="59" t="str">
        <f>IF(S3=0,"y","n")</f>
        <v>y</v>
      </c>
      <c r="CM3" s="59" t="str">
        <f>IF(S3=2,"y","n")</f>
        <v>n</v>
      </c>
      <c r="CN3" s="59" t="str">
        <f>IF(S3=3,"y","n")</f>
        <v>n</v>
      </c>
      <c r="CO3" s="59" t="str">
        <f>IF(S3&gt;=4,"y","n")</f>
        <v>n</v>
      </c>
      <c r="CP3" s="59" t="str">
        <f>IF(AT3=0,"y","n")</f>
        <v>y</v>
      </c>
      <c r="CQ3" s="59" t="str">
        <f>IF(AT3=1,"y","n")</f>
        <v>n</v>
      </c>
      <c r="CR3" s="59" t="str">
        <f>IF(AT3=2,"y","n")</f>
        <v>n</v>
      </c>
      <c r="CS3" s="59" t="str">
        <f>IF(AT3&gt;=3,"y","n")</f>
        <v>n</v>
      </c>
      <c r="CT3" s="69" t="str">
        <f>CHAR(34)&amp;A3&amp;CHAR(34)</f>
        <v>"[WLF] Alo"</v>
      </c>
      <c r="CU3" s="70" t="str">
        <f>CHAR(34)&amp;"rgn_"&amp;R3&amp;CHAR(34)</f>
        <v>"rgn_Oceania"</v>
      </c>
      <c r="CV3" s="48" t="str">
        <f>CHAR(34)&amp;D3&amp;CHAR(34)</f>
        <v>"https://upload.wikimedia.org/wikipedia/commons/thumb/f/fa/Flag_of_Alo.svg/640px-Flag_of_Alo.svg.png"</v>
      </c>
      <c r="CW3" s="48" t="str">
        <f t="shared" si="0"/>
        <v/>
      </c>
      <c r="CX3" s="48" t="str">
        <f t="shared" si="0"/>
        <v>"3Color",</v>
      </c>
      <c r="CY3" s="48" t="str">
        <f t="shared" si="0"/>
        <v/>
      </c>
      <c r="CZ3" s="48" t="str">
        <f t="shared" si="0"/>
        <v/>
      </c>
      <c r="DA3" s="48" t="str">
        <f>IF(Q3&gt;1,CHAR(34)&amp;"words2"&amp;CHAR(34)&amp;",","")</f>
        <v/>
      </c>
      <c r="DB3" s="48" t="str">
        <f>IF(Q3&gt;2,CHAR(34)&amp;"words3"&amp;CHAR(34)&amp;",","")</f>
        <v/>
      </c>
      <c r="DD3" s="48" t="str">
        <f>IF(LEN(CHAR(34)&amp;"lets"&amp;LEN(SUBSTITUTE(SUBSTITUTE(IFERROR(TRIM(SUBSTITUTE(A3,MID(A3,FIND("[",A3),FIND("]",A3)-FIND("[",A3)+1),"")),A3)," ",""),"-",""))&amp;CHAR(34)&amp;",")=9,CHAR(34)&amp;"lets"&amp;LEN(SUBSTITUTE(SUBSTITUTE(IFERROR(TRIM(SUBSTITUTE(A3,MID(A3,FIND("[",A3),FIND("]",A3)-FIND("[",A3)+1),"")),A3)," ",""),"-",""))&amp;CHAR(34)&amp;",",CHAR(34)&amp;"lets0"&amp;LEN(SUBSTITUTE(SUBSTITUTE(IFERROR(TRIM(SUBSTITUTE(A3,MID(A3,FIND("[",A3),FIND("]",A3)-FIND("[",A3)+1),"")),A3)," ",""),"-",""))&amp;CHAR(34)&amp;",")</f>
        <v>"lets03",</v>
      </c>
      <c r="DE3" s="48" t="str">
        <f>CHAR(34)&amp;"start"&amp;IFERROR(LEFT(SUBSTITUTE(A3,"["&amp;MID(A3,FIND("[",A3)+1,FIND("]",A3)-FIND("[",A3)-1)&amp;"] ",""),1),LEFT(A3,1))&amp;CHAR(34)&amp;","</f>
        <v>"startA",</v>
      </c>
      <c r="DF3" s="48" t="str">
        <f>IFERROR(IF(SEARCH("tan",A3)&gt;0,CHAR(34)&amp;"withtn"&amp;CHAR(34)&amp;",",""),"")</f>
        <v/>
      </c>
      <c r="DG3" s="48" t="str">
        <f>IFERROR(IF(SEARCH("q",A3)&gt;0,CHAR(34)&amp;"with_q"&amp;CHAR(34)&amp;",",""),"")</f>
        <v/>
      </c>
      <c r="DH3" s="48" t="str">
        <f>IFERROR(IF(SEARCH("v",A3)&gt;0,CHAR(34)&amp;"with_v"&amp;CHAR(34)&amp;",",""),"")</f>
        <v/>
      </c>
      <c r="DI3" s="48" t="str">
        <f>IFERROR(IF(SEARCH("w",A3)&gt;0,CHAR(34)&amp;"with_w"&amp;CHAR(34)&amp;",",""),"")</f>
        <v>"with_w",</v>
      </c>
      <c r="DJ3" s="48" t="str">
        <f>IFERROR(IF(SEARCH("y",A3)&gt;0,CHAR(34)&amp;"with_y"&amp;CHAR(34)&amp;",",""),"")</f>
        <v/>
      </c>
      <c r="DK3" s="48" t="str">
        <f>IFERROR(IF(SEARCH("z",A3)&gt;0,CHAR(34)&amp;"with_z"&amp;CHAR(34)&amp;",",""),"")</f>
        <v/>
      </c>
      <c r="DL3" s="48" t="str">
        <f>IF(CG3=2, CHAR(34) &amp; _xlfn.TEXTJOIN("", TRUE, _xlfn._xlws.SORT(HP3:HX3)) &amp; CHAR(34) &amp; ",", "")</f>
        <v/>
      </c>
      <c r="DM3" s="48" t="str" cm="1">
        <f t="array" ref="DM3">IF(CG3=3,CHAR(34) &amp; _xlfn.TEXTJOIN("", TRUE, RIGHT(HP3:HX3, 2)) &amp; CHAR(34) &amp; ",", "")</f>
        <v>"REELUR",</v>
      </c>
      <c r="DN3" s="48" t="str">
        <f>IF(AND(ISNUMBER(SEARCH("18", O3)), ISERROR(SEARCH("1918", O3)), ISERROR(SEARCH("2018", O3))), CHAR(34) &amp; "year18" &amp; CHAR(34) &amp; ",", "")</f>
        <v/>
      </c>
      <c r="DO3" s="48" t="str">
        <f>IF(AND(ISNUMBER(SEARCH("19", O3)), ISERROR(SEARCH("1819", O3)),  ISERROR(SEARCH("1219", O3)),ISERROR(SEARCH("1119", O3)),ISERROR(SEARCH("1190", O3)),ISERROR(SEARCH("2019", O3))), CHAR(34) &amp; "year19" &amp; CHAR(34) &amp; ",", "")</f>
        <v/>
      </c>
      <c r="DP3" s="6" t="str">
        <f>IF(AND(ISNUMBER(SEARCH("20", O3)), ISERROR(SEARCH("1920", O3))), CHAR(34)&amp;"year00"&amp;CHAR(34)&amp;",", "")</f>
        <v/>
      </c>
      <c r="DQ3" s="6" t="str">
        <f>IF(CC3="y",CHAR(34)&amp;"soviet"&amp;CHAR(34)&amp;",","")</f>
        <v/>
      </c>
      <c r="DR3" s="6" t="str">
        <f>IF(BY3="y",CHAR(34)&amp;"dgband"&amp;CHAR(34)&amp;",","")</f>
        <v/>
      </c>
      <c r="DS3" s="6" t="str">
        <f>IF(W3="y",IF(AND(V3="n",BY3&lt;&gt;"y"),CHAR(34)&amp;"allver"&amp;CHAR(34)&amp;",",""),"")</f>
        <v/>
      </c>
      <c r="DT3" s="6" t="str">
        <f>IF(V3="y",IF(AND(W3="n",BY3&lt;&gt;"y"),CHAR(34)&amp;"allhor"&amp;CHAR(34)&amp;",",""),"")</f>
        <v/>
      </c>
      <c r="DU3" s="6" t="str">
        <f>IF(BY3="y",IF(AND(W3="n",V3="n"),CHAR(34)&amp;"alldia"&amp;CHAR(34)&amp;",",""),"")</f>
        <v/>
      </c>
      <c r="DW3" s="48" t="str">
        <f t="shared" si="1"/>
        <v>"NoBand",</v>
      </c>
      <c r="DX3" s="48" t="str">
        <f t="shared" si="1"/>
        <v/>
      </c>
      <c r="DY3" s="48" t="str">
        <f t="shared" si="1"/>
        <v/>
      </c>
      <c r="DZ3" s="48" t="str">
        <f t="shared" si="1"/>
        <v/>
      </c>
      <c r="EA3" s="48" t="str">
        <f t="shared" si="2"/>
        <v>"Diagon",</v>
      </c>
      <c r="EB3" s="48" t="str">
        <f t="shared" si="2"/>
        <v>"Crosse",</v>
      </c>
      <c r="EC3" s="48" t="str">
        <f t="shared" si="2"/>
        <v/>
      </c>
      <c r="ED3" s="48" t="str">
        <f t="shared" si="2"/>
        <v/>
      </c>
      <c r="EE3" s="48" t="str">
        <f t="shared" si="2"/>
        <v/>
      </c>
      <c r="EF3" s="48" t="str">
        <f>IF(AND(Y3&lt;&gt;"n",Y3&lt;&gt;""),CHAR(34)&amp;Y$1&amp;CHAR(34)&amp;",","")</f>
        <v/>
      </c>
      <c r="EG3" s="48" t="str">
        <f t="shared" si="3"/>
        <v/>
      </c>
      <c r="EH3" s="48" t="str">
        <f t="shared" si="3"/>
        <v>"Plants",</v>
      </c>
      <c r="EI3" s="48" t="str">
        <f t="shared" si="3"/>
        <v/>
      </c>
      <c r="EJ3" s="48" t="str">
        <f t="shared" si="3"/>
        <v>"Weapon",</v>
      </c>
      <c r="EK3" s="48" t="str">
        <f t="shared" si="3"/>
        <v/>
      </c>
      <c r="EL3" s="48" t="str">
        <f t="shared" si="3"/>
        <v/>
      </c>
      <c r="EM3" s="48" t="str">
        <f t="shared" si="3"/>
        <v/>
      </c>
      <c r="EN3" s="48" t="str">
        <f t="shared" si="3"/>
        <v/>
      </c>
      <c r="EO3" s="48" t="str">
        <f t="shared" si="3"/>
        <v/>
      </c>
      <c r="EP3" s="48" t="str">
        <f t="shared" si="3"/>
        <v>"Canton",</v>
      </c>
      <c r="EQ3" s="48" t="str">
        <f t="shared" si="3"/>
        <v/>
      </c>
      <c r="ER3" s="48" t="str">
        <f t="shared" si="3"/>
        <v/>
      </c>
      <c r="ES3" s="48" t="str">
        <f t="shared" si="3"/>
        <v/>
      </c>
      <c r="ET3" s="48" t="str">
        <f t="shared" si="3"/>
        <v/>
      </c>
      <c r="EU3" s="48" t="str">
        <f t="shared" si="3"/>
        <v/>
      </c>
      <c r="EV3" s="48" t="str">
        <f t="shared" si="3"/>
        <v/>
      </c>
      <c r="EW3" s="48" t="str">
        <f t="shared" si="3"/>
        <v/>
      </c>
      <c r="EX3" s="48" t="str">
        <f t="shared" si="3"/>
        <v/>
      </c>
      <c r="EY3" s="48" t="str">
        <f t="shared" si="3"/>
        <v/>
      </c>
      <c r="EZ3" s="48" t="str">
        <f t="shared" si="3"/>
        <v/>
      </c>
      <c r="FA3" s="48" t="str">
        <f>IF(AT3&gt;0,CHAR(34)&amp;"sta"&amp;AZ3&amp;CHAR(34)&amp;",","")</f>
        <v/>
      </c>
      <c r="FB3" s="48" t="str">
        <f>IF(AND(AT3&gt;0,BA3&lt;&gt;""),CHAR(34)&amp;"sta"&amp;BA3&amp;CHAR(34)&amp;",","")</f>
        <v/>
      </c>
      <c r="FD3" s="48" t="str">
        <f>IF(BV3="n",CHAR(34)&amp;"tcWHYE"&amp;CHAR(34)&amp;",",IF(BV3="y",CHAR(34)&amp;FD$1&amp;CHAR(34)&amp;",",""))</f>
        <v/>
      </c>
      <c r="FE3" s="48" t="str">
        <f>IF(COUNTIF(BL3:BT3,"BLU")=0,CHAR(34)&amp;"NO_BLU"&amp;CHAR(34)&amp;",", "")</f>
        <v>"NO_BLU",</v>
      </c>
      <c r="FF3" s="48" t="str">
        <f>IF(COUNTIF(BL3:BT3,"WHI")=0,CHAR(34)&amp;"NO_WHI"&amp;CHAR(34)&amp;",", "")</f>
        <v>"NO_WHI",</v>
      </c>
      <c r="FG3" s="48" t="str">
        <f>IF(COUNTIF(BL3:BT3,"RED")=0,CHAR(34)&amp;"NO_RED"&amp;CHAR(34)&amp;",", "")</f>
        <v>"NO_RED",</v>
      </c>
      <c r="FH3" s="48" t="str">
        <f>IF(COUNTIF(BL3:BS3,"GRE")=0,CHAR(34)&amp;"NO_GRE"&amp;CHAR(34)&amp;",", "")</f>
        <v/>
      </c>
      <c r="FI3" s="48" t="str">
        <f>IF(COUNTIF(BL3:BT3,"YEL")=0,CHAR(34)&amp;"NO_YEL"&amp;CHAR(34)&amp;",", "")</f>
        <v/>
      </c>
      <c r="FJ3" s="48" t="str">
        <f>IF(COUNTIF(BL3:BT3,"BLA")=0,CHAR(34)&amp;"NO_BLA"&amp;CHAR(34)&amp;",", "")</f>
        <v>"NO_BLA",</v>
      </c>
      <c r="FK3" s="48" t="str">
        <f>IF(AND(FH3&lt;&gt;"",FF3&lt;&gt;""),CHAR(34)&amp;"WHGRNO"&amp;CHAR(34)&amp;",","")</f>
        <v/>
      </c>
      <c r="FL3" s="48" t="str">
        <f>IF(AND(FI3&lt;&gt;"",FF3&lt;&gt;""),CHAR(34)&amp;"WHYENO"&amp;CHAR(34)&amp;",","")</f>
        <v/>
      </c>
      <c r="FM3" s="48" t="str">
        <f>IF(AND(FJ3&lt;&gt;"",FF3&lt;&gt;""),CHAR(34)&amp;"BAWHNO"&amp;CHAR(34)&amp;",","")</f>
        <v>"BAWHNO",</v>
      </c>
      <c r="FN3" s="48" t="str">
        <f>IF(AND(FE3&lt;&gt;"",FF3&lt;&gt;""),CHAR(34)&amp;"BLWHNO"&amp;CHAR(34)&amp;",","")</f>
        <v>"BLWHNO",</v>
      </c>
      <c r="FO3" s="48" t="str">
        <f>IF(AND(FE3&lt;&gt;"",FG3&lt;&gt;""),CHAR(34)&amp;"BLRENO"&amp;CHAR(34)&amp;",","")</f>
        <v>"BLRENO",</v>
      </c>
      <c r="FP3" s="48" t="str">
        <f>IF(AND(FF3&lt;&gt;"",FF3&lt;&gt;""),CHAR(34)&amp;"WHRENO"&amp;CHAR(34)&amp;",","")</f>
        <v>"WHRENO",</v>
      </c>
      <c r="FQ3" s="48" t="str">
        <f>IF(LEN(BF3)=3,CHAR(34)&amp;"001"&amp;BF3&amp;CHAR(34)&amp;",","")</f>
        <v>"001GRE",</v>
      </c>
      <c r="FR3" s="48" t="str">
        <f>IF(LEN(BG3)=3,CHAR(34)&amp;"002"&amp;BG3&amp;CHAR(34)&amp;",","")</f>
        <v>"002YEL",</v>
      </c>
      <c r="FS3" s="48" t="str">
        <f>IF(LEN(BH3)=3,CHAR(34)&amp;"003"&amp;BH3&amp;CHAR(34)&amp;",","")</f>
        <v>"003PUR",</v>
      </c>
      <c r="FT3" s="48" t="str">
        <f>CHAR(34)&amp;"myr"&amp;BD3&amp;CHAR(34)&amp;","</f>
        <v>"myrEQ",</v>
      </c>
      <c r="FU3" s="48" t="str">
        <f>IF(AY3="y",CHAR(34)&amp;"island"&amp;CHAR(34)&amp;",","")</f>
        <v/>
      </c>
      <c r="FV3" s="48" t="str">
        <f>IF(BZ3="y",CHAR(34)&amp;"landlo"&amp;CHAR(34)&amp;",","")</f>
        <v/>
      </c>
      <c r="FW3" s="48" t="str">
        <f>IF(CA3="y",CHAR(34)&amp;"eunion"&amp;CHAR(34)&amp;",","")</f>
        <v/>
      </c>
      <c r="FY3" s="48" t="str">
        <f>IFERROR(IF(SEARCH("Arabic",CB3)&gt;0,CHAR(34)&amp;"arabic"&amp;CHAR(34)&amp;",",""),"")</f>
        <v/>
      </c>
      <c r="FZ3" s="48" t="str">
        <f>IFERROR(IF(SEARCH("English",CB3)&gt;0,CHAR(34)&amp;"englis"&amp;CHAR(34)&amp;",",""),"")</f>
        <v/>
      </c>
      <c r="GA3" s="48" t="str">
        <f>IFERROR(IF(SEARCH("French",CB3)&gt;0,CHAR(34)&amp;"french"&amp;CHAR(34)&amp;",",""),"")</f>
        <v/>
      </c>
      <c r="GB3" s="48" t="str">
        <f>IFERROR(IF(SEARCH("Spanish",CB3)&gt;0,CHAR(34)&amp;"spanis"&amp;CHAR(34)&amp;",",""),"")</f>
        <v/>
      </c>
      <c r="GE3" s="48" t="str">
        <f>IFERROR(IF(SEARCH("Dutch",CB3)&gt;0,CHAR(34)&amp;"dutchs"&amp;CHAR(34)&amp;",",""),"")</f>
        <v/>
      </c>
      <c r="GF3" s="48" t="str">
        <f>IFERROR(IF(SEARCH("Historical",AU3)&gt;0,CHAR(34)&amp;"histor"&amp;CHAR(34)&amp;",",""),"")</f>
        <v/>
      </c>
      <c r="GG3" s="48" t="str">
        <f>IF(BU3="y",CHAR(34)&amp;"unjack"&amp;CHAR(34)&amp;",","")</f>
        <v/>
      </c>
      <c r="GH3" s="48" t="str">
        <f>IF(CD3=1,CHAR(34)&amp;"southc"&amp;CHAR(34)&amp;",","")</f>
        <v/>
      </c>
      <c r="GI3" s="48" t="str">
        <f>IF(CE3=1,CHAR(34)&amp;"hasmap"&amp;CHAR(34)&amp;",","")</f>
        <v/>
      </c>
      <c r="GJ3" s="48" t="str">
        <f>IF(CP3="y",CHAR(34)&amp;CP$1&amp;CHAR(34)&amp;",","")</f>
        <v>"NoStar",</v>
      </c>
      <c r="GK3" s="48" t="str">
        <f>IF(GJ3="",CHAR(34)&amp;"HasSta"&amp;CHAR(34)&amp;",","")</f>
        <v/>
      </c>
      <c r="GL3" s="48" t="str">
        <f t="shared" si="4"/>
        <v/>
      </c>
      <c r="GM3" s="48" t="str">
        <f t="shared" si="4"/>
        <v/>
      </c>
      <c r="GN3" s="48" t="str">
        <f t="shared" si="4"/>
        <v/>
      </c>
      <c r="GP3" s="48" t="str">
        <f>CHAR(34)&amp;AU3&amp;CHAR(34)</f>
        <v>"Chiefdom"</v>
      </c>
      <c r="GS3" s="48" t="str">
        <f>SUBSTITUTE("["&amp;_xlfn.CONCAT(CW3:GN3)&amp;"]",",]","]")</f>
        <v>["3Color","lets03","startA","with_w","REELUR","NoBand","Diagon","Crosse","Plants","Weapon","Canton","NO_BLU","NO_WHI","NO_RED","NO_BLA","BAWHNO","BLWHNO","BLRENO","WHRENO","001GRE","002YEL","003PUR","myrEQ","NoStar"]</v>
      </c>
      <c r="GT3" s="48" t="str">
        <f t="shared" si="5"/>
        <v/>
      </c>
      <c r="GU3" s="48" t="str">
        <f t="shared" si="5"/>
        <v/>
      </c>
      <c r="GV3" s="48" t="str">
        <f t="shared" si="5"/>
        <v>"cl_GRE",</v>
      </c>
      <c r="GW3" s="48" t="str">
        <f t="shared" si="5"/>
        <v/>
      </c>
      <c r="GX3" s="48" t="str">
        <f t="shared" si="5"/>
        <v>"cl_YEL",</v>
      </c>
      <c r="GY3" s="48" t="str">
        <f t="shared" si="5"/>
        <v/>
      </c>
      <c r="GZ3" s="48" t="str">
        <f t="shared" si="5"/>
        <v/>
      </c>
      <c r="HA3" s="48" t="str">
        <f t="shared" si="5"/>
        <v>"cl_PUR",</v>
      </c>
      <c r="HB3" s="48" t="str">
        <f t="shared" si="5"/>
        <v/>
      </c>
      <c r="HC3" s="48" t="str">
        <f>SUBSTITUTE("["&amp;_xlfn.CONCAT(GT3:HB3)&amp;"]",",]","]")</f>
        <v>["cl_GRE","cl_YEL","cl_PUR"]</v>
      </c>
      <c r="HE3" s="71"/>
      <c r="HF3" s="72" t="str">
        <f>"{couname:"&amp;CT3&amp;(IF(HK3&lt;&gt;"",",subtype:"&amp;CHAR(34)&amp;HK3&amp;CHAR(34),""))&amp;",year:"&amp;HJ3&amp;",region:"&amp;CU3&amp;",Colors:"&amp;HC3&amp;",Items:"&amp;GS3&amp;",Flag:"&amp;CV3&amp;",HDFlag:"&amp;CHAR(34)&amp;E3&amp;CHAR(34)&amp;",type:"&amp;GP3&amp;", describe: "&amp;HH3&amp;", isnew:"&amp;CHAR(34)&amp;F3&amp;CHAR(34)&amp;", links: "&amp;HL3&amp;"},"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links: "https://www.fotw.info/flags/wf-a.html"},</v>
      </c>
      <c r="HG3" s="73" t="str">
        <f>"{couname:"&amp;CT3&amp;(IF(HK3&lt;&gt;"",",subtype:"&amp;CHAR(34)&amp;HK3&amp;CHAR(34),""))&amp;",year:"&amp;HJ3&amp;",region:"&amp;CU3&amp;",Colors:"&amp;HC3&amp;",Items:"&amp;GS3&amp;",Flag:"&amp;CV3&amp;",HDFlag:"&amp;CHAR(34)&amp;E3&amp;CHAR(34)&amp;",type:"&amp;GP3&amp;", describe: "&amp;HI3&amp;", links: "&amp;HL3&amp;"},"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links: "https://www.fotw.info/flags/wf-a.html"},</v>
      </c>
      <c r="HH3" s="48" t="str">
        <f>IF(P3&lt;&gt;"",CHAR(34)&amp;"\n"&amp;P3&amp;CHAR(34),CHAR(34)&amp;CHAR(34))</f>
        <v>"\nThe Royal standard of Alo represents a palm, upon which are crossed a club and an axe, the weapons who killed Father Chanel."</v>
      </c>
      <c r="HI3" s="48" t="str">
        <f>IF(J3=0,CHAR(34)&amp;CHAR(34),HH3)</f>
        <v>"\nThe Royal standard of Alo represents a palm, upon which are crossed a club and an axe, the weapons who killed Father Chanel."</v>
      </c>
      <c r="HJ3" s="48" t="str">
        <f>CHAR(34)&amp;O3&amp;CHAR(34)</f>
        <v>"???"</v>
      </c>
      <c r="HL3" s="48" t="str">
        <f>CHAR(34)&amp;I3&amp;CHAR(34)</f>
        <v>"https://www.fotw.info/flags/wf-a.html"</v>
      </c>
      <c r="HM3" s="72"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"&amp;HH3&amp;", "&amp;CHAR(34)&amp;"isnew"&amp;CHAR(34)&amp;": "&amp;CHAR(34)&amp;F3&amp;CHAR(34)&amp;", "&amp;CHAR(34)&amp;"links"&amp;CHAR(34)&amp;": "&amp;HL3&amp;"},"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 "links": "https://www.fotw.info/flags/wf-a.html"},</v>
      </c>
      <c r="HN3" s="74" t="str">
        <f>"{"&amp;CHAR(34)&amp;"couname"&amp;CHAR(34)&amp;":"&amp;CT3&amp;(IF(H3&lt;&gt;"",","&amp;CHAR(34)&amp;"subtype"&amp;CHAR(34)&amp;":"&amp;CHAR(34)&amp;H3&amp;CHAR(34),""))&amp;","&amp;CHAR(34)&amp;"year"&amp;CHAR(34)&amp;":"&amp;HJ3&amp;","&amp;CHAR(34)&amp;"region"&amp;CHAR(34)&amp;":"&amp;CU3&amp;","&amp;CHAR(34)&amp;"Colors"&amp;CHAR(34)&amp;":"&amp;HC3&amp;","&amp;CHAR(34)&amp;"Items"&amp;CHAR(34)&amp;":"&amp;GS3&amp;","&amp;CHAR(34)&amp;"Flag"&amp;CHAR(34)&amp;":"&amp;CV3&amp;","&amp;CHAR(34)&amp;"HDFlag"&amp;CHAR(34)&amp;":"&amp;CHAR(34)&amp;E3&amp;CHAR(34)&amp;","&amp;CHAR(34)&amp;"type"&amp;CHAR(34)&amp;":"&amp;GP3&amp;", "&amp;CHAR(34)&amp;"describe"&amp;CHAR(34)&amp;": "&amp;HI3&amp;", "&amp;CHAR(34)&amp;"isnew"&amp;CHAR(34)&amp;": "&amp;CHAR(34)&amp;F3&amp;CHAR(34)&amp;", "&amp;CHAR(34)&amp;"links"&amp;CHAR(34)&amp;": "&amp;HL3&amp;"},"</f>
        <v>{"couname":"[WLF] Alo","year":"???","region":"rgn_Oceania","Colors":["cl_GRE","cl_YEL","cl_PUR"],"Items":["3Color","lets03","startA","with_w","REELUR","NoBand","Diagon","Crosse","Plants","Weapon","Canton","NO_BLU","NO_WHI","NO_RED","NO_BLA","BAWHNO","BLWHNO","BLRENO","WHRENO","001GRE","002YEL","003PUR","myrEQ","NoStar"],"Flag":"https://upload.wikimedia.org/wikipedia/commons/thumb/f/fa/Flag_of_Alo.svg/640px-Flag_of_Alo.svg.png","HDFlag":"https://upload.wikimedia.org/wikipedia/commons/thumb/f/fa/Flag_of_Alo.svg/2560px-Flag_of_Alo.svg.png","type":"Chiefdom", "describe": "\nThe Royal standard of Alo represents a palm, upon which are crossed a club and an axe, the weapons who killed Father Chanel.", "isnew": ".", "links": "https://www.fotw.info/flags/wf-a.html"},</v>
      </c>
      <c r="HO3" s="75">
        <v>45618</v>
      </c>
      <c r="HP3" s="48" t="str" cm="1">
        <f t="array" ref="HP3">IF(_xlfn.TEXTJOIN(", ", TRUE, IF(ISNUMBER(SEARCH("BLA", BL3:BT3)), COLUMN(BL3:BT3) - COLUMN(BL3) + 1, ""))&lt;&gt;"","BLA","")</f>
        <v/>
      </c>
      <c r="HQ3" s="48" t="str" cm="1">
        <f t="array" ref="HQ3">IF(_xlfn.TEXTJOIN(", ", TRUE, IF(ISNUMBER(SEARCH("BLU", BL3:BT3)), COLUMN(BL3:BT3) - COLUMN(BL3) + 1, ""))&lt;&gt;"","BLU","")</f>
        <v/>
      </c>
      <c r="HR3" s="48" t="str" cm="1">
        <f t="array" ref="HR3">IF(_xlfn.TEXTJOIN(", ", TRUE, IF(ISNUMBER(SEARCH("GRE", BL3:BT3)), COLUMN(BL3:BT3) - COLUMN(BL3) + 1, ""))&lt;&gt;"","GRE","")</f>
        <v>GRE</v>
      </c>
      <c r="HS3" s="48" t="str" cm="1">
        <f t="array" ref="HS3">IF(_xlfn.TEXTJOIN(", ", TRUE, IF(ISNUMBER(SEARCH("RED", BL3:BT3)), COLUMN(BL3:BT3) - COLUMN(BL3) + 1, ""))&lt;&gt;"","RED","")</f>
        <v/>
      </c>
      <c r="HT3" s="48" t="str" cm="1">
        <f t="array" ref="HT3">IF(_xlfn.TEXTJOIN(", ", TRUE, IF(ISNUMBER(SEARCH("YEL", BL3:BT3)), COLUMN(BL3:BT3) - COLUMN(BL3) + 1, ""))&lt;&gt;"","YEL","")</f>
        <v>YEL</v>
      </c>
      <c r="HU3" s="48" t="str" cm="1">
        <f t="array" ref="HU3">IF(_xlfn.TEXTJOIN(", ", TRUE, IF(ISNUMBER(SEARCH("ORA", BL3:BT3)), COLUMN(BL3:BT3) - COLUMN(BL3) + 1, ""))&lt;&gt;"","ORA","")</f>
        <v/>
      </c>
      <c r="HV3" s="48" t="str" cm="1">
        <f t="array" ref="HV3">IF(_xlfn.TEXTJOIN(", ", TRUE, IF(ISNUMBER(SEARCH("BRO", BL3:BT3)), COLUMN(BL3:BT3) - COLUMN(BL3) + 1, ""))&lt;&gt;"","BRO","")</f>
        <v/>
      </c>
      <c r="HW3" s="48" t="str" cm="1">
        <f t="array" ref="HW3">IF(_xlfn.TEXTJOIN(", ", TRUE, IF(ISNUMBER(SEARCH("PUR", BL3:BT3)), COLUMN(BL3:BT3) - COLUMN(BL3) + 1, ""))&lt;&gt;"","PUR","")</f>
        <v>PUR</v>
      </c>
      <c r="HX3" s="48" t="str" cm="1">
        <f t="array" ref="HX3">IF(_xlfn.TEXTJOIN(", ", TRUE, IF(ISNUMBER(SEARCH("WHI", BL3:BT3)), COLUMN(BL3:BT3) - COLUMN(BL3) + 1, ""))&lt;&gt;"","WHI","")</f>
        <v/>
      </c>
      <c r="HY3" s="76"/>
      <c r="HZ3" s="76"/>
      <c r="IA3" s="6"/>
      <c r="IB3" s="6"/>
      <c r="IC3" s="77"/>
      <c r="ID3" s="77"/>
      <c r="IE3" s="77"/>
      <c r="IF3" s="77"/>
      <c r="IG3" s="77"/>
      <c r="IH3" s="77"/>
      <c r="II3" s="77"/>
      <c r="IJ3" s="77"/>
      <c r="IK3" s="77"/>
      <c r="IM3" s="45">
        <f>COUNTIF(IC3:IK3,"&gt;0")-CG3</f>
        <v>-3</v>
      </c>
      <c r="IN3" s="78" t="str">
        <f>"http://mkweb.bcgsc.ca/color-summarizer/?url="&amp;D3&amp;"&amp;precision=low&amp;num_clusters="&amp;CG3&amp;"&amp;text=1"</f>
        <v>http://mkweb.bcgsc.ca/color-summarizer/?url=https://upload.wikimedia.org/wikipedia/commons/thumb/f/fa/Flag_of_Alo.svg/640px-Flag_of_Alo.svg.png&amp;precision=low&amp;num_clusters=3&amp;text=1</v>
      </c>
      <c r="IO3" s="48" t="str">
        <f>IF(HP3&lt;&gt;"",CHAR(34)&amp;"black"&amp;CHAR(34),"")</f>
        <v/>
      </c>
      <c r="IP3" s="48" t="str">
        <f>IF(HQ3&lt;&gt;"",CHAR(34)&amp;"blue"&amp;CHAR(34),"")</f>
        <v/>
      </c>
      <c r="IQ3" s="48" t="str">
        <f>IF(HR3&lt;&gt;"",CHAR(34)&amp;"green"&amp;CHAR(34),"")</f>
        <v>"green"</v>
      </c>
      <c r="IR3" s="48" t="str">
        <f>IF(HS3&lt;&gt;"",CHAR(34)&amp;"red"&amp;CHAR(34),"")</f>
        <v/>
      </c>
      <c r="IS3" s="48" t="str">
        <f>IF(HT3&lt;&gt;"",CHAR(34)&amp;"yellow"&amp;CHAR(34),"")</f>
        <v>"yellow"</v>
      </c>
      <c r="IT3" s="48" t="str">
        <f>IF(HU3&lt;&gt;"",CHAR(34)&amp;"orange"&amp;CHAR(34),"")</f>
        <v/>
      </c>
      <c r="IU3" s="48" t="str">
        <f>IF(HV3&lt;&gt;"",CHAR(34)&amp;"brown"&amp;CHAR(34),"")</f>
        <v/>
      </c>
      <c r="IV3" s="48" t="str">
        <f>IF(HW3&lt;&gt;"",CHAR(34)&amp;"purple"&amp;CHAR(34),"")</f>
        <v>"purple"</v>
      </c>
      <c r="IW3" s="48" t="str">
        <f>IF(HX3&lt;&gt;"",CHAR(34)&amp;"white"&amp;CHAR(34),"")</f>
        <v/>
      </c>
      <c r="IX3" s="48" t="str">
        <f>"{"&amp;CHAR(34)&amp;"url"&amp;CHAR(34)&amp;":"&amp;CHAR(34)&amp;IN3&amp;CHAR(34)&amp;","&amp;CHAR(34)&amp;"name"&amp;CHAR(34)&amp;":"&amp;CHAR(34)&amp;A3&amp;CHAR(34)&amp;"},"</f>
        <v>{"url":"http://mkweb.bcgsc.ca/color-summarizer/?url=https://upload.wikimedia.org/wikipedia/commons/thumb/f/fa/Flag_of_Alo.svg/640px-Flag_of_Alo.svg.png&amp;precision=low&amp;num_clusters=3&amp;text=1","name":"[WLF] Alo"},</v>
      </c>
      <c r="IY3" s="48">
        <v>971</v>
      </c>
    </row>
    <row r="4" spans="1:259" s="48" customFormat="1" ht="38.4" customHeight="1" thickBot="1" x14ac:dyDescent="0.35">
      <c r="A4" s="79" t="s">
        <v>614</v>
      </c>
      <c r="B4" s="40" t="e" vm="117">
        <v>#VALUE!</v>
      </c>
      <c r="C4" s="41">
        <v>2</v>
      </c>
      <c r="D4" s="42" t="s">
        <v>615</v>
      </c>
      <c r="E4" s="43" t="s">
        <v>616</v>
      </c>
      <c r="F4" s="44" t="s">
        <v>166</v>
      </c>
      <c r="G4" s="45">
        <f>COUNTIF($A$1:$A$8344,A4)</f>
        <v>1</v>
      </c>
      <c r="H4" s="46"/>
      <c r="I4" s="47" t="s">
        <v>617</v>
      </c>
      <c r="J4" s="48" t="str">
        <f>""</f>
        <v/>
      </c>
      <c r="K4" s="49"/>
      <c r="L4" s="50"/>
      <c r="M4" s="50"/>
      <c r="N4" s="51" t="s">
        <v>169</v>
      </c>
      <c r="O4" s="52" t="s">
        <v>355</v>
      </c>
      <c r="P4" s="53" t="s">
        <v>618</v>
      </c>
      <c r="Q4" s="54">
        <v>1</v>
      </c>
      <c r="R4" s="55" t="s">
        <v>169</v>
      </c>
      <c r="S4" s="56">
        <v>2</v>
      </c>
      <c r="T4" s="57" t="s">
        <v>172</v>
      </c>
      <c r="U4" s="58" t="s">
        <v>173</v>
      </c>
      <c r="V4" s="58" t="s">
        <v>173</v>
      </c>
      <c r="W4" s="58" t="s">
        <v>173</v>
      </c>
      <c r="X4" s="58" t="s">
        <v>172</v>
      </c>
      <c r="Y4" s="58" t="s">
        <v>173</v>
      </c>
      <c r="Z4" s="58" t="s">
        <v>173</v>
      </c>
      <c r="AA4" s="58" t="s">
        <v>172</v>
      </c>
      <c r="AB4" s="58" t="s">
        <v>173</v>
      </c>
      <c r="AC4" s="58" t="s">
        <v>172</v>
      </c>
      <c r="AD4" s="58" t="s">
        <v>173</v>
      </c>
      <c r="AE4" s="58" t="s">
        <v>173</v>
      </c>
      <c r="AF4" s="59" t="s">
        <v>173</v>
      </c>
      <c r="AG4" s="59" t="s">
        <v>173</v>
      </c>
      <c r="AH4" s="59" t="s">
        <v>173</v>
      </c>
      <c r="AI4" s="59" t="s">
        <v>172</v>
      </c>
      <c r="AJ4" s="59" t="s">
        <v>173</v>
      </c>
      <c r="AK4" s="59" t="s">
        <v>173</v>
      </c>
      <c r="AL4" s="59" t="s">
        <v>173</v>
      </c>
      <c r="AM4" s="59" t="s">
        <v>173</v>
      </c>
      <c r="AN4" s="59" t="s">
        <v>173</v>
      </c>
      <c r="AO4" s="59" t="s">
        <v>173</v>
      </c>
      <c r="AP4" s="59" t="s">
        <v>173</v>
      </c>
      <c r="AQ4" s="59" t="s">
        <v>173</v>
      </c>
      <c r="AR4" s="59" t="s">
        <v>173</v>
      </c>
      <c r="AS4" s="59" t="s">
        <v>173</v>
      </c>
      <c r="AT4" s="60">
        <v>0</v>
      </c>
      <c r="AU4" s="59" t="s">
        <v>613</v>
      </c>
      <c r="AV4" s="59" t="str">
        <f>IF(LEFT(A4,1)="[",LEFT(A4,5)&amp;AU4&amp;A4,"")</f>
        <v>[WLF]Chiefdom[WLF] Sigave</v>
      </c>
      <c r="AW4" s="59" t="str">
        <f>C4&amp;H4&amp;A4</f>
        <v>2[WLF] Sigave</v>
      </c>
      <c r="AX4" s="61" t="str">
        <f>_xlfn.TEXTJOIN(";",TRUE,AU4:AW4)</f>
        <v>Chiefdom;[WLF]Chiefdom[WLF] Sigave;2[WLF] Sigave</v>
      </c>
      <c r="AY4" s="61"/>
      <c r="AZ4" s="62"/>
      <c r="BA4" s="62"/>
      <c r="BB4" s="62"/>
      <c r="BC4" s="63"/>
      <c r="BD4" s="64" t="s">
        <v>152</v>
      </c>
      <c r="BE4" s="47"/>
      <c r="BF4" s="64"/>
      <c r="BG4" s="64"/>
      <c r="BH4" s="64"/>
      <c r="BI4" s="64" t="s">
        <v>159</v>
      </c>
      <c r="BJ4" s="64"/>
      <c r="BK4" s="47"/>
      <c r="BL4" s="64" t="s">
        <v>152</v>
      </c>
      <c r="BM4" s="64" t="s">
        <v>159</v>
      </c>
      <c r="BN4" s="64"/>
      <c r="BO4" s="64"/>
      <c r="BP4" s="64"/>
      <c r="BQ4" s="64"/>
      <c r="BR4" s="64"/>
      <c r="BS4" s="64"/>
      <c r="BT4" s="64"/>
      <c r="BU4" s="65"/>
      <c r="BV4" s="66"/>
      <c r="BW4" s="66">
        <v>0</v>
      </c>
      <c r="BX4" s="47"/>
      <c r="BY4" s="48" t="s">
        <v>172</v>
      </c>
      <c r="CB4" s="6"/>
      <c r="CC4" s="6"/>
      <c r="CD4" s="67">
        <v>0</v>
      </c>
      <c r="CE4" s="67">
        <v>0</v>
      </c>
      <c r="CF4" s="67" t="e">
        <v>#REF!</v>
      </c>
      <c r="CG4" s="68" cm="1">
        <f t="array" ref="CG4">SUMPRODUCT(--(LEN(TRIM(BL4:BT4))&gt;0))</f>
        <v>2</v>
      </c>
      <c r="CH4" s="59" t="str">
        <f>IF(CG4=2,"y","n")</f>
        <v>y</v>
      </c>
      <c r="CI4" s="59" t="str">
        <f>IF(CG4=3,"y","n")</f>
        <v>n</v>
      </c>
      <c r="CJ4" s="59" t="str">
        <f>IF(CG4=4,"y","n")</f>
        <v>n</v>
      </c>
      <c r="CK4" s="59" t="str">
        <f>IF(CG4&gt;4,"y","n")</f>
        <v>n</v>
      </c>
      <c r="CL4" s="59" t="str">
        <f>IF(S4=0,"y","n")</f>
        <v>n</v>
      </c>
      <c r="CM4" s="59" t="str">
        <f>IF(S4=2,"y","n")</f>
        <v>y</v>
      </c>
      <c r="CN4" s="59" t="str">
        <f>IF(S4=3,"y","n")</f>
        <v>n</v>
      </c>
      <c r="CO4" s="59" t="str">
        <f>IF(S4&gt;=4,"y","n")</f>
        <v>n</v>
      </c>
      <c r="CP4" s="59" t="str">
        <f>IF(AT4=0,"y","n")</f>
        <v>y</v>
      </c>
      <c r="CQ4" s="59" t="str">
        <f>IF(AT4=1,"y","n")</f>
        <v>n</v>
      </c>
      <c r="CR4" s="59" t="str">
        <f>IF(AT4=2,"y","n")</f>
        <v>n</v>
      </c>
      <c r="CS4" s="59" t="str">
        <f>IF(AT4&gt;=3,"y","n")</f>
        <v>n</v>
      </c>
      <c r="CT4" s="69" t="str">
        <f>CHAR(34)&amp;A4&amp;CHAR(34)</f>
        <v>"[WLF] Sigave"</v>
      </c>
      <c r="CU4" s="70" t="str">
        <f>CHAR(34)&amp;"rgn_"&amp;R4&amp;CHAR(34)</f>
        <v>"rgn_Oceania"</v>
      </c>
      <c r="CV4" s="48" t="str">
        <f>CHAR(34)&amp;D4&amp;CHAR(34)</f>
        <v>"https://upload.wikimedia.org/wikipedia/commons/thumb/8/89/Flag_of_Sigave.svg/640px-Flag_of_Sigave.svg.png"</v>
      </c>
      <c r="CW4" s="48" t="str">
        <f t="shared" si="0"/>
        <v>"2Color",</v>
      </c>
      <c r="CX4" s="48" t="str">
        <f t="shared" si="0"/>
        <v/>
      </c>
      <c r="CY4" s="48" t="str">
        <f t="shared" si="0"/>
        <v/>
      </c>
      <c r="CZ4" s="48" t="str">
        <f t="shared" si="0"/>
        <v/>
      </c>
      <c r="DA4" s="48" t="str">
        <f>IF(Q4&gt;1,CHAR(34)&amp;"words2"&amp;CHAR(34)&amp;",","")</f>
        <v/>
      </c>
      <c r="DB4" s="48" t="str">
        <f>IF(Q4&gt;2,CHAR(34)&amp;"words3"&amp;CHAR(34)&amp;",","")</f>
        <v/>
      </c>
      <c r="DC4" s="48" t="str">
        <f>IF(Q4=2,CHAR(34)&amp;"exact2"&amp;CHAR(34)&amp;",","")</f>
        <v/>
      </c>
      <c r="DD4" s="48" t="str">
        <f>IF(LEN(CHAR(34)&amp;"lets"&amp;LEN(SUBSTITUTE(SUBSTITUTE(IFERROR(TRIM(SUBSTITUTE(SUBSTITUTE(SUBSTITUTE(IFERROR(TRIM(SUBSTITUTE(A4,MID(A4,FIND("(",A4),FIND(")",A4)-FIND("(",A4)+1),"")),A4),"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",""),"-",""))&amp;CHAR(34)&amp;",")=9,CHAR(34)&amp;"lets"&amp;LEN(SUBSTITUTE(SUBSTITUTE(IFERROR(TRIM(SUBSTITUTE(SUBSTITUTE(SUBSTITUTE(IFERROR(TRIM(SUBSTITUTE(A4,MID(A4,FIND("(",A4),FIND(")",A4)-FIND("(",A4)+1),"")),A4),"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",""),"-",""))&amp;CHAR(34)&amp;",",CHAR(34)&amp;"lets0"&amp;LEN(SUBSTITUTE(SUBSTITUTE(IFERROR(TRIM(SUBSTITUTE(SUBSTITUTE(SUBSTITUTE(IFERROR(TRIM(SUBSTITUTE(A4,MID(A4,FIND("(",A4),FIND(")",A4)-FIND("(",A4)+1),"")),A4)," ",""),"-",""),MID(SUBSTITUTE(SUBSTITUTE(IFERROR(TRIM(SUBSTITUTE(A4,MID(A4,FIND("(",A4),FIND(")",A4)-FIND("(",A4)+1),"")),A4)," ",""),"-",""),FIND("[",SUBSTITUTE(SUBSTITUTE(IFERROR(TRIM(SUBSTITUTE(A4,MID(A4,FIND("(",A4),FIND(")",A4)-FIND("(",A4)+1),"")),A4)," ",""),"-","")),FIND("]",SUBSTITUTE(SUBSTITUTE(IFERROR(TRIM(SUBSTITUTE(A4,MID(A4,FIND("(",A4),FIND(")",A4)-FIND("(",A4)+1),"")),A4)," ",""),"-",""))-FIND("[",SUBSTITUTE(SUBSTITUTE(IFERROR(TRIM(SUBSTITUTE(A4,MID(A4,FIND("(",A4),FIND(")",A4)-FIND("(",A4)+1),"")),A4)," ",""),"-",""))+1),"")),SUBSTITUTE(SUBSTITUTE(IFERROR(TRIM(SUBSTITUTE(A4,MID(A4,FIND("(",A4),FIND(")",A4)-FIND("(",A4)+1),"")),A4)," ",""),"-",""))," ",""),"-",""))&amp;CHAR(34)&amp;",")</f>
        <v>"lets06",</v>
      </c>
      <c r="DE4" s="48" t="str">
        <f>IFERROR(CHAR(34)&amp;"start"&amp;LEFT(TRIM(SUBSTITUTE(SUBSTITUTE(TRIM(SUBSTITUTE(SUBSTITUTE(A4, MID(A4, FIND("[", A4), FIND("]", A4) - FIND("[", A4) + 1), ""), "  ", " ")), MID(TRIM(SUBSTITUTE(SUBSTITUTE(A4, MID(A4, FIND("[", A4), FIND("]", A4) - FIND("[", A4) + 1), ""), "  ", " ")), FIND("[", TRIM(SUBSTITUTE(SUBSTITUTE(A4, MID(A4, FIND("[", A4), FIND("]", A4) - FIND("[", A4) + 1), ""), "  ", " "))), FIND("]", TRIM(SUBSTITUTE(SUBSTITUTE(A4, MID(A4, FIND("[", A4), FIND("]", A4) - FIND("[", A4) + 1), ""), "  ", " "))) - FIND("[", TRIM(SUBSTITUTE(SUBSTITUTE(A4, MID(A4, FIND("[", A4), FIND("]", A4) - FIND("[", A4) + 1), ""), "  ", " "))) + 1), ""), "  ", " ")),1)&amp;CHAR(34)&amp;",",CHAR(34)&amp;"start"&amp;IFERROR(LEFT(SUBSTITUTE(A4,"["&amp;MID(A4,FIND("[",A4)+1,FIND("]",A4)-FIND("[",A4)-1)&amp;"] ",""),1),LEFT(A4,1))&amp;CHAR(34)&amp;",")</f>
        <v>"startS",</v>
      </c>
      <c r="DF4" s="48" t="str">
        <f>IFERROR(IF(SEARCH("tan",A4)&gt;0,CHAR(34)&amp;"withtn"&amp;CHAR(34)&amp;",",""),"")</f>
        <v/>
      </c>
      <c r="DG4" s="48" t="str">
        <f>IFERROR(IF(SEARCH("q",A4)&gt;0,CHAR(34)&amp;"with_q"&amp;CHAR(34)&amp;",",""),"")</f>
        <v/>
      </c>
      <c r="DH4" s="48" t="str">
        <f>IFERROR(IF(SEARCH("v",A4)&gt;0,CHAR(34)&amp;"with_v"&amp;CHAR(34)&amp;",",""),"")</f>
        <v>"with_v",</v>
      </c>
      <c r="DI4" s="48" t="str">
        <f>IFERROR(IF(SEARCH("w",A4)&gt;0,CHAR(34)&amp;"with_w"&amp;CHAR(34)&amp;",",""),"")</f>
        <v>"with_w",</v>
      </c>
      <c r="DJ4" s="48" t="str">
        <f>IFERROR(IF(SEARCH("y",A4)&gt;0,CHAR(34)&amp;"with_y"&amp;CHAR(34)&amp;",",""),"")</f>
        <v/>
      </c>
      <c r="DK4" s="48" t="str">
        <f>IFERROR(IF(SEARCH("z",A4)&gt;0,CHAR(34)&amp;"with_z"&amp;CHAR(34)&amp;",",""),"")</f>
        <v/>
      </c>
      <c r="DL4" s="48" t="str">
        <f>IF(CG4=2, CHAR(34) &amp; _xlfn.TEXTJOIN("", TRUE, _xlfn._xlws.SORT(HP4:HX4)) &amp; CHAR(34) &amp; ",", "")</f>
        <v>"BLUWHI",</v>
      </c>
      <c r="DM4" s="48" t="str" cm="1">
        <f t="array" ref="DM4">IF(CG4=3,CHAR(34) &amp; _xlfn.TEXTJOIN("", TRUE, RIGHT(HP4:HX4, 2)) &amp; CHAR(34) &amp; ",", "")</f>
        <v/>
      </c>
      <c r="DN4" s="48" t="str">
        <f>IF(AND(ISNUMBER(SEARCH("18", O4)), ISERROR(SEARCH("1918", O4)), ISERROR(SEARCH("2018", O4))), CHAR(34) &amp; "year18" &amp; CHAR(34) &amp; ",", "")</f>
        <v/>
      </c>
      <c r="DO4" s="48" t="str">
        <f>IF(AND(ISNUMBER(SEARCH("19", O4)), ISERROR(SEARCH("1819", O4)),  ISERROR(SEARCH("1219", O4)),ISERROR(SEARCH("1119", O4)),ISERROR(SEARCH("1190", O4)),ISERROR(SEARCH("2019", O4))), CHAR(34) &amp; "year19" &amp; CHAR(34) &amp; ",", "")</f>
        <v/>
      </c>
      <c r="DP4" s="6" t="str">
        <f>IF(AND(ISNUMBER(SEARCH("20", O4)), ISERROR(SEARCH("1920", O4))), CHAR(34)&amp;"year00"&amp;CHAR(34)&amp;",", "")</f>
        <v/>
      </c>
      <c r="DQ4" s="6" t="str">
        <f>IF(CC4="y",CHAR(34)&amp;"soviet"&amp;CHAR(34)&amp;",","")</f>
        <v/>
      </c>
      <c r="DR4" s="6" t="str">
        <f>IF(BY4="y",CHAR(34)&amp;"dgband"&amp;CHAR(34)&amp;",","")</f>
        <v>"dgband",</v>
      </c>
      <c r="DS4" s="6" t="str">
        <f>IF(W4="y",IF(AND(V4="n",BY4&lt;&gt;"y"),CHAR(34)&amp;"allver"&amp;CHAR(34)&amp;",",""),"")</f>
        <v/>
      </c>
      <c r="DT4" s="6" t="str">
        <f>IF(V4="y",IF(AND(W4="n",BY4&lt;&gt;"y"),CHAR(34)&amp;"allhor"&amp;CHAR(34)&amp;",",""),"")</f>
        <v/>
      </c>
      <c r="DU4" s="6" t="str">
        <f>IF(BY4="y",IF(AND(W4="n",V4="n"),CHAR(34)&amp;"alldia"&amp;CHAR(34)&amp;",",""),"")</f>
        <v>"alldia",</v>
      </c>
      <c r="DV4" s="48" t="str">
        <f>IF(IA4&lt;&gt;"",(IF(IA4="y",CHAR(34)&amp;"largec"&amp;CHAR(34)&amp;",",CHAR(34)&amp;"smallc"&amp;CHAR(34)&amp;",")),"")</f>
        <v>"largec",</v>
      </c>
      <c r="DW4" s="48" t="str">
        <f t="shared" si="1"/>
        <v/>
      </c>
      <c r="DX4" s="48" t="str">
        <f t="shared" si="1"/>
        <v>"2Bands",</v>
      </c>
      <c r="DY4" s="48" t="str">
        <f t="shared" si="1"/>
        <v/>
      </c>
      <c r="DZ4" s="48" t="str">
        <f t="shared" si="1"/>
        <v/>
      </c>
      <c r="EA4" s="48" t="str">
        <f t="shared" si="2"/>
        <v>"Diagon",</v>
      </c>
      <c r="EB4" s="48" t="str">
        <f t="shared" si="2"/>
        <v/>
      </c>
      <c r="EC4" s="48" t="str">
        <f t="shared" si="2"/>
        <v/>
      </c>
      <c r="ED4" s="48" t="str">
        <f t="shared" si="2"/>
        <v/>
      </c>
      <c r="EE4" s="48" t="str">
        <f t="shared" si="2"/>
        <v>"Circle",</v>
      </c>
      <c r="EF4" s="48" t="str">
        <f>IF(AND(Y4&lt;&gt;"n",Y4&lt;&gt;""),CHAR(34)&amp;Y$1&amp;CHAR(34)&amp;",","")</f>
        <v/>
      </c>
      <c r="EG4" s="48" t="str">
        <f t="shared" si="3"/>
        <v/>
      </c>
      <c r="EH4" s="48" t="str">
        <f t="shared" si="3"/>
        <v>"Plants",</v>
      </c>
      <c r="EI4" s="48" t="str">
        <f t="shared" si="3"/>
        <v/>
      </c>
      <c r="EJ4" s="48" t="str">
        <f t="shared" si="3"/>
        <v>"Weapon",</v>
      </c>
      <c r="EK4" s="48" t="str">
        <f t="shared" si="3"/>
        <v/>
      </c>
      <c r="EL4" s="48" t="str">
        <f t="shared" si="3"/>
        <v/>
      </c>
      <c r="EM4" s="48" t="str">
        <f t="shared" si="3"/>
        <v/>
      </c>
      <c r="EN4" s="48" t="str">
        <f t="shared" si="3"/>
        <v/>
      </c>
      <c r="EO4" s="48" t="str">
        <f t="shared" si="3"/>
        <v/>
      </c>
      <c r="EP4" s="48" t="str">
        <f t="shared" si="3"/>
        <v>"Canton",</v>
      </c>
      <c r="EQ4" s="48" t="str">
        <f t="shared" si="3"/>
        <v/>
      </c>
      <c r="ER4" s="48" t="str">
        <f t="shared" si="3"/>
        <v/>
      </c>
      <c r="ES4" s="48" t="str">
        <f t="shared" si="3"/>
        <v/>
      </c>
      <c r="ET4" s="48" t="str">
        <f t="shared" si="3"/>
        <v/>
      </c>
      <c r="EU4" s="48" t="str">
        <f t="shared" si="3"/>
        <v/>
      </c>
      <c r="EV4" s="48" t="str">
        <f t="shared" si="3"/>
        <v/>
      </c>
      <c r="EW4" s="48" t="str">
        <f t="shared" si="3"/>
        <v/>
      </c>
      <c r="EX4" s="48" t="str">
        <f t="shared" si="3"/>
        <v/>
      </c>
      <c r="EY4" s="48" t="str">
        <f t="shared" si="3"/>
        <v/>
      </c>
      <c r="EZ4" s="48" t="str">
        <f t="shared" si="3"/>
        <v/>
      </c>
      <c r="FA4" s="48" t="str">
        <f>IF(AT4&gt;0,CHAR(34)&amp;"sta"&amp;AZ4&amp;CHAR(34)&amp;",","")</f>
        <v/>
      </c>
      <c r="FB4" s="48" t="str">
        <f>IF(AND(AT4&gt;0,BA4&lt;&gt;""),CHAR(34)&amp;"sta"&amp;BA4&amp;CHAR(34)&amp;",","")</f>
        <v/>
      </c>
      <c r="FC4" s="48" t="str">
        <f>IF(AND(AT4&gt;0,BB4&lt;&gt;""),CHAR(34)&amp;"sta"&amp;BB4&amp;CHAR(34)&amp;",","")</f>
        <v/>
      </c>
      <c r="FD4" s="48" t="str">
        <f>IF(BV4="n",CHAR(34)&amp;"tcWHYE"&amp;CHAR(34)&amp;",",IF(BV4="y",CHAR(34)&amp;FD$1&amp;CHAR(34)&amp;",",""))</f>
        <v/>
      </c>
      <c r="FE4" s="48" t="str">
        <f>IF(COUNTIF(BL4:BT4,"BLU")=0,CHAR(34)&amp;"NO_BLU"&amp;CHAR(34)&amp;",", "")</f>
        <v/>
      </c>
      <c r="FF4" s="48" t="str">
        <f>IF(COUNTIF(BL4:BT4,"WHI")=0,CHAR(34)&amp;"NO_WHI"&amp;CHAR(34)&amp;",", "")</f>
        <v/>
      </c>
      <c r="FG4" s="48" t="str">
        <f>IF(COUNTIF(BL4:BT4,"RED")=0,CHAR(34)&amp;"NO_RED"&amp;CHAR(34)&amp;",", "")</f>
        <v>"NO_RED",</v>
      </c>
      <c r="FH4" s="48" t="str">
        <f>IF(COUNTIF(BL4:BS4,"GRE")=0,CHAR(34)&amp;"NO_GRE"&amp;CHAR(34)&amp;",", "")</f>
        <v>"NO_GRE",</v>
      </c>
      <c r="FI4" s="48" t="str">
        <f>IF(COUNTIF(BL4:BT4,"YEL")=0,CHAR(34)&amp;"NO_YEL"&amp;CHAR(34)&amp;",", "")</f>
        <v>"NO_YEL",</v>
      </c>
      <c r="FJ4" s="48" t="str">
        <f>IF(COUNTIF(BL4:BT4,"BLA")=0,CHAR(34)&amp;"NO_BLA"&amp;CHAR(34)&amp;",", "")</f>
        <v>"NO_BLA",</v>
      </c>
      <c r="FK4" s="48" t="str">
        <f>IF(AND(FH4&lt;&gt;"",FF4&lt;&gt;""),CHAR(34)&amp;"WHGRNO"&amp;CHAR(34)&amp;",","")</f>
        <v/>
      </c>
      <c r="FL4" s="48" t="str">
        <f>IF(AND(FI4&lt;&gt;"",FF4&lt;&gt;""),CHAR(34)&amp;"WHYENO"&amp;CHAR(34)&amp;",","")</f>
        <v/>
      </c>
      <c r="FM4" s="48" t="str">
        <f>IF(AND(FJ4&lt;&gt;"",FF4&lt;&gt;""),CHAR(34)&amp;"BAWHNO"&amp;CHAR(34)&amp;",","")</f>
        <v/>
      </c>
      <c r="FN4" s="48" t="str">
        <f>IF(AND(FE4&lt;&gt;"",FF4&lt;&gt;""),CHAR(34)&amp;"BLWHNO"&amp;CHAR(34)&amp;",","")</f>
        <v/>
      </c>
      <c r="FO4" s="48" t="str">
        <f>IF(AND(FE4&lt;&gt;"",FG4&lt;&gt;""),CHAR(34)&amp;"BLRENO"&amp;CHAR(34)&amp;",","")</f>
        <v/>
      </c>
      <c r="FP4" s="48" t="str">
        <f>IF(AND(FF4&lt;&gt;"",FF4&lt;&gt;""),CHAR(34)&amp;"WHRENO"&amp;CHAR(34)&amp;",","")</f>
        <v/>
      </c>
      <c r="FQ4" s="48" t="str">
        <f>IF(LEN(BF4)=3,CHAR(34)&amp;"001"&amp;BF4&amp;CHAR(34)&amp;",","")</f>
        <v/>
      </c>
      <c r="FR4" s="48" t="str">
        <f>IF(LEN(BG4)=3,CHAR(34)&amp;"002"&amp;BG4&amp;CHAR(34)&amp;",","")</f>
        <v/>
      </c>
      <c r="FS4" s="48" t="str">
        <f>IF(LEN(BH4)=3,CHAR(34)&amp;"003"&amp;BH4&amp;CHAR(34)&amp;",","")</f>
        <v/>
      </c>
      <c r="FT4" s="48" t="str">
        <f>CHAR(34)&amp;"myr"&amp;BD4&amp;CHAR(34)&amp;","</f>
        <v>"myrBLU",</v>
      </c>
      <c r="FU4" s="48" t="str">
        <f>IF(AY4="y",CHAR(34)&amp;"island"&amp;CHAR(34)&amp;",","")</f>
        <v/>
      </c>
      <c r="FV4" s="48" t="str">
        <f>IF(BZ4="y",CHAR(34)&amp;"landlo"&amp;CHAR(34)&amp;",","")</f>
        <v/>
      </c>
      <c r="FW4" s="48" t="str">
        <f>IF(CA4="y",CHAR(34)&amp;"eunion"&amp;CHAR(34)&amp;",","")</f>
        <v/>
      </c>
      <c r="FX4" s="48" t="str">
        <f>SUBSTITUTE(IFERROR(SEARCH("[",A4),IFERROR(IF(AND(CA4&lt;&gt;"y",SEARCH("Europe",R4)&gt;0),CHAR(34)&amp;"noeuni"&amp;CHAR(34)&amp;",",""),"")),"1","")</f>
        <v/>
      </c>
      <c r="FY4" s="48" t="str">
        <f>IFERROR(IF(SEARCH("Arabic",CB4)&gt;0,CHAR(34)&amp;"arabic"&amp;CHAR(34)&amp;",",""),"")</f>
        <v/>
      </c>
      <c r="FZ4" s="48" t="str">
        <f>IFERROR(IF(SEARCH("English",CB4)&gt;0,CHAR(34)&amp;"englis"&amp;CHAR(34)&amp;",",""),"")</f>
        <v/>
      </c>
      <c r="GA4" s="48" t="str">
        <f>IFERROR(IF(SEARCH("French",CB4)&gt;0,CHAR(34)&amp;"french"&amp;CHAR(34)&amp;",",""),"")</f>
        <v/>
      </c>
      <c r="GB4" s="48" t="str">
        <f>IFERROR(IF(SEARCH("Spanish",CB4)&gt;0,CHAR(34)&amp;"spanis"&amp;CHAR(34)&amp;",",""),"")</f>
        <v/>
      </c>
      <c r="GC4" s="48" t="str">
        <f>IFERROR(IF(SEARCH("Portuguese",CB4)&gt;0,CHAR(34)&amp;"portug"&amp;CHAR(34)&amp;",",""),"")</f>
        <v/>
      </c>
      <c r="GD4" s="48" t="str">
        <f>IFERROR(IF(SEARCH("German",CB4)&gt;0,CHAR(34)&amp;"german"&amp;CHAR(34)&amp;",",""),"")</f>
        <v/>
      </c>
      <c r="GE4" s="48" t="str">
        <f>IFERROR(IF(SEARCH("Dutch",CB4)&gt;0,CHAR(34)&amp;"dutchs"&amp;CHAR(34)&amp;",",""),"")</f>
        <v/>
      </c>
      <c r="GF4" s="48" t="str">
        <f>IFERROR(IF(SEARCH("Historical",AU4)&gt;0,CHAR(34)&amp;"histor"&amp;CHAR(34)&amp;",",""),"")</f>
        <v/>
      </c>
      <c r="GG4" s="48" t="str">
        <f>IF(BU4="y",CHAR(34)&amp;"unjack"&amp;CHAR(34)&amp;",","")</f>
        <v/>
      </c>
      <c r="GH4" s="48" t="str">
        <f>IF(CD4=1,CHAR(34)&amp;"southc"&amp;CHAR(34)&amp;",","")</f>
        <v/>
      </c>
      <c r="GI4" s="48" t="str">
        <f>IF(CE4=1,CHAR(34)&amp;"hasmap"&amp;CHAR(34)&amp;",","")</f>
        <v/>
      </c>
      <c r="GJ4" s="48" t="str">
        <f>IF(CP4="y",CHAR(34)&amp;CP$1&amp;CHAR(34)&amp;",","")</f>
        <v>"NoStar",</v>
      </c>
      <c r="GK4" s="48" t="str">
        <f>IF(GJ4="",CHAR(34)&amp;"HasSta"&amp;CHAR(34)&amp;",","")</f>
        <v/>
      </c>
      <c r="GL4" s="48" t="str">
        <f t="shared" si="4"/>
        <v/>
      </c>
      <c r="GM4" s="48" t="str">
        <f t="shared" si="4"/>
        <v/>
      </c>
      <c r="GN4" s="48" t="str">
        <f t="shared" si="4"/>
        <v/>
      </c>
      <c r="GP4" s="48" t="str">
        <f>CHAR(34)&amp;AU4&amp;CHAR(34)</f>
        <v>"Chiefdom"</v>
      </c>
      <c r="GS4" s="48" t="str">
        <f>SUBSTITUTE("["&amp;_xlfn.CONCAT(CW4:GN4)&amp;"]",",]","]")</f>
        <v>["2Color","lets06","startS","with_v","with_w","BLUWHI","dgband","alldia","largec","2Bands","Diagon","Circle","Plants","Weapon","Canton","NO_RED","NO_GRE","NO_YEL","NO_BLA","myrBLU","NoStar"]</v>
      </c>
      <c r="GT4" s="48" t="str">
        <f t="shared" si="5"/>
        <v>"cl_BLU",</v>
      </c>
      <c r="GU4" s="48" t="str">
        <f t="shared" si="5"/>
        <v>"cl_WHI",</v>
      </c>
      <c r="GV4" s="48" t="str">
        <f t="shared" si="5"/>
        <v/>
      </c>
      <c r="GW4" s="48" t="str">
        <f t="shared" si="5"/>
        <v/>
      </c>
      <c r="GX4" s="48" t="str">
        <f t="shared" si="5"/>
        <v/>
      </c>
      <c r="GY4" s="48" t="str">
        <f t="shared" si="5"/>
        <v/>
      </c>
      <c r="GZ4" s="48" t="str">
        <f t="shared" si="5"/>
        <v/>
      </c>
      <c r="HA4" s="48" t="str">
        <f t="shared" si="5"/>
        <v/>
      </c>
      <c r="HB4" s="48" t="str">
        <f t="shared" si="5"/>
        <v/>
      </c>
      <c r="HC4" s="48" t="str">
        <f>SUBSTITUTE("["&amp;_xlfn.CONCAT(GT4:HB4)&amp;"]",",]","]")</f>
        <v>["cl_BLU","cl_WHI"]</v>
      </c>
      <c r="HE4" s="71"/>
      <c r="HF4" s="72" t="str">
        <f>"{couname:"&amp;CT4&amp;(IF(HK4&lt;&gt;"",",subtype:"&amp;CHAR(34)&amp;HK4&amp;CHAR(34),""))&amp;",year:"&amp;HJ4&amp;",region:"&amp;CU4&amp;",Colors:"&amp;HC4&amp;",Items:"&amp;GS4&amp;",Flag:"&amp;CV4&amp;",HDFlag:"&amp;CHAR(34)&amp;E4&amp;CHAR(34)&amp;",type:"&amp;GP4&amp;", describe: "&amp;HH4&amp;", isnew:"&amp;CHAR(34)&amp;F4&amp;CHAR(34)&amp;", links: "&amp;HL4&amp;"},"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links: "https://www.fotw.info/flags/wf-s.html"},</v>
      </c>
      <c r="HG4" s="73" t="str">
        <f>"{couname:"&amp;CT4&amp;(IF(HK4&lt;&gt;"",",subtype:"&amp;CHAR(34)&amp;HK4&amp;CHAR(34),""))&amp;",year:"&amp;HJ4&amp;",region:"&amp;CU4&amp;",Colors:"&amp;HC4&amp;",Items:"&amp;GS4&amp;",Flag:"&amp;CV4&amp;",HDFlag:"&amp;CHAR(34)&amp;E4&amp;CHAR(34)&amp;",type:"&amp;GP4&amp;", describe: "&amp;HI4&amp;", links: "&amp;HL4&amp;"},"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links: "https://www.fotw.info/flags/wf-s.html"},</v>
      </c>
      <c r="HH4" s="48" t="str">
        <f>IF(P4&lt;&gt;"",CHAR(34)&amp;"\n"&amp;P4&amp;CHAR(34),CHAR(34)&amp;CHAR(34))</f>
        <v>"\nThe Royal standard of Sigave represents a palm flanked by two spears. The palm is the symbol of a small braided basket, which contained the remains of teeth and jaws of the founding ancestor of a lineage"</v>
      </c>
      <c r="HI4" s="48" t="str">
        <f>IF(J4=0,CHAR(34)&amp;CHAR(34),HH4)</f>
        <v>"\nThe Royal standard of Sigave represents a palm flanked by two spears. The palm is the symbol of a small braided basket, which contained the remains of teeth and jaws of the founding ancestor of a lineage"</v>
      </c>
      <c r="HJ4" s="48" t="str">
        <f>CHAR(34)&amp;O4&amp;CHAR(34)</f>
        <v>"???"</v>
      </c>
      <c r="HL4" s="48" t="str">
        <f>CHAR(34)&amp;I4&amp;CHAR(34)</f>
        <v>"https://www.fotw.info/flags/wf-s.html"</v>
      </c>
      <c r="HM4" s="72"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"&amp;HH4&amp;", "&amp;CHAR(34)&amp;"isnew"&amp;CHAR(34)&amp;": "&amp;CHAR(34)&amp;F4&amp;CHAR(34)&amp;", "&amp;CHAR(34)&amp;"links"&amp;CHAR(34)&amp;": "&amp;HL4&amp;"},"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 "links": "https://www.fotw.info/flags/wf-s.html"},</v>
      </c>
      <c r="HN4" s="74" t="str">
        <f>"{"&amp;CHAR(34)&amp;"couname"&amp;CHAR(34)&amp;":"&amp;CT4&amp;(IF(H4&lt;&gt;"",","&amp;CHAR(34)&amp;"subtype"&amp;CHAR(34)&amp;":"&amp;CHAR(34)&amp;H4&amp;CHAR(34),""))&amp;","&amp;CHAR(34)&amp;"year"&amp;CHAR(34)&amp;":"&amp;HJ4&amp;","&amp;CHAR(34)&amp;"region"&amp;CHAR(34)&amp;":"&amp;CU4&amp;","&amp;CHAR(34)&amp;"Colors"&amp;CHAR(34)&amp;":"&amp;HC4&amp;","&amp;CHAR(34)&amp;"Items"&amp;CHAR(34)&amp;":"&amp;GS4&amp;","&amp;CHAR(34)&amp;"Flag"&amp;CHAR(34)&amp;":"&amp;CV4&amp;","&amp;CHAR(34)&amp;"HDFlag"&amp;CHAR(34)&amp;":"&amp;CHAR(34)&amp;E4&amp;CHAR(34)&amp;","&amp;CHAR(34)&amp;"type"&amp;CHAR(34)&amp;":"&amp;GP4&amp;", "&amp;CHAR(34)&amp;"describe"&amp;CHAR(34)&amp;": "&amp;HI4&amp;", "&amp;CHAR(34)&amp;"isnew"&amp;CHAR(34)&amp;": "&amp;CHAR(34)&amp;F4&amp;CHAR(34)&amp;", "&amp;CHAR(34)&amp;"links"&amp;CHAR(34)&amp;": "&amp;HL4&amp;"},"</f>
        <v>{"couname":"[WLF] Sigave","year":"???","region":"rgn_Oceania","Colors":["cl_BLU","cl_WHI"],"Items":["2Color","lets06","startS","with_v","with_w","BLUWHI","dgband","alldia","largec","2Bands","Diagon","Circle","Plants","Weapon","Canton","NO_RED","NO_GRE","NO_YEL","NO_BLA","myrBLU","NoStar"],"Flag":"https://upload.wikimedia.org/wikipedia/commons/thumb/8/89/Flag_of_Sigave.svg/640px-Flag_of_Sigave.svg.png","HDFlag":"https://upload.wikimedia.org/wikipedia/commons/thumb/8/89/Flag_of_Sigave.svg/2560px-Flag_of_Sigave.svg.png","type":"Chiefdom", "describe": "\nThe Royal standard of Sigave represents a palm flanked by two spears. The palm is the symbol of a small braided basket, which contained the remains of teeth and jaws of the founding ancestor of a lineage", "isnew": ".", "links": "https://www.fotw.info/flags/wf-s.html"},</v>
      </c>
      <c r="HO4" s="75"/>
      <c r="HP4" s="48" t="str" cm="1">
        <f t="array" ref="HP4">IF(_xlfn.TEXTJOIN(", ", TRUE, IF(ISNUMBER(SEARCH("BLA", BL4:BT4)), COLUMN(BL4:BT4) - COLUMN(BL4) + 1, ""))&lt;&gt;"","BLA","")</f>
        <v/>
      </c>
      <c r="HQ4" s="48" t="str" cm="1">
        <f t="array" ref="HQ4">IF(_xlfn.TEXTJOIN(", ", TRUE, IF(ISNUMBER(SEARCH("BLU", BL4:BT4)), COLUMN(BL4:BT4) - COLUMN(BL4) + 1, ""))&lt;&gt;"","BLU","")</f>
        <v>BLU</v>
      </c>
      <c r="HR4" s="48" t="str" cm="1">
        <f t="array" ref="HR4">IF(_xlfn.TEXTJOIN(", ", TRUE, IF(ISNUMBER(SEARCH("GRE", BL4:BT4)), COLUMN(BL4:BT4) - COLUMN(BL4) + 1, ""))&lt;&gt;"","GRE","")</f>
        <v/>
      </c>
      <c r="HS4" s="48" t="str" cm="1">
        <f t="array" ref="HS4">IF(_xlfn.TEXTJOIN(", ", TRUE, IF(ISNUMBER(SEARCH("RED", BL4:BT4)), COLUMN(BL4:BT4) - COLUMN(BL4) + 1, ""))&lt;&gt;"","RED","")</f>
        <v/>
      </c>
      <c r="HT4" s="48" t="str" cm="1">
        <f t="array" ref="HT4">IF(_xlfn.TEXTJOIN(", ", TRUE, IF(ISNUMBER(SEARCH("YEL", BL4:BT4)), COLUMN(BL4:BT4) - COLUMN(BL4) + 1, ""))&lt;&gt;"","YEL","")</f>
        <v/>
      </c>
      <c r="HU4" s="48" t="str" cm="1">
        <f t="array" ref="HU4">IF(_xlfn.TEXTJOIN(", ", TRUE, IF(ISNUMBER(SEARCH("ORA", BL4:BT4)), COLUMN(BL4:BT4) - COLUMN(BL4) + 1, ""))&lt;&gt;"","ORA","")</f>
        <v/>
      </c>
      <c r="HV4" s="48" t="str" cm="1">
        <f t="array" ref="HV4">IF(_xlfn.TEXTJOIN(", ", TRUE, IF(ISNUMBER(SEARCH("BRO", BL4:BT4)), COLUMN(BL4:BT4) - COLUMN(BL4) + 1, ""))&lt;&gt;"","BRO","")</f>
        <v/>
      </c>
      <c r="HW4" s="48" t="str" cm="1">
        <f t="array" ref="HW4">IF(_xlfn.TEXTJOIN(", ", TRUE, IF(ISNUMBER(SEARCH("PUR", BL4:BT4)), COLUMN(BL4:BT4) - COLUMN(BL4) + 1, ""))&lt;&gt;"","PUR","")</f>
        <v/>
      </c>
      <c r="HX4" s="48" t="str" cm="1">
        <f t="array" ref="HX4">IF(_xlfn.TEXTJOIN(", ", TRUE, IF(ISNUMBER(SEARCH("WHI", BL4:BT4)), COLUMN(BL4:BT4) - COLUMN(BL4) + 1, ""))&lt;&gt;"","WHI","")</f>
        <v>WHI</v>
      </c>
      <c r="HY4" s="76"/>
      <c r="HZ4" s="76"/>
      <c r="IA4" s="6" t="s">
        <v>172</v>
      </c>
      <c r="IB4" s="6"/>
      <c r="IC4" s="77"/>
      <c r="ID4" s="77"/>
      <c r="IE4" s="77"/>
      <c r="IF4" s="77"/>
      <c r="IG4" s="77"/>
      <c r="IH4" s="77"/>
      <c r="II4" s="77"/>
      <c r="IJ4" s="77"/>
      <c r="IK4" s="77"/>
      <c r="IL4" s="48">
        <f>SUM(IC4:IK4)</f>
        <v>0</v>
      </c>
      <c r="IM4" s="45">
        <f>COUNTIF(IC4:IK4,"&gt;0")-CG4</f>
        <v>-2</v>
      </c>
      <c r="IN4" s="78" t="str">
        <f>"http://mkweb.bcgsc.ca/color-summarizer/?url="&amp;D4&amp;"&amp;precision=low&amp;num_clusters="&amp;CG4&amp;"&amp;text=1"</f>
        <v>http://mkweb.bcgsc.ca/color-summarizer/?url=https://upload.wikimedia.org/wikipedia/commons/thumb/8/89/Flag_of_Sigave.svg/640px-Flag_of_Sigave.svg.png&amp;precision=low&amp;num_clusters=2&amp;text=1</v>
      </c>
      <c r="IO4" s="48" t="str">
        <f>IF(HP4&lt;&gt;"",CHAR(34)&amp;"black"&amp;CHAR(34),"")</f>
        <v/>
      </c>
      <c r="IP4" s="48" t="str">
        <f>IF(HQ4&lt;&gt;"",CHAR(34)&amp;"blue"&amp;CHAR(34),"")</f>
        <v>"blue"</v>
      </c>
      <c r="IQ4" s="48" t="str">
        <f>IF(HR4&lt;&gt;"",CHAR(34)&amp;"green"&amp;CHAR(34),"")</f>
        <v/>
      </c>
      <c r="IR4" s="48" t="str">
        <f>IF(HS4&lt;&gt;"",CHAR(34)&amp;"red"&amp;CHAR(34),"")</f>
        <v/>
      </c>
      <c r="IS4" s="48" t="str">
        <f>IF(HT4&lt;&gt;"",CHAR(34)&amp;"yellow"&amp;CHAR(34),"")</f>
        <v/>
      </c>
      <c r="IT4" s="48" t="str">
        <f>IF(HU4&lt;&gt;"",CHAR(34)&amp;"orange"&amp;CHAR(34),"")</f>
        <v/>
      </c>
      <c r="IU4" s="48" t="str">
        <f>IF(HV4&lt;&gt;"",CHAR(34)&amp;"brown"&amp;CHAR(34),"")</f>
        <v/>
      </c>
      <c r="IV4" s="48" t="str">
        <f>IF(HW4&lt;&gt;"",CHAR(34)&amp;"purple"&amp;CHAR(34),"")</f>
        <v/>
      </c>
      <c r="IW4" s="48" t="str">
        <f>IF(HX4&lt;&gt;"",CHAR(34)&amp;"white"&amp;CHAR(34),"")</f>
        <v>"white"</v>
      </c>
      <c r="IX4" s="48" t="str">
        <f>"{"&amp;CHAR(34)&amp;"url"&amp;CHAR(34)&amp;":"&amp;CHAR(34)&amp;IN4&amp;CHAR(34)&amp;","&amp;CHAR(34)&amp;"name"&amp;CHAR(34)&amp;":"&amp;CHAR(34)&amp;A4&amp;CHAR(34)&amp;"},"</f>
        <v>{"url":"http://mkweb.bcgsc.ca/color-summarizer/?url=https://upload.wikimedia.org/wikipedia/commons/thumb/8/89/Flag_of_Sigave.svg/640px-Flag_of_Sigave.svg.png&amp;precision=low&amp;num_clusters=2&amp;text=1","name":"[WLF] Sigave"},</v>
      </c>
      <c r="IY4" s="48">
        <v>377</v>
      </c>
    </row>
    <row r="5" spans="1:259" s="48" customFormat="1" ht="38.4" customHeight="1" thickBot="1" x14ac:dyDescent="0.35">
      <c r="A5" s="79" t="s">
        <v>619</v>
      </c>
      <c r="B5" s="40" t="e" vm="118">
        <v>#VALUE!</v>
      </c>
      <c r="C5" s="41">
        <v>2</v>
      </c>
      <c r="D5" s="42" t="s">
        <v>620</v>
      </c>
      <c r="E5" s="43" t="s">
        <v>621</v>
      </c>
      <c r="F5" s="44" t="s">
        <v>166</v>
      </c>
      <c r="G5" s="45">
        <f>COUNTIF($A$1:$A$8344,A5)</f>
        <v>1</v>
      </c>
      <c r="H5" s="46"/>
      <c r="I5" s="47" t="s">
        <v>622</v>
      </c>
      <c r="J5" s="48" t="str">
        <f>""</f>
        <v/>
      </c>
      <c r="K5" s="49"/>
      <c r="L5" s="50"/>
      <c r="M5" s="50"/>
      <c r="N5" s="51" t="s">
        <v>169</v>
      </c>
      <c r="O5" s="52" t="s">
        <v>355</v>
      </c>
      <c r="P5" s="53" t="s">
        <v>623</v>
      </c>
      <c r="Q5" s="54">
        <v>1</v>
      </c>
      <c r="R5" s="55" t="s">
        <v>169</v>
      </c>
      <c r="S5" s="56">
        <v>0</v>
      </c>
      <c r="T5" s="57" t="s">
        <v>173</v>
      </c>
      <c r="U5" s="58" t="s">
        <v>172</v>
      </c>
      <c r="V5" s="58" t="s">
        <v>173</v>
      </c>
      <c r="W5" s="58" t="s">
        <v>173</v>
      </c>
      <c r="X5" s="58" t="s">
        <v>173</v>
      </c>
      <c r="Y5" s="58" t="s">
        <v>173</v>
      </c>
      <c r="Z5" s="58" t="s">
        <v>173</v>
      </c>
      <c r="AA5" s="58" t="s">
        <v>173</v>
      </c>
      <c r="AB5" s="58" t="s">
        <v>173</v>
      </c>
      <c r="AC5" s="58" t="s">
        <v>173</v>
      </c>
      <c r="AD5" s="58" t="s">
        <v>173</v>
      </c>
      <c r="AE5" s="58" t="s">
        <v>173</v>
      </c>
      <c r="AF5" s="59" t="s">
        <v>173</v>
      </c>
      <c r="AG5" s="59" t="s">
        <v>173</v>
      </c>
      <c r="AH5" s="59" t="s">
        <v>173</v>
      </c>
      <c r="AI5" s="59" t="s">
        <v>172</v>
      </c>
      <c r="AJ5" s="59" t="s">
        <v>173</v>
      </c>
      <c r="AK5" s="59" t="s">
        <v>173</v>
      </c>
      <c r="AL5" s="59" t="s">
        <v>173</v>
      </c>
      <c r="AM5" s="59" t="s">
        <v>173</v>
      </c>
      <c r="AN5" s="59" t="s">
        <v>173</v>
      </c>
      <c r="AO5" s="59" t="s">
        <v>173</v>
      </c>
      <c r="AP5" s="59" t="s">
        <v>173</v>
      </c>
      <c r="AQ5" s="59" t="s">
        <v>173</v>
      </c>
      <c r="AR5" s="59" t="s">
        <v>173</v>
      </c>
      <c r="AS5" s="59" t="s">
        <v>173</v>
      </c>
      <c r="AT5" s="60">
        <v>0</v>
      </c>
      <c r="AU5" s="59" t="s">
        <v>613</v>
      </c>
      <c r="AV5" s="59" t="str">
        <f>IF(LEFT(A5,1)="[",LEFT(A5,5)&amp;AU5&amp;A5,"")</f>
        <v>[WLF]Chiefdom[WLF] Uvea</v>
      </c>
      <c r="AW5" s="59" t="str">
        <f>C5&amp;H5&amp;A5</f>
        <v>2[WLF] Uvea</v>
      </c>
      <c r="AX5" s="61"/>
      <c r="AY5" s="61"/>
      <c r="AZ5" s="62"/>
      <c r="BA5" s="62"/>
      <c r="BB5" s="62"/>
      <c r="BC5" s="63"/>
      <c r="BD5" s="64" t="s">
        <v>159</v>
      </c>
      <c r="BE5" s="47"/>
      <c r="BF5" s="64"/>
      <c r="BG5" s="64"/>
      <c r="BH5" s="64"/>
      <c r="BI5" s="64" t="s">
        <v>152</v>
      </c>
      <c r="BJ5" s="64"/>
      <c r="BK5" s="47"/>
      <c r="BL5" s="64" t="s">
        <v>159</v>
      </c>
      <c r="BM5" s="64" t="s">
        <v>152</v>
      </c>
      <c r="BN5" s="64"/>
      <c r="BO5" s="64"/>
      <c r="BP5" s="64"/>
      <c r="BQ5" s="64"/>
      <c r="BR5" s="64"/>
      <c r="BS5" s="64"/>
      <c r="BT5" s="64"/>
      <c r="BU5" s="65"/>
      <c r="BV5" s="66"/>
      <c r="BW5" s="66">
        <v>0</v>
      </c>
      <c r="BX5" s="47"/>
      <c r="CB5" s="6"/>
      <c r="CC5" s="6"/>
      <c r="CD5" s="67">
        <v>0</v>
      </c>
      <c r="CE5" s="67">
        <v>0</v>
      </c>
      <c r="CF5" s="67" t="e">
        <v>#REF!</v>
      </c>
      <c r="CG5" s="68" cm="1">
        <f t="array" ref="CG5">SUMPRODUCT(--(LEN(TRIM(BL5:BT5))&gt;0))</f>
        <v>2</v>
      </c>
      <c r="CH5" s="59" t="str">
        <f>IF(CG5=2,"y","n")</f>
        <v>y</v>
      </c>
      <c r="CI5" s="59" t="str">
        <f>IF(CG5=3,"y","n")</f>
        <v>n</v>
      </c>
      <c r="CJ5" s="59" t="str">
        <f>IF(CG5=4,"y","n")</f>
        <v>n</v>
      </c>
      <c r="CK5" s="59" t="str">
        <f>IF(CG5&gt;4,"y","n")</f>
        <v>n</v>
      </c>
      <c r="CL5" s="59" t="str">
        <f>IF(S5=0,"y","n")</f>
        <v>y</v>
      </c>
      <c r="CM5" s="59" t="str">
        <f>IF(S5=2,"y","n")</f>
        <v>n</v>
      </c>
      <c r="CN5" s="59" t="str">
        <f>IF(S5=3,"y","n")</f>
        <v>n</v>
      </c>
      <c r="CO5" s="59" t="str">
        <f>IF(S5&gt;=4,"y","n")</f>
        <v>n</v>
      </c>
      <c r="CP5" s="59" t="str">
        <f>IF(AT5=0,"y","n")</f>
        <v>y</v>
      </c>
      <c r="CQ5" s="59" t="str">
        <f>IF(AT5=1,"y","n")</f>
        <v>n</v>
      </c>
      <c r="CR5" s="59" t="str">
        <f>IF(AT5=2,"y","n")</f>
        <v>n</v>
      </c>
      <c r="CS5" s="59" t="str">
        <f>IF(AT5&gt;=3,"y","n")</f>
        <v>n</v>
      </c>
      <c r="CT5" s="69" t="str">
        <f>CHAR(34)&amp;A5&amp;CHAR(34)</f>
        <v>"[WLF] Uvea"</v>
      </c>
      <c r="CU5" s="70" t="str">
        <f>CHAR(34)&amp;"rgn_"&amp;R5&amp;CHAR(34)</f>
        <v>"rgn_Oceania"</v>
      </c>
      <c r="CV5" s="48" t="str">
        <f>CHAR(34)&amp;D5&amp;CHAR(34)</f>
        <v>"https://upload.wikimedia.org/wikipedia/commons/thumb/b/b8/Flag_of_Uvea.svg/640px-Flag_of_Uvea.svg.png"</v>
      </c>
      <c r="CW5" s="48" t="str">
        <f t="shared" si="0"/>
        <v>"2Color",</v>
      </c>
      <c r="CX5" s="48" t="str">
        <f t="shared" si="0"/>
        <v/>
      </c>
      <c r="CY5" s="48" t="str">
        <f t="shared" si="0"/>
        <v/>
      </c>
      <c r="CZ5" s="48" t="str">
        <f t="shared" si="0"/>
        <v/>
      </c>
      <c r="DA5" s="48" t="str">
        <f>IF(Q5&gt;1,CHAR(34)&amp;"words2"&amp;CHAR(34)&amp;",","")</f>
        <v/>
      </c>
      <c r="DB5" s="48" t="str">
        <f>IF(Q5&gt;2,CHAR(34)&amp;"words3"&amp;CHAR(34)&amp;",","")</f>
        <v/>
      </c>
      <c r="DC5" s="48" t="str">
        <f>IF(Q5=2,CHAR(34)&amp;"exact2"&amp;CHAR(34)&amp;",","")</f>
        <v/>
      </c>
      <c r="DD5" s="48" t="str">
        <f>IF(LEN(CHAR(34)&amp;"lets"&amp;LEN(SUBSTITUTE(SUBSTITUTE(IFERROR(TRIM(SUBSTITUTE(SUBSTITUTE(SUBSTITUTE(IFERROR(TRIM(SUBSTITUTE(A5,MID(A5,FIND("(",A5),FIND(")",A5)-FIND("(",A5)+1),"")),A5),"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",""),"-",""))&amp;CHAR(34)&amp;",")=9,CHAR(34)&amp;"lets"&amp;LEN(SUBSTITUTE(SUBSTITUTE(IFERROR(TRIM(SUBSTITUTE(SUBSTITUTE(SUBSTITUTE(IFERROR(TRIM(SUBSTITUTE(A5,MID(A5,FIND("(",A5),FIND(")",A5)-FIND("(",A5)+1),"")),A5),"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",""),"-",""))&amp;CHAR(34)&amp;",",CHAR(34)&amp;"lets0"&amp;LEN(SUBSTITUTE(SUBSTITUTE(IFERROR(TRIM(SUBSTITUTE(SUBSTITUTE(SUBSTITUTE(IFERROR(TRIM(SUBSTITUTE(A5,MID(A5,FIND("(",A5),FIND(")",A5)-FIND("(",A5)+1),"")),A5)," ",""),"-",""),MID(SUBSTITUTE(SUBSTITUTE(IFERROR(TRIM(SUBSTITUTE(A5,MID(A5,FIND("(",A5),FIND(")",A5)-FIND("(",A5)+1),"")),A5)," ",""),"-",""),FIND("[",SUBSTITUTE(SUBSTITUTE(IFERROR(TRIM(SUBSTITUTE(A5,MID(A5,FIND("(",A5),FIND(")",A5)-FIND("(",A5)+1),"")),A5)," ",""),"-","")),FIND("]",SUBSTITUTE(SUBSTITUTE(IFERROR(TRIM(SUBSTITUTE(A5,MID(A5,FIND("(",A5),FIND(")",A5)-FIND("(",A5)+1),"")),A5)," ",""),"-",""))-FIND("[",SUBSTITUTE(SUBSTITUTE(IFERROR(TRIM(SUBSTITUTE(A5,MID(A5,FIND("(",A5),FIND(")",A5)-FIND("(",A5)+1),"")),A5)," ",""),"-",""))+1),"")),SUBSTITUTE(SUBSTITUTE(IFERROR(TRIM(SUBSTITUTE(A5,MID(A5,FIND("(",A5),FIND(")",A5)-FIND("(",A5)+1),"")),A5)," ",""),"-",""))," ",""),"-",""))&amp;CHAR(34)&amp;",")</f>
        <v>"lets04",</v>
      </c>
      <c r="DE5" s="48" t="str">
        <f>IFERROR(CHAR(34)&amp;"start"&amp;LEFT(TRIM(SUBSTITUTE(SUBSTITUTE(TRIM(SUBSTITUTE(SUBSTITUTE(A5, MID(A5, FIND("[", A5), FIND("]", A5) - FIND("[", A5) + 1), ""), "  ", " ")), MID(TRIM(SUBSTITUTE(SUBSTITUTE(A5, MID(A5, FIND("[", A5), FIND("]", A5) - FIND("[", A5) + 1), ""), "  ", " ")), FIND("[", TRIM(SUBSTITUTE(SUBSTITUTE(A5, MID(A5, FIND("[", A5), FIND("]", A5) - FIND("[", A5) + 1), ""), "  ", " "))), FIND("]", TRIM(SUBSTITUTE(SUBSTITUTE(A5, MID(A5, FIND("[", A5), FIND("]", A5) - FIND("[", A5) + 1), ""), "  ", " "))) - FIND("[", TRIM(SUBSTITUTE(SUBSTITUTE(A5, MID(A5, FIND("[", A5), FIND("]", A5) - FIND("[", A5) + 1), ""), "  ", " "))) + 1), ""), "  ", " ")),1)&amp;CHAR(34)&amp;",",CHAR(34)&amp;"start"&amp;IFERROR(LEFT(SUBSTITUTE(A5,"["&amp;MID(A5,FIND("[",A5)+1,FIND("]",A5)-FIND("[",A5)-1)&amp;"] ",""),1),LEFT(A5,1))&amp;CHAR(34)&amp;",")</f>
        <v>"startU",</v>
      </c>
      <c r="DF5" s="48" t="str">
        <f>IFERROR(IF(SEARCH("tan",A5)&gt;0,CHAR(34)&amp;"withtn"&amp;CHAR(34)&amp;",",""),"")</f>
        <v/>
      </c>
      <c r="DG5" s="48" t="str">
        <f>IFERROR(IF(SEARCH("q",A5)&gt;0,CHAR(34)&amp;"with_q"&amp;CHAR(34)&amp;",",""),"")</f>
        <v/>
      </c>
      <c r="DH5" s="48" t="str">
        <f>IFERROR(IF(SEARCH("v",A5)&gt;0,CHAR(34)&amp;"with_v"&amp;CHAR(34)&amp;",",""),"")</f>
        <v>"with_v",</v>
      </c>
      <c r="DI5" s="48" t="str">
        <f>IFERROR(IF(SEARCH("w",A5)&gt;0,CHAR(34)&amp;"with_w"&amp;CHAR(34)&amp;",",""),"")</f>
        <v>"with_w",</v>
      </c>
      <c r="DJ5" s="48" t="str">
        <f>IFERROR(IF(SEARCH("y",A5)&gt;0,CHAR(34)&amp;"with_y"&amp;CHAR(34)&amp;",",""),"")</f>
        <v/>
      </c>
      <c r="DK5" s="48" t="str">
        <f>IFERROR(IF(SEARCH("z",A5)&gt;0,CHAR(34)&amp;"with_z"&amp;CHAR(34)&amp;",",""),"")</f>
        <v/>
      </c>
      <c r="DL5" s="48" t="str">
        <f>IF(CG5=2, CHAR(34) &amp; _xlfn.TEXTJOIN("", TRUE, _xlfn._xlws.SORT(HP5:HX5)) &amp; CHAR(34) &amp; ",", "")</f>
        <v>"BLUWHI",</v>
      </c>
      <c r="DM5" s="48" t="str" cm="1">
        <f t="array" ref="DM5">IF(CG5=3,CHAR(34) &amp; _xlfn.TEXTJOIN("", TRUE, RIGHT(HP5:HX5, 2)) &amp; CHAR(34) &amp; ",", "")</f>
        <v/>
      </c>
      <c r="DN5" s="48" t="str">
        <f>IF(AND(ISNUMBER(SEARCH("18", O5)), ISERROR(SEARCH("1918", O5)), ISERROR(SEARCH("2018", O5))), CHAR(34) &amp; "year18" &amp; CHAR(34) &amp; ",", "")</f>
        <v/>
      </c>
      <c r="DO5" s="48" t="str">
        <f>IF(AND(ISNUMBER(SEARCH("19", O5)), ISERROR(SEARCH("1819", O5)),  ISERROR(SEARCH("1219", O5)),ISERROR(SEARCH("1119", O5)),ISERROR(SEARCH("1190", O5)),ISERROR(SEARCH("2019", O5))), CHAR(34) &amp; "year19" &amp; CHAR(34) &amp; ",", "")</f>
        <v/>
      </c>
      <c r="DP5" s="6" t="str">
        <f>IF(AND(ISNUMBER(SEARCH("20", O5)), ISERROR(SEARCH("1920", O5))), CHAR(34)&amp;"year00"&amp;CHAR(34)&amp;",", "")</f>
        <v/>
      </c>
      <c r="DQ5" s="6" t="str">
        <f>IF(CC5="y",CHAR(34)&amp;"soviet"&amp;CHAR(34)&amp;",","")</f>
        <v/>
      </c>
      <c r="DR5" s="6" t="str">
        <f>IF(BY5="y",CHAR(34)&amp;"dgband"&amp;CHAR(34)&amp;",","")</f>
        <v/>
      </c>
      <c r="DS5" s="6" t="str">
        <f>IF(W5="y",IF(AND(V5="n",BY5&lt;&gt;"y"),CHAR(34)&amp;"allver"&amp;CHAR(34)&amp;",",""),"")</f>
        <v/>
      </c>
      <c r="DT5" s="6" t="str">
        <f>IF(V5="y",IF(AND(W5="n",BY5&lt;&gt;"y"),CHAR(34)&amp;"allhor"&amp;CHAR(34)&amp;",",""),"")</f>
        <v/>
      </c>
      <c r="DU5" s="6" t="str">
        <f>IF(BY5="y",IF(AND(W5="n",V5="n"),CHAR(34)&amp;"alldia"&amp;CHAR(34)&amp;",",""),"")</f>
        <v/>
      </c>
      <c r="DV5" s="48" t="str">
        <f>IF(IA5&lt;&gt;"",(IF(IA5="y",CHAR(34)&amp;"largec"&amp;CHAR(34)&amp;",",CHAR(34)&amp;"smallc"&amp;CHAR(34)&amp;",")),"")</f>
        <v>"largec",</v>
      </c>
      <c r="DW5" s="48" t="str">
        <f t="shared" si="1"/>
        <v>"NoBand",</v>
      </c>
      <c r="DX5" s="48" t="str">
        <f t="shared" si="1"/>
        <v/>
      </c>
      <c r="DY5" s="48" t="str">
        <f t="shared" si="1"/>
        <v/>
      </c>
      <c r="DZ5" s="48" t="str">
        <f t="shared" si="1"/>
        <v/>
      </c>
      <c r="EA5" s="48" t="str">
        <f t="shared" si="2"/>
        <v/>
      </c>
      <c r="EB5" s="48" t="str">
        <f t="shared" si="2"/>
        <v>"Crosse",</v>
      </c>
      <c r="EC5" s="48" t="str">
        <f t="shared" si="2"/>
        <v/>
      </c>
      <c r="ED5" s="48" t="str">
        <f t="shared" si="2"/>
        <v/>
      </c>
      <c r="EE5" s="48" t="str">
        <f t="shared" si="2"/>
        <v/>
      </c>
      <c r="EF5" s="48" t="str">
        <f>IF(AND(Y5&lt;&gt;"n",Y5&lt;&gt;""),CHAR(34)&amp;Y$1&amp;CHAR(34)&amp;",","")</f>
        <v/>
      </c>
      <c r="EG5" s="48" t="str">
        <f t="shared" si="3"/>
        <v/>
      </c>
      <c r="EH5" s="48" t="str">
        <f t="shared" si="3"/>
        <v/>
      </c>
      <c r="EI5" s="48" t="str">
        <f t="shared" si="3"/>
        <v/>
      </c>
      <c r="EJ5" s="48" t="str">
        <f t="shared" si="3"/>
        <v/>
      </c>
      <c r="EK5" s="48" t="str">
        <f t="shared" si="3"/>
        <v/>
      </c>
      <c r="EL5" s="48" t="str">
        <f t="shared" si="3"/>
        <v/>
      </c>
      <c r="EM5" s="48" t="str">
        <f t="shared" si="3"/>
        <v/>
      </c>
      <c r="EN5" s="48" t="str">
        <f t="shared" si="3"/>
        <v/>
      </c>
      <c r="EO5" s="48" t="str">
        <f t="shared" si="3"/>
        <v/>
      </c>
      <c r="EP5" s="48" t="str">
        <f t="shared" si="3"/>
        <v>"Canton",</v>
      </c>
      <c r="EQ5" s="48" t="str">
        <f t="shared" si="3"/>
        <v/>
      </c>
      <c r="ER5" s="48" t="str">
        <f t="shared" si="3"/>
        <v/>
      </c>
      <c r="ES5" s="48" t="str">
        <f t="shared" si="3"/>
        <v/>
      </c>
      <c r="ET5" s="48" t="str">
        <f t="shared" si="3"/>
        <v/>
      </c>
      <c r="EU5" s="48" t="str">
        <f t="shared" si="3"/>
        <v/>
      </c>
      <c r="EV5" s="48" t="str">
        <f t="shared" si="3"/>
        <v/>
      </c>
      <c r="EW5" s="48" t="str">
        <f t="shared" si="3"/>
        <v/>
      </c>
      <c r="EX5" s="48" t="str">
        <f t="shared" si="3"/>
        <v/>
      </c>
      <c r="EY5" s="48" t="str">
        <f t="shared" si="3"/>
        <v/>
      </c>
      <c r="EZ5" s="48" t="str">
        <f t="shared" si="3"/>
        <v/>
      </c>
      <c r="FA5" s="48" t="str">
        <f>IF(AT5&gt;0,CHAR(34)&amp;"sta"&amp;AZ5&amp;CHAR(34)&amp;",","")</f>
        <v/>
      </c>
      <c r="FB5" s="48" t="str">
        <f>IF(AND(AT5&gt;0,BA5&lt;&gt;""),CHAR(34)&amp;"sta"&amp;BA5&amp;CHAR(34)&amp;",","")</f>
        <v/>
      </c>
      <c r="FC5" s="48" t="str">
        <f>IF(AND(AT5&gt;0,BB5&lt;&gt;""),CHAR(34)&amp;"sta"&amp;BB5&amp;CHAR(34)&amp;",","")</f>
        <v/>
      </c>
      <c r="FD5" s="48" t="str">
        <f>IF(BV5="n",CHAR(34)&amp;"tcWHYE"&amp;CHAR(34)&amp;",",IF(BV5="y",CHAR(34)&amp;FD$1&amp;CHAR(34)&amp;",",""))</f>
        <v/>
      </c>
      <c r="FE5" s="48" t="str">
        <f>IF(COUNTIF(BL5:BT5,"BLU")=0,CHAR(34)&amp;"NO_BLU"&amp;CHAR(34)&amp;",", "")</f>
        <v/>
      </c>
      <c r="FF5" s="48" t="str">
        <f>IF(COUNTIF(BL5:BT5,"WHI")=0,CHAR(34)&amp;"NO_WHI"&amp;CHAR(34)&amp;",", "")</f>
        <v/>
      </c>
      <c r="FG5" s="48" t="str">
        <f>IF(COUNTIF(BL5:BT5,"RED")=0,CHAR(34)&amp;"NO_RED"&amp;CHAR(34)&amp;",", "")</f>
        <v>"NO_RED",</v>
      </c>
      <c r="FH5" s="48" t="str">
        <f>IF(COUNTIF(BL5:BS5,"GRE")=0,CHAR(34)&amp;"NO_GRE"&amp;CHAR(34)&amp;",", "")</f>
        <v>"NO_GRE",</v>
      </c>
      <c r="FI5" s="48" t="str">
        <f>IF(COUNTIF(BL5:BT5,"YEL")=0,CHAR(34)&amp;"NO_YEL"&amp;CHAR(34)&amp;",", "")</f>
        <v>"NO_YEL",</v>
      </c>
      <c r="FJ5" s="48" t="str">
        <f>IF(COUNTIF(BL5:BT5,"BLA")=0,CHAR(34)&amp;"NO_BLA"&amp;CHAR(34)&amp;",", "")</f>
        <v>"NO_BLA",</v>
      </c>
      <c r="FK5" s="48" t="str">
        <f>IF(AND(FH5&lt;&gt;"",FF5&lt;&gt;""),CHAR(34)&amp;"WHGRNO"&amp;CHAR(34)&amp;",","")</f>
        <v/>
      </c>
      <c r="FL5" s="48" t="str">
        <f>IF(AND(FI5&lt;&gt;"",FF5&lt;&gt;""),CHAR(34)&amp;"WHYENO"&amp;CHAR(34)&amp;",","")</f>
        <v/>
      </c>
      <c r="FM5" s="48" t="str">
        <f>IF(AND(FJ5&lt;&gt;"",FF5&lt;&gt;""),CHAR(34)&amp;"BAWHNO"&amp;CHAR(34)&amp;",","")</f>
        <v/>
      </c>
      <c r="FN5" s="48" t="str">
        <f>IF(AND(FE5&lt;&gt;"",FF5&lt;&gt;""),CHAR(34)&amp;"BLWHNO"&amp;CHAR(34)&amp;",","")</f>
        <v/>
      </c>
      <c r="FO5" s="48" t="str">
        <f>IF(AND(FE5&lt;&gt;"",FG5&lt;&gt;""),CHAR(34)&amp;"BLRENO"&amp;CHAR(34)&amp;",","")</f>
        <v/>
      </c>
      <c r="FP5" s="48" t="str">
        <f>IF(AND(FF5&lt;&gt;"",FF5&lt;&gt;""),CHAR(34)&amp;"WHRENO"&amp;CHAR(34)&amp;",","")</f>
        <v/>
      </c>
      <c r="FQ5" s="48" t="str">
        <f>IF(LEN(BF5)=3,CHAR(34)&amp;"001"&amp;BF5&amp;CHAR(34)&amp;",","")</f>
        <v/>
      </c>
      <c r="FR5" s="48" t="str">
        <f>IF(LEN(BG5)=3,CHAR(34)&amp;"002"&amp;BG5&amp;CHAR(34)&amp;",","")</f>
        <v/>
      </c>
      <c r="FS5" s="48" t="str">
        <f>IF(LEN(BH5)=3,CHAR(34)&amp;"003"&amp;BH5&amp;CHAR(34)&amp;",","")</f>
        <v/>
      </c>
      <c r="FT5" s="48" t="str">
        <f>CHAR(34)&amp;"myr"&amp;BD5&amp;CHAR(34)&amp;","</f>
        <v>"myrWHI",</v>
      </c>
      <c r="FU5" s="48" t="str">
        <f>IF(AY5="y",CHAR(34)&amp;"island"&amp;CHAR(34)&amp;",","")</f>
        <v/>
      </c>
      <c r="FV5" s="48" t="str">
        <f>IF(BZ5="y",CHAR(34)&amp;"landlo"&amp;CHAR(34)&amp;",","")</f>
        <v/>
      </c>
      <c r="FW5" s="48" t="str">
        <f>IF(CA5="y",CHAR(34)&amp;"eunion"&amp;CHAR(34)&amp;",","")</f>
        <v/>
      </c>
      <c r="FX5" s="48" t="str">
        <f>SUBSTITUTE(IFERROR(SEARCH("[",A5),IFERROR(IF(AND(CA5&lt;&gt;"y",SEARCH("Europe",R5)&gt;0),CHAR(34)&amp;"noeuni"&amp;CHAR(34)&amp;",",""),"")),"1","")</f>
        <v/>
      </c>
      <c r="FY5" s="48" t="str">
        <f>IFERROR(IF(SEARCH("Arabic",CB5)&gt;0,CHAR(34)&amp;"arabic"&amp;CHAR(34)&amp;",",""),"")</f>
        <v/>
      </c>
      <c r="FZ5" s="48" t="str">
        <f>IFERROR(IF(SEARCH("English",CB5)&gt;0,CHAR(34)&amp;"englis"&amp;CHAR(34)&amp;",",""),"")</f>
        <v/>
      </c>
      <c r="GA5" s="48" t="str">
        <f>IFERROR(IF(SEARCH("French",CB5)&gt;0,CHAR(34)&amp;"french"&amp;CHAR(34)&amp;",",""),"")</f>
        <v/>
      </c>
      <c r="GB5" s="48" t="str">
        <f>IFERROR(IF(SEARCH("Spanish",CB5)&gt;0,CHAR(34)&amp;"spanis"&amp;CHAR(34)&amp;",",""),"")</f>
        <v/>
      </c>
      <c r="GC5" s="48" t="str">
        <f>IFERROR(IF(SEARCH("Portuguese",CB5)&gt;0,CHAR(34)&amp;"portug"&amp;CHAR(34)&amp;",",""),"")</f>
        <v/>
      </c>
      <c r="GD5" s="48" t="str">
        <f>IFERROR(IF(SEARCH("German",CB5)&gt;0,CHAR(34)&amp;"german"&amp;CHAR(34)&amp;",",""),"")</f>
        <v/>
      </c>
      <c r="GE5" s="48" t="str">
        <f>IFERROR(IF(SEARCH("Dutch",CB5)&gt;0,CHAR(34)&amp;"dutchs"&amp;CHAR(34)&amp;",",""),"")</f>
        <v/>
      </c>
      <c r="GF5" s="48" t="str">
        <f>IFERROR(IF(SEARCH("Historical",AU5)&gt;0,CHAR(34)&amp;"histor"&amp;CHAR(34)&amp;",",""),"")</f>
        <v/>
      </c>
      <c r="GG5" s="48" t="str">
        <f>IF(BU5="y",CHAR(34)&amp;"unjack"&amp;CHAR(34)&amp;",","")</f>
        <v/>
      </c>
      <c r="GH5" s="48" t="str">
        <f>IF(CD5=1,CHAR(34)&amp;"southc"&amp;CHAR(34)&amp;",","")</f>
        <v/>
      </c>
      <c r="GI5" s="48" t="str">
        <f>IF(CE5=1,CHAR(34)&amp;"hasmap"&amp;CHAR(34)&amp;",","")</f>
        <v/>
      </c>
      <c r="GJ5" s="48" t="str">
        <f>IF(CP5="y",CHAR(34)&amp;CP$1&amp;CHAR(34)&amp;",","")</f>
        <v>"NoStar",</v>
      </c>
      <c r="GK5" s="48" t="str">
        <f>IF(GJ5="",CHAR(34)&amp;"HasSta"&amp;CHAR(34)&amp;",","")</f>
        <v/>
      </c>
      <c r="GL5" s="48" t="str">
        <f t="shared" si="4"/>
        <v/>
      </c>
      <c r="GM5" s="48" t="str">
        <f t="shared" si="4"/>
        <v/>
      </c>
      <c r="GN5" s="48" t="str">
        <f t="shared" si="4"/>
        <v/>
      </c>
      <c r="GP5" s="48" t="str">
        <f>CHAR(34)&amp;AU5&amp;CHAR(34)</f>
        <v>"Chiefdom"</v>
      </c>
      <c r="GS5" s="48" t="str">
        <f>SUBSTITUTE("["&amp;_xlfn.CONCAT(CW5:GN5)&amp;"]",",]","]")</f>
        <v>["2Color","lets04","startU","with_v","with_w","BLUWHI","largec","NoBand","Crosse","Canton","NO_RED","NO_GRE","NO_YEL","NO_BLA","myrWHI","NoStar"]</v>
      </c>
      <c r="GT5" s="48" t="str">
        <f t="shared" si="5"/>
        <v>"cl_WHI",</v>
      </c>
      <c r="GU5" s="48" t="str">
        <f t="shared" si="5"/>
        <v>"cl_BLU",</v>
      </c>
      <c r="GV5" s="48" t="str">
        <f t="shared" si="5"/>
        <v/>
      </c>
      <c r="GW5" s="48" t="str">
        <f t="shared" si="5"/>
        <v/>
      </c>
      <c r="GX5" s="48" t="str">
        <f t="shared" si="5"/>
        <v/>
      </c>
      <c r="GY5" s="48" t="str">
        <f t="shared" si="5"/>
        <v/>
      </c>
      <c r="GZ5" s="48" t="str">
        <f t="shared" si="5"/>
        <v/>
      </c>
      <c r="HA5" s="48" t="str">
        <f t="shared" si="5"/>
        <v/>
      </c>
      <c r="HB5" s="48" t="str">
        <f t="shared" si="5"/>
        <v/>
      </c>
      <c r="HC5" s="48" t="str">
        <f>SUBSTITUTE("["&amp;_xlfn.CONCAT(GT5:HB5)&amp;"]",",]","]")</f>
        <v>["cl_WHI","cl_BLU"]</v>
      </c>
      <c r="HE5" s="71"/>
      <c r="HF5" s="72" t="str">
        <f>"{couname:"&amp;CT5&amp;(IF(HK5&lt;&gt;"",",subtype:"&amp;CHAR(34)&amp;HK5&amp;CHAR(34),""))&amp;",year:"&amp;HJ5&amp;",region:"&amp;CU5&amp;",Colors:"&amp;HC5&amp;",Items:"&amp;GS5&amp;",Flag:"&amp;CV5&amp;",HDFlag:"&amp;CHAR(34)&amp;E5&amp;CHAR(34)&amp;",type:"&amp;GP5&amp;", describe: "&amp;HH5&amp;", isnew:"&amp;CHAR(34)&amp;F5&amp;CHAR(34)&amp;", links: "&amp;HL5&amp;"},"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links: "https://www.fotw.info/flags/wf-w.html"},</v>
      </c>
      <c r="HG5" s="73" t="str">
        <f>"{couname:"&amp;CT5&amp;(IF(HK5&lt;&gt;"",",subtype:"&amp;CHAR(34)&amp;HK5&amp;CHAR(34),""))&amp;",year:"&amp;HJ5&amp;",region:"&amp;CU5&amp;",Colors:"&amp;HC5&amp;",Items:"&amp;GS5&amp;",Flag:"&amp;CV5&amp;",HDFlag:"&amp;CHAR(34)&amp;E5&amp;CHAR(34)&amp;",type:"&amp;GP5&amp;", describe: "&amp;HI5&amp;", links: "&amp;HL5&amp;"},"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links: "https://www.fotw.info/flags/wf-w.html"},</v>
      </c>
      <c r="HH5" s="48" t="str">
        <f>IF(P5&lt;&gt;"",CHAR(34)&amp;"\n"&amp;P5&amp;CHAR(34),CHAR(34)&amp;CHAR(34))</f>
        <v>"\nThe flag of Uvéa was red with a white cross (similar to the cross of Malta, several shapes of it are known), basically the current unofficial flag of the territory. When the French protectorate was established, the tricolour was added to the canton."</v>
      </c>
      <c r="HI5" s="48" t="str">
        <f>IF(J5=0,CHAR(34)&amp;CHAR(34),HH5)</f>
        <v>"\nThe flag of Uvéa was red with a white cross (similar to the cross of Malta, several shapes of it are known), basically the current unofficial flag of the territory. When the French protectorate was established, the tricolour was added to the canton."</v>
      </c>
      <c r="HJ5" s="48" t="str">
        <f>CHAR(34)&amp;O5&amp;CHAR(34)</f>
        <v>"???"</v>
      </c>
      <c r="HL5" s="48" t="str">
        <f>CHAR(34)&amp;I5&amp;CHAR(34)</f>
        <v>"https://www.fotw.info/flags/wf-w.html"</v>
      </c>
      <c r="HM5" s="72"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"&amp;HH5&amp;", "&amp;CHAR(34)&amp;"isnew"&amp;CHAR(34)&amp;": "&amp;CHAR(34)&amp;F5&amp;CHAR(34)&amp;", "&amp;CHAR(34)&amp;"links"&amp;CHAR(34)&amp;": "&amp;HL5&amp;"},"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 "links": "https://www.fotw.info/flags/wf-w.html"},</v>
      </c>
      <c r="HN5" s="74" t="str">
        <f>"{"&amp;CHAR(34)&amp;"couname"&amp;CHAR(34)&amp;":"&amp;CT5&amp;(IF(H5&lt;&gt;"",","&amp;CHAR(34)&amp;"subtype"&amp;CHAR(34)&amp;":"&amp;CHAR(34)&amp;H5&amp;CHAR(34),""))&amp;","&amp;CHAR(34)&amp;"year"&amp;CHAR(34)&amp;":"&amp;HJ5&amp;","&amp;CHAR(34)&amp;"region"&amp;CHAR(34)&amp;":"&amp;CU5&amp;","&amp;CHAR(34)&amp;"Colors"&amp;CHAR(34)&amp;":"&amp;HC5&amp;","&amp;CHAR(34)&amp;"Items"&amp;CHAR(34)&amp;":"&amp;GS5&amp;","&amp;CHAR(34)&amp;"Flag"&amp;CHAR(34)&amp;":"&amp;CV5&amp;","&amp;CHAR(34)&amp;"HDFlag"&amp;CHAR(34)&amp;":"&amp;CHAR(34)&amp;E5&amp;CHAR(34)&amp;","&amp;CHAR(34)&amp;"type"&amp;CHAR(34)&amp;":"&amp;GP5&amp;", "&amp;CHAR(34)&amp;"describe"&amp;CHAR(34)&amp;": "&amp;HI5&amp;", "&amp;CHAR(34)&amp;"isnew"&amp;CHAR(34)&amp;": "&amp;CHAR(34)&amp;F5&amp;CHAR(34)&amp;", "&amp;CHAR(34)&amp;"links"&amp;CHAR(34)&amp;": "&amp;HL5&amp;"},"</f>
        <v>{"couname":"[WLF] Uvea","year":"???","region":"rgn_Oceania","Colors":["cl_WHI","cl_BLU"],"Items":["2Color","lets04","startU","with_v","with_w","BLUWHI","largec","NoBand","Crosse","Canton","NO_RED","NO_GRE","NO_YEL","NO_BLA","myrWHI","NoStar"],"Flag":"https://upload.wikimedia.org/wikipedia/commons/thumb/b/b8/Flag_of_Uvea.svg/640px-Flag_of_Uvea.svg.png","HDFlag":"https://upload.wikimedia.org/wikipedia/commons/thumb/b/b8/Flag_of_Uvea.svg/2560px-Flag_of_Uvea.svg.png","type":"Chiefdom", "describe": "\nThe flag of Uvéa was red with a white cross (similar to the cross of Malta, several shapes of it are known), basically the current unofficial flag of the territory. When the French protectorate was established, the tricolour was added to the canton.", "isnew": ".", "links": "https://www.fotw.info/flags/wf-w.html"},</v>
      </c>
      <c r="HO5" s="75"/>
      <c r="HP5" s="48" t="str" cm="1">
        <f t="array" ref="HP5">IF(_xlfn.TEXTJOIN(", ", TRUE, IF(ISNUMBER(SEARCH("BLA", BL5:BT5)), COLUMN(BL5:BT5) - COLUMN(BL5) + 1, ""))&lt;&gt;"","BLA","")</f>
        <v/>
      </c>
      <c r="HQ5" s="48" t="str" cm="1">
        <f t="array" ref="HQ5">IF(_xlfn.TEXTJOIN(", ", TRUE, IF(ISNUMBER(SEARCH("BLU", BL5:BT5)), COLUMN(BL5:BT5) - COLUMN(BL5) + 1, ""))&lt;&gt;"","BLU","")</f>
        <v>BLU</v>
      </c>
      <c r="HR5" s="48" t="str" cm="1">
        <f t="array" ref="HR5">IF(_xlfn.TEXTJOIN(", ", TRUE, IF(ISNUMBER(SEARCH("GRE", BL5:BT5)), COLUMN(BL5:BT5) - COLUMN(BL5) + 1, ""))&lt;&gt;"","GRE","")</f>
        <v/>
      </c>
      <c r="HS5" s="48" t="str" cm="1">
        <f t="array" ref="HS5">IF(_xlfn.TEXTJOIN(", ", TRUE, IF(ISNUMBER(SEARCH("RED", BL5:BT5)), COLUMN(BL5:BT5) - COLUMN(BL5) + 1, ""))&lt;&gt;"","RED","")</f>
        <v/>
      </c>
      <c r="HT5" s="48" t="str" cm="1">
        <f t="array" ref="HT5">IF(_xlfn.TEXTJOIN(", ", TRUE, IF(ISNUMBER(SEARCH("YEL", BL5:BT5)), COLUMN(BL5:BT5) - COLUMN(BL5) + 1, ""))&lt;&gt;"","YEL","")</f>
        <v/>
      </c>
      <c r="HU5" s="48" t="str" cm="1">
        <f t="array" ref="HU5">IF(_xlfn.TEXTJOIN(", ", TRUE, IF(ISNUMBER(SEARCH("ORA", BL5:BT5)), COLUMN(BL5:BT5) - COLUMN(BL5) + 1, ""))&lt;&gt;"","ORA","")</f>
        <v/>
      </c>
      <c r="HV5" s="48" t="str" cm="1">
        <f t="array" ref="HV5">IF(_xlfn.TEXTJOIN(", ", TRUE, IF(ISNUMBER(SEARCH("BRO", BL5:BT5)), COLUMN(BL5:BT5) - COLUMN(BL5) + 1, ""))&lt;&gt;"","BRO","")</f>
        <v/>
      </c>
      <c r="HW5" s="48" t="str" cm="1">
        <f t="array" ref="HW5">IF(_xlfn.TEXTJOIN(", ", TRUE, IF(ISNUMBER(SEARCH("PUR", BL5:BT5)), COLUMN(BL5:BT5) - COLUMN(BL5) + 1, ""))&lt;&gt;"","PUR","")</f>
        <v/>
      </c>
      <c r="HX5" s="48" t="str" cm="1">
        <f t="array" ref="HX5">IF(_xlfn.TEXTJOIN(", ", TRUE, IF(ISNUMBER(SEARCH("WHI", BL5:BT5)), COLUMN(BL5:BT5) - COLUMN(BL5) + 1, ""))&lt;&gt;"","WHI","")</f>
        <v>WHI</v>
      </c>
      <c r="HY5" s="76"/>
      <c r="HZ5" s="76"/>
      <c r="IA5" s="6" t="s">
        <v>172</v>
      </c>
      <c r="IB5" s="6"/>
      <c r="IC5" s="77"/>
      <c r="ID5" s="77"/>
      <c r="IE5" s="77"/>
      <c r="IF5" s="77"/>
      <c r="IG5" s="77"/>
      <c r="IH5" s="77"/>
      <c r="II5" s="77"/>
      <c r="IJ5" s="77"/>
      <c r="IK5" s="77"/>
      <c r="IL5" s="48">
        <f>SUM(IC5:IK5)</f>
        <v>0</v>
      </c>
      <c r="IM5" s="45">
        <f>COUNTIF(IC5:IK5,"&gt;0")-CG5</f>
        <v>-2</v>
      </c>
      <c r="IN5" s="78" t="str">
        <f>"http://mkweb.bcgsc.ca/color-summarizer/?url="&amp;D5&amp;"&amp;precision=low&amp;num_clusters="&amp;CG5&amp;"&amp;text=1"</f>
        <v>http://mkweb.bcgsc.ca/color-summarizer/?url=https://upload.wikimedia.org/wikipedia/commons/thumb/b/b8/Flag_of_Uvea.svg/640px-Flag_of_Uvea.svg.png&amp;precision=low&amp;num_clusters=2&amp;text=1</v>
      </c>
      <c r="IO5" s="48" t="str">
        <f>IF(HP5&lt;&gt;"",CHAR(34)&amp;"black"&amp;CHAR(34),"")</f>
        <v/>
      </c>
      <c r="IP5" s="48" t="str">
        <f>IF(HQ5&lt;&gt;"",CHAR(34)&amp;"blue"&amp;CHAR(34),"")</f>
        <v>"blue"</v>
      </c>
      <c r="IQ5" s="48" t="str">
        <f>IF(HR5&lt;&gt;"",CHAR(34)&amp;"green"&amp;CHAR(34),"")</f>
        <v/>
      </c>
      <c r="IR5" s="48" t="str">
        <f>IF(HS5&lt;&gt;"",CHAR(34)&amp;"red"&amp;CHAR(34),"")</f>
        <v/>
      </c>
      <c r="IS5" s="48" t="str">
        <f>IF(HT5&lt;&gt;"",CHAR(34)&amp;"yellow"&amp;CHAR(34),"")</f>
        <v/>
      </c>
      <c r="IT5" s="48" t="str">
        <f>IF(HU5&lt;&gt;"",CHAR(34)&amp;"orange"&amp;CHAR(34),"")</f>
        <v/>
      </c>
      <c r="IU5" s="48" t="str">
        <f>IF(HV5&lt;&gt;"",CHAR(34)&amp;"brown"&amp;CHAR(34),"")</f>
        <v/>
      </c>
      <c r="IV5" s="48" t="str">
        <f>IF(HW5&lt;&gt;"",CHAR(34)&amp;"purple"&amp;CHAR(34),"")</f>
        <v/>
      </c>
      <c r="IW5" s="48" t="str">
        <f>IF(HX5&lt;&gt;"",CHAR(34)&amp;"white"&amp;CHAR(34),"")</f>
        <v>"white"</v>
      </c>
      <c r="IX5" s="48" t="str">
        <f>"{"&amp;CHAR(34)&amp;"url"&amp;CHAR(34)&amp;":"&amp;CHAR(34)&amp;IN5&amp;CHAR(34)&amp;","&amp;CHAR(34)&amp;"name"&amp;CHAR(34)&amp;":"&amp;CHAR(34)&amp;A5&amp;CHAR(34)&amp;"},"</f>
        <v>{"url":"http://mkweb.bcgsc.ca/color-summarizer/?url=https://upload.wikimedia.org/wikipedia/commons/thumb/b/b8/Flag_of_Uvea.svg/640px-Flag_of_Uvea.svg.png&amp;precision=low&amp;num_clusters=2&amp;text=1","name":"[WLF] Uvea"},</v>
      </c>
      <c r="IY5" s="48">
        <v>378</v>
      </c>
    </row>
  </sheetData>
  <conditionalFormatting sqref="H1 CW1:GS1 IA1:IB1">
    <cfRule type="cellIs" dxfId="3089" priority="179" operator="greaterThan">
      <formula>0</formula>
    </cfRule>
  </conditionalFormatting>
  <conditionalFormatting sqref="H1">
    <cfRule type="cellIs" dxfId="3088" priority="145" stopIfTrue="1" operator="notEqual">
      <formula>""</formula>
    </cfRule>
  </conditionalFormatting>
  <conditionalFormatting sqref="T1:BK1">
    <cfRule type="cellIs" dxfId="3087" priority="182" operator="greaterThan">
      <formula>0</formula>
    </cfRule>
  </conditionalFormatting>
  <conditionalFormatting sqref="BV1:BW1">
    <cfRule type="cellIs" dxfId="3086" priority="181" operator="equal">
      <formula>"nc"</formula>
    </cfRule>
  </conditionalFormatting>
  <conditionalFormatting sqref="HF1:HG1">
    <cfRule type="cellIs" dxfId="3085" priority="183" operator="greaterThan">
      <formula>0</formula>
    </cfRule>
  </conditionalFormatting>
  <conditionalFormatting sqref="HK1">
    <cfRule type="cellIs" dxfId="3084" priority="180" operator="greaterThan">
      <formula>0</formula>
    </cfRule>
  </conditionalFormatting>
  <conditionalFormatting sqref="HP1:HX1">
    <cfRule type="cellIs" dxfId="3083" priority="157" operator="equal">
      <formula>"PIN"</formula>
    </cfRule>
    <cfRule type="cellIs" dxfId="3082" priority="158" operator="equal">
      <formula>"ORA"</formula>
    </cfRule>
    <cfRule type="cellIs" dxfId="3081" priority="159" operator="equal">
      <formula>"GRA"</formula>
    </cfRule>
    <cfRule type="cellIs" dxfId="3080" priority="160" operator="equal">
      <formula>"PUR"</formula>
    </cfRule>
    <cfRule type="cellIs" dxfId="3079" priority="161" operator="equal">
      <formula>"BRO"</formula>
    </cfRule>
    <cfRule type="cellIs" dxfId="3078" priority="162" operator="equal">
      <formula>"YEL"</formula>
    </cfRule>
    <cfRule type="cellIs" dxfId="3077" priority="163" operator="equal">
      <formula>"BLU"</formula>
    </cfRule>
    <cfRule type="cellIs" dxfId="3076" priority="164" operator="equal">
      <formula>"WHI"</formula>
    </cfRule>
    <cfRule type="cellIs" dxfId="3075" priority="165" operator="equal">
      <formula>"GRE"</formula>
    </cfRule>
    <cfRule type="cellIs" dxfId="3074" priority="166" operator="equal">
      <formula>"RED"</formula>
    </cfRule>
    <cfRule type="cellIs" dxfId="3073" priority="167" operator="equal">
      <formula>"BLA"</formula>
    </cfRule>
  </conditionalFormatting>
  <conditionalFormatting sqref="IC1:IK1">
    <cfRule type="cellIs" dxfId="3072" priority="168" operator="equal">
      <formula>"PIN"</formula>
    </cfRule>
    <cfRule type="cellIs" dxfId="3071" priority="169" operator="equal">
      <formula>"ORA"</formula>
    </cfRule>
    <cfRule type="cellIs" dxfId="3070" priority="170" operator="equal">
      <formula>"GRA"</formula>
    </cfRule>
    <cfRule type="cellIs" dxfId="3069" priority="171" operator="equal">
      <formula>"PUR"</formula>
    </cfRule>
    <cfRule type="cellIs" dxfId="3068" priority="172" operator="equal">
      <formula>"BRO"</formula>
    </cfRule>
    <cfRule type="cellIs" dxfId="3067" priority="173" operator="equal">
      <formula>"YEL"</formula>
    </cfRule>
    <cfRule type="cellIs" dxfId="3066" priority="174" operator="equal">
      <formula>"BLU"</formula>
    </cfRule>
    <cfRule type="cellIs" dxfId="3065" priority="175" operator="equal">
      <formula>"WHI"</formula>
    </cfRule>
    <cfRule type="cellIs" dxfId="3064" priority="176" operator="equal">
      <formula>"GRE"</formula>
    </cfRule>
    <cfRule type="cellIs" dxfId="3063" priority="177" operator="equal">
      <formula>"RED"</formula>
    </cfRule>
    <cfRule type="cellIs" dxfId="3062" priority="178" operator="equal">
      <formula>"BLA"</formula>
    </cfRule>
  </conditionalFormatting>
  <conditionalFormatting sqref="IO1:IW1">
    <cfRule type="cellIs" dxfId="3061" priority="146" operator="equal">
      <formula>"PIN"</formula>
    </cfRule>
    <cfRule type="cellIs" dxfId="3060" priority="147" operator="equal">
      <formula>"ORA"</formula>
    </cfRule>
    <cfRule type="cellIs" dxfId="3059" priority="148" operator="equal">
      <formula>"GRA"</formula>
    </cfRule>
    <cfRule type="cellIs" dxfId="3058" priority="149" operator="equal">
      <formula>"PUR"</formula>
    </cfRule>
    <cfRule type="cellIs" dxfId="3057" priority="150" operator="equal">
      <formula>"BRO"</formula>
    </cfRule>
    <cfRule type="cellIs" dxfId="3056" priority="151" operator="equal">
      <formula>"YEL"</formula>
    </cfRule>
    <cfRule type="cellIs" dxfId="3055" priority="152" operator="equal">
      <formula>"BLU"</formula>
    </cfRule>
    <cfRule type="cellIs" dxfId="3054" priority="153" operator="equal">
      <formula>"WHI"</formula>
    </cfRule>
    <cfRule type="cellIs" dxfId="3053" priority="154" operator="equal">
      <formula>"GRE"</formula>
    </cfRule>
    <cfRule type="cellIs" dxfId="3052" priority="155" operator="equal">
      <formula>"RED"</formula>
    </cfRule>
    <cfRule type="cellIs" dxfId="3051" priority="156" operator="equal">
      <formula>"BLA"</formula>
    </cfRule>
  </conditionalFormatting>
  <conditionalFormatting sqref="H2">
    <cfRule type="cellIs" dxfId="3050" priority="114" stopIfTrue="1" operator="notEqual">
      <formula>""</formula>
    </cfRule>
  </conditionalFormatting>
  <conditionalFormatting sqref="R2 CU2">
    <cfRule type="cellIs" dxfId="3049" priority="116" operator="greaterThan">
      <formula>0</formula>
    </cfRule>
  </conditionalFormatting>
  <conditionalFormatting sqref="T2:AS2 CH2:CS2">
    <cfRule type="cellIs" dxfId="3048" priority="111" stopIfTrue="1" operator="equal">
      <formula>"n"</formula>
    </cfRule>
    <cfRule type="cellIs" dxfId="3047" priority="112" stopIfTrue="1" operator="equal">
      <formula>"y"</formula>
    </cfRule>
    <cfRule type="cellIs" dxfId="3046" priority="113" operator="greaterThan">
      <formula>0</formula>
    </cfRule>
  </conditionalFormatting>
  <conditionalFormatting sqref="AZ2:BB2">
    <cfRule type="expression" dxfId="3045" priority="110">
      <formula>$AT2=0</formula>
    </cfRule>
  </conditionalFormatting>
  <conditionalFormatting sqref="AZ2:BU2">
    <cfRule type="cellIs" dxfId="3044" priority="119" operator="equal">
      <formula>"PIN"</formula>
    </cfRule>
    <cfRule type="cellIs" dxfId="3043" priority="120" operator="equal">
      <formula>"ORA"</formula>
    </cfRule>
    <cfRule type="cellIs" dxfId="3042" priority="121" operator="equal">
      <formula>"GRA"</formula>
    </cfRule>
    <cfRule type="cellIs" dxfId="3041" priority="122" operator="equal">
      <formula>"PUR"</formula>
    </cfRule>
    <cfRule type="cellIs" dxfId="3040" priority="123" operator="equal">
      <formula>"BRO"</formula>
    </cfRule>
    <cfRule type="cellIs" dxfId="3039" priority="124" operator="equal">
      <formula>"YEL"</formula>
    </cfRule>
    <cfRule type="cellIs" dxfId="3038" priority="125" operator="equal">
      <formula>"BLU"</formula>
    </cfRule>
    <cfRule type="cellIs" dxfId="3037" priority="126" operator="equal">
      <formula>"WHI"</formula>
    </cfRule>
    <cfRule type="cellIs" dxfId="3036" priority="127" operator="equal">
      <formula>"GRE"</formula>
    </cfRule>
    <cfRule type="cellIs" dxfId="3035" priority="128" operator="equal">
      <formula>"RED"</formula>
    </cfRule>
    <cfRule type="cellIs" dxfId="3034" priority="129" operator="equal">
      <formula>"BLA"</formula>
    </cfRule>
  </conditionalFormatting>
  <conditionalFormatting sqref="BV2:BW2">
    <cfRule type="cellIs" dxfId="3033" priority="141" operator="equal">
      <formula>"nc"</formula>
    </cfRule>
  </conditionalFormatting>
  <conditionalFormatting sqref="BX2:CA2 CD2:CF2">
    <cfRule type="cellIs" dxfId="3032" priority="115" operator="equal">
      <formula>"y"</formula>
    </cfRule>
    <cfRule type="cellIs" dxfId="3031" priority="130" operator="equal">
      <formula>"PIN"</formula>
    </cfRule>
    <cfRule type="cellIs" dxfId="3030" priority="131" operator="equal">
      <formula>"ORA"</formula>
    </cfRule>
    <cfRule type="cellIs" dxfId="3029" priority="132" operator="equal">
      <formula>"GRA"</formula>
    </cfRule>
    <cfRule type="cellIs" dxfId="3028" priority="133" operator="equal">
      <formula>"PUR"</formula>
    </cfRule>
    <cfRule type="cellIs" dxfId="3027" priority="134" operator="equal">
      <formula>"BRO"</formula>
    </cfRule>
    <cfRule type="cellIs" dxfId="3026" priority="135" operator="equal">
      <formula>"YEL"</formula>
    </cfRule>
    <cfRule type="cellIs" dxfId="3025" priority="136" operator="equal">
      <formula>"BLU"</formula>
    </cfRule>
    <cfRule type="cellIs" dxfId="3024" priority="137" operator="equal">
      <formula>"WHI"</formula>
    </cfRule>
    <cfRule type="cellIs" dxfId="3023" priority="138" operator="equal">
      <formula>"GRE"</formula>
    </cfRule>
    <cfRule type="cellIs" dxfId="3022" priority="139" operator="equal">
      <formula>"RED"</formula>
    </cfRule>
    <cfRule type="cellIs" dxfId="3021" priority="140" operator="equal">
      <formula>"BLA"</formula>
    </cfRule>
  </conditionalFormatting>
  <conditionalFormatting sqref="BZ2:CA2 CD2:CF2">
    <cfRule type="cellIs" dxfId="3020" priority="117" operator="greaterThan">
      <formula>0</formula>
    </cfRule>
  </conditionalFormatting>
  <conditionalFormatting sqref="IC2:IK2">
    <cfRule type="expression" dxfId="3019" priority="118">
      <formula>$IL2&gt;0</formula>
    </cfRule>
  </conditionalFormatting>
  <conditionalFormatting sqref="S2">
    <cfRule type="colorScale" priority="142">
      <colorScale>
        <cfvo type="min"/>
        <cfvo type="max"/>
        <color rgb="FFFCFCFF"/>
        <color rgb="FF754BFB"/>
      </colorScale>
    </cfRule>
  </conditionalFormatting>
  <conditionalFormatting sqref="AT2">
    <cfRule type="colorScale" priority="143">
      <colorScale>
        <cfvo type="min"/>
        <cfvo type="max"/>
        <color rgb="FFFCFCFF"/>
        <color theme="8" tint="0.39997558519241921"/>
      </colorScale>
    </cfRule>
  </conditionalFormatting>
  <conditionalFormatting sqref="CG2">
    <cfRule type="colorScale" priority="144">
      <colorScale>
        <cfvo type="min"/>
        <cfvo type="max"/>
        <color rgb="FFFCFCFF"/>
        <color rgb="FF63BE7B"/>
      </colorScale>
    </cfRule>
  </conditionalFormatting>
  <conditionalFormatting sqref="J2">
    <cfRule type="colorScale" priority="109">
      <colorScale>
        <cfvo type="min"/>
        <cfvo type="percentile" val="50"/>
        <cfvo type="max"/>
        <color rgb="FFF8696B"/>
        <color rgb="FFFFEB84"/>
        <color rgb="FF63BE7B"/>
      </colorScale>
    </cfRule>
  </conditionalFormatting>
  <conditionalFormatting sqref="H3">
    <cfRule type="cellIs" dxfId="1386" priority="77" stopIfTrue="1" operator="notEqual">
      <formula>""</formula>
    </cfRule>
  </conditionalFormatting>
  <conditionalFormatting sqref="R3 CU3">
    <cfRule type="cellIs" dxfId="1385" priority="79" operator="greaterThan">
      <formula>0</formula>
    </cfRule>
  </conditionalFormatting>
  <conditionalFormatting sqref="T3:AS3 CH3:CS3">
    <cfRule type="cellIs" dxfId="1384" priority="74" stopIfTrue="1" operator="equal">
      <formula>"n"</formula>
    </cfRule>
    <cfRule type="cellIs" dxfId="1383" priority="75" stopIfTrue="1" operator="equal">
      <formula>"y"</formula>
    </cfRule>
    <cfRule type="cellIs" dxfId="1382" priority="76" operator="greaterThan">
      <formula>0</formula>
    </cfRule>
  </conditionalFormatting>
  <conditionalFormatting sqref="AZ3:BB3">
    <cfRule type="expression" dxfId="1381" priority="73">
      <formula>$AT3=0</formula>
    </cfRule>
  </conditionalFormatting>
  <conditionalFormatting sqref="AZ3:BU3">
    <cfRule type="cellIs" dxfId="1380" priority="82" operator="equal">
      <formula>"PIN"</formula>
    </cfRule>
    <cfRule type="cellIs" dxfId="1379" priority="83" operator="equal">
      <formula>"ORA"</formula>
    </cfRule>
    <cfRule type="cellIs" dxfId="1378" priority="84" operator="equal">
      <formula>"GRA"</formula>
    </cfRule>
    <cfRule type="cellIs" dxfId="1377" priority="85" operator="equal">
      <formula>"PUR"</formula>
    </cfRule>
    <cfRule type="cellIs" dxfId="1376" priority="86" operator="equal">
      <formula>"BRO"</formula>
    </cfRule>
    <cfRule type="cellIs" dxfId="1375" priority="87" operator="equal">
      <formula>"YEL"</formula>
    </cfRule>
    <cfRule type="cellIs" dxfId="1374" priority="88" operator="equal">
      <formula>"BLU"</formula>
    </cfRule>
    <cfRule type="cellIs" dxfId="1373" priority="89" operator="equal">
      <formula>"WHI"</formula>
    </cfRule>
    <cfRule type="cellIs" dxfId="1372" priority="90" operator="equal">
      <formula>"GRE"</formula>
    </cfRule>
    <cfRule type="cellIs" dxfId="1371" priority="91" operator="equal">
      <formula>"RED"</formula>
    </cfRule>
    <cfRule type="cellIs" dxfId="1370" priority="92" operator="equal">
      <formula>"BLA"</formula>
    </cfRule>
  </conditionalFormatting>
  <conditionalFormatting sqref="BV3">
    <cfRule type="cellIs" dxfId="1369" priority="104" operator="equal">
      <formula>"nc"</formula>
    </cfRule>
  </conditionalFormatting>
  <conditionalFormatting sqref="BX3:CA3 CD3:CF3">
    <cfRule type="cellIs" dxfId="1368" priority="78" operator="equal">
      <formula>"y"</formula>
    </cfRule>
    <cfRule type="cellIs" dxfId="1367" priority="93" operator="equal">
      <formula>"PIN"</formula>
    </cfRule>
    <cfRule type="cellIs" dxfId="1366" priority="94" operator="equal">
      <formula>"ORA"</formula>
    </cfRule>
    <cfRule type="cellIs" dxfId="1365" priority="95" operator="equal">
      <formula>"GRA"</formula>
    </cfRule>
    <cfRule type="cellIs" dxfId="1364" priority="96" operator="equal">
      <formula>"PUR"</formula>
    </cfRule>
    <cfRule type="cellIs" dxfId="1363" priority="97" operator="equal">
      <formula>"BRO"</formula>
    </cfRule>
    <cfRule type="cellIs" dxfId="1362" priority="98" operator="equal">
      <formula>"YEL"</formula>
    </cfRule>
    <cfRule type="cellIs" dxfId="1361" priority="99" operator="equal">
      <formula>"BLU"</formula>
    </cfRule>
    <cfRule type="cellIs" dxfId="1360" priority="100" operator="equal">
      <formula>"WHI"</formula>
    </cfRule>
    <cfRule type="cellIs" dxfId="1359" priority="101" operator="equal">
      <formula>"GRE"</formula>
    </cfRule>
    <cfRule type="cellIs" dxfId="1358" priority="102" operator="equal">
      <formula>"RED"</formula>
    </cfRule>
    <cfRule type="cellIs" dxfId="1357" priority="103" operator="equal">
      <formula>"BLA"</formula>
    </cfRule>
  </conditionalFormatting>
  <conditionalFormatting sqref="BZ3:CA3 CD3:CF3">
    <cfRule type="cellIs" dxfId="1356" priority="80" operator="greaterThan">
      <formula>0</formula>
    </cfRule>
  </conditionalFormatting>
  <conditionalFormatting sqref="IC3:IK3">
    <cfRule type="expression" dxfId="1355" priority="81">
      <formula>$IL3&gt;0</formula>
    </cfRule>
  </conditionalFormatting>
  <conditionalFormatting sqref="J3">
    <cfRule type="colorScale" priority="105">
      <colorScale>
        <cfvo type="min"/>
        <cfvo type="percentile" val="50"/>
        <cfvo type="max"/>
        <color rgb="FFF8696B"/>
        <color rgb="FFFFEB84"/>
        <color rgb="FF63BE7B"/>
      </colorScale>
    </cfRule>
  </conditionalFormatting>
  <conditionalFormatting sqref="S3">
    <cfRule type="colorScale" priority="106">
      <colorScale>
        <cfvo type="min"/>
        <cfvo type="max"/>
        <color rgb="FFFCFCFF"/>
        <color rgb="FF754BFB"/>
      </colorScale>
    </cfRule>
  </conditionalFormatting>
  <conditionalFormatting sqref="AT3">
    <cfRule type="colorScale" priority="107">
      <colorScale>
        <cfvo type="min"/>
        <cfvo type="max"/>
        <color rgb="FFFCFCFF"/>
        <color theme="8" tint="0.39997558519241921"/>
      </colorScale>
    </cfRule>
  </conditionalFormatting>
  <conditionalFormatting sqref="CG3">
    <cfRule type="colorScale" priority="108">
      <colorScale>
        <cfvo type="min"/>
        <cfvo type="max"/>
        <color rgb="FFFCFCFF"/>
        <color rgb="FF63BE7B"/>
      </colorScale>
    </cfRule>
  </conditionalFormatting>
  <conditionalFormatting sqref="H4">
    <cfRule type="cellIs" dxfId="1354" priority="41" stopIfTrue="1" operator="notEqual">
      <formula>""</formula>
    </cfRule>
  </conditionalFormatting>
  <conditionalFormatting sqref="R4 CU4">
    <cfRule type="cellIs" dxfId="1353" priority="43" operator="greaterThan">
      <formula>0</formula>
    </cfRule>
  </conditionalFormatting>
  <conditionalFormatting sqref="T4:AS4 CH4:CS4">
    <cfRule type="cellIs" dxfId="1352" priority="38" stopIfTrue="1" operator="equal">
      <formula>"n"</formula>
    </cfRule>
    <cfRule type="cellIs" dxfId="1351" priority="39" stopIfTrue="1" operator="equal">
      <formula>"y"</formula>
    </cfRule>
    <cfRule type="cellIs" dxfId="1350" priority="40" operator="greaterThan">
      <formula>0</formula>
    </cfRule>
  </conditionalFormatting>
  <conditionalFormatting sqref="AZ4:BB4">
    <cfRule type="expression" dxfId="1349" priority="37">
      <formula>$AT4=0</formula>
    </cfRule>
  </conditionalFormatting>
  <conditionalFormatting sqref="AZ4:BU4">
    <cfRule type="cellIs" dxfId="1348" priority="46" operator="equal">
      <formula>"PIN"</formula>
    </cfRule>
    <cfRule type="cellIs" dxfId="1347" priority="47" operator="equal">
      <formula>"ORA"</formula>
    </cfRule>
    <cfRule type="cellIs" dxfId="1346" priority="48" operator="equal">
      <formula>"GRA"</formula>
    </cfRule>
    <cfRule type="cellIs" dxfId="1345" priority="49" operator="equal">
      <formula>"PUR"</formula>
    </cfRule>
    <cfRule type="cellIs" dxfId="1344" priority="50" operator="equal">
      <formula>"BRO"</formula>
    </cfRule>
    <cfRule type="cellIs" dxfId="1343" priority="51" operator="equal">
      <formula>"YEL"</formula>
    </cfRule>
    <cfRule type="cellIs" dxfId="1342" priority="52" operator="equal">
      <formula>"BLU"</formula>
    </cfRule>
    <cfRule type="cellIs" dxfId="1341" priority="53" operator="equal">
      <formula>"WHI"</formula>
    </cfRule>
    <cfRule type="cellIs" dxfId="1340" priority="54" operator="equal">
      <formula>"GRE"</formula>
    </cfRule>
    <cfRule type="cellIs" dxfId="1339" priority="55" operator="equal">
      <formula>"RED"</formula>
    </cfRule>
    <cfRule type="cellIs" dxfId="1338" priority="56" operator="equal">
      <formula>"BLA"</formula>
    </cfRule>
  </conditionalFormatting>
  <conditionalFormatting sqref="BV4">
    <cfRule type="cellIs" dxfId="1337" priority="68" operator="equal">
      <formula>"nc"</formula>
    </cfRule>
  </conditionalFormatting>
  <conditionalFormatting sqref="BX4:CA4 CD4:CF4">
    <cfRule type="cellIs" dxfId="1336" priority="42" operator="equal">
      <formula>"y"</formula>
    </cfRule>
    <cfRule type="cellIs" dxfId="1335" priority="57" operator="equal">
      <formula>"PIN"</formula>
    </cfRule>
    <cfRule type="cellIs" dxfId="1334" priority="58" operator="equal">
      <formula>"ORA"</formula>
    </cfRule>
    <cfRule type="cellIs" dxfId="1333" priority="59" operator="equal">
      <formula>"GRA"</formula>
    </cfRule>
    <cfRule type="cellIs" dxfId="1332" priority="60" operator="equal">
      <formula>"PUR"</formula>
    </cfRule>
    <cfRule type="cellIs" dxfId="1331" priority="61" operator="equal">
      <formula>"BRO"</formula>
    </cfRule>
    <cfRule type="cellIs" dxfId="1330" priority="62" operator="equal">
      <formula>"YEL"</formula>
    </cfRule>
    <cfRule type="cellIs" dxfId="1329" priority="63" operator="equal">
      <formula>"BLU"</formula>
    </cfRule>
    <cfRule type="cellIs" dxfId="1328" priority="64" operator="equal">
      <formula>"WHI"</formula>
    </cfRule>
    <cfRule type="cellIs" dxfId="1327" priority="65" operator="equal">
      <formula>"GRE"</formula>
    </cfRule>
    <cfRule type="cellIs" dxfId="1326" priority="66" operator="equal">
      <formula>"RED"</formula>
    </cfRule>
    <cfRule type="cellIs" dxfId="1325" priority="67" operator="equal">
      <formula>"BLA"</formula>
    </cfRule>
  </conditionalFormatting>
  <conditionalFormatting sqref="BZ4:CA4 CD4:CF4">
    <cfRule type="cellIs" dxfId="1324" priority="44" operator="greaterThan">
      <formula>0</formula>
    </cfRule>
  </conditionalFormatting>
  <conditionalFormatting sqref="IC4:IK4">
    <cfRule type="expression" dxfId="1323" priority="45">
      <formula>$IL4&gt;0</formula>
    </cfRule>
  </conditionalFormatting>
  <conditionalFormatting sqref="J4">
    <cfRule type="colorScale" priority="69">
      <colorScale>
        <cfvo type="min"/>
        <cfvo type="percentile" val="50"/>
        <cfvo type="max"/>
        <color rgb="FFF8696B"/>
        <color rgb="FFFFEB84"/>
        <color rgb="FF63BE7B"/>
      </colorScale>
    </cfRule>
  </conditionalFormatting>
  <conditionalFormatting sqref="S4">
    <cfRule type="colorScale" priority="70">
      <colorScale>
        <cfvo type="min"/>
        <cfvo type="max"/>
        <color rgb="FFFCFCFF"/>
        <color rgb="FF754BFB"/>
      </colorScale>
    </cfRule>
  </conditionalFormatting>
  <conditionalFormatting sqref="AT4">
    <cfRule type="colorScale" priority="71">
      <colorScale>
        <cfvo type="min"/>
        <cfvo type="max"/>
        <color rgb="FFFCFCFF"/>
        <color theme="8" tint="0.39997558519241921"/>
      </colorScale>
    </cfRule>
  </conditionalFormatting>
  <conditionalFormatting sqref="CG4">
    <cfRule type="colorScale" priority="72">
      <colorScale>
        <cfvo type="min"/>
        <cfvo type="max"/>
        <color rgb="FFFCFCFF"/>
        <color rgb="FF63BE7B"/>
      </colorScale>
    </cfRule>
  </conditionalFormatting>
  <conditionalFormatting sqref="H5">
    <cfRule type="cellIs" dxfId="1322" priority="5" stopIfTrue="1" operator="notEqual">
      <formula>""</formula>
    </cfRule>
  </conditionalFormatting>
  <conditionalFormatting sqref="R5 CU5">
    <cfRule type="cellIs" dxfId="1321" priority="7" operator="greaterThan">
      <formula>0</formula>
    </cfRule>
  </conditionalFormatting>
  <conditionalFormatting sqref="T5:AS5 CH5:CS5">
    <cfRule type="cellIs" dxfId="1320" priority="2" stopIfTrue="1" operator="equal">
      <formula>"n"</formula>
    </cfRule>
    <cfRule type="cellIs" dxfId="1319" priority="3" stopIfTrue="1" operator="equal">
      <formula>"y"</formula>
    </cfRule>
    <cfRule type="cellIs" dxfId="1318" priority="4" operator="greaterThan">
      <formula>0</formula>
    </cfRule>
  </conditionalFormatting>
  <conditionalFormatting sqref="AZ5:BB5">
    <cfRule type="expression" dxfId="1317" priority="1">
      <formula>$AT5=0</formula>
    </cfRule>
  </conditionalFormatting>
  <conditionalFormatting sqref="AZ5:BU5">
    <cfRule type="cellIs" dxfId="1316" priority="10" operator="equal">
      <formula>"PIN"</formula>
    </cfRule>
    <cfRule type="cellIs" dxfId="1315" priority="11" operator="equal">
      <formula>"ORA"</formula>
    </cfRule>
    <cfRule type="cellIs" dxfId="1314" priority="12" operator="equal">
      <formula>"GRA"</formula>
    </cfRule>
    <cfRule type="cellIs" dxfId="1313" priority="13" operator="equal">
      <formula>"PUR"</formula>
    </cfRule>
    <cfRule type="cellIs" dxfId="1312" priority="14" operator="equal">
      <formula>"BRO"</formula>
    </cfRule>
    <cfRule type="cellIs" dxfId="1311" priority="15" operator="equal">
      <formula>"YEL"</formula>
    </cfRule>
    <cfRule type="cellIs" dxfId="1310" priority="16" operator="equal">
      <formula>"BLU"</formula>
    </cfRule>
    <cfRule type="cellIs" dxfId="1309" priority="17" operator="equal">
      <formula>"WHI"</formula>
    </cfRule>
    <cfRule type="cellIs" dxfId="1308" priority="18" operator="equal">
      <formula>"GRE"</formula>
    </cfRule>
    <cfRule type="cellIs" dxfId="1307" priority="19" operator="equal">
      <formula>"RED"</formula>
    </cfRule>
    <cfRule type="cellIs" dxfId="1306" priority="20" operator="equal">
      <formula>"BLA"</formula>
    </cfRule>
  </conditionalFormatting>
  <conditionalFormatting sqref="BV5">
    <cfRule type="cellIs" dxfId="1305" priority="32" operator="equal">
      <formula>"nc"</formula>
    </cfRule>
  </conditionalFormatting>
  <conditionalFormatting sqref="BX5:CA5 CD5:CF5">
    <cfRule type="cellIs" dxfId="1304" priority="6" operator="equal">
      <formula>"y"</formula>
    </cfRule>
    <cfRule type="cellIs" dxfId="1303" priority="21" operator="equal">
      <formula>"PIN"</formula>
    </cfRule>
    <cfRule type="cellIs" dxfId="1302" priority="22" operator="equal">
      <formula>"ORA"</formula>
    </cfRule>
    <cfRule type="cellIs" dxfId="1301" priority="23" operator="equal">
      <formula>"GRA"</formula>
    </cfRule>
    <cfRule type="cellIs" dxfId="1300" priority="24" operator="equal">
      <formula>"PUR"</formula>
    </cfRule>
    <cfRule type="cellIs" dxfId="1299" priority="25" operator="equal">
      <formula>"BRO"</formula>
    </cfRule>
    <cfRule type="cellIs" dxfId="1298" priority="26" operator="equal">
      <formula>"YEL"</formula>
    </cfRule>
    <cfRule type="cellIs" dxfId="1297" priority="27" operator="equal">
      <formula>"BLU"</formula>
    </cfRule>
    <cfRule type="cellIs" dxfId="1296" priority="28" operator="equal">
      <formula>"WHI"</formula>
    </cfRule>
    <cfRule type="cellIs" dxfId="1295" priority="29" operator="equal">
      <formula>"GRE"</formula>
    </cfRule>
    <cfRule type="cellIs" dxfId="1294" priority="30" operator="equal">
      <formula>"RED"</formula>
    </cfRule>
    <cfRule type="cellIs" dxfId="1293" priority="31" operator="equal">
      <formula>"BLA"</formula>
    </cfRule>
  </conditionalFormatting>
  <conditionalFormatting sqref="BZ5:CA5 CD5:CF5">
    <cfRule type="cellIs" dxfId="1292" priority="8" operator="greaterThan">
      <formula>0</formula>
    </cfRule>
  </conditionalFormatting>
  <conditionalFormatting sqref="IC5:IK5">
    <cfRule type="expression" dxfId="1291" priority="9">
      <formula>$IL5&gt;0</formula>
    </cfRule>
  </conditionalFormatting>
  <conditionalFormatting sqref="J5">
    <cfRule type="colorScale" priority="33">
      <colorScale>
        <cfvo type="min"/>
        <cfvo type="percentile" val="50"/>
        <cfvo type="max"/>
        <color rgb="FFF8696B"/>
        <color rgb="FFFFEB84"/>
        <color rgb="FF63BE7B"/>
      </colorScale>
    </cfRule>
  </conditionalFormatting>
  <conditionalFormatting sqref="S5">
    <cfRule type="colorScale" priority="34">
      <colorScale>
        <cfvo type="min"/>
        <cfvo type="max"/>
        <color rgb="FFFCFCFF"/>
        <color rgb="FF754BFB"/>
      </colorScale>
    </cfRule>
  </conditionalFormatting>
  <conditionalFormatting sqref="AT5">
    <cfRule type="colorScale" priority="35">
      <colorScale>
        <cfvo type="min"/>
        <cfvo type="max"/>
        <color rgb="FFFCFCFF"/>
        <color theme="8" tint="0.39997558519241921"/>
      </colorScale>
    </cfRule>
  </conditionalFormatting>
  <conditionalFormatting sqref="CG5">
    <cfRule type="colorScale" priority="36">
      <colorScale>
        <cfvo type="min"/>
        <cfvo type="max"/>
        <color rgb="FFFCFCFF"/>
        <color rgb="FF63BE7B"/>
      </colorScale>
    </cfRule>
  </conditionalFormatting>
  <pageMargins left="0.7" right="0.7" top="0.75" bottom="0.75" header="0.3" footer="0.3"/>
</worksheet>
</file>

<file path=docMetadata/LabelInfo.xml><?xml version="1.0" encoding="utf-8"?>
<clbl:labelList xmlns:clbl="http://schemas.microsoft.com/office/2020/mipLabelMetadata">
  <clbl:label id="{9d177183-d467-4059-a04d-31bcd56c2a79}" enabled="1" method="Privileged" siteId="{c7b320cf-0acf-483e-836e-e4eb6866381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Oceania</vt:lpstr>
      <vt:lpstr>ASM</vt:lpstr>
      <vt:lpstr>AUS</vt:lpstr>
      <vt:lpstr>CXR</vt:lpstr>
      <vt:lpstr>CCK</vt:lpstr>
      <vt:lpstr>CKI</vt:lpstr>
      <vt:lpstr>FJI</vt:lpstr>
      <vt:lpstr>PLY</vt:lpstr>
      <vt:lpstr>GUM</vt:lpstr>
      <vt:lpstr>KIR</vt:lpstr>
      <vt:lpstr>MHL</vt:lpstr>
      <vt:lpstr>MIC</vt:lpstr>
      <vt:lpstr>NRU</vt:lpstr>
      <vt:lpstr>NCL</vt:lpstr>
      <vt:lpstr>NZE</vt:lpstr>
      <vt:lpstr>NIU</vt:lpstr>
      <vt:lpstr>NFK</vt:lpstr>
      <vt:lpstr>MNP</vt:lpstr>
      <vt:lpstr>PAU</vt:lpstr>
      <vt:lpstr>PNG</vt:lpstr>
      <vt:lpstr>PCN</vt:lpstr>
      <vt:lpstr>SMO</vt:lpstr>
      <vt:lpstr>SOL</vt:lpstr>
      <vt:lpstr>TON</vt:lpstr>
      <vt:lpstr>TUV</vt:lpstr>
      <vt:lpstr>VUT</vt:lpstr>
      <vt:lpstr>WLF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Castillo</dc:creator>
  <cp:lastModifiedBy>Juan Castillo</cp:lastModifiedBy>
  <dcterms:created xsi:type="dcterms:W3CDTF">2024-12-30T11:16:52Z</dcterms:created>
  <dcterms:modified xsi:type="dcterms:W3CDTF">2024-12-30T11:19:48Z</dcterms:modified>
</cp:coreProperties>
</file>