
<file path=[Content_Types].xml><?xml version="1.0" encoding="utf-8"?>
<Types xmlns="http://schemas.openxmlformats.org/package/2006/content-type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defaultThemeVersion="202300"/>
  <mc:AlternateContent xmlns:mc="http://schemas.openxmlformats.org/markup-compatibility/2006">
    <mc:Choice Requires="x15">
      <x15ac:absPath xmlns:x15ac="http://schemas.microsoft.com/office/spreadsheetml/2010/11/ac" url="C:\Users\Juan.Castillo\Desktop\Macro Test\"/>
    </mc:Choice>
  </mc:AlternateContent>
  <xr:revisionPtr revIDLastSave="0" documentId="8_{AFF727A1-DB6F-4071-A0EA-D506E08F5727}" xr6:coauthVersionLast="47" xr6:coauthVersionMax="47" xr10:uidLastSave="{00000000-0000-0000-0000-000000000000}"/>
  <bookViews>
    <workbookView xWindow="-108" yWindow="-108" windowWidth="23256" windowHeight="12456" activeTab="14" xr2:uid="{DF8261DB-5643-494E-8E76-298E78CE62B5}"/>
  </bookViews>
  <sheets>
    <sheet name="South America" sheetId="1" r:id="rId1"/>
    <sheet name="ARG" sheetId="2" r:id="rId2"/>
    <sheet name="BOL" sheetId="3" r:id="rId3"/>
    <sheet name="BRA" sheetId="4" r:id="rId4"/>
    <sheet name="CHL" sheetId="5" r:id="rId5"/>
    <sheet name="COL" sheetId="6" r:id="rId6"/>
    <sheet name="ECU" sheetId="7" r:id="rId7"/>
    <sheet name="FLK" sheetId="8" r:id="rId8"/>
    <sheet name="GUF" sheetId="9" r:id="rId9"/>
    <sheet name="GUY" sheetId="10" r:id="rId10"/>
    <sheet name="PRY" sheetId="11" r:id="rId11"/>
    <sheet name="PER" sheetId="12" r:id="rId12"/>
    <sheet name="SUR" sheetId="13" r:id="rId13"/>
    <sheet name="URU" sheetId="14" r:id="rId14"/>
    <sheet name="VEN" sheetId="15" r:id="rId1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X9" i="14" l="1" a="1"/>
  <c r="HX9" i="14" s="1"/>
  <c r="IW9" i="14" s="1"/>
  <c r="HW9" i="14" a="1"/>
  <c r="HW9" i="14" s="1"/>
  <c r="IV9" i="14" s="1"/>
  <c r="HV9" i="14" a="1"/>
  <c r="HV9" i="14" s="1"/>
  <c r="IU9" i="14" s="1"/>
  <c r="HU9" i="14" a="1"/>
  <c r="HU9" i="14" s="1"/>
  <c r="IT9" i="14" s="1"/>
  <c r="HT9" i="14" a="1"/>
  <c r="HT9" i="14" s="1"/>
  <c r="IS9" i="14" s="1"/>
  <c r="HS9" i="14"/>
  <c r="IR9" i="14" s="1"/>
  <c r="HS9" i="14" a="1"/>
  <c r="HR9" i="14" a="1"/>
  <c r="HR9" i="14" s="1"/>
  <c r="IQ9" i="14" s="1"/>
  <c r="HQ9" i="14" a="1"/>
  <c r="HQ9" i="14" s="1"/>
  <c r="IP9" i="14" s="1"/>
  <c r="HP9" i="14"/>
  <c r="IO9" i="14" s="1"/>
  <c r="HP9" i="14" a="1"/>
  <c r="HL9" i="14"/>
  <c r="HJ9" i="14"/>
  <c r="HH9" i="14"/>
  <c r="HB9" i="14"/>
  <c r="HA9" i="14"/>
  <c r="GZ9" i="14"/>
  <c r="GY9" i="14"/>
  <c r="GX9" i="14"/>
  <c r="GW9" i="14"/>
  <c r="GV9" i="14"/>
  <c r="GU9" i="14"/>
  <c r="GT9" i="14"/>
  <c r="GP9" i="14"/>
  <c r="GL9" i="14"/>
  <c r="GJ9" i="14"/>
  <c r="GK9" i="14" s="1"/>
  <c r="GI9" i="14"/>
  <c r="GH9" i="14"/>
  <c r="GG9" i="14"/>
  <c r="GF9" i="14"/>
  <c r="GE9" i="14"/>
  <c r="GB9" i="14"/>
  <c r="GA9" i="14"/>
  <c r="FZ9" i="14"/>
  <c r="FY9" i="14"/>
  <c r="FW9" i="14"/>
  <c r="FV9" i="14"/>
  <c r="FU9" i="14"/>
  <c r="FT9" i="14"/>
  <c r="FS9" i="14"/>
  <c r="FR9" i="14"/>
  <c r="FQ9" i="14"/>
  <c r="FP9" i="14"/>
  <c r="FK9" i="14"/>
  <c r="FJ9" i="14"/>
  <c r="FM9" i="14" s="1"/>
  <c r="FI9" i="14"/>
  <c r="FL9" i="14" s="1"/>
  <c r="FH9" i="14"/>
  <c r="FG9" i="14"/>
  <c r="FF9" i="14"/>
  <c r="FE9" i="14"/>
  <c r="FD9" i="14"/>
  <c r="FB9" i="14"/>
  <c r="FA9" i="14"/>
  <c r="EZ9" i="14"/>
  <c r="EY9" i="14"/>
  <c r="EX9" i="14"/>
  <c r="EW9" i="14"/>
  <c r="EV9" i="14"/>
  <c r="EU9" i="14"/>
  <c r="ET9" i="14"/>
  <c r="ES9" i="14"/>
  <c r="ER9" i="14"/>
  <c r="EQ9" i="14"/>
  <c r="EP9" i="14"/>
  <c r="EO9" i="14"/>
  <c r="EN9" i="14"/>
  <c r="EM9" i="14"/>
  <c r="EL9" i="14"/>
  <c r="EK9" i="14"/>
  <c r="EJ9" i="14"/>
  <c r="EI9" i="14"/>
  <c r="EH9" i="14"/>
  <c r="EG9" i="14"/>
  <c r="EF9" i="14"/>
  <c r="EE9" i="14"/>
  <c r="ED9" i="14"/>
  <c r="EC9" i="14"/>
  <c r="EB9" i="14"/>
  <c r="EA9" i="14"/>
  <c r="DU9" i="14"/>
  <c r="DT9" i="14"/>
  <c r="DS9" i="14"/>
  <c r="DR9" i="14"/>
  <c r="DQ9" i="14"/>
  <c r="DP9" i="14"/>
  <c r="DO9" i="14"/>
  <c r="DN9" i="14"/>
  <c r="DK9" i="14"/>
  <c r="DJ9" i="14"/>
  <c r="DI9" i="14"/>
  <c r="DH9" i="14"/>
  <c r="DG9" i="14"/>
  <c r="DF9" i="14"/>
  <c r="DE9" i="14"/>
  <c r="DD9" i="14"/>
  <c r="DB9" i="14"/>
  <c r="DA9" i="14"/>
  <c r="CV9" i="14"/>
  <c r="CU9" i="14"/>
  <c r="CT9" i="14"/>
  <c r="CS9" i="14"/>
  <c r="GN9" i="14" s="1"/>
  <c r="CR9" i="14"/>
  <c r="GM9" i="14" s="1"/>
  <c r="CQ9" i="14"/>
  <c r="CP9" i="14"/>
  <c r="CO9" i="14"/>
  <c r="DZ9" i="14" s="1"/>
  <c r="CN9" i="14"/>
  <c r="DY9" i="14" s="1"/>
  <c r="CM9" i="14"/>
  <c r="DX9" i="14" s="1"/>
  <c r="CL9" i="14"/>
  <c r="DW9" i="14" s="1"/>
  <c r="CG9" i="14" a="1"/>
  <c r="CG9" i="14" s="1"/>
  <c r="IM9" i="14" s="1"/>
  <c r="AW9" i="14"/>
  <c r="AV9" i="14"/>
  <c r="J9" i="14"/>
  <c r="HI9" i="14" s="1"/>
  <c r="G9" i="14"/>
  <c r="IT3" i="13"/>
  <c r="IS3" i="13"/>
  <c r="HX3" i="13" a="1"/>
  <c r="HX3" i="13" s="1"/>
  <c r="IW3" i="13" s="1"/>
  <c r="HW3" i="13"/>
  <c r="IV3" i="13" s="1"/>
  <c r="HW3" i="13" a="1"/>
  <c r="HV3" i="13"/>
  <c r="IU3" i="13" s="1"/>
  <c r="HV3" i="13" a="1"/>
  <c r="HU3" i="13" a="1"/>
  <c r="HU3" i="13" s="1"/>
  <c r="HT3" i="13"/>
  <c r="HT3" i="13" a="1"/>
  <c r="HS3" i="13"/>
  <c r="IR3" i="13" s="1"/>
  <c r="HS3" i="13" a="1"/>
  <c r="HR3" i="13"/>
  <c r="IQ3" i="13" s="1"/>
  <c r="HR3" i="13" a="1"/>
  <c r="HQ3" i="13" a="1"/>
  <c r="HQ3" i="13" s="1"/>
  <c r="IP3" i="13" s="1"/>
  <c r="HP3" i="13" a="1"/>
  <c r="HP3" i="13" s="1"/>
  <c r="IO3" i="13" s="1"/>
  <c r="HL3" i="13"/>
  <c r="HJ3" i="13"/>
  <c r="HH3" i="13"/>
  <c r="HC3" i="13"/>
  <c r="HB3" i="13"/>
  <c r="HA3" i="13"/>
  <c r="GZ3" i="13"/>
  <c r="GY3" i="13"/>
  <c r="GX3" i="13"/>
  <c r="GW3" i="13"/>
  <c r="GV3" i="13"/>
  <c r="GU3" i="13"/>
  <c r="GT3" i="13"/>
  <c r="GP3" i="13"/>
  <c r="GN3" i="13"/>
  <c r="GM3" i="13"/>
  <c r="GK3" i="13"/>
  <c r="GI3" i="13"/>
  <c r="GH3" i="13"/>
  <c r="GG3" i="13"/>
  <c r="GF3" i="13"/>
  <c r="GE3" i="13"/>
  <c r="GB3" i="13"/>
  <c r="GA3" i="13"/>
  <c r="FZ3" i="13"/>
  <c r="FY3" i="13"/>
  <c r="FW3" i="13"/>
  <c r="FV3" i="13"/>
  <c r="FU3" i="13"/>
  <c r="FT3" i="13"/>
  <c r="FS3" i="13"/>
  <c r="FR3" i="13"/>
  <c r="FQ3" i="13"/>
  <c r="FP3" i="13"/>
  <c r="FO3" i="13"/>
  <c r="FN3" i="13"/>
  <c r="FM3" i="13"/>
  <c r="FL3" i="13"/>
  <c r="FK3" i="13"/>
  <c r="FJ3" i="13"/>
  <c r="FI3" i="13"/>
  <c r="FH3" i="13"/>
  <c r="FG3" i="13"/>
  <c r="FF3" i="13"/>
  <c r="FE3" i="13"/>
  <c r="FD3" i="13"/>
  <c r="FB3" i="13"/>
  <c r="FA3" i="13"/>
  <c r="EZ3" i="13"/>
  <c r="EY3" i="13"/>
  <c r="EX3" i="13"/>
  <c r="EW3" i="13"/>
  <c r="EV3" i="13"/>
  <c r="EU3" i="13"/>
  <c r="ET3" i="13"/>
  <c r="ES3" i="13"/>
  <c r="ER3" i="13"/>
  <c r="EQ3" i="13"/>
  <c r="EP3" i="13"/>
  <c r="EO3" i="13"/>
  <c r="EN3" i="13"/>
  <c r="EM3" i="13"/>
  <c r="EL3" i="13"/>
  <c r="EK3" i="13"/>
  <c r="EJ3" i="13"/>
  <c r="EI3" i="13"/>
  <c r="EH3" i="13"/>
  <c r="EG3" i="13"/>
  <c r="EF3" i="13"/>
  <c r="EE3" i="13"/>
  <c r="ED3" i="13"/>
  <c r="EC3" i="13"/>
  <c r="EB3" i="13"/>
  <c r="EA3" i="13"/>
  <c r="DZ3" i="13"/>
  <c r="DY3" i="13"/>
  <c r="DU3" i="13"/>
  <c r="DT3" i="13"/>
  <c r="DS3" i="13"/>
  <c r="DR3" i="13"/>
  <c r="DQ3" i="13"/>
  <c r="DP3" i="13"/>
  <c r="DO3" i="13"/>
  <c r="DN3" i="13"/>
  <c r="DK3" i="13"/>
  <c r="DJ3" i="13"/>
  <c r="DI3" i="13"/>
  <c r="DH3" i="13"/>
  <c r="DG3" i="13"/>
  <c r="DF3" i="13"/>
  <c r="DE3" i="13"/>
  <c r="DD3" i="13"/>
  <c r="DB3" i="13"/>
  <c r="DA3" i="13"/>
  <c r="CV3" i="13"/>
  <c r="CU3" i="13"/>
  <c r="CT3" i="13"/>
  <c r="CS3" i="13"/>
  <c r="CR3" i="13"/>
  <c r="CQ3" i="13"/>
  <c r="GL3" i="13" s="1"/>
  <c r="CP3" i="13"/>
  <c r="GJ3" i="13" s="1"/>
  <c r="CO3" i="13"/>
  <c r="CN3" i="13"/>
  <c r="CM3" i="13"/>
  <c r="DX3" i="13" s="1"/>
  <c r="CL3" i="13"/>
  <c r="DW3" i="13" s="1"/>
  <c r="CG3" i="13"/>
  <c r="CG3" i="13" a="1"/>
  <c r="AW3" i="13"/>
  <c r="AV3" i="13"/>
  <c r="J3" i="13"/>
  <c r="HI3" i="13" s="1"/>
  <c r="G3" i="13"/>
  <c r="IW3" i="8"/>
  <c r="IP3" i="8"/>
  <c r="HX3" i="8"/>
  <c r="HX3" i="8" a="1"/>
  <c r="HW3" i="8" a="1"/>
  <c r="HW3" i="8" s="1"/>
  <c r="IV3" i="8" s="1"/>
  <c r="HV3" i="8" a="1"/>
  <c r="HV3" i="8" s="1"/>
  <c r="IU3" i="8" s="1"/>
  <c r="HU3" i="8" a="1"/>
  <c r="HU3" i="8" s="1"/>
  <c r="IT3" i="8" s="1"/>
  <c r="HT3" i="8" a="1"/>
  <c r="HT3" i="8" s="1"/>
  <c r="IS3" i="8" s="1"/>
  <c r="HS3" i="8"/>
  <c r="IR3" i="8" s="1"/>
  <c r="HS3" i="8" a="1"/>
  <c r="HR3" i="8" a="1"/>
  <c r="HR3" i="8" s="1"/>
  <c r="IQ3" i="8" s="1"/>
  <c r="HQ3" i="8" a="1"/>
  <c r="HQ3" i="8" s="1"/>
  <c r="HP3" i="8"/>
  <c r="IO3" i="8" s="1"/>
  <c r="HP3" i="8" a="1"/>
  <c r="HL3" i="8"/>
  <c r="HJ3" i="8"/>
  <c r="HI3" i="8"/>
  <c r="HH3" i="8"/>
  <c r="HB3" i="8"/>
  <c r="HA3" i="8"/>
  <c r="GZ3" i="8"/>
  <c r="GY3" i="8"/>
  <c r="GX3" i="8"/>
  <c r="GW3" i="8"/>
  <c r="GV3" i="8"/>
  <c r="GU3" i="8"/>
  <c r="GT3" i="8"/>
  <c r="HC3" i="8" s="1"/>
  <c r="GP3" i="8"/>
  <c r="GI3" i="8"/>
  <c r="GH3" i="8"/>
  <c r="GG3" i="8"/>
  <c r="GF3" i="8"/>
  <c r="GE3" i="8"/>
  <c r="GB3" i="8"/>
  <c r="GA3" i="8"/>
  <c r="FZ3" i="8"/>
  <c r="FY3" i="8"/>
  <c r="FW3" i="8"/>
  <c r="FV3" i="8"/>
  <c r="FU3" i="8"/>
  <c r="FT3" i="8"/>
  <c r="FS3" i="8"/>
  <c r="FR3" i="8"/>
  <c r="FQ3" i="8"/>
  <c r="FM3" i="8"/>
  <c r="FL3" i="8"/>
  <c r="FJ3" i="8"/>
  <c r="FI3" i="8"/>
  <c r="FH3" i="8"/>
  <c r="FG3" i="8"/>
  <c r="FF3" i="8"/>
  <c r="FP3" i="8" s="1"/>
  <c r="FE3" i="8"/>
  <c r="FD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Y3" i="8"/>
  <c r="DW3" i="8"/>
  <c r="DU3" i="8"/>
  <c r="DT3" i="8"/>
  <c r="DS3" i="8"/>
  <c r="DR3" i="8"/>
  <c r="DQ3" i="8"/>
  <c r="DP3" i="8"/>
  <c r="DO3" i="8"/>
  <c r="DN3" i="8"/>
  <c r="DK3" i="8"/>
  <c r="DJ3" i="8"/>
  <c r="DI3" i="8"/>
  <c r="DH3" i="8"/>
  <c r="DG3" i="8"/>
  <c r="DF3" i="8"/>
  <c r="DE3" i="8"/>
  <c r="DD3" i="8"/>
  <c r="DB3" i="8"/>
  <c r="DA3" i="8"/>
  <c r="CV3" i="8"/>
  <c r="CU3" i="8"/>
  <c r="CT3" i="8"/>
  <c r="CS3" i="8"/>
  <c r="GN3" i="8" s="1"/>
  <c r="CR3" i="8"/>
  <c r="GM3" i="8" s="1"/>
  <c r="CQ3" i="8"/>
  <c r="GL3" i="8" s="1"/>
  <c r="CP3" i="8"/>
  <c r="GJ3" i="8" s="1"/>
  <c r="GK3" i="8" s="1"/>
  <c r="CO3" i="8"/>
  <c r="DZ3" i="8" s="1"/>
  <c r="CN3" i="8"/>
  <c r="CM3" i="8"/>
  <c r="DX3" i="8" s="1"/>
  <c r="CL3" i="8"/>
  <c r="CJ3" i="8"/>
  <c r="CY3" i="8" s="1"/>
  <c r="CH3" i="8"/>
  <c r="CW3" i="8" s="1"/>
  <c r="CG3" i="8" a="1"/>
  <c r="CG3" i="8" s="1"/>
  <c r="AW3" i="8"/>
  <c r="AV3" i="8"/>
  <c r="J3" i="8"/>
  <c r="G3" i="8"/>
  <c r="IU5" i="6"/>
  <c r="IT5" i="6"/>
  <c r="IR5" i="6"/>
  <c r="IO5" i="6"/>
  <c r="IM5" i="6"/>
  <c r="HX5" i="6"/>
  <c r="IW5" i="6" s="1"/>
  <c r="HX5" i="6" a="1"/>
  <c r="HW5" i="6" a="1"/>
  <c r="HW5" i="6" s="1"/>
  <c r="IV5" i="6" s="1"/>
  <c r="HV5" i="6"/>
  <c r="HV5" i="6" a="1"/>
  <c r="HU5" i="6"/>
  <c r="HU5" i="6" a="1"/>
  <c r="HT5" i="6" a="1"/>
  <c r="HT5" i="6" s="1"/>
  <c r="IS5" i="6" s="1"/>
  <c r="HS5" i="6"/>
  <c r="HS5" i="6" a="1"/>
  <c r="HR5" i="6" a="1"/>
  <c r="HR5" i="6" s="1"/>
  <c r="IQ5" i="6" s="1"/>
  <c r="HQ5" i="6"/>
  <c r="IP5" i="6" s="1"/>
  <c r="HQ5" i="6" a="1"/>
  <c r="HP5" i="6"/>
  <c r="HP5" i="6" a="1"/>
  <c r="HL5" i="6"/>
  <c r="HJ5" i="6"/>
  <c r="HI5" i="6"/>
  <c r="HH5" i="6"/>
  <c r="HC5" i="6"/>
  <c r="HB5" i="6"/>
  <c r="HA5" i="6"/>
  <c r="GZ5" i="6"/>
  <c r="GY5" i="6"/>
  <c r="GX5" i="6"/>
  <c r="GW5" i="6"/>
  <c r="GV5" i="6"/>
  <c r="GU5" i="6"/>
  <c r="GT5" i="6"/>
  <c r="GP5" i="6"/>
  <c r="GN5" i="6"/>
  <c r="GI5" i="6"/>
  <c r="GH5" i="6"/>
  <c r="GG5" i="6"/>
  <c r="GF5" i="6"/>
  <c r="GE5" i="6"/>
  <c r="GB5" i="6"/>
  <c r="GA5" i="6"/>
  <c r="FZ5" i="6"/>
  <c r="FY5" i="6"/>
  <c r="FW5" i="6"/>
  <c r="FV5" i="6"/>
  <c r="FU5" i="6"/>
  <c r="FT5" i="6"/>
  <c r="FS5" i="6"/>
  <c r="FR5" i="6"/>
  <c r="FQ5" i="6"/>
  <c r="FO5" i="6"/>
  <c r="FJ5" i="6"/>
  <c r="FI5" i="6"/>
  <c r="FH5" i="6"/>
  <c r="FG5" i="6"/>
  <c r="FF5" i="6"/>
  <c r="FE5" i="6"/>
  <c r="FD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U5" i="6"/>
  <c r="DT5" i="6"/>
  <c r="DS5" i="6"/>
  <c r="DR5" i="6"/>
  <c r="DQ5" i="6"/>
  <c r="DP5" i="6"/>
  <c r="DO5" i="6"/>
  <c r="DN5" i="6"/>
  <c r="DK5" i="6"/>
  <c r="DJ5" i="6"/>
  <c r="DI5" i="6"/>
  <c r="DH5" i="6"/>
  <c r="DG5" i="6"/>
  <c r="DF5" i="6"/>
  <c r="DE5" i="6"/>
  <c r="DD5" i="6"/>
  <c r="DB5" i="6"/>
  <c r="DA5" i="6"/>
  <c r="CV5" i="6"/>
  <c r="CU5" i="6"/>
  <c r="CT5" i="6"/>
  <c r="CS5" i="6"/>
  <c r="CR5" i="6"/>
  <c r="GM5" i="6" s="1"/>
  <c r="CQ5" i="6"/>
  <c r="GL5" i="6" s="1"/>
  <c r="CP5" i="6"/>
  <c r="GJ5" i="6" s="1"/>
  <c r="GK5" i="6" s="1"/>
  <c r="CO5" i="6"/>
  <c r="DZ5" i="6" s="1"/>
  <c r="CN5" i="6"/>
  <c r="DY5" i="6" s="1"/>
  <c r="CM5" i="6"/>
  <c r="DX5" i="6" s="1"/>
  <c r="CL5" i="6"/>
  <c r="DW5" i="6" s="1"/>
  <c r="CG5" i="6"/>
  <c r="CG5" i="6" a="1"/>
  <c r="AW5" i="6"/>
  <c r="AV5" i="6"/>
  <c r="J5" i="6"/>
  <c r="G5" i="6"/>
  <c r="IV15" i="5"/>
  <c r="IT15" i="5"/>
  <c r="IS15" i="5"/>
  <c r="IR15" i="5"/>
  <c r="IL15" i="5"/>
  <c r="HX15" i="5" a="1"/>
  <c r="HX15" i="5" s="1"/>
  <c r="IW15" i="5" s="1"/>
  <c r="HW15" i="5" a="1"/>
  <c r="HW15" i="5" s="1"/>
  <c r="HV15" i="5" a="1"/>
  <c r="HV15" i="5" s="1"/>
  <c r="IU15" i="5" s="1"/>
  <c r="HU15" i="5" a="1"/>
  <c r="HU15" i="5" s="1"/>
  <c r="HT15" i="5" a="1"/>
  <c r="HT15" i="5" s="1"/>
  <c r="HS15" i="5" a="1"/>
  <c r="HS15" i="5" s="1"/>
  <c r="HR15" i="5" a="1"/>
  <c r="HR15" i="5" s="1"/>
  <c r="IQ15" i="5" s="1"/>
  <c r="HQ15" i="5" a="1"/>
  <c r="HQ15" i="5" s="1"/>
  <c r="IP15" i="5" s="1"/>
  <c r="HP15" i="5" a="1"/>
  <c r="HP15" i="5" s="1"/>
  <c r="IO15" i="5" s="1"/>
  <c r="HL15" i="5"/>
  <c r="HJ15" i="5"/>
  <c r="HH15" i="5"/>
  <c r="HB15" i="5"/>
  <c r="HA15" i="5"/>
  <c r="GZ15" i="5"/>
  <c r="GY15" i="5"/>
  <c r="GX15" i="5"/>
  <c r="GW15" i="5"/>
  <c r="GV15" i="5"/>
  <c r="GU15" i="5"/>
  <c r="GT15" i="5"/>
  <c r="GP15" i="5"/>
  <c r="GL15" i="5"/>
  <c r="GJ15" i="5"/>
  <c r="GK15" i="5" s="1"/>
  <c r="GI15" i="5"/>
  <c r="GH15" i="5"/>
  <c r="GG15" i="5"/>
  <c r="GF15" i="5"/>
  <c r="GE15" i="5"/>
  <c r="GD15" i="5"/>
  <c r="GC15" i="5"/>
  <c r="GB15" i="5"/>
  <c r="GA15" i="5"/>
  <c r="FZ15" i="5"/>
  <c r="FY15" i="5"/>
  <c r="FX15" i="5"/>
  <c r="FW15" i="5"/>
  <c r="FV15" i="5"/>
  <c r="FU15" i="5"/>
  <c r="FT15" i="5"/>
  <c r="FS15" i="5"/>
  <c r="FR15" i="5"/>
  <c r="FQ15" i="5"/>
  <c r="FJ15" i="5"/>
  <c r="FI15" i="5"/>
  <c r="FH15" i="5"/>
  <c r="FG15" i="5"/>
  <c r="FF15" i="5"/>
  <c r="FE15" i="5"/>
  <c r="FD15" i="5"/>
  <c r="FC15" i="5"/>
  <c r="FB15" i="5"/>
  <c r="FA15" i="5"/>
  <c r="EZ15" i="5"/>
  <c r="EY15" i="5"/>
  <c r="EX15" i="5"/>
  <c r="EW15" i="5"/>
  <c r="EV15" i="5"/>
  <c r="EU15" i="5"/>
  <c r="ET15" i="5"/>
  <c r="ES15" i="5"/>
  <c r="ER15" i="5"/>
  <c r="EQ15" i="5"/>
  <c r="EP15" i="5"/>
  <c r="EO15" i="5"/>
  <c r="EN15" i="5"/>
  <c r="EM15" i="5"/>
  <c r="EL15" i="5"/>
  <c r="EK15" i="5"/>
  <c r="EJ15" i="5"/>
  <c r="EI15" i="5"/>
  <c r="EH15" i="5"/>
  <c r="EG15" i="5"/>
  <c r="EF15" i="5"/>
  <c r="EE15" i="5"/>
  <c r="ED15" i="5"/>
  <c r="EC15" i="5"/>
  <c r="EB15" i="5"/>
  <c r="EA15" i="5"/>
  <c r="DW15" i="5"/>
  <c r="DV15" i="5"/>
  <c r="DU15" i="5"/>
  <c r="DT15" i="5"/>
  <c r="DS15" i="5"/>
  <c r="DR15" i="5"/>
  <c r="DQ15" i="5"/>
  <c r="DP15" i="5"/>
  <c r="DO15" i="5"/>
  <c r="DN15" i="5"/>
  <c r="DK15" i="5"/>
  <c r="DJ15" i="5"/>
  <c r="DI15" i="5"/>
  <c r="DH15" i="5"/>
  <c r="DG15" i="5"/>
  <c r="DF15" i="5"/>
  <c r="DE15" i="5"/>
  <c r="DD15" i="5"/>
  <c r="DC15" i="5"/>
  <c r="DB15" i="5"/>
  <c r="DA15" i="5"/>
  <c r="CV15" i="5"/>
  <c r="CU15" i="5"/>
  <c r="CT15" i="5"/>
  <c r="CS15" i="5"/>
  <c r="GN15" i="5" s="1"/>
  <c r="CR15" i="5"/>
  <c r="GM15" i="5" s="1"/>
  <c r="CQ15" i="5"/>
  <c r="CP15" i="5"/>
  <c r="CO15" i="5"/>
  <c r="DZ15" i="5" s="1"/>
  <c r="CN15" i="5"/>
  <c r="DY15" i="5" s="1"/>
  <c r="CM15" i="5"/>
  <c r="DX15" i="5" s="1"/>
  <c r="CL15" i="5"/>
  <c r="CG15" i="5" a="1"/>
  <c r="CG15" i="5" s="1"/>
  <c r="AW15" i="5"/>
  <c r="AV15" i="5"/>
  <c r="J15" i="5"/>
  <c r="HI15" i="5" s="1"/>
  <c r="G15" i="5"/>
  <c r="IT14" i="5"/>
  <c r="IS14" i="5"/>
  <c r="IQ14" i="5"/>
  <c r="IM14" i="5"/>
  <c r="IL14" i="5"/>
  <c r="HX14" i="5"/>
  <c r="IW14" i="5" s="1"/>
  <c r="HX14" i="5" a="1"/>
  <c r="HW14" i="5"/>
  <c r="IV14" i="5" s="1"/>
  <c r="HW14" i="5" a="1"/>
  <c r="HV14" i="5" a="1"/>
  <c r="HV14" i="5" s="1"/>
  <c r="IU14" i="5" s="1"/>
  <c r="HU14" i="5"/>
  <c r="HU14" i="5" a="1"/>
  <c r="HT14" i="5"/>
  <c r="HT14" i="5" a="1"/>
  <c r="HS14" i="5"/>
  <c r="IR14" i="5" s="1"/>
  <c r="HS14" i="5" a="1"/>
  <c r="HR14" i="5"/>
  <c r="HR14" i="5" a="1"/>
  <c r="HQ14" i="5"/>
  <c r="IP14" i="5" s="1"/>
  <c r="HQ14" i="5" a="1"/>
  <c r="HP14" i="5" a="1"/>
  <c r="HP14" i="5" s="1"/>
  <c r="IO14" i="5" s="1"/>
  <c r="HL14" i="5"/>
  <c r="HJ14" i="5"/>
  <c r="HH14" i="5"/>
  <c r="HI14" i="5" s="1"/>
  <c r="HB14" i="5"/>
  <c r="HA14" i="5"/>
  <c r="GZ14" i="5"/>
  <c r="GY14" i="5"/>
  <c r="GX14" i="5"/>
  <c r="GW14" i="5"/>
  <c r="GV14" i="5"/>
  <c r="GU14" i="5"/>
  <c r="GT14" i="5"/>
  <c r="GP14" i="5"/>
  <c r="GN14" i="5"/>
  <c r="GM14" i="5"/>
  <c r="GL14" i="5"/>
  <c r="GJ14" i="5"/>
  <c r="GK14" i="5" s="1"/>
  <c r="GI14" i="5"/>
  <c r="GH14" i="5"/>
  <c r="GG14" i="5"/>
  <c r="GF14" i="5"/>
  <c r="GE14" i="5"/>
  <c r="GD14" i="5"/>
  <c r="GC14" i="5"/>
  <c r="GB14" i="5"/>
  <c r="GA14" i="5"/>
  <c r="FZ14" i="5"/>
  <c r="FY14" i="5"/>
  <c r="FX14" i="5"/>
  <c r="FW14" i="5"/>
  <c r="FV14" i="5"/>
  <c r="FU14" i="5"/>
  <c r="FT14" i="5"/>
  <c r="FS14" i="5"/>
  <c r="FR14" i="5"/>
  <c r="FQ14" i="5"/>
  <c r="FP14" i="5"/>
  <c r="FN14" i="5"/>
  <c r="FJ14" i="5"/>
  <c r="FI14" i="5"/>
  <c r="FH14" i="5"/>
  <c r="FK14" i="5" s="1"/>
  <c r="FG14" i="5"/>
  <c r="FO14" i="5" s="1"/>
  <c r="FF14" i="5"/>
  <c r="FE14" i="5"/>
  <c r="FD14" i="5"/>
  <c r="FC14" i="5"/>
  <c r="FB14" i="5"/>
  <c r="FA14" i="5"/>
  <c r="EZ14" i="5"/>
  <c r="EY14" i="5"/>
  <c r="EX14" i="5"/>
  <c r="EW14" i="5"/>
  <c r="EV14" i="5"/>
  <c r="EU14" i="5"/>
  <c r="ET14" i="5"/>
  <c r="ES14" i="5"/>
  <c r="ER14" i="5"/>
  <c r="EQ14" i="5"/>
  <c r="EP14" i="5"/>
  <c r="EO14" i="5"/>
  <c r="EN14" i="5"/>
  <c r="EM14" i="5"/>
  <c r="EL14" i="5"/>
  <c r="EK14" i="5"/>
  <c r="EJ14" i="5"/>
  <c r="EI14" i="5"/>
  <c r="EH14" i="5"/>
  <c r="EG14" i="5"/>
  <c r="EF14" i="5"/>
  <c r="EE14" i="5"/>
  <c r="ED14" i="5"/>
  <c r="EC14" i="5"/>
  <c r="EB14" i="5"/>
  <c r="EA14" i="5"/>
  <c r="DW14" i="5"/>
  <c r="DV14" i="5"/>
  <c r="DU14" i="5"/>
  <c r="DT14" i="5"/>
  <c r="DS14" i="5"/>
  <c r="DR14" i="5"/>
  <c r="DQ14" i="5"/>
  <c r="DP14" i="5"/>
  <c r="DO14" i="5"/>
  <c r="DN14" i="5"/>
  <c r="DL14" i="5"/>
  <c r="DK14" i="5"/>
  <c r="DJ14" i="5"/>
  <c r="DI14" i="5"/>
  <c r="DH14" i="5"/>
  <c r="DG14" i="5"/>
  <c r="DF14" i="5"/>
  <c r="DE14" i="5"/>
  <c r="DD14" i="5"/>
  <c r="DC14" i="5"/>
  <c r="DB14" i="5"/>
  <c r="DA14" i="5"/>
  <c r="CZ14" i="5"/>
  <c r="CY14" i="5"/>
  <c r="CW14" i="5"/>
  <c r="CV14" i="5"/>
  <c r="CU14" i="5"/>
  <c r="CT14" i="5"/>
  <c r="CS14" i="5"/>
  <c r="CR14" i="5"/>
  <c r="CQ14" i="5"/>
  <c r="CP14" i="5"/>
  <c r="CO14" i="5"/>
  <c r="DZ14" i="5" s="1"/>
  <c r="CN14" i="5"/>
  <c r="DY14" i="5" s="1"/>
  <c r="CM14" i="5"/>
  <c r="DX14" i="5" s="1"/>
  <c r="CL14" i="5"/>
  <c r="CK14" i="5"/>
  <c r="CJ14" i="5"/>
  <c r="CI14" i="5"/>
  <c r="CX14" i="5" s="1"/>
  <c r="CH14" i="5"/>
  <c r="CG14" i="5"/>
  <c r="CG14" i="5" a="1"/>
  <c r="AW14" i="5"/>
  <c r="AV14" i="5"/>
  <c r="J14" i="5"/>
  <c r="G14" i="5"/>
  <c r="IV33" i="4"/>
  <c r="IS33" i="4"/>
  <c r="IL33" i="4"/>
  <c r="HX33" i="4" a="1"/>
  <c r="HX33" i="4" s="1"/>
  <c r="IW33" i="4" s="1"/>
  <c r="HW33" i="4" a="1"/>
  <c r="HW33" i="4" s="1"/>
  <c r="HV33" i="4" a="1"/>
  <c r="HV33" i="4" s="1"/>
  <c r="IU33" i="4" s="1"/>
  <c r="HU33" i="4" a="1"/>
  <c r="HU33" i="4" s="1"/>
  <c r="IT33" i="4" s="1"/>
  <c r="HT33" i="4" a="1"/>
  <c r="HT33" i="4" s="1"/>
  <c r="HS33" i="4" a="1"/>
  <c r="HS33" i="4" s="1"/>
  <c r="IR33" i="4" s="1"/>
  <c r="HR33" i="4" a="1"/>
  <c r="HR33" i="4" s="1"/>
  <c r="IQ33" i="4" s="1"/>
  <c r="HQ33" i="4" a="1"/>
  <c r="HQ33" i="4" s="1"/>
  <c r="IP33" i="4" s="1"/>
  <c r="HP33" i="4"/>
  <c r="IO33" i="4" s="1"/>
  <c r="HP33" i="4" a="1"/>
  <c r="HL33" i="4"/>
  <c r="HJ33" i="4"/>
  <c r="HH33" i="4"/>
  <c r="HB33" i="4"/>
  <c r="HA33" i="4"/>
  <c r="GZ33" i="4"/>
  <c r="GY33" i="4"/>
  <c r="GX33" i="4"/>
  <c r="GW33" i="4"/>
  <c r="GV33" i="4"/>
  <c r="GU33" i="4"/>
  <c r="GT33" i="4"/>
  <c r="GP33" i="4"/>
  <c r="GN33" i="4"/>
  <c r="GM33" i="4"/>
  <c r="GL33" i="4"/>
  <c r="GI33" i="4"/>
  <c r="GH33" i="4"/>
  <c r="GG33" i="4"/>
  <c r="GF33" i="4"/>
  <c r="GE33" i="4"/>
  <c r="GD33" i="4"/>
  <c r="GC33" i="4"/>
  <c r="GB33" i="4"/>
  <c r="GA33" i="4"/>
  <c r="FZ33" i="4"/>
  <c r="FY33" i="4"/>
  <c r="FX33" i="4"/>
  <c r="FW33" i="4"/>
  <c r="FV33" i="4"/>
  <c r="FU33" i="4"/>
  <c r="FT33" i="4"/>
  <c r="FS33" i="4"/>
  <c r="FR33" i="4"/>
  <c r="FQ33" i="4"/>
  <c r="FP33" i="4"/>
  <c r="FO33" i="4"/>
  <c r="FN33" i="4"/>
  <c r="FM33" i="4"/>
  <c r="FJ33" i="4"/>
  <c r="FI33" i="4"/>
  <c r="FL33" i="4" s="1"/>
  <c r="FH33" i="4"/>
  <c r="FK33" i="4" s="1"/>
  <c r="FG33" i="4"/>
  <c r="FF33" i="4"/>
  <c r="FE33" i="4"/>
  <c r="FD33" i="4"/>
  <c r="FC33" i="4"/>
  <c r="FB33" i="4"/>
  <c r="FA33" i="4"/>
  <c r="EZ33" i="4"/>
  <c r="EY33" i="4"/>
  <c r="EX33" i="4"/>
  <c r="EW33" i="4"/>
  <c r="EV33" i="4"/>
  <c r="EU33" i="4"/>
  <c r="ET33" i="4"/>
  <c r="ES33" i="4"/>
  <c r="ER33" i="4"/>
  <c r="EQ33" i="4"/>
  <c r="EP33" i="4"/>
  <c r="EO33" i="4"/>
  <c r="EN33" i="4"/>
  <c r="EM33" i="4"/>
  <c r="EL33" i="4"/>
  <c r="EK33" i="4"/>
  <c r="EJ33" i="4"/>
  <c r="EI33" i="4"/>
  <c r="EH33" i="4"/>
  <c r="EG33" i="4"/>
  <c r="EF33" i="4"/>
  <c r="EE33" i="4"/>
  <c r="ED33" i="4"/>
  <c r="EC33" i="4"/>
  <c r="EB33" i="4"/>
  <c r="EA33" i="4"/>
  <c r="DX33" i="4"/>
  <c r="DV33" i="4"/>
  <c r="DU33" i="4"/>
  <c r="DT33" i="4"/>
  <c r="DS33" i="4"/>
  <c r="DR33" i="4"/>
  <c r="DQ33" i="4"/>
  <c r="DP33" i="4"/>
  <c r="DO33" i="4"/>
  <c r="DN33" i="4"/>
  <c r="DK33" i="4"/>
  <c r="DJ33" i="4"/>
  <c r="DI33" i="4"/>
  <c r="DH33" i="4"/>
  <c r="DG33" i="4"/>
  <c r="DF33" i="4"/>
  <c r="DE33" i="4"/>
  <c r="DD33" i="4"/>
  <c r="DC33" i="4"/>
  <c r="DB33" i="4"/>
  <c r="DA33" i="4"/>
  <c r="CV33" i="4"/>
  <c r="CU33" i="4"/>
  <c r="CT33" i="4"/>
  <c r="CS33" i="4"/>
  <c r="CR33" i="4"/>
  <c r="CQ33" i="4"/>
  <c r="CP33" i="4"/>
  <c r="GJ33" i="4" s="1"/>
  <c r="GK33" i="4" s="1"/>
  <c r="CO33" i="4"/>
  <c r="DZ33" i="4" s="1"/>
  <c r="CN33" i="4"/>
  <c r="DY33" i="4" s="1"/>
  <c r="CM33" i="4"/>
  <c r="CL33" i="4"/>
  <c r="DW33" i="4" s="1"/>
  <c r="CG33" i="4" a="1"/>
  <c r="CG33" i="4" s="1"/>
  <c r="AW33" i="4"/>
  <c r="AV33" i="4"/>
  <c r="J33" i="4"/>
  <c r="HI33" i="4" s="1"/>
  <c r="G33" i="4"/>
  <c r="IW32" i="4"/>
  <c r="IT32" i="4"/>
  <c r="IN32" i="4"/>
  <c r="IX32" i="4" s="1"/>
  <c r="IM32" i="4"/>
  <c r="IL32" i="4"/>
  <c r="HX32" i="4" a="1"/>
  <c r="HX32" i="4" s="1"/>
  <c r="HW32" i="4"/>
  <c r="IV32" i="4" s="1"/>
  <c r="HW32" i="4" a="1"/>
  <c r="HV32" i="4"/>
  <c r="IU32" i="4" s="1"/>
  <c r="HV32" i="4" a="1"/>
  <c r="HU32" i="4"/>
  <c r="HU32" i="4" a="1"/>
  <c r="HT32" i="4"/>
  <c r="IS32" i="4" s="1"/>
  <c r="HT32" i="4" a="1"/>
  <c r="HS32" i="4"/>
  <c r="IR32" i="4" s="1"/>
  <c r="HS32" i="4" a="1"/>
  <c r="HR32" i="4" a="1"/>
  <c r="HR32" i="4" s="1"/>
  <c r="IQ32" i="4" s="1"/>
  <c r="HQ32" i="4"/>
  <c r="IP32" i="4" s="1"/>
  <c r="HQ32" i="4" a="1"/>
  <c r="HP32" i="4"/>
  <c r="IO32" i="4" s="1"/>
  <c r="HP32" i="4" a="1"/>
  <c r="HL32" i="4"/>
  <c r="HJ32" i="4"/>
  <c r="HH32" i="4"/>
  <c r="HC32" i="4"/>
  <c r="HB32" i="4"/>
  <c r="HA32" i="4"/>
  <c r="GZ32" i="4"/>
  <c r="GY32" i="4"/>
  <c r="GX32" i="4"/>
  <c r="GW32" i="4"/>
  <c r="GV32" i="4"/>
  <c r="GU32" i="4"/>
  <c r="GT32" i="4"/>
  <c r="GP32" i="4"/>
  <c r="GN32" i="4"/>
  <c r="GM32" i="4"/>
  <c r="GL32" i="4"/>
  <c r="GI32" i="4"/>
  <c r="GH32" i="4"/>
  <c r="GG32" i="4"/>
  <c r="GF32" i="4"/>
  <c r="GE32" i="4"/>
  <c r="GD32" i="4"/>
  <c r="GC32" i="4"/>
  <c r="GB32" i="4"/>
  <c r="GA32" i="4"/>
  <c r="FZ32" i="4"/>
  <c r="FY32" i="4"/>
  <c r="FX32" i="4"/>
  <c r="FW32" i="4"/>
  <c r="FV32" i="4"/>
  <c r="FU32" i="4"/>
  <c r="FT32" i="4"/>
  <c r="FS32" i="4"/>
  <c r="FR32" i="4"/>
  <c r="FQ32" i="4"/>
  <c r="FO32" i="4"/>
  <c r="FN32" i="4"/>
  <c r="FJ32" i="4"/>
  <c r="FM32" i="4" s="1"/>
  <c r="FI32" i="4"/>
  <c r="FL32" i="4" s="1"/>
  <c r="FH32" i="4"/>
  <c r="FK32" i="4" s="1"/>
  <c r="FG32" i="4"/>
  <c r="FF32" i="4"/>
  <c r="FP32" i="4" s="1"/>
  <c r="FE32" i="4"/>
  <c r="FD32" i="4"/>
  <c r="FC32" i="4"/>
  <c r="FB32" i="4"/>
  <c r="FA32" i="4"/>
  <c r="EZ32" i="4"/>
  <c r="EY32" i="4"/>
  <c r="EX32" i="4"/>
  <c r="EW32" i="4"/>
  <c r="EV32" i="4"/>
  <c r="EU32" i="4"/>
  <c r="ET32" i="4"/>
  <c r="ES32" i="4"/>
  <c r="ER32" i="4"/>
  <c r="EQ32" i="4"/>
  <c r="EP32" i="4"/>
  <c r="EO32" i="4"/>
  <c r="EN32" i="4"/>
  <c r="EM32" i="4"/>
  <c r="EL32" i="4"/>
  <c r="EK32" i="4"/>
  <c r="EJ32" i="4"/>
  <c r="EI32" i="4"/>
  <c r="EH32" i="4"/>
  <c r="EG32" i="4"/>
  <c r="EF32" i="4"/>
  <c r="EE32" i="4"/>
  <c r="ED32" i="4"/>
  <c r="EC32" i="4"/>
  <c r="EB32" i="4"/>
  <c r="EA32" i="4"/>
  <c r="DY32" i="4"/>
  <c r="DV32" i="4"/>
  <c r="DU32" i="4"/>
  <c r="DT32" i="4"/>
  <c r="DS32" i="4"/>
  <c r="DR32" i="4"/>
  <c r="DQ32" i="4"/>
  <c r="DP32" i="4"/>
  <c r="DO32" i="4"/>
  <c r="DN32" i="4"/>
  <c r="DM32" i="4"/>
  <c r="DM32" i="4" a="1"/>
  <c r="DL32" i="4"/>
  <c r="DK32" i="4"/>
  <c r="DJ32" i="4"/>
  <c r="DI32" i="4"/>
  <c r="DH32" i="4"/>
  <c r="DG32" i="4"/>
  <c r="DF32" i="4"/>
  <c r="DE32" i="4"/>
  <c r="DD32" i="4"/>
  <c r="DC32" i="4"/>
  <c r="DB32" i="4"/>
  <c r="DA32" i="4"/>
  <c r="CZ32" i="4"/>
  <c r="CY32" i="4"/>
  <c r="CX32" i="4"/>
  <c r="CV32" i="4"/>
  <c r="CU32" i="4"/>
  <c r="CT32" i="4"/>
  <c r="CS32" i="4"/>
  <c r="CR32" i="4"/>
  <c r="CQ32" i="4"/>
  <c r="CP32" i="4"/>
  <c r="GJ32" i="4" s="1"/>
  <c r="GK32" i="4" s="1"/>
  <c r="CO32" i="4"/>
  <c r="DZ32" i="4" s="1"/>
  <c r="CN32" i="4"/>
  <c r="CM32" i="4"/>
  <c r="DX32" i="4" s="1"/>
  <c r="CL32" i="4"/>
  <c r="DW32" i="4" s="1"/>
  <c r="CK32" i="4"/>
  <c r="CJ32" i="4"/>
  <c r="CI32" i="4"/>
  <c r="CG32" i="4"/>
  <c r="CH32" i="4" s="1"/>
  <c r="CW32" i="4" s="1"/>
  <c r="CG32" i="4" a="1"/>
  <c r="AW32" i="4"/>
  <c r="AV32" i="4"/>
  <c r="J32" i="4"/>
  <c r="HI32" i="4" s="1"/>
  <c r="G32" i="4"/>
  <c r="IX31" i="4"/>
  <c r="IT31" i="4"/>
  <c r="IN31" i="4"/>
  <c r="IM31" i="4"/>
  <c r="IL31" i="4"/>
  <c r="HX31" i="4"/>
  <c r="IW31" i="4" s="1"/>
  <c r="HX31" i="4" a="1"/>
  <c r="HW31" i="4" a="1"/>
  <c r="HW31" i="4" s="1"/>
  <c r="IV31" i="4" s="1"/>
  <c r="HV31" i="4" a="1"/>
  <c r="HV31" i="4" s="1"/>
  <c r="IU31" i="4" s="1"/>
  <c r="HU31" i="4" a="1"/>
  <c r="HU31" i="4" s="1"/>
  <c r="HT31" i="4" a="1"/>
  <c r="HT31" i="4" s="1"/>
  <c r="IS31" i="4" s="1"/>
  <c r="HS31" i="4"/>
  <c r="IR31" i="4" s="1"/>
  <c r="HS31" i="4" a="1"/>
  <c r="HR31" i="4"/>
  <c r="IQ31" i="4" s="1"/>
  <c r="HR31" i="4" a="1"/>
  <c r="HQ31" i="4" a="1"/>
  <c r="HQ31" i="4" s="1"/>
  <c r="IP31" i="4" s="1"/>
  <c r="HP31" i="4" a="1"/>
  <c r="HP31" i="4" s="1"/>
  <c r="HL31" i="4"/>
  <c r="HJ31" i="4"/>
  <c r="HH31" i="4"/>
  <c r="HB31" i="4"/>
  <c r="HA31" i="4"/>
  <c r="GZ31" i="4"/>
  <c r="GY31" i="4"/>
  <c r="GX31" i="4"/>
  <c r="GW31" i="4"/>
  <c r="GV31" i="4"/>
  <c r="GU31" i="4"/>
  <c r="GT31" i="4"/>
  <c r="HC31" i="4" s="1"/>
  <c r="GP31" i="4"/>
  <c r="GN31" i="4"/>
  <c r="GI31" i="4"/>
  <c r="GH31" i="4"/>
  <c r="GG31" i="4"/>
  <c r="GF31" i="4"/>
  <c r="GE31" i="4"/>
  <c r="GD31" i="4"/>
  <c r="GC31" i="4"/>
  <c r="GB31" i="4"/>
  <c r="GA31" i="4"/>
  <c r="FZ31" i="4"/>
  <c r="FY31" i="4"/>
  <c r="FX31" i="4"/>
  <c r="FW31" i="4"/>
  <c r="FV31" i="4"/>
  <c r="FU31" i="4"/>
  <c r="FT31" i="4"/>
  <c r="FS31" i="4"/>
  <c r="FR31" i="4"/>
  <c r="FQ31" i="4"/>
  <c r="FJ31" i="4"/>
  <c r="FI31" i="4"/>
  <c r="FH31" i="4"/>
  <c r="FG31" i="4"/>
  <c r="FF31" i="4"/>
  <c r="FE31" i="4"/>
  <c r="FD31" i="4"/>
  <c r="FC31" i="4"/>
  <c r="FB31" i="4"/>
  <c r="FA31" i="4"/>
  <c r="EZ31" i="4"/>
  <c r="EY31" i="4"/>
  <c r="EX31" i="4"/>
  <c r="EW31" i="4"/>
  <c r="EV31" i="4"/>
  <c r="EU31" i="4"/>
  <c r="ET31" i="4"/>
  <c r="ES31" i="4"/>
  <c r="ER31" i="4"/>
  <c r="EQ31" i="4"/>
  <c r="EP31" i="4"/>
  <c r="EO31" i="4"/>
  <c r="EN31" i="4"/>
  <c r="EM31" i="4"/>
  <c r="EL31" i="4"/>
  <c r="EK31" i="4"/>
  <c r="EJ31" i="4"/>
  <c r="EI31" i="4"/>
  <c r="EH31" i="4"/>
  <c r="EG31" i="4"/>
  <c r="EF31" i="4"/>
  <c r="EE31" i="4"/>
  <c r="ED31" i="4"/>
  <c r="EC31" i="4"/>
  <c r="EB31" i="4"/>
  <c r="EA31" i="4"/>
  <c r="DV31" i="4"/>
  <c r="DU31" i="4"/>
  <c r="DT31" i="4"/>
  <c r="DS31" i="4"/>
  <c r="DR31" i="4"/>
  <c r="DQ31" i="4"/>
  <c r="DP31" i="4"/>
  <c r="DO31" i="4"/>
  <c r="DN31" i="4"/>
  <c r="DL31" i="4"/>
  <c r="DK31" i="4"/>
  <c r="DJ31" i="4"/>
  <c r="DI31" i="4"/>
  <c r="DH31" i="4"/>
  <c r="DG31" i="4"/>
  <c r="DF31" i="4"/>
  <c r="DE31" i="4"/>
  <c r="DD31" i="4"/>
  <c r="DC31" i="4"/>
  <c r="DB31" i="4"/>
  <c r="DA31" i="4"/>
  <c r="CV31" i="4"/>
  <c r="CU31" i="4"/>
  <c r="CT31" i="4"/>
  <c r="CS31" i="4"/>
  <c r="CR31" i="4"/>
  <c r="GM31" i="4" s="1"/>
  <c r="CQ31" i="4"/>
  <c r="GL31" i="4" s="1"/>
  <c r="CP31" i="4"/>
  <c r="GJ31" i="4" s="1"/>
  <c r="GK31" i="4" s="1"/>
  <c r="CO31" i="4"/>
  <c r="DZ31" i="4" s="1"/>
  <c r="CN31" i="4"/>
  <c r="DY31" i="4" s="1"/>
  <c r="CM31" i="4"/>
  <c r="DX31" i="4" s="1"/>
  <c r="CL31" i="4"/>
  <c r="DW31" i="4" s="1"/>
  <c r="CK31" i="4"/>
  <c r="CZ31" i="4" s="1"/>
  <c r="CG31" i="4" a="1"/>
  <c r="CG31" i="4" s="1"/>
  <c r="AW31" i="4"/>
  <c r="AV31" i="4"/>
  <c r="J31" i="4"/>
  <c r="HI31" i="4" s="1"/>
  <c r="G31" i="4"/>
  <c r="IU30" i="4"/>
  <c r="IQ30" i="4"/>
  <c r="IO30" i="4"/>
  <c r="IL30" i="4"/>
  <c r="HX30" i="4"/>
  <c r="IW30" i="4" s="1"/>
  <c r="HX30" i="4" a="1"/>
  <c r="HW30" i="4"/>
  <c r="IV30" i="4" s="1"/>
  <c r="HW30" i="4" a="1"/>
  <c r="HV30" i="4"/>
  <c r="HV30" i="4" a="1"/>
  <c r="HU30" i="4" a="1"/>
  <c r="HU30" i="4" s="1"/>
  <c r="IT30" i="4" s="1"/>
  <c r="HT30" i="4" a="1"/>
  <c r="HT30" i="4" s="1"/>
  <c r="IS30" i="4" s="1"/>
  <c r="HS30" i="4" a="1"/>
  <c r="HS30" i="4" s="1"/>
  <c r="IR30" i="4" s="1"/>
  <c r="HR30" i="4"/>
  <c r="HR30" i="4" a="1"/>
  <c r="HQ30" i="4"/>
  <c r="IP30" i="4" s="1"/>
  <c r="HQ30" i="4" a="1"/>
  <c r="HP30" i="4"/>
  <c r="HP30" i="4" a="1"/>
  <c r="HL30" i="4"/>
  <c r="HJ30" i="4"/>
  <c r="HH30" i="4"/>
  <c r="HB30" i="4"/>
  <c r="HA30" i="4"/>
  <c r="GZ30" i="4"/>
  <c r="GY30" i="4"/>
  <c r="GX30" i="4"/>
  <c r="HC30" i="4" s="1"/>
  <c r="GW30" i="4"/>
  <c r="GV30" i="4"/>
  <c r="GU30" i="4"/>
  <c r="GT30" i="4"/>
  <c r="GP30" i="4"/>
  <c r="GI30" i="4"/>
  <c r="GH30" i="4"/>
  <c r="GG30" i="4"/>
  <c r="GF30" i="4"/>
  <c r="GE30" i="4"/>
  <c r="GD30" i="4"/>
  <c r="GC30" i="4"/>
  <c r="GB30" i="4"/>
  <c r="GA30" i="4"/>
  <c r="FZ30" i="4"/>
  <c r="FY30" i="4"/>
  <c r="FX30" i="4"/>
  <c r="FW30" i="4"/>
  <c r="FV30" i="4"/>
  <c r="FU30" i="4"/>
  <c r="FT30" i="4"/>
  <c r="FS30" i="4"/>
  <c r="FR30" i="4"/>
  <c r="FQ30" i="4"/>
  <c r="FP30" i="4"/>
  <c r="FL30" i="4"/>
  <c r="FK30" i="4"/>
  <c r="FJ30" i="4"/>
  <c r="FM30" i="4" s="1"/>
  <c r="FI30" i="4"/>
  <c r="FH30" i="4"/>
  <c r="FG30" i="4"/>
  <c r="FF30" i="4"/>
  <c r="FE30" i="4"/>
  <c r="FD30" i="4"/>
  <c r="FC30" i="4"/>
  <c r="FB30" i="4"/>
  <c r="FA30" i="4"/>
  <c r="EZ30" i="4"/>
  <c r="EY30" i="4"/>
  <c r="EX30" i="4"/>
  <c r="EW30" i="4"/>
  <c r="EV30" i="4"/>
  <c r="EU30" i="4"/>
  <c r="ET30" i="4"/>
  <c r="ES30" i="4"/>
  <c r="ER30" i="4"/>
  <c r="EQ30" i="4"/>
  <c r="EP30" i="4"/>
  <c r="EO30" i="4"/>
  <c r="EN30" i="4"/>
  <c r="EM30" i="4"/>
  <c r="EL30" i="4"/>
  <c r="EK30" i="4"/>
  <c r="EJ30" i="4"/>
  <c r="EI30" i="4"/>
  <c r="EH30" i="4"/>
  <c r="EG30" i="4"/>
  <c r="EF30" i="4"/>
  <c r="EE30" i="4"/>
  <c r="ED30" i="4"/>
  <c r="EC30" i="4"/>
  <c r="EB30" i="4"/>
  <c r="EA30" i="4"/>
  <c r="DZ30" i="4"/>
  <c r="DY30" i="4"/>
  <c r="DW30" i="4"/>
  <c r="DV30" i="4"/>
  <c r="DU30" i="4"/>
  <c r="DT30" i="4"/>
  <c r="DS30" i="4"/>
  <c r="DR30" i="4"/>
  <c r="DQ30" i="4"/>
  <c r="DP30" i="4"/>
  <c r="DO30" i="4"/>
  <c r="DN30" i="4"/>
  <c r="DK30" i="4"/>
  <c r="DJ30" i="4"/>
  <c r="DI30" i="4"/>
  <c r="DH30" i="4"/>
  <c r="DG30" i="4"/>
  <c r="DF30" i="4"/>
  <c r="DE30" i="4"/>
  <c r="DD30" i="4"/>
  <c r="DC30" i="4"/>
  <c r="DB30" i="4"/>
  <c r="DA30" i="4"/>
  <c r="CV30" i="4"/>
  <c r="CU30" i="4"/>
  <c r="CT30" i="4"/>
  <c r="CS30" i="4"/>
  <c r="GN30" i="4" s="1"/>
  <c r="CR30" i="4"/>
  <c r="GM30" i="4" s="1"/>
  <c r="CQ30" i="4"/>
  <c r="GL30" i="4" s="1"/>
  <c r="CP30" i="4"/>
  <c r="GJ30" i="4" s="1"/>
  <c r="GK30" i="4" s="1"/>
  <c r="CO30" i="4"/>
  <c r="CN30" i="4"/>
  <c r="CM30" i="4"/>
  <c r="DX30" i="4" s="1"/>
  <c r="CL30" i="4"/>
  <c r="CG30" i="4" a="1"/>
  <c r="CG30" i="4" s="1"/>
  <c r="IM30" i="4" s="1"/>
  <c r="AW30" i="4"/>
  <c r="AV30" i="4"/>
  <c r="AX30" i="4" s="1"/>
  <c r="J30" i="4"/>
  <c r="HI30" i="4" s="1"/>
  <c r="G30" i="4"/>
  <c r="HX4" i="3"/>
  <c r="IW4" i="3" s="1"/>
  <c r="HX4" i="3" a="1"/>
  <c r="HW4" i="3" a="1"/>
  <c r="HW4" i="3" s="1"/>
  <c r="IV4" i="3" s="1"/>
  <c r="HV4" i="3" a="1"/>
  <c r="HV4" i="3" s="1"/>
  <c r="IU4" i="3" s="1"/>
  <c r="HU4" i="3" a="1"/>
  <c r="HU4" i="3" s="1"/>
  <c r="IT4" i="3" s="1"/>
  <c r="HT4" i="3"/>
  <c r="IS4" i="3" s="1"/>
  <c r="HT4" i="3" a="1"/>
  <c r="HS4" i="3" a="1"/>
  <c r="HS4" i="3" s="1"/>
  <c r="IR4" i="3" s="1"/>
  <c r="HR4" i="3"/>
  <c r="IQ4" i="3" s="1"/>
  <c r="HR4" i="3" a="1"/>
  <c r="HQ4" i="3" a="1"/>
  <c r="HQ4" i="3" s="1"/>
  <c r="IP4" i="3" s="1"/>
  <c r="HP4" i="3" a="1"/>
  <c r="HP4" i="3" s="1"/>
  <c r="IO4" i="3" s="1"/>
  <c r="HL4" i="3"/>
  <c r="HJ4" i="3"/>
  <c r="HI4" i="3"/>
  <c r="HH4" i="3"/>
  <c r="HB4" i="3"/>
  <c r="HA4" i="3"/>
  <c r="GZ4" i="3"/>
  <c r="GY4" i="3"/>
  <c r="GX4" i="3"/>
  <c r="GW4" i="3"/>
  <c r="GV4" i="3"/>
  <c r="GU4" i="3"/>
  <c r="GT4" i="3"/>
  <c r="GP4" i="3"/>
  <c r="GL4" i="3"/>
  <c r="GJ4" i="3"/>
  <c r="GK4" i="3" s="1"/>
  <c r="GI4" i="3"/>
  <c r="GH4" i="3"/>
  <c r="GG4" i="3"/>
  <c r="GF4" i="3"/>
  <c r="GE4" i="3"/>
  <c r="GB4" i="3"/>
  <c r="GA4" i="3"/>
  <c r="FZ4" i="3"/>
  <c r="FY4" i="3"/>
  <c r="FW4" i="3"/>
  <c r="FV4" i="3"/>
  <c r="FU4" i="3"/>
  <c r="FT4" i="3"/>
  <c r="FS4" i="3"/>
  <c r="FR4" i="3"/>
  <c r="FQ4" i="3"/>
  <c r="FP4" i="3"/>
  <c r="FO4" i="3"/>
  <c r="FJ4" i="3"/>
  <c r="FM4" i="3" s="1"/>
  <c r="FI4" i="3"/>
  <c r="FL4" i="3" s="1"/>
  <c r="FH4" i="3"/>
  <c r="FK4" i="3" s="1"/>
  <c r="FG4" i="3"/>
  <c r="FF4" i="3"/>
  <c r="FE4" i="3"/>
  <c r="FN4" i="3" s="1"/>
  <c r="FD4" i="3"/>
  <c r="FB4" i="3"/>
  <c r="FA4" i="3"/>
  <c r="EZ4" i="3"/>
  <c r="EY4" i="3"/>
  <c r="EX4" i="3"/>
  <c r="EW4" i="3"/>
  <c r="EV4" i="3"/>
  <c r="EU4" i="3"/>
  <c r="ET4" i="3"/>
  <c r="ES4" i="3"/>
  <c r="ER4" i="3"/>
  <c r="EQ4" i="3"/>
  <c r="EP4" i="3"/>
  <c r="EO4" i="3"/>
  <c r="EN4" i="3"/>
  <c r="EM4" i="3"/>
  <c r="EL4" i="3"/>
  <c r="EK4" i="3"/>
  <c r="EJ4" i="3"/>
  <c r="EI4" i="3"/>
  <c r="EH4" i="3"/>
  <c r="EG4" i="3"/>
  <c r="EF4" i="3"/>
  <c r="EE4" i="3"/>
  <c r="ED4" i="3"/>
  <c r="EC4" i="3"/>
  <c r="EB4" i="3"/>
  <c r="EA4" i="3"/>
  <c r="DY4" i="3"/>
  <c r="DX4" i="3"/>
  <c r="DW4" i="3"/>
  <c r="DU4" i="3"/>
  <c r="DT4" i="3"/>
  <c r="DS4" i="3"/>
  <c r="DR4" i="3"/>
  <c r="DQ4" i="3"/>
  <c r="DP4" i="3"/>
  <c r="DO4" i="3"/>
  <c r="DN4" i="3"/>
  <c r="DK4" i="3"/>
  <c r="DJ4" i="3"/>
  <c r="DI4" i="3"/>
  <c r="DH4" i="3"/>
  <c r="DG4" i="3"/>
  <c r="DF4" i="3"/>
  <c r="DE4" i="3"/>
  <c r="DD4" i="3"/>
  <c r="DB4" i="3"/>
  <c r="DA4" i="3"/>
  <c r="CV4" i="3"/>
  <c r="CU4" i="3"/>
  <c r="CT4" i="3"/>
  <c r="CS4" i="3"/>
  <c r="GN4" i="3" s="1"/>
  <c r="CR4" i="3"/>
  <c r="GM4" i="3" s="1"/>
  <c r="CQ4" i="3"/>
  <c r="CP4" i="3"/>
  <c r="CO4" i="3"/>
  <c r="DZ4" i="3" s="1"/>
  <c r="CN4" i="3"/>
  <c r="CM4" i="3"/>
  <c r="CL4" i="3"/>
  <c r="CI4" i="3"/>
  <c r="CX4" i="3" s="1"/>
  <c r="CG4" i="3" a="1"/>
  <c r="CG4" i="3" s="1"/>
  <c r="AW4" i="3"/>
  <c r="AV4" i="3"/>
  <c r="J4" i="3"/>
  <c r="G4" i="3"/>
  <c r="IV22" i="2"/>
  <c r="IT22" i="2"/>
  <c r="IQ22" i="2"/>
  <c r="IL22" i="2"/>
  <c r="HX22" i="2" a="1"/>
  <c r="HX22" i="2" s="1"/>
  <c r="IW22" i="2" s="1"/>
  <c r="HW22" i="2"/>
  <c r="HW22" i="2" a="1"/>
  <c r="HV22" i="2" a="1"/>
  <c r="HV22" i="2" s="1"/>
  <c r="IU22" i="2" s="1"/>
  <c r="HU22" i="2"/>
  <c r="HU22" i="2" a="1"/>
  <c r="HT22" i="2" a="1"/>
  <c r="HT22" i="2" s="1"/>
  <c r="IS22" i="2" s="1"/>
  <c r="HS22" i="2" a="1"/>
  <c r="HS22" i="2" s="1"/>
  <c r="IR22" i="2" s="1"/>
  <c r="HR22" i="2"/>
  <c r="HR22" i="2" a="1"/>
  <c r="HQ22" i="2" a="1"/>
  <c r="HQ22" i="2" s="1"/>
  <c r="IP22" i="2" s="1"/>
  <c r="HP22" i="2" a="1"/>
  <c r="HP22" i="2" s="1"/>
  <c r="IO22" i="2" s="1"/>
  <c r="HL22" i="2"/>
  <c r="HJ22" i="2"/>
  <c r="HH22" i="2"/>
  <c r="HB22" i="2"/>
  <c r="HA22" i="2"/>
  <c r="GZ22" i="2"/>
  <c r="GY22" i="2"/>
  <c r="GX22" i="2"/>
  <c r="GW22" i="2"/>
  <c r="GV22" i="2"/>
  <c r="GU22" i="2"/>
  <c r="GT22" i="2"/>
  <c r="GP22" i="2"/>
  <c r="GL22" i="2"/>
  <c r="GJ22" i="2"/>
  <c r="GK22" i="2" s="1"/>
  <c r="GI22" i="2"/>
  <c r="GH22" i="2"/>
  <c r="GG22" i="2"/>
  <c r="GF22" i="2"/>
  <c r="GE22" i="2"/>
  <c r="GD22" i="2"/>
  <c r="GC22" i="2"/>
  <c r="GB22" i="2"/>
  <c r="GA22" i="2"/>
  <c r="FZ22" i="2"/>
  <c r="FY22" i="2"/>
  <c r="FX22" i="2"/>
  <c r="FW22" i="2"/>
  <c r="FV22" i="2"/>
  <c r="FU22" i="2"/>
  <c r="FT22" i="2"/>
  <c r="FS22" i="2"/>
  <c r="FR22" i="2"/>
  <c r="FQ22" i="2"/>
  <c r="FJ22" i="2"/>
  <c r="FI22" i="2"/>
  <c r="FH22" i="2"/>
  <c r="FG22" i="2"/>
  <c r="FF22" i="2"/>
  <c r="FE22" i="2"/>
  <c r="FD22" i="2"/>
  <c r="FC22" i="2"/>
  <c r="FB22" i="2"/>
  <c r="FA22" i="2"/>
  <c r="EZ22" i="2"/>
  <c r="EY22" i="2"/>
  <c r="EX22" i="2"/>
  <c r="EW22" i="2"/>
  <c r="EV22" i="2"/>
  <c r="EU22" i="2"/>
  <c r="ET22" i="2"/>
  <c r="ES22" i="2"/>
  <c r="ER22" i="2"/>
  <c r="EQ22" i="2"/>
  <c r="EP22" i="2"/>
  <c r="EO22" i="2"/>
  <c r="EN22" i="2"/>
  <c r="EM22" i="2"/>
  <c r="EL22" i="2"/>
  <c r="EK22" i="2"/>
  <c r="EJ22" i="2"/>
  <c r="EI22" i="2"/>
  <c r="EH22" i="2"/>
  <c r="EG22" i="2"/>
  <c r="EF22" i="2"/>
  <c r="EE22" i="2"/>
  <c r="ED22" i="2"/>
  <c r="EC22" i="2"/>
  <c r="EB22" i="2"/>
  <c r="EA22" i="2"/>
  <c r="DY22" i="2"/>
  <c r="DW22" i="2"/>
  <c r="DV22" i="2"/>
  <c r="DU22" i="2"/>
  <c r="DT22" i="2"/>
  <c r="DS22" i="2"/>
  <c r="DR22" i="2"/>
  <c r="DQ22" i="2"/>
  <c r="DP22" i="2"/>
  <c r="DO22" i="2"/>
  <c r="DN22" i="2"/>
  <c r="DK22" i="2"/>
  <c r="DJ22" i="2"/>
  <c r="DI22" i="2"/>
  <c r="DH22" i="2"/>
  <c r="DG22" i="2"/>
  <c r="DF22" i="2"/>
  <c r="DE22" i="2"/>
  <c r="DD22" i="2"/>
  <c r="DC22" i="2"/>
  <c r="DB22" i="2"/>
  <c r="DA22" i="2"/>
  <c r="CV22" i="2"/>
  <c r="CU22" i="2"/>
  <c r="CT22" i="2"/>
  <c r="CS22" i="2"/>
  <c r="GN22" i="2" s="1"/>
  <c r="CR22" i="2"/>
  <c r="GM22" i="2" s="1"/>
  <c r="CQ22" i="2"/>
  <c r="CP22" i="2"/>
  <c r="CO22" i="2"/>
  <c r="DZ22" i="2" s="1"/>
  <c r="CN22" i="2"/>
  <c r="CM22" i="2"/>
  <c r="DX22" i="2" s="1"/>
  <c r="CL22" i="2"/>
  <c r="CG22" i="2" a="1"/>
  <c r="CG22" i="2" s="1"/>
  <c r="AW22" i="2"/>
  <c r="AV22" i="2"/>
  <c r="J22" i="2"/>
  <c r="G22" i="2"/>
  <c r="IU26" i="15"/>
  <c r="IN26" i="15"/>
  <c r="IX26" i="15" s="1"/>
  <c r="IL26" i="15"/>
  <c r="HX26" i="15" a="1"/>
  <c r="HX26" i="15" s="1"/>
  <c r="IW26" i="15" s="1"/>
  <c r="HW26" i="15"/>
  <c r="IV26" i="15" s="1"/>
  <c r="HW26" i="15" a="1"/>
  <c r="HV26" i="15"/>
  <c r="HV26" i="15" a="1"/>
  <c r="HU26" i="15"/>
  <c r="IT26" i="15" s="1"/>
  <c r="HU26" i="15" a="1"/>
  <c r="HT26" i="15" a="1"/>
  <c r="HT26" i="15" s="1"/>
  <c r="IS26" i="15" s="1"/>
  <c r="HS26" i="15" a="1"/>
  <c r="HS26" i="15" s="1"/>
  <c r="IR26" i="15" s="1"/>
  <c r="HR26" i="15" a="1"/>
  <c r="HR26" i="15" s="1"/>
  <c r="IQ26" i="15" s="1"/>
  <c r="HQ26" i="15" a="1"/>
  <c r="HQ26" i="15" s="1"/>
  <c r="IP26" i="15" s="1"/>
  <c r="HP26" i="15" a="1"/>
  <c r="HP26" i="15" s="1"/>
  <c r="IO26" i="15" s="1"/>
  <c r="HL26" i="15"/>
  <c r="HJ26" i="15"/>
  <c r="HH26" i="15"/>
  <c r="HB26" i="15"/>
  <c r="HA26" i="15"/>
  <c r="GZ26" i="15"/>
  <c r="GY26" i="15"/>
  <c r="GX26" i="15"/>
  <c r="GW26" i="15"/>
  <c r="HC26" i="15" s="1"/>
  <c r="GV26" i="15"/>
  <c r="GU26" i="15"/>
  <c r="GT26" i="15"/>
  <c r="GP26" i="15"/>
  <c r="GJ26" i="15"/>
  <c r="GK26" i="15" s="1"/>
  <c r="GI26" i="15"/>
  <c r="GH26" i="15"/>
  <c r="GG26" i="15"/>
  <c r="GF26" i="15"/>
  <c r="GE26" i="15"/>
  <c r="GD26" i="15"/>
  <c r="GC26" i="15"/>
  <c r="GB26" i="15"/>
  <c r="GA26" i="15"/>
  <c r="FZ26" i="15"/>
  <c r="FY26" i="15"/>
  <c r="FX26" i="15"/>
  <c r="FW26" i="15"/>
  <c r="FV26" i="15"/>
  <c r="FU26" i="15"/>
  <c r="FT26" i="15"/>
  <c r="FS26" i="15"/>
  <c r="FR26" i="15"/>
  <c r="FQ26" i="15"/>
  <c r="FP26" i="15"/>
  <c r="FN26" i="15"/>
  <c r="FK26" i="15"/>
  <c r="FJ26" i="15"/>
  <c r="FM26" i="15" s="1"/>
  <c r="FI26" i="15"/>
  <c r="FL26" i="15" s="1"/>
  <c r="FH26" i="15"/>
  <c r="FG26" i="15"/>
  <c r="FO26" i="15" s="1"/>
  <c r="FF26" i="15"/>
  <c r="FE26" i="15"/>
  <c r="FD26" i="15"/>
  <c r="FC26" i="15"/>
  <c r="FB26" i="15"/>
  <c r="FA26" i="15"/>
  <c r="EZ26" i="15"/>
  <c r="EY26" i="15"/>
  <c r="EX26" i="15"/>
  <c r="EW26" i="15"/>
  <c r="EV26" i="15"/>
  <c r="EU26" i="15"/>
  <c r="ET26" i="15"/>
  <c r="ES26" i="15"/>
  <c r="ER26" i="15"/>
  <c r="EQ26" i="15"/>
  <c r="EP26" i="15"/>
  <c r="EO26" i="15"/>
  <c r="EN26" i="15"/>
  <c r="EM26" i="15"/>
  <c r="EL26" i="15"/>
  <c r="EK26" i="15"/>
  <c r="EJ26" i="15"/>
  <c r="EI26" i="15"/>
  <c r="EH26" i="15"/>
  <c r="EG26" i="15"/>
  <c r="EF26" i="15"/>
  <c r="EE26" i="15"/>
  <c r="ED26" i="15"/>
  <c r="EC26" i="15"/>
  <c r="EB26" i="15"/>
  <c r="EA26" i="15"/>
  <c r="DY26" i="15"/>
  <c r="DX26" i="15"/>
  <c r="DW26" i="15"/>
  <c r="DV26" i="15"/>
  <c r="DU26" i="15"/>
  <c r="DT26" i="15"/>
  <c r="DS26" i="15"/>
  <c r="DR26" i="15"/>
  <c r="DQ26" i="15"/>
  <c r="DP26" i="15"/>
  <c r="DO26" i="15"/>
  <c r="DN26" i="15"/>
  <c r="DK26" i="15"/>
  <c r="DJ26" i="15"/>
  <c r="DI26" i="15"/>
  <c r="DH26" i="15"/>
  <c r="DG26" i="15"/>
  <c r="DF26" i="15"/>
  <c r="DE26" i="15"/>
  <c r="DD26" i="15"/>
  <c r="DC26" i="15"/>
  <c r="DB26" i="15"/>
  <c r="DA26" i="15"/>
  <c r="CV26" i="15"/>
  <c r="CU26" i="15"/>
  <c r="CT26" i="15"/>
  <c r="CS26" i="15"/>
  <c r="GN26" i="15" s="1"/>
  <c r="CR26" i="15"/>
  <c r="GM26" i="15" s="1"/>
  <c r="CQ26" i="15"/>
  <c r="GL26" i="15" s="1"/>
  <c r="CP26" i="15"/>
  <c r="CO26" i="15"/>
  <c r="DZ26" i="15" s="1"/>
  <c r="CN26" i="15"/>
  <c r="CM26" i="15"/>
  <c r="CL26" i="15"/>
  <c r="CG26" i="15" a="1"/>
  <c r="CG26" i="15" s="1"/>
  <c r="AW26" i="15"/>
  <c r="AV26" i="15"/>
  <c r="J26" i="15"/>
  <c r="HI26" i="15" s="1"/>
  <c r="G26" i="15"/>
  <c r="IW25" i="15"/>
  <c r="IR25" i="15"/>
  <c r="IQ25" i="15"/>
  <c r="IM25" i="15"/>
  <c r="HX25" i="15" a="1"/>
  <c r="HX25" i="15" s="1"/>
  <c r="HW25" i="15"/>
  <c r="IV25" i="15" s="1"/>
  <c r="HW25" i="15" a="1"/>
  <c r="HV25" i="15"/>
  <c r="IU25" i="15" s="1"/>
  <c r="HV25" i="15" a="1"/>
  <c r="HU25" i="15" a="1"/>
  <c r="HU25" i="15" s="1"/>
  <c r="IT25" i="15" s="1"/>
  <c r="HT25" i="15"/>
  <c r="IS25" i="15" s="1"/>
  <c r="HT25" i="15" a="1"/>
  <c r="HS25" i="15"/>
  <c r="HS25" i="15" a="1"/>
  <c r="HR25" i="15" a="1"/>
  <c r="HR25" i="15" s="1"/>
  <c r="HQ25" i="15" a="1"/>
  <c r="HQ25" i="15" s="1"/>
  <c r="IP25" i="15" s="1"/>
  <c r="HP25" i="15"/>
  <c r="IO25" i="15" s="1"/>
  <c r="HP25" i="15" a="1"/>
  <c r="HL25" i="15"/>
  <c r="HJ25" i="15"/>
  <c r="HH25" i="15"/>
  <c r="HB25" i="15"/>
  <c r="HA25" i="15"/>
  <c r="GZ25" i="15"/>
  <c r="GY25" i="15"/>
  <c r="GX25" i="15"/>
  <c r="GW25" i="15"/>
  <c r="GV25" i="15"/>
  <c r="GU25" i="15"/>
  <c r="GT25" i="15"/>
  <c r="GP25" i="15"/>
  <c r="GN25" i="15"/>
  <c r="GI25" i="15"/>
  <c r="GH25" i="15"/>
  <c r="GG25" i="15"/>
  <c r="GF25" i="15"/>
  <c r="GE25" i="15"/>
  <c r="GB25" i="15"/>
  <c r="GA25" i="15"/>
  <c r="FZ25" i="15"/>
  <c r="FY25" i="15"/>
  <c r="FW25" i="15"/>
  <c r="FV25" i="15"/>
  <c r="FU25" i="15"/>
  <c r="FT25" i="15"/>
  <c r="FS25" i="15"/>
  <c r="FR25" i="15"/>
  <c r="FQ25" i="15"/>
  <c r="FN25" i="15"/>
  <c r="FM25" i="15"/>
  <c r="FL25" i="15"/>
  <c r="FK25" i="15"/>
  <c r="FJ25" i="15"/>
  <c r="FI25" i="15"/>
  <c r="FH25" i="15"/>
  <c r="FG25" i="15"/>
  <c r="FF25" i="15"/>
  <c r="FP25" i="15" s="1"/>
  <c r="FE25" i="15"/>
  <c r="FO25" i="15" s="1"/>
  <c r="FD25" i="15"/>
  <c r="FB25" i="15"/>
  <c r="FA25" i="15"/>
  <c r="EZ25" i="15"/>
  <c r="EY25" i="15"/>
  <c r="EX25" i="15"/>
  <c r="EW25" i="15"/>
  <c r="EV25" i="15"/>
  <c r="EU25" i="15"/>
  <c r="ET25" i="15"/>
  <c r="ES25" i="15"/>
  <c r="ER25" i="15"/>
  <c r="EQ25" i="15"/>
  <c r="EP25" i="15"/>
  <c r="EO25" i="15"/>
  <c r="EN25" i="15"/>
  <c r="EM25" i="15"/>
  <c r="EL25" i="15"/>
  <c r="EK25" i="15"/>
  <c r="EJ25" i="15"/>
  <c r="EI25" i="15"/>
  <c r="EH25" i="15"/>
  <c r="EG25" i="15"/>
  <c r="EF25" i="15"/>
  <c r="EE25" i="15"/>
  <c r="ED25" i="15"/>
  <c r="EC25" i="15"/>
  <c r="EB25" i="15"/>
  <c r="EA25" i="15"/>
  <c r="DZ25" i="15"/>
  <c r="DU25" i="15"/>
  <c r="DT25" i="15"/>
  <c r="DS25" i="15"/>
  <c r="DR25" i="15"/>
  <c r="DQ25" i="15"/>
  <c r="DP25" i="15"/>
  <c r="DO25" i="15"/>
  <c r="DN25" i="15"/>
  <c r="DK25" i="15"/>
  <c r="DJ25" i="15"/>
  <c r="DI25" i="15"/>
  <c r="DH25" i="15"/>
  <c r="DG25" i="15"/>
  <c r="DF25" i="15"/>
  <c r="DE25" i="15"/>
  <c r="DD25" i="15"/>
  <c r="DB25" i="15"/>
  <c r="DA25" i="15"/>
  <c r="CV25" i="15"/>
  <c r="CU25" i="15"/>
  <c r="CT25" i="15"/>
  <c r="CS25" i="15"/>
  <c r="CR25" i="15"/>
  <c r="GM25" i="15" s="1"/>
  <c r="CQ25" i="15"/>
  <c r="GL25" i="15" s="1"/>
  <c r="CP25" i="15"/>
  <c r="GJ25" i="15" s="1"/>
  <c r="GK25" i="15" s="1"/>
  <c r="CO25" i="15"/>
  <c r="CN25" i="15"/>
  <c r="DY25" i="15" s="1"/>
  <c r="CM25" i="15"/>
  <c r="DX25" i="15" s="1"/>
  <c r="CL25" i="15"/>
  <c r="DW25" i="15" s="1"/>
  <c r="CG25" i="15" a="1"/>
  <c r="CG25" i="15" s="1"/>
  <c r="AW25" i="15"/>
  <c r="AV25" i="15"/>
  <c r="J25" i="15"/>
  <c r="HI25" i="15" s="1"/>
  <c r="G25" i="15"/>
  <c r="IW24" i="15"/>
  <c r="IN24" i="15"/>
  <c r="IX24" i="15" s="1"/>
  <c r="HX24" i="15"/>
  <c r="HX24" i="15" a="1"/>
  <c r="HW24" i="15"/>
  <c r="IV24" i="15" s="1"/>
  <c r="HW24" i="15" a="1"/>
  <c r="HV24" i="15" a="1"/>
  <c r="HV24" i="15" s="1"/>
  <c r="IU24" i="15" s="1"/>
  <c r="HU24" i="15" a="1"/>
  <c r="HU24" i="15" s="1"/>
  <c r="IT24" i="15" s="1"/>
  <c r="HT24" i="15"/>
  <c r="IS24" i="15" s="1"/>
  <c r="HT24" i="15" a="1"/>
  <c r="HS24" i="15" a="1"/>
  <c r="HS24" i="15" s="1"/>
  <c r="IR24" i="15" s="1"/>
  <c r="HR24" i="15" a="1"/>
  <c r="HR24" i="15" s="1"/>
  <c r="IQ24" i="15" s="1"/>
  <c r="HQ24" i="15" a="1"/>
  <c r="HQ24" i="15" s="1"/>
  <c r="IP24" i="15" s="1"/>
  <c r="HP24" i="15" a="1"/>
  <c r="HP24" i="15" s="1"/>
  <c r="IO24" i="15" s="1"/>
  <c r="HL24" i="15"/>
  <c r="HJ24" i="15"/>
  <c r="HH24" i="15"/>
  <c r="HB24" i="15"/>
  <c r="HA24" i="15"/>
  <c r="GZ24" i="15"/>
  <c r="GY24" i="15"/>
  <c r="GX24" i="15"/>
  <c r="GW24" i="15"/>
  <c r="GV24" i="15"/>
  <c r="GU24" i="15"/>
  <c r="GT24" i="15"/>
  <c r="GP24" i="15"/>
  <c r="GK24" i="15"/>
  <c r="GI24" i="15"/>
  <c r="GH24" i="15"/>
  <c r="GG24" i="15"/>
  <c r="GF24" i="15"/>
  <c r="GE24" i="15"/>
  <c r="GB24" i="15"/>
  <c r="GA24" i="15"/>
  <c r="FZ24" i="15"/>
  <c r="FY24" i="15"/>
  <c r="FW24" i="15"/>
  <c r="FV24" i="15"/>
  <c r="FU24" i="15"/>
  <c r="FT24" i="15"/>
  <c r="FS24" i="15"/>
  <c r="FR24" i="15"/>
  <c r="FQ24" i="15"/>
  <c r="FJ24" i="15"/>
  <c r="FI24" i="15"/>
  <c r="FH24" i="15"/>
  <c r="FG24" i="15"/>
  <c r="FF24" i="15"/>
  <c r="FE24" i="15"/>
  <c r="FD24" i="15"/>
  <c r="FB24" i="15"/>
  <c r="FA24" i="15"/>
  <c r="EZ24" i="15"/>
  <c r="EY24" i="15"/>
  <c r="EX24" i="15"/>
  <c r="EW24" i="15"/>
  <c r="EV24" i="15"/>
  <c r="EU24" i="15"/>
  <c r="ET24" i="15"/>
  <c r="ES24" i="15"/>
  <c r="ER24" i="15"/>
  <c r="EQ24" i="15"/>
  <c r="EP24" i="15"/>
  <c r="EO24" i="15"/>
  <c r="EN24" i="15"/>
  <c r="EM24" i="15"/>
  <c r="EL24" i="15"/>
  <c r="EK24" i="15"/>
  <c r="EJ24" i="15"/>
  <c r="EI24" i="15"/>
  <c r="EH24" i="15"/>
  <c r="EG24" i="15"/>
  <c r="EF24" i="15"/>
  <c r="EE24" i="15"/>
  <c r="ED24" i="15"/>
  <c r="EC24" i="15"/>
  <c r="EB24" i="15"/>
  <c r="EA24" i="15"/>
  <c r="DW24" i="15"/>
  <c r="DU24" i="15"/>
  <c r="DT24" i="15"/>
  <c r="DS24" i="15"/>
  <c r="DR24" i="15"/>
  <c r="DQ24" i="15"/>
  <c r="DP24" i="15"/>
  <c r="DO24" i="15"/>
  <c r="DN24" i="15"/>
  <c r="DK24" i="15"/>
  <c r="DJ24" i="15"/>
  <c r="DI24" i="15"/>
  <c r="DH24" i="15"/>
  <c r="DG24" i="15"/>
  <c r="DF24" i="15"/>
  <c r="DE24" i="15"/>
  <c r="DD24" i="15"/>
  <c r="DB24" i="15"/>
  <c r="DA24" i="15"/>
  <c r="CZ24" i="15"/>
  <c r="CV24" i="15"/>
  <c r="CU24" i="15"/>
  <c r="CT24" i="15"/>
  <c r="CS24" i="15"/>
  <c r="GN24" i="15" s="1"/>
  <c r="CR24" i="15"/>
  <c r="GM24" i="15" s="1"/>
  <c r="CQ24" i="15"/>
  <c r="GL24" i="15" s="1"/>
  <c r="CP24" i="15"/>
  <c r="GJ24" i="15" s="1"/>
  <c r="CO24" i="15"/>
  <c r="DZ24" i="15" s="1"/>
  <c r="CN24" i="15"/>
  <c r="DY24" i="15" s="1"/>
  <c r="CM24" i="15"/>
  <c r="DX24" i="15" s="1"/>
  <c r="CL24" i="15"/>
  <c r="CK24" i="15"/>
  <c r="CG24" i="15" a="1"/>
  <c r="CG24" i="15" s="1"/>
  <c r="AW24" i="15"/>
  <c r="AV24" i="15"/>
  <c r="J24" i="15"/>
  <c r="HI24" i="15" s="1"/>
  <c r="G24" i="15"/>
  <c r="IW23" i="15"/>
  <c r="IS23" i="15"/>
  <c r="IR23" i="15"/>
  <c r="IM23" i="15"/>
  <c r="HX23" i="15" a="1"/>
  <c r="HX23" i="15" s="1"/>
  <c r="HW23" i="15"/>
  <c r="IV23" i="15" s="1"/>
  <c r="HW23" i="15" a="1"/>
  <c r="HV23" i="15" a="1"/>
  <c r="HV23" i="15" s="1"/>
  <c r="IU23" i="15" s="1"/>
  <c r="HU23" i="15" a="1"/>
  <c r="HU23" i="15" s="1"/>
  <c r="IT23" i="15" s="1"/>
  <c r="HT23" i="15" a="1"/>
  <c r="HT23" i="15" s="1"/>
  <c r="HS23" i="15"/>
  <c r="HS23" i="15" a="1"/>
  <c r="HR23" i="15" a="1"/>
  <c r="HR23" i="15" s="1"/>
  <c r="IQ23" i="15" s="1"/>
  <c r="HQ23" i="15"/>
  <c r="IP23" i="15" s="1"/>
  <c r="HQ23" i="15" a="1"/>
  <c r="HP23" i="15" a="1"/>
  <c r="HP23" i="15" s="1"/>
  <c r="IO23" i="15" s="1"/>
  <c r="HL23" i="15"/>
  <c r="HJ23" i="15"/>
  <c r="HH23" i="15"/>
  <c r="HB23" i="15"/>
  <c r="HA23" i="15"/>
  <c r="GZ23" i="15"/>
  <c r="GY23" i="15"/>
  <c r="GX23" i="15"/>
  <c r="GW23" i="15"/>
  <c r="GV23" i="15"/>
  <c r="GU23" i="15"/>
  <c r="GT23" i="15"/>
  <c r="GP23" i="15"/>
  <c r="GN23" i="15"/>
  <c r="GI23" i="15"/>
  <c r="GH23" i="15"/>
  <c r="GG23" i="15"/>
  <c r="GF23" i="15"/>
  <c r="GE23" i="15"/>
  <c r="GB23" i="15"/>
  <c r="GA23" i="15"/>
  <c r="FZ23" i="15"/>
  <c r="FY23" i="15"/>
  <c r="FW23" i="15"/>
  <c r="FV23" i="15"/>
  <c r="FU23" i="15"/>
  <c r="FT23" i="15"/>
  <c r="FS23" i="15"/>
  <c r="FR23" i="15"/>
  <c r="FQ23" i="15"/>
  <c r="FJ23" i="15"/>
  <c r="FI23" i="15"/>
  <c r="FH23" i="15"/>
  <c r="FG23" i="15"/>
  <c r="FF23" i="15"/>
  <c r="FE23" i="15"/>
  <c r="FD23" i="15"/>
  <c r="FB23" i="15"/>
  <c r="FA23" i="15"/>
  <c r="EZ23" i="15"/>
  <c r="EY23" i="15"/>
  <c r="EX23" i="15"/>
  <c r="EW23" i="15"/>
  <c r="EV23" i="15"/>
  <c r="EU23" i="15"/>
  <c r="ET23" i="15"/>
  <c r="ES23" i="15"/>
  <c r="ER23" i="15"/>
  <c r="EQ23" i="15"/>
  <c r="EP23" i="15"/>
  <c r="EO23" i="15"/>
  <c r="EN23" i="15"/>
  <c r="EM23" i="15"/>
  <c r="EL23" i="15"/>
  <c r="EK23" i="15"/>
  <c r="EJ23" i="15"/>
  <c r="EI23" i="15"/>
  <c r="EH23" i="15"/>
  <c r="EG23" i="15"/>
  <c r="EF23" i="15"/>
  <c r="EE23" i="15"/>
  <c r="ED23" i="15"/>
  <c r="EC23" i="15"/>
  <c r="EB23" i="15"/>
  <c r="EA23" i="15"/>
  <c r="DZ23" i="15"/>
  <c r="DU23" i="15"/>
  <c r="DT23" i="15"/>
  <c r="DS23" i="15"/>
  <c r="DR23" i="15"/>
  <c r="DQ23" i="15"/>
  <c r="DP23" i="15"/>
  <c r="DO23" i="15"/>
  <c r="DN23" i="15"/>
  <c r="DK23" i="15"/>
  <c r="DJ23" i="15"/>
  <c r="DI23" i="15"/>
  <c r="DH23" i="15"/>
  <c r="DG23" i="15"/>
  <c r="DF23" i="15"/>
  <c r="DE23" i="15"/>
  <c r="DD23" i="15"/>
  <c r="DB23" i="15"/>
  <c r="DA23" i="15"/>
  <c r="CV23" i="15"/>
  <c r="CU23" i="15"/>
  <c r="CT23" i="15"/>
  <c r="CS23" i="15"/>
  <c r="CR23" i="15"/>
  <c r="GM23" i="15" s="1"/>
  <c r="CQ23" i="15"/>
  <c r="GL23" i="15" s="1"/>
  <c r="CP23" i="15"/>
  <c r="GJ23" i="15" s="1"/>
  <c r="GK23" i="15" s="1"/>
  <c r="CO23" i="15"/>
  <c r="CN23" i="15"/>
  <c r="DY23" i="15" s="1"/>
  <c r="CM23" i="15"/>
  <c r="DX23" i="15" s="1"/>
  <c r="CL23" i="15"/>
  <c r="DW23" i="15" s="1"/>
  <c r="CH23" i="15"/>
  <c r="CW23" i="15" s="1"/>
  <c r="CG23" i="15" a="1"/>
  <c r="CG23" i="15" s="1"/>
  <c r="AW23" i="15"/>
  <c r="AV23" i="15"/>
  <c r="J23" i="15"/>
  <c r="G23" i="15"/>
  <c r="IW22" i="15"/>
  <c r="IT22" i="15"/>
  <c r="IP22" i="15"/>
  <c r="IO22" i="15"/>
  <c r="IN22" i="15"/>
  <c r="IX22" i="15" s="1"/>
  <c r="IM22" i="15"/>
  <c r="HX22" i="15"/>
  <c r="HX22" i="15" a="1"/>
  <c r="HW22" i="15"/>
  <c r="IV22" i="15" s="1"/>
  <c r="HW22" i="15" a="1"/>
  <c r="HV22" i="15"/>
  <c r="IU22" i="15" s="1"/>
  <c r="HV22" i="15" a="1"/>
  <c r="HU22" i="15" a="1"/>
  <c r="HU22" i="15" s="1"/>
  <c r="HT22" i="15" a="1"/>
  <c r="HT22" i="15" s="1"/>
  <c r="IS22" i="15" s="1"/>
  <c r="HS22" i="15"/>
  <c r="IR22" i="15" s="1"/>
  <c r="HS22" i="15" a="1"/>
  <c r="HR22" i="15" a="1"/>
  <c r="HR22" i="15" s="1"/>
  <c r="IQ22" i="15" s="1"/>
  <c r="HQ22" i="15" a="1"/>
  <c r="HQ22" i="15" s="1"/>
  <c r="HP22" i="15" a="1"/>
  <c r="HP22" i="15" s="1"/>
  <c r="HL22" i="15"/>
  <c r="HJ22" i="15"/>
  <c r="HH22" i="15"/>
  <c r="HB22" i="15"/>
  <c r="HC22" i="15" s="1"/>
  <c r="HA22" i="15"/>
  <c r="GZ22" i="15"/>
  <c r="GY22" i="15"/>
  <c r="GX22" i="15"/>
  <c r="GW22" i="15"/>
  <c r="GV22" i="15"/>
  <c r="GU22" i="15"/>
  <c r="GT22" i="15"/>
  <c r="GP22" i="15"/>
  <c r="GN22" i="15"/>
  <c r="GM22" i="15"/>
  <c r="GI22" i="15"/>
  <c r="GH22" i="15"/>
  <c r="GG22" i="15"/>
  <c r="GF22" i="15"/>
  <c r="GE22" i="15"/>
  <c r="GB22" i="15"/>
  <c r="GA22" i="15"/>
  <c r="FZ22" i="15"/>
  <c r="FY22" i="15"/>
  <c r="FW22" i="15"/>
  <c r="FV22" i="15"/>
  <c r="FU22" i="15"/>
  <c r="FT22" i="15"/>
  <c r="FS22" i="15"/>
  <c r="FR22" i="15"/>
  <c r="FQ22" i="15"/>
  <c r="FJ22" i="15"/>
  <c r="FI22" i="15"/>
  <c r="FH22" i="15"/>
  <c r="FG22" i="15"/>
  <c r="FF22" i="15"/>
  <c r="FE22" i="15"/>
  <c r="FD22" i="15"/>
  <c r="FB22" i="15"/>
  <c r="FA22" i="15"/>
  <c r="EZ22" i="15"/>
  <c r="EY22" i="15"/>
  <c r="EX22" i="15"/>
  <c r="EW22" i="15"/>
  <c r="EV22" i="15"/>
  <c r="EU22" i="15"/>
  <c r="ET22" i="15"/>
  <c r="ES22" i="15"/>
  <c r="ER22" i="15"/>
  <c r="EQ22" i="15"/>
  <c r="EP22" i="15"/>
  <c r="EO22" i="15"/>
  <c r="EN22" i="15"/>
  <c r="EM22" i="15"/>
  <c r="EL22" i="15"/>
  <c r="EK22" i="15"/>
  <c r="EJ22" i="15"/>
  <c r="EI22" i="15"/>
  <c r="EH22" i="15"/>
  <c r="EG22" i="15"/>
  <c r="EF22" i="15"/>
  <c r="EE22" i="15"/>
  <c r="ED22" i="15"/>
  <c r="EC22" i="15"/>
  <c r="EB22" i="15"/>
  <c r="EA22" i="15"/>
  <c r="DZ22" i="15"/>
  <c r="DY22" i="15"/>
  <c r="DU22" i="15"/>
  <c r="DT22" i="15"/>
  <c r="DS22" i="15"/>
  <c r="DR22" i="15"/>
  <c r="DQ22" i="15"/>
  <c r="DP22" i="15"/>
  <c r="DO22" i="15"/>
  <c r="DN22" i="15"/>
  <c r="DM22" i="15" a="1"/>
  <c r="DM22" i="15" s="1"/>
  <c r="DK22" i="15"/>
  <c r="DJ22" i="15"/>
  <c r="DI22" i="15"/>
  <c r="DH22" i="15"/>
  <c r="DG22" i="15"/>
  <c r="DF22" i="15"/>
  <c r="DE22" i="15"/>
  <c r="DD22" i="15"/>
  <c r="DB22" i="15"/>
  <c r="DA22" i="15"/>
  <c r="CV22" i="15"/>
  <c r="CU22" i="15"/>
  <c r="CT22" i="15"/>
  <c r="CS22" i="15"/>
  <c r="CR22" i="15"/>
  <c r="CQ22" i="15"/>
  <c r="GL22" i="15" s="1"/>
  <c r="CP22" i="15"/>
  <c r="GJ22" i="15" s="1"/>
  <c r="GK22" i="15" s="1"/>
  <c r="CO22" i="15"/>
  <c r="CN22" i="15"/>
  <c r="CM22" i="15"/>
  <c r="DX22" i="15" s="1"/>
  <c r="CL22" i="15"/>
  <c r="DW22" i="15" s="1"/>
  <c r="CK22" i="15"/>
  <c r="CZ22" i="15" s="1"/>
  <c r="CG22" i="15"/>
  <c r="CG22" i="15" a="1"/>
  <c r="AW22" i="15"/>
  <c r="AV22" i="15"/>
  <c r="J22" i="15"/>
  <c r="HI22" i="15" s="1"/>
  <c r="G22" i="15"/>
  <c r="IP21" i="15"/>
  <c r="IO21" i="15"/>
  <c r="IN21" i="15"/>
  <c r="IX21" i="15" s="1"/>
  <c r="IM21" i="15"/>
  <c r="HX21" i="15" a="1"/>
  <c r="HX21" i="15" s="1"/>
  <c r="IW21" i="15" s="1"/>
  <c r="HW21" i="15"/>
  <c r="IV21" i="15" s="1"/>
  <c r="HW21" i="15" a="1"/>
  <c r="HV21" i="15"/>
  <c r="IU21" i="15" s="1"/>
  <c r="HV21" i="15" a="1"/>
  <c r="HU21" i="15" a="1"/>
  <c r="HU21" i="15" s="1"/>
  <c r="IT21" i="15" s="1"/>
  <c r="HT21" i="15" a="1"/>
  <c r="HT21" i="15" s="1"/>
  <c r="IS21" i="15" s="1"/>
  <c r="HS21" i="15"/>
  <c r="IR21" i="15" s="1"/>
  <c r="HS21" i="15" a="1"/>
  <c r="HR21" i="15" a="1"/>
  <c r="HR21" i="15" s="1"/>
  <c r="IQ21" i="15" s="1"/>
  <c r="HQ21" i="15"/>
  <c r="HQ21" i="15" a="1"/>
  <c r="HP21" i="15"/>
  <c r="HP21" i="15" a="1"/>
  <c r="HL21" i="15"/>
  <c r="HJ21" i="15"/>
  <c r="HH21" i="15"/>
  <c r="HB21" i="15"/>
  <c r="HA21" i="15"/>
  <c r="GZ21" i="15"/>
  <c r="GY21" i="15"/>
  <c r="GX21" i="15"/>
  <c r="GW21" i="15"/>
  <c r="GV21" i="15"/>
  <c r="GU21" i="15"/>
  <c r="GT21" i="15"/>
  <c r="GP21" i="15"/>
  <c r="GN21" i="15"/>
  <c r="GM21" i="15"/>
  <c r="GL21" i="15"/>
  <c r="GK21" i="15"/>
  <c r="GJ21" i="15"/>
  <c r="GI21" i="15"/>
  <c r="GH21" i="15"/>
  <c r="GG21" i="15"/>
  <c r="GF21" i="15"/>
  <c r="GE21" i="15"/>
  <c r="GB21" i="15"/>
  <c r="GA21" i="15"/>
  <c r="FZ21" i="15"/>
  <c r="FY21" i="15"/>
  <c r="FW21" i="15"/>
  <c r="FV21" i="15"/>
  <c r="FU21" i="15"/>
  <c r="FT21" i="15"/>
  <c r="FS21" i="15"/>
  <c r="FR21" i="15"/>
  <c r="FQ21" i="15"/>
  <c r="FP21" i="15"/>
  <c r="FJ21" i="15"/>
  <c r="FM21" i="15" s="1"/>
  <c r="FI21" i="15"/>
  <c r="FL21" i="15" s="1"/>
  <c r="FH21" i="15"/>
  <c r="FK21" i="15" s="1"/>
  <c r="FG21" i="15"/>
  <c r="FF21" i="15"/>
  <c r="FE21" i="15"/>
  <c r="FD21" i="15"/>
  <c r="FB21" i="15"/>
  <c r="FA21" i="15"/>
  <c r="EZ21" i="15"/>
  <c r="EY21" i="15"/>
  <c r="EX21" i="15"/>
  <c r="EW21" i="15"/>
  <c r="EV21" i="15"/>
  <c r="EU21" i="15"/>
  <c r="ET21" i="15"/>
  <c r="ES21" i="15"/>
  <c r="ER21" i="15"/>
  <c r="EQ21" i="15"/>
  <c r="EP21" i="15"/>
  <c r="EO21" i="15"/>
  <c r="EN21" i="15"/>
  <c r="EM21" i="15"/>
  <c r="EL21" i="15"/>
  <c r="EK21" i="15"/>
  <c r="EJ21" i="15"/>
  <c r="EI21" i="15"/>
  <c r="EH21" i="15"/>
  <c r="EG21" i="15"/>
  <c r="EF21" i="15"/>
  <c r="EE21" i="15"/>
  <c r="ED21" i="15"/>
  <c r="EC21" i="15"/>
  <c r="EB21" i="15"/>
  <c r="EA21" i="15"/>
  <c r="DU21" i="15"/>
  <c r="DT21" i="15"/>
  <c r="DS21" i="15"/>
  <c r="DR21" i="15"/>
  <c r="DQ21" i="15"/>
  <c r="DP21" i="15"/>
  <c r="DO21" i="15"/>
  <c r="DN21" i="15"/>
  <c r="DM21" i="15"/>
  <c r="DM21" i="15" a="1"/>
  <c r="DL21" i="15"/>
  <c r="DK21" i="15"/>
  <c r="DJ21" i="15"/>
  <c r="DI21" i="15"/>
  <c r="DH21" i="15"/>
  <c r="DG21" i="15"/>
  <c r="DF21" i="15"/>
  <c r="DE21" i="15"/>
  <c r="DD21" i="15"/>
  <c r="DB21" i="15"/>
  <c r="DA21" i="15"/>
  <c r="CY21" i="15"/>
  <c r="CX21" i="15"/>
  <c r="CW21" i="15"/>
  <c r="CV21" i="15"/>
  <c r="CU21" i="15"/>
  <c r="CT21" i="15"/>
  <c r="CS21" i="15"/>
  <c r="CR21" i="15"/>
  <c r="CQ21" i="15"/>
  <c r="CP21" i="15"/>
  <c r="CO21" i="15"/>
  <c r="DZ21" i="15" s="1"/>
  <c r="CN21" i="15"/>
  <c r="DY21" i="15" s="1"/>
  <c r="CM21" i="15"/>
  <c r="DX21" i="15" s="1"/>
  <c r="CL21" i="15"/>
  <c r="DW21" i="15" s="1"/>
  <c r="CK21" i="15"/>
  <c r="CZ21" i="15" s="1"/>
  <c r="CI21" i="15"/>
  <c r="CH21" i="15"/>
  <c r="CG21" i="15" a="1"/>
  <c r="CG21" i="15" s="1"/>
  <c r="CJ21" i="15" s="1"/>
  <c r="AW21" i="15"/>
  <c r="AV21" i="15"/>
  <c r="J21" i="15"/>
  <c r="G21" i="15"/>
  <c r="IW20" i="15"/>
  <c r="IV20" i="15"/>
  <c r="IU20" i="15"/>
  <c r="IS20" i="15"/>
  <c r="IQ20" i="15"/>
  <c r="HX20" i="15" a="1"/>
  <c r="HX20" i="15" s="1"/>
  <c r="HW20" i="15"/>
  <c r="HW20" i="15" a="1"/>
  <c r="HV20" i="15"/>
  <c r="HV20" i="15" a="1"/>
  <c r="HU20" i="15" a="1"/>
  <c r="HU20" i="15" s="1"/>
  <c r="IT20" i="15" s="1"/>
  <c r="HT20" i="15"/>
  <c r="HT20" i="15" a="1"/>
  <c r="HS20" i="15"/>
  <c r="IR20" i="15" s="1"/>
  <c r="HS20" i="15" a="1"/>
  <c r="HR20" i="15" a="1"/>
  <c r="HR20" i="15" s="1"/>
  <c r="HQ20" i="15" a="1"/>
  <c r="HQ20" i="15" s="1"/>
  <c r="IP20" i="15" s="1"/>
  <c r="HP20" i="15" a="1"/>
  <c r="HP20" i="15" s="1"/>
  <c r="IO20" i="15" s="1"/>
  <c r="HL20" i="15"/>
  <c r="HJ20" i="15"/>
  <c r="HI20" i="15"/>
  <c r="HH20" i="15"/>
  <c r="HB20" i="15"/>
  <c r="HA20" i="15"/>
  <c r="GZ20" i="15"/>
  <c r="GY20" i="15"/>
  <c r="GX20" i="15"/>
  <c r="GW20" i="15"/>
  <c r="GV20" i="15"/>
  <c r="GU20" i="15"/>
  <c r="GT20" i="15"/>
  <c r="HC20" i="15" s="1"/>
  <c r="GP20" i="15"/>
  <c r="GM20" i="15"/>
  <c r="GL20" i="15"/>
  <c r="GI20" i="15"/>
  <c r="GH20" i="15"/>
  <c r="GG20" i="15"/>
  <c r="GF20" i="15"/>
  <c r="GE20" i="15"/>
  <c r="GB20" i="15"/>
  <c r="GA20" i="15"/>
  <c r="FZ20" i="15"/>
  <c r="FY20" i="15"/>
  <c r="FW20" i="15"/>
  <c r="FV20" i="15"/>
  <c r="FU20" i="15"/>
  <c r="FT20" i="15"/>
  <c r="FS20" i="15"/>
  <c r="FR20" i="15"/>
  <c r="FQ20" i="15"/>
  <c r="FP20" i="15"/>
  <c r="FN20" i="15"/>
  <c r="FM20" i="15"/>
  <c r="FK20" i="15"/>
  <c r="FJ20" i="15"/>
  <c r="FI20" i="15"/>
  <c r="FH20" i="15"/>
  <c r="FG20" i="15"/>
  <c r="FF20" i="15"/>
  <c r="FL20" i="15" s="1"/>
  <c r="FE20" i="15"/>
  <c r="FO20" i="15" s="1"/>
  <c r="FD20" i="15"/>
  <c r="FB20" i="15"/>
  <c r="FA20" i="15"/>
  <c r="EZ20" i="15"/>
  <c r="EY20" i="15"/>
  <c r="EX20" i="15"/>
  <c r="EW20" i="15"/>
  <c r="EV20" i="15"/>
  <c r="EU20" i="15"/>
  <c r="ET20" i="15"/>
  <c r="ES20" i="15"/>
  <c r="ER20" i="15"/>
  <c r="EQ20" i="15"/>
  <c r="EP20" i="15"/>
  <c r="EO20" i="15"/>
  <c r="EN20" i="15"/>
  <c r="EM20" i="15"/>
  <c r="EL20" i="15"/>
  <c r="EK20" i="15"/>
  <c r="EJ20" i="15"/>
  <c r="EI20" i="15"/>
  <c r="EH20" i="15"/>
  <c r="EG20" i="15"/>
  <c r="EF20" i="15"/>
  <c r="EE20" i="15"/>
  <c r="ED20" i="15"/>
  <c r="EC20" i="15"/>
  <c r="EB20" i="15"/>
  <c r="EA20" i="15"/>
  <c r="DZ20" i="15"/>
  <c r="DY20" i="15"/>
  <c r="DU20" i="15"/>
  <c r="DT20" i="15"/>
  <c r="DS20" i="15"/>
  <c r="DR20" i="15"/>
  <c r="DQ20" i="15"/>
  <c r="DP20" i="15"/>
  <c r="DO20" i="15"/>
  <c r="DN20" i="15"/>
  <c r="DM20" i="15" a="1"/>
  <c r="DM20" i="15" s="1"/>
  <c r="DK20" i="15"/>
  <c r="DJ20" i="15"/>
  <c r="DI20" i="15"/>
  <c r="DH20" i="15"/>
  <c r="DG20" i="15"/>
  <c r="DF20" i="15"/>
  <c r="DE20" i="15"/>
  <c r="DD20" i="15"/>
  <c r="DB20" i="15"/>
  <c r="DA20" i="15"/>
  <c r="CV20" i="15"/>
  <c r="CU20" i="15"/>
  <c r="CT20" i="15"/>
  <c r="CS20" i="15"/>
  <c r="GN20" i="15" s="1"/>
  <c r="CR20" i="15"/>
  <c r="CQ20" i="15"/>
  <c r="CP20" i="15"/>
  <c r="GJ20" i="15" s="1"/>
  <c r="GK20" i="15" s="1"/>
  <c r="CO20" i="15"/>
  <c r="CN20" i="15"/>
  <c r="CM20" i="15"/>
  <c r="DX20" i="15" s="1"/>
  <c r="CL20" i="15"/>
  <c r="DW20" i="15" s="1"/>
  <c r="CK20" i="15"/>
  <c r="CZ20" i="15" s="1"/>
  <c r="CJ20" i="15"/>
  <c r="CY20" i="15" s="1"/>
  <c r="CI20" i="15"/>
  <c r="CX20" i="15" s="1"/>
  <c r="CG20" i="15"/>
  <c r="IN20" i="15" s="1"/>
  <c r="IX20" i="15" s="1"/>
  <c r="CG20" i="15" a="1"/>
  <c r="AW20" i="15"/>
  <c r="AV20" i="15"/>
  <c r="J20" i="15"/>
  <c r="G20" i="15"/>
  <c r="IS19" i="15"/>
  <c r="HX19" i="15" a="1"/>
  <c r="HX19" i="15" s="1"/>
  <c r="IW19" i="15" s="1"/>
  <c r="HW19" i="15"/>
  <c r="IV19" i="15" s="1"/>
  <c r="HW19" i="15" a="1"/>
  <c r="HV19" i="15"/>
  <c r="IU19" i="15" s="1"/>
  <c r="HV19" i="15" a="1"/>
  <c r="HU19" i="15" a="1"/>
  <c r="HU19" i="15" s="1"/>
  <c r="IT19" i="15" s="1"/>
  <c r="HT19" i="15" a="1"/>
  <c r="HT19" i="15" s="1"/>
  <c r="HS19" i="15"/>
  <c r="IR19" i="15" s="1"/>
  <c r="HS19" i="15" a="1"/>
  <c r="HR19" i="15" a="1"/>
  <c r="HR19" i="15" s="1"/>
  <c r="IQ19" i="15" s="1"/>
  <c r="HQ19" i="15"/>
  <c r="IP19" i="15" s="1"/>
  <c r="HQ19" i="15" a="1"/>
  <c r="HP19" i="15" a="1"/>
  <c r="HP19" i="15" s="1"/>
  <c r="IO19" i="15" s="1"/>
  <c r="HL19" i="15"/>
  <c r="HJ19" i="15"/>
  <c r="HH19" i="15"/>
  <c r="HB19" i="15"/>
  <c r="HA19" i="15"/>
  <c r="GZ19" i="15"/>
  <c r="GY19" i="15"/>
  <c r="GX19" i="15"/>
  <c r="GW19" i="15"/>
  <c r="GV19" i="15"/>
  <c r="GU19" i="15"/>
  <c r="GT19" i="15"/>
  <c r="HC19" i="15" s="1"/>
  <c r="GP19" i="15"/>
  <c r="GI19" i="15"/>
  <c r="GH19" i="15"/>
  <c r="GG19" i="15"/>
  <c r="GF19" i="15"/>
  <c r="GE19" i="15"/>
  <c r="GB19" i="15"/>
  <c r="GA19" i="15"/>
  <c r="FZ19" i="15"/>
  <c r="FY19" i="15"/>
  <c r="FW19" i="15"/>
  <c r="FV19" i="15"/>
  <c r="FU19" i="15"/>
  <c r="FT19" i="15"/>
  <c r="FS19" i="15"/>
  <c r="FR19" i="15"/>
  <c r="FQ19" i="15"/>
  <c r="FP19" i="15"/>
  <c r="FN19" i="15"/>
  <c r="FJ19" i="15"/>
  <c r="FI19" i="15"/>
  <c r="FH19" i="15"/>
  <c r="FK19" i="15" s="1"/>
  <c r="FG19" i="15"/>
  <c r="FO19" i="15" s="1"/>
  <c r="FF19" i="15"/>
  <c r="FE19" i="15"/>
  <c r="FD19" i="15"/>
  <c r="FB19" i="15"/>
  <c r="FA19" i="15"/>
  <c r="EZ19" i="15"/>
  <c r="EY19" i="15"/>
  <c r="EX19" i="15"/>
  <c r="EW19" i="15"/>
  <c r="EV19" i="15"/>
  <c r="EU19" i="15"/>
  <c r="ET19" i="15"/>
  <c r="ES19" i="15"/>
  <c r="ER19" i="15"/>
  <c r="EQ19" i="15"/>
  <c r="EP19" i="15"/>
  <c r="EO19" i="15"/>
  <c r="EN19" i="15"/>
  <c r="EM19" i="15"/>
  <c r="EL19" i="15"/>
  <c r="EK19" i="15"/>
  <c r="EJ19" i="15"/>
  <c r="EI19" i="15"/>
  <c r="EH19" i="15"/>
  <c r="EG19" i="15"/>
  <c r="EF19" i="15"/>
  <c r="EE19" i="15"/>
  <c r="ED19" i="15"/>
  <c r="EC19" i="15"/>
  <c r="EB19" i="15"/>
  <c r="EA19" i="15"/>
  <c r="DU19" i="15"/>
  <c r="DT19" i="15"/>
  <c r="DS19" i="15"/>
  <c r="DR19" i="15"/>
  <c r="DQ19" i="15"/>
  <c r="DP19" i="15"/>
  <c r="DO19" i="15"/>
  <c r="DN19" i="15"/>
  <c r="DK19" i="15"/>
  <c r="DJ19" i="15"/>
  <c r="DI19" i="15"/>
  <c r="DH19" i="15"/>
  <c r="DG19" i="15"/>
  <c r="DF19" i="15"/>
  <c r="DE19" i="15"/>
  <c r="DD19" i="15"/>
  <c r="DB19" i="15"/>
  <c r="DA19" i="15"/>
  <c r="CV19" i="15"/>
  <c r="CU19" i="15"/>
  <c r="CT19" i="15"/>
  <c r="CS19" i="15"/>
  <c r="GN19" i="15" s="1"/>
  <c r="CR19" i="15"/>
  <c r="GM19" i="15" s="1"/>
  <c r="CQ19" i="15"/>
  <c r="GL19" i="15" s="1"/>
  <c r="CP19" i="15"/>
  <c r="GJ19" i="15" s="1"/>
  <c r="GK19" i="15" s="1"/>
  <c r="CO19" i="15"/>
  <c r="DZ19" i="15" s="1"/>
  <c r="CN19" i="15"/>
  <c r="DY19" i="15" s="1"/>
  <c r="CM19" i="15"/>
  <c r="DX19" i="15" s="1"/>
  <c r="CL19" i="15"/>
  <c r="DW19" i="15" s="1"/>
  <c r="CG19" i="15" a="1"/>
  <c r="CG19" i="15" s="1"/>
  <c r="AW19" i="15"/>
  <c r="AV19" i="15"/>
  <c r="J19" i="15"/>
  <c r="HI19" i="15" s="1"/>
  <c r="G19" i="15"/>
  <c r="IW18" i="15"/>
  <c r="IP18" i="15"/>
  <c r="IO18" i="15"/>
  <c r="IN18" i="15"/>
  <c r="IX18" i="15" s="1"/>
  <c r="IL18" i="15"/>
  <c r="HX18" i="15"/>
  <c r="HX18" i="15" a="1"/>
  <c r="HW18" i="15"/>
  <c r="IV18" i="15" s="1"/>
  <c r="HW18" i="15" a="1"/>
  <c r="HV18" i="15" a="1"/>
  <c r="HV18" i="15" s="1"/>
  <c r="IU18" i="15" s="1"/>
  <c r="HU18" i="15"/>
  <c r="IT18" i="15" s="1"/>
  <c r="HU18" i="15" a="1"/>
  <c r="HT18" i="15" a="1"/>
  <c r="HT18" i="15" s="1"/>
  <c r="IS18" i="15" s="1"/>
  <c r="HS18" i="15"/>
  <c r="IR18" i="15" s="1"/>
  <c r="HS18" i="15" a="1"/>
  <c r="HR18" i="15" a="1"/>
  <c r="HR18" i="15" s="1"/>
  <c r="IQ18" i="15" s="1"/>
  <c r="HQ18" i="15"/>
  <c r="HQ18" i="15" a="1"/>
  <c r="HP18" i="15" a="1"/>
  <c r="HP18" i="15" s="1"/>
  <c r="HL18" i="15"/>
  <c r="HJ18" i="15"/>
  <c r="HI18" i="15"/>
  <c r="HH18" i="15"/>
  <c r="HB18" i="15"/>
  <c r="HA18" i="15"/>
  <c r="GZ18" i="15"/>
  <c r="GY18" i="15"/>
  <c r="GX18" i="15"/>
  <c r="GW18" i="15"/>
  <c r="GV18" i="15"/>
  <c r="GU18" i="15"/>
  <c r="GT18" i="15"/>
  <c r="GP18" i="15"/>
  <c r="GN18" i="15"/>
  <c r="GJ18" i="15"/>
  <c r="GK18" i="15" s="1"/>
  <c r="GI18" i="15"/>
  <c r="GH18" i="15"/>
  <c r="GG18" i="15"/>
  <c r="GF18" i="15"/>
  <c r="GE18" i="15"/>
  <c r="GD18" i="15"/>
  <c r="GC18" i="15"/>
  <c r="GB18" i="15"/>
  <c r="GA18" i="15"/>
  <c r="FZ18" i="15"/>
  <c r="FY18" i="15"/>
  <c r="FX18" i="15"/>
  <c r="FW18" i="15"/>
  <c r="FV18" i="15"/>
  <c r="FU18" i="15"/>
  <c r="FT18" i="15"/>
  <c r="FS18" i="15"/>
  <c r="FR18" i="15"/>
  <c r="FQ18" i="15"/>
  <c r="FP18" i="15"/>
  <c r="FJ18" i="15"/>
  <c r="FM18" i="15" s="1"/>
  <c r="FI18" i="15"/>
  <c r="FL18" i="15" s="1"/>
  <c r="FH18" i="15"/>
  <c r="FG18" i="15"/>
  <c r="FF18" i="15"/>
  <c r="FE18" i="15"/>
  <c r="FD18" i="15"/>
  <c r="FC18" i="15"/>
  <c r="FB18" i="15"/>
  <c r="FA18" i="15"/>
  <c r="EZ18" i="15"/>
  <c r="EY18" i="15"/>
  <c r="EX18" i="15"/>
  <c r="EW18" i="15"/>
  <c r="EV18" i="15"/>
  <c r="EU18" i="15"/>
  <c r="ET18" i="15"/>
  <c r="ES18" i="15"/>
  <c r="ER18" i="15"/>
  <c r="EQ18" i="15"/>
  <c r="EP18" i="15"/>
  <c r="EO18" i="15"/>
  <c r="EN18" i="15"/>
  <c r="EM18" i="15"/>
  <c r="EL18" i="15"/>
  <c r="EK18" i="15"/>
  <c r="EJ18" i="15"/>
  <c r="EI18" i="15"/>
  <c r="EH18" i="15"/>
  <c r="EG18" i="15"/>
  <c r="EF18" i="15"/>
  <c r="EE18" i="15"/>
  <c r="ED18" i="15"/>
  <c r="EC18" i="15"/>
  <c r="EB18" i="15"/>
  <c r="EA18" i="15"/>
  <c r="DZ18" i="15"/>
  <c r="DY18" i="15"/>
  <c r="DV18" i="15"/>
  <c r="DU18" i="15"/>
  <c r="DT18" i="15"/>
  <c r="DS18" i="15"/>
  <c r="DR18" i="15"/>
  <c r="DQ18" i="15"/>
  <c r="DP18" i="15"/>
  <c r="DO18" i="15"/>
  <c r="DN18" i="15"/>
  <c r="DK18" i="15"/>
  <c r="DJ18" i="15"/>
  <c r="DI18" i="15"/>
  <c r="DH18" i="15"/>
  <c r="DG18" i="15"/>
  <c r="DF18" i="15"/>
  <c r="DE18" i="15"/>
  <c r="DD18" i="15"/>
  <c r="DC18" i="15"/>
  <c r="DB18" i="15"/>
  <c r="DA18" i="15"/>
  <c r="CV18" i="15"/>
  <c r="CU18" i="15"/>
  <c r="CT18" i="15"/>
  <c r="CS18" i="15"/>
  <c r="CR18" i="15"/>
  <c r="GM18" i="15" s="1"/>
  <c r="CQ18" i="15"/>
  <c r="GL18" i="15" s="1"/>
  <c r="CP18" i="15"/>
  <c r="CO18" i="15"/>
  <c r="CN18" i="15"/>
  <c r="CM18" i="15"/>
  <c r="DX18" i="15" s="1"/>
  <c r="CL18" i="15"/>
  <c r="DW18" i="15" s="1"/>
  <c r="CI18" i="15"/>
  <c r="CX18" i="15" s="1"/>
  <c r="CH18" i="15"/>
  <c r="CW18" i="15" s="1"/>
  <c r="CG18" i="15" a="1"/>
  <c r="CG18" i="15" s="1"/>
  <c r="AX18" i="15"/>
  <c r="AW18" i="15"/>
  <c r="AV18" i="15"/>
  <c r="J18" i="15"/>
  <c r="G18" i="15"/>
  <c r="IT17" i="15"/>
  <c r="IR17" i="15"/>
  <c r="IQ17" i="15"/>
  <c r="HX17" i="15" a="1"/>
  <c r="HX17" i="15" s="1"/>
  <c r="IW17" i="15" s="1"/>
  <c r="HW17" i="15"/>
  <c r="IV17" i="15" s="1"/>
  <c r="HW17" i="15" a="1"/>
  <c r="HV17" i="15" a="1"/>
  <c r="HV17" i="15" s="1"/>
  <c r="IU17" i="15" s="1"/>
  <c r="HU17" i="15" a="1"/>
  <c r="HU17" i="15" s="1"/>
  <c r="HT17" i="15" a="1"/>
  <c r="HT17" i="15" s="1"/>
  <c r="IS17" i="15" s="1"/>
  <c r="HS17" i="15" a="1"/>
  <c r="HS17" i="15" s="1"/>
  <c r="HR17" i="15"/>
  <c r="HR17" i="15" a="1"/>
  <c r="HQ17" i="15" a="1"/>
  <c r="HQ17" i="15" s="1"/>
  <c r="IP17" i="15" s="1"/>
  <c r="HP17" i="15"/>
  <c r="IO17" i="15" s="1"/>
  <c r="HP17" i="15" a="1"/>
  <c r="HL17" i="15"/>
  <c r="HJ17" i="15"/>
  <c r="HH17" i="15"/>
  <c r="HB17" i="15"/>
  <c r="HA17" i="15"/>
  <c r="GZ17" i="15"/>
  <c r="GY17" i="15"/>
  <c r="GX17" i="15"/>
  <c r="GW17" i="15"/>
  <c r="GV17" i="15"/>
  <c r="GU17" i="15"/>
  <c r="GT17" i="15"/>
  <c r="GP17" i="15"/>
  <c r="GJ17" i="15"/>
  <c r="GK17" i="15" s="1"/>
  <c r="GI17" i="15"/>
  <c r="GH17" i="15"/>
  <c r="GG17" i="15"/>
  <c r="GF17" i="15"/>
  <c r="GE17" i="15"/>
  <c r="GB17" i="15"/>
  <c r="GA17" i="15"/>
  <c r="FZ17" i="15"/>
  <c r="FY17" i="15"/>
  <c r="FW17" i="15"/>
  <c r="FV17" i="15"/>
  <c r="FU17" i="15"/>
  <c r="FT17" i="15"/>
  <c r="FS17" i="15"/>
  <c r="FR17" i="15"/>
  <c r="FQ17" i="15"/>
  <c r="FP17" i="15"/>
  <c r="FO17" i="15"/>
  <c r="FJ17" i="15"/>
  <c r="FM17" i="15" s="1"/>
  <c r="FI17" i="15"/>
  <c r="FL17" i="15" s="1"/>
  <c r="FH17" i="15"/>
  <c r="FK17" i="15" s="1"/>
  <c r="FG17" i="15"/>
  <c r="FF17" i="15"/>
  <c r="FN17" i="15" s="1"/>
  <c r="FE17" i="15"/>
  <c r="FD17" i="15"/>
  <c r="FB17" i="15"/>
  <c r="FA17" i="15"/>
  <c r="EZ17" i="15"/>
  <c r="EY17" i="15"/>
  <c r="EX17" i="15"/>
  <c r="EW17" i="15"/>
  <c r="EV17" i="15"/>
  <c r="EU17" i="15"/>
  <c r="ET17" i="15"/>
  <c r="ES17" i="15"/>
  <c r="ER17" i="15"/>
  <c r="EQ17" i="15"/>
  <c r="EP17" i="15"/>
  <c r="EO17" i="15"/>
  <c r="EN17" i="15"/>
  <c r="EM17" i="15"/>
  <c r="EL17" i="15"/>
  <c r="EK17" i="15"/>
  <c r="EJ17" i="15"/>
  <c r="EI17" i="15"/>
  <c r="EH17" i="15"/>
  <c r="EG17" i="15"/>
  <c r="EF17" i="15"/>
  <c r="EE17" i="15"/>
  <c r="ED17" i="15"/>
  <c r="EC17" i="15"/>
  <c r="EB17" i="15"/>
  <c r="EA17" i="15"/>
  <c r="DZ17" i="15"/>
  <c r="DY17" i="15"/>
  <c r="DU17" i="15"/>
  <c r="DT17" i="15"/>
  <c r="DS17" i="15"/>
  <c r="DR17" i="15"/>
  <c r="DQ17" i="15"/>
  <c r="DP17" i="15"/>
  <c r="DO17" i="15"/>
  <c r="DN17" i="15"/>
  <c r="DM17" i="15" a="1"/>
  <c r="DM17" i="15" s="1"/>
  <c r="DL17" i="15"/>
  <c r="DK17" i="15"/>
  <c r="DJ17" i="15"/>
  <c r="DI17" i="15"/>
  <c r="DH17" i="15"/>
  <c r="DG17" i="15"/>
  <c r="DF17" i="15"/>
  <c r="DE17" i="15"/>
  <c r="DD17" i="15"/>
  <c r="DB17" i="15"/>
  <c r="DA17" i="15"/>
  <c r="CY17" i="15"/>
  <c r="CV17" i="15"/>
  <c r="CU17" i="15"/>
  <c r="CT17" i="15"/>
  <c r="CS17" i="15"/>
  <c r="GN17" i="15" s="1"/>
  <c r="CR17" i="15"/>
  <c r="GM17" i="15" s="1"/>
  <c r="CQ17" i="15"/>
  <c r="GL17" i="15" s="1"/>
  <c r="CP17" i="15"/>
  <c r="CO17" i="15"/>
  <c r="CN17" i="15"/>
  <c r="CM17" i="15"/>
  <c r="DX17" i="15" s="1"/>
  <c r="CL17" i="15"/>
  <c r="DW17" i="15" s="1"/>
  <c r="CJ17" i="15"/>
  <c r="CH17" i="15"/>
  <c r="CW17" i="15" s="1"/>
  <c r="CG17" i="15"/>
  <c r="CG17" i="15" a="1"/>
  <c r="AW17" i="15"/>
  <c r="AV17" i="15"/>
  <c r="J17" i="15"/>
  <c r="G17" i="15"/>
  <c r="IQ16" i="15"/>
  <c r="IP16" i="15"/>
  <c r="IO16" i="15"/>
  <c r="HX16" i="15"/>
  <c r="IW16" i="15" s="1"/>
  <c r="HX16" i="15" a="1"/>
  <c r="HW16" i="15" a="1"/>
  <c r="HW16" i="15" s="1"/>
  <c r="IV16" i="15" s="1"/>
  <c r="HV16" i="15" a="1"/>
  <c r="HV16" i="15" s="1"/>
  <c r="IU16" i="15" s="1"/>
  <c r="HU16" i="15" a="1"/>
  <c r="HU16" i="15" s="1"/>
  <c r="IT16" i="15" s="1"/>
  <c r="HT16" i="15"/>
  <c r="IS16" i="15" s="1"/>
  <c r="HT16" i="15" a="1"/>
  <c r="HS16" i="15"/>
  <c r="IR16" i="15" s="1"/>
  <c r="HS16" i="15" a="1"/>
  <c r="HR16" i="15"/>
  <c r="HR16" i="15" a="1"/>
  <c r="HQ16" i="15"/>
  <c r="HQ16" i="15" a="1"/>
  <c r="HP16" i="15" a="1"/>
  <c r="HP16" i="15" s="1"/>
  <c r="HL16" i="15"/>
  <c r="HJ16" i="15"/>
  <c r="HI16" i="15"/>
  <c r="HH16" i="15"/>
  <c r="HB16" i="15"/>
  <c r="HA16" i="15"/>
  <c r="GZ16" i="15"/>
  <c r="GY16" i="15"/>
  <c r="GX16" i="15"/>
  <c r="GW16" i="15"/>
  <c r="GV16" i="15"/>
  <c r="GU16" i="15"/>
  <c r="GT16" i="15"/>
  <c r="GP16" i="15"/>
  <c r="GI16" i="15"/>
  <c r="GH16" i="15"/>
  <c r="GG16" i="15"/>
  <c r="GF16" i="15"/>
  <c r="GE16" i="15"/>
  <c r="GB16" i="15"/>
  <c r="GA16" i="15"/>
  <c r="FZ16" i="15"/>
  <c r="FY16" i="15"/>
  <c r="FW16" i="15"/>
  <c r="FV16" i="15"/>
  <c r="FU16" i="15"/>
  <c r="FT16" i="15"/>
  <c r="FS16" i="15"/>
  <c r="FR16" i="15"/>
  <c r="FQ16" i="15"/>
  <c r="FP16" i="15"/>
  <c r="FO16" i="15"/>
  <c r="FN16" i="15"/>
  <c r="FM16" i="15"/>
  <c r="FL16" i="15"/>
  <c r="FJ16" i="15"/>
  <c r="FI16" i="15"/>
  <c r="FH16" i="15"/>
  <c r="FG16" i="15"/>
  <c r="FF16" i="15"/>
  <c r="FE16" i="15"/>
  <c r="FD16" i="15"/>
  <c r="FB16" i="15"/>
  <c r="FA16" i="15"/>
  <c r="EZ16" i="15"/>
  <c r="EY16" i="15"/>
  <c r="EX16" i="15"/>
  <c r="EW16" i="15"/>
  <c r="EV16" i="15"/>
  <c r="EU16" i="15"/>
  <c r="ET16" i="15"/>
  <c r="ES16" i="15"/>
  <c r="ER16" i="15"/>
  <c r="EQ16" i="15"/>
  <c r="EP16" i="15"/>
  <c r="EO16" i="15"/>
  <c r="EN16" i="15"/>
  <c r="EM16" i="15"/>
  <c r="EL16" i="15"/>
  <c r="EK16" i="15"/>
  <c r="EJ16" i="15"/>
  <c r="EI16" i="15"/>
  <c r="EH16" i="15"/>
  <c r="EG16" i="15"/>
  <c r="EF16" i="15"/>
  <c r="EE16" i="15"/>
  <c r="ED16" i="15"/>
  <c r="EC16" i="15"/>
  <c r="EB16" i="15"/>
  <c r="EA16" i="15"/>
  <c r="DY16" i="15"/>
  <c r="DU16" i="15"/>
  <c r="DT16" i="15"/>
  <c r="DS16" i="15"/>
  <c r="DR16" i="15"/>
  <c r="DQ16" i="15"/>
  <c r="DP16" i="15"/>
  <c r="DO16" i="15"/>
  <c r="DN16" i="15"/>
  <c r="DK16" i="15"/>
  <c r="DJ16" i="15"/>
  <c r="DI16" i="15"/>
  <c r="DH16" i="15"/>
  <c r="DG16" i="15"/>
  <c r="DF16" i="15"/>
  <c r="DE16" i="15"/>
  <c r="DD16" i="15"/>
  <c r="DB16" i="15"/>
  <c r="DA16" i="15"/>
  <c r="CV16" i="15"/>
  <c r="CU16" i="15"/>
  <c r="CT16" i="15"/>
  <c r="CS16" i="15"/>
  <c r="GN16" i="15" s="1"/>
  <c r="CR16" i="15"/>
  <c r="GM16" i="15" s="1"/>
  <c r="CQ16" i="15"/>
  <c r="GL16" i="15" s="1"/>
  <c r="CP16" i="15"/>
  <c r="GJ16" i="15" s="1"/>
  <c r="GK16" i="15" s="1"/>
  <c r="CO16" i="15"/>
  <c r="DZ16" i="15" s="1"/>
  <c r="CN16" i="15"/>
  <c r="CM16" i="15"/>
  <c r="DX16" i="15" s="1"/>
  <c r="CL16" i="15"/>
  <c r="DW16" i="15" s="1"/>
  <c r="CG16" i="15" a="1"/>
  <c r="CG16" i="15" s="1"/>
  <c r="AW16" i="15"/>
  <c r="AV16" i="15"/>
  <c r="J16" i="15"/>
  <c r="G16" i="15"/>
  <c r="IP15" i="15"/>
  <c r="HX15" i="15"/>
  <c r="IW15" i="15" s="1"/>
  <c r="HX15" i="15" a="1"/>
  <c r="HW15" i="15" a="1"/>
  <c r="HW15" i="15" s="1"/>
  <c r="IV15" i="15" s="1"/>
  <c r="HV15" i="15"/>
  <c r="IU15" i="15" s="1"/>
  <c r="HV15" i="15" a="1"/>
  <c r="HU15" i="15" a="1"/>
  <c r="HU15" i="15" s="1"/>
  <c r="IT15" i="15" s="1"/>
  <c r="HT15" i="15"/>
  <c r="IS15" i="15" s="1"/>
  <c r="HT15" i="15" a="1"/>
  <c r="HS15" i="15" a="1"/>
  <c r="HS15" i="15" s="1"/>
  <c r="IR15" i="15" s="1"/>
  <c r="HR15" i="15" a="1"/>
  <c r="HR15" i="15" s="1"/>
  <c r="IQ15" i="15" s="1"/>
  <c r="HQ15" i="15"/>
  <c r="HQ15" i="15" a="1"/>
  <c r="HP15" i="15"/>
  <c r="IO15" i="15" s="1"/>
  <c r="HP15" i="15" a="1"/>
  <c r="HL15" i="15"/>
  <c r="HJ15" i="15"/>
  <c r="HH15" i="15"/>
  <c r="HB15" i="15"/>
  <c r="HC15" i="15" s="1"/>
  <c r="HA15" i="15"/>
  <c r="GZ15" i="15"/>
  <c r="GY15" i="15"/>
  <c r="GX15" i="15"/>
  <c r="GW15" i="15"/>
  <c r="GV15" i="15"/>
  <c r="GU15" i="15"/>
  <c r="GT15" i="15"/>
  <c r="GP15" i="15"/>
  <c r="GN15" i="15"/>
  <c r="GM15" i="15"/>
  <c r="GL15" i="15"/>
  <c r="GK15" i="15"/>
  <c r="GJ15" i="15"/>
  <c r="GI15" i="15"/>
  <c r="GH15" i="15"/>
  <c r="GG15" i="15"/>
  <c r="GF15" i="15"/>
  <c r="GE15" i="15"/>
  <c r="GB15" i="15"/>
  <c r="GA15" i="15"/>
  <c r="FZ15" i="15"/>
  <c r="FY15" i="15"/>
  <c r="FW15" i="15"/>
  <c r="FV15" i="15"/>
  <c r="FU15" i="15"/>
  <c r="FT15" i="15"/>
  <c r="FS15" i="15"/>
  <c r="FR15" i="15"/>
  <c r="FQ15" i="15"/>
  <c r="FP15" i="15"/>
  <c r="FO15" i="15"/>
  <c r="FN15" i="15"/>
  <c r="FM15" i="15"/>
  <c r="FL15" i="15"/>
  <c r="FK15" i="15"/>
  <c r="FJ15" i="15"/>
  <c r="FI15" i="15"/>
  <c r="FH15" i="15"/>
  <c r="FG15" i="15"/>
  <c r="FF15" i="15"/>
  <c r="FE15" i="15"/>
  <c r="FD15" i="15"/>
  <c r="FB15" i="15"/>
  <c r="FA15" i="15"/>
  <c r="EZ15" i="15"/>
  <c r="EY15" i="15"/>
  <c r="EX15" i="15"/>
  <c r="EW15" i="15"/>
  <c r="EV15" i="15"/>
  <c r="EU15" i="15"/>
  <c r="ET15" i="15"/>
  <c r="ES15" i="15"/>
  <c r="ER15" i="15"/>
  <c r="EQ15" i="15"/>
  <c r="EP15" i="15"/>
  <c r="EO15" i="15"/>
  <c r="EN15" i="15"/>
  <c r="EM15" i="15"/>
  <c r="EL15" i="15"/>
  <c r="EK15" i="15"/>
  <c r="EJ15" i="15"/>
  <c r="EI15" i="15"/>
  <c r="EH15" i="15"/>
  <c r="EG15" i="15"/>
  <c r="EF15" i="15"/>
  <c r="EE15" i="15"/>
  <c r="ED15" i="15"/>
  <c r="EC15" i="15"/>
  <c r="EB15" i="15"/>
  <c r="EA15" i="15"/>
  <c r="DZ15" i="15"/>
  <c r="DU15" i="15"/>
  <c r="DT15" i="15"/>
  <c r="DS15" i="15"/>
  <c r="DR15" i="15"/>
  <c r="DQ15" i="15"/>
  <c r="DP15" i="15"/>
  <c r="DO15" i="15"/>
  <c r="DN15" i="15"/>
  <c r="DM15" i="15" a="1"/>
  <c r="DM15" i="15" s="1"/>
  <c r="DL15" i="15"/>
  <c r="DK15" i="15"/>
  <c r="DJ15" i="15"/>
  <c r="DI15" i="15"/>
  <c r="DH15" i="15"/>
  <c r="DG15" i="15"/>
  <c r="DF15" i="15"/>
  <c r="DE15" i="15"/>
  <c r="DD15" i="15"/>
  <c r="DB15" i="15"/>
  <c r="DA15" i="15"/>
  <c r="CV15" i="15"/>
  <c r="CU15" i="15"/>
  <c r="CT15" i="15"/>
  <c r="CS15" i="15"/>
  <c r="CR15" i="15"/>
  <c r="CQ15" i="15"/>
  <c r="CP15" i="15"/>
  <c r="CO15" i="15"/>
  <c r="CN15" i="15"/>
  <c r="DY15" i="15" s="1"/>
  <c r="CM15" i="15"/>
  <c r="DX15" i="15" s="1"/>
  <c r="CL15" i="15"/>
  <c r="DW15" i="15" s="1"/>
  <c r="CG15" i="15" a="1"/>
  <c r="CG15" i="15" s="1"/>
  <c r="AW15" i="15"/>
  <c r="AV15" i="15"/>
  <c r="J15" i="15"/>
  <c r="HI15" i="15" s="1"/>
  <c r="G15" i="15"/>
  <c r="IU14" i="15"/>
  <c r="IS14" i="15"/>
  <c r="IO14" i="15"/>
  <c r="IN14" i="15"/>
  <c r="IX14" i="15" s="1"/>
  <c r="IM14" i="15"/>
  <c r="HX14" i="15"/>
  <c r="IW14" i="15" s="1"/>
  <c r="HX14" i="15" a="1"/>
  <c r="HW14" i="15"/>
  <c r="IV14" i="15" s="1"/>
  <c r="HW14" i="15" a="1"/>
  <c r="HV14" i="15" a="1"/>
  <c r="HV14" i="15" s="1"/>
  <c r="HU14" i="15"/>
  <c r="IT14" i="15" s="1"/>
  <c r="HU14" i="15" a="1"/>
  <c r="HT14" i="15"/>
  <c r="HT14" i="15" a="1"/>
  <c r="HS14" i="15" a="1"/>
  <c r="HS14" i="15" s="1"/>
  <c r="IR14" i="15" s="1"/>
  <c r="HR14" i="15" a="1"/>
  <c r="HR14" i="15" s="1"/>
  <c r="IQ14" i="15" s="1"/>
  <c r="HQ14" i="15"/>
  <c r="IP14" i="15" s="1"/>
  <c r="HQ14" i="15" a="1"/>
  <c r="HP14" i="15" a="1"/>
  <c r="HP14" i="15" s="1"/>
  <c r="HL14" i="15"/>
  <c r="HJ14" i="15"/>
  <c r="HH14" i="15"/>
  <c r="HI14" i="15" s="1"/>
  <c r="HC14" i="15"/>
  <c r="HB14" i="15"/>
  <c r="HA14" i="15"/>
  <c r="GZ14" i="15"/>
  <c r="GY14" i="15"/>
  <c r="GX14" i="15"/>
  <c r="GW14" i="15"/>
  <c r="GV14" i="15"/>
  <c r="GU14" i="15"/>
  <c r="GT14" i="15"/>
  <c r="GP14" i="15"/>
  <c r="GN14" i="15"/>
  <c r="GM14" i="15"/>
  <c r="GK14" i="15"/>
  <c r="GI14" i="15"/>
  <c r="GH14" i="15"/>
  <c r="GG14" i="15"/>
  <c r="GF14" i="15"/>
  <c r="GE14" i="15"/>
  <c r="GB14" i="15"/>
  <c r="GA14" i="15"/>
  <c r="FZ14" i="15"/>
  <c r="FY14" i="15"/>
  <c r="FW14" i="15"/>
  <c r="FV14" i="15"/>
  <c r="FU14" i="15"/>
  <c r="FT14" i="15"/>
  <c r="FS14" i="15"/>
  <c r="FR14" i="15"/>
  <c r="FQ14" i="15"/>
  <c r="FJ14" i="15"/>
  <c r="FI14" i="15"/>
  <c r="FH14" i="15"/>
  <c r="FG14" i="15"/>
  <c r="FF14" i="15"/>
  <c r="FP14" i="15" s="1"/>
  <c r="FE14" i="15"/>
  <c r="FD14" i="15"/>
  <c r="FB14" i="15"/>
  <c r="FA14" i="15"/>
  <c r="EZ14" i="15"/>
  <c r="EY14" i="15"/>
  <c r="EX14" i="15"/>
  <c r="EW14" i="15"/>
  <c r="EV14" i="15"/>
  <c r="EU14" i="15"/>
  <c r="ET14" i="15"/>
  <c r="ES14" i="15"/>
  <c r="ER14" i="15"/>
  <c r="EQ14" i="15"/>
  <c r="EP14" i="15"/>
  <c r="EO14" i="15"/>
  <c r="EN14" i="15"/>
  <c r="EM14" i="15"/>
  <c r="EL14" i="15"/>
  <c r="EK14" i="15"/>
  <c r="EJ14" i="15"/>
  <c r="EI14" i="15"/>
  <c r="EH14" i="15"/>
  <c r="EG14" i="15"/>
  <c r="EF14" i="15"/>
  <c r="EE14" i="15"/>
  <c r="ED14" i="15"/>
  <c r="EC14" i="15"/>
  <c r="EB14" i="15"/>
  <c r="EA14" i="15"/>
  <c r="DX14" i="15"/>
  <c r="DU14" i="15"/>
  <c r="DT14" i="15"/>
  <c r="DS14" i="15"/>
  <c r="DR14" i="15"/>
  <c r="DQ14" i="15"/>
  <c r="DP14" i="15"/>
  <c r="DO14" i="15"/>
  <c r="DN14" i="15"/>
  <c r="DK14" i="15"/>
  <c r="DJ14" i="15"/>
  <c r="DI14" i="15"/>
  <c r="DH14" i="15"/>
  <c r="DG14" i="15"/>
  <c r="DF14" i="15"/>
  <c r="DE14" i="15"/>
  <c r="DD14" i="15"/>
  <c r="DB14" i="15"/>
  <c r="DA14" i="15"/>
  <c r="CV14" i="15"/>
  <c r="CU14" i="15"/>
  <c r="CT14" i="15"/>
  <c r="CS14" i="15"/>
  <c r="CR14" i="15"/>
  <c r="CQ14" i="15"/>
  <c r="GL14" i="15" s="1"/>
  <c r="CP14" i="15"/>
  <c r="GJ14" i="15" s="1"/>
  <c r="CO14" i="15"/>
  <c r="DZ14" i="15" s="1"/>
  <c r="CN14" i="15"/>
  <c r="DY14" i="15" s="1"/>
  <c r="CM14" i="15"/>
  <c r="CL14" i="15"/>
  <c r="DW14" i="15" s="1"/>
  <c r="CK14" i="15"/>
  <c r="CZ14" i="15" s="1"/>
  <c r="CI14" i="15"/>
  <c r="CX14" i="15" s="1"/>
  <c r="CG14" i="15"/>
  <c r="CG14" i="15" a="1"/>
  <c r="AW14" i="15"/>
  <c r="AV14" i="15"/>
  <c r="J14" i="15"/>
  <c r="G14" i="15"/>
  <c r="IV13" i="15"/>
  <c r="IS13" i="15"/>
  <c r="IR13" i="15"/>
  <c r="IQ13" i="15"/>
  <c r="IP13" i="15"/>
  <c r="IO13" i="15"/>
  <c r="IL13" i="15"/>
  <c r="HX13" i="15" a="1"/>
  <c r="HX13" i="15" s="1"/>
  <c r="IW13" i="15" s="1"/>
  <c r="HW13" i="15"/>
  <c r="HW13" i="15" a="1"/>
  <c r="HV13" i="15" a="1"/>
  <c r="HV13" i="15" s="1"/>
  <c r="IU13" i="15" s="1"/>
  <c r="HU13" i="15" a="1"/>
  <c r="HU13" i="15" s="1"/>
  <c r="IT13" i="15" s="1"/>
  <c r="HT13" i="15"/>
  <c r="HT13" i="15" a="1"/>
  <c r="HS13" i="15"/>
  <c r="HS13" i="15" a="1"/>
  <c r="HR13" i="15" a="1"/>
  <c r="HR13" i="15" s="1"/>
  <c r="HQ13" i="15"/>
  <c r="HQ13" i="15" a="1"/>
  <c r="HP13" i="15"/>
  <c r="HP13" i="15" a="1"/>
  <c r="HL13" i="15"/>
  <c r="HJ13" i="15"/>
  <c r="HH13" i="15"/>
  <c r="HB13" i="15"/>
  <c r="HA13" i="15"/>
  <c r="GZ13" i="15"/>
  <c r="GY13" i="15"/>
  <c r="GX13" i="15"/>
  <c r="GW13" i="15"/>
  <c r="HC13" i="15" s="1"/>
  <c r="GV13" i="15"/>
  <c r="GU13" i="15"/>
  <c r="GT13" i="15"/>
  <c r="GP13" i="15"/>
  <c r="GN13" i="15"/>
  <c r="GK13" i="15"/>
  <c r="GJ13" i="15"/>
  <c r="GI13" i="15"/>
  <c r="GH13" i="15"/>
  <c r="GG13" i="15"/>
  <c r="GF13" i="15"/>
  <c r="GE13" i="15"/>
  <c r="GD13" i="15"/>
  <c r="GC13" i="15"/>
  <c r="GB13" i="15"/>
  <c r="GA13" i="15"/>
  <c r="FZ13" i="15"/>
  <c r="FY13" i="15"/>
  <c r="FX13" i="15"/>
  <c r="FW13" i="15"/>
  <c r="FV13" i="15"/>
  <c r="FU13" i="15"/>
  <c r="FT13" i="15"/>
  <c r="FS13" i="15"/>
  <c r="FR13" i="15"/>
  <c r="FQ13" i="15"/>
  <c r="FP13" i="15"/>
  <c r="FN13" i="15"/>
  <c r="FM13" i="15"/>
  <c r="FL13" i="15"/>
  <c r="FK13" i="15"/>
  <c r="FJ13" i="15"/>
  <c r="FI13" i="15"/>
  <c r="FH13" i="15"/>
  <c r="FG13" i="15"/>
  <c r="FF13" i="15"/>
  <c r="FE13" i="15"/>
  <c r="FD13" i="15"/>
  <c r="FC13" i="15"/>
  <c r="FB13" i="15"/>
  <c r="FA13" i="15"/>
  <c r="EZ13" i="15"/>
  <c r="EY13" i="15"/>
  <c r="EX13" i="15"/>
  <c r="EW13" i="15"/>
  <c r="EV13" i="15"/>
  <c r="EU13" i="15"/>
  <c r="ET13" i="15"/>
  <c r="ES13" i="15"/>
  <c r="ER13" i="15"/>
  <c r="EQ13" i="15"/>
  <c r="EP13" i="15"/>
  <c r="EO13" i="15"/>
  <c r="EN13" i="15"/>
  <c r="EM13" i="15"/>
  <c r="EL13" i="15"/>
  <c r="EK13" i="15"/>
  <c r="EJ13" i="15"/>
  <c r="EI13" i="15"/>
  <c r="EH13" i="15"/>
  <c r="EG13" i="15"/>
  <c r="EF13" i="15"/>
  <c r="EE13" i="15"/>
  <c r="ED13" i="15"/>
  <c r="EC13" i="15"/>
  <c r="EB13" i="15"/>
  <c r="EA13" i="15"/>
  <c r="DV13" i="15"/>
  <c r="DU13" i="15"/>
  <c r="DT13" i="15"/>
  <c r="DS13" i="15"/>
  <c r="DR13" i="15"/>
  <c r="DQ13" i="15"/>
  <c r="DP13" i="15"/>
  <c r="DO13" i="15"/>
  <c r="DN13" i="15"/>
  <c r="DK13" i="15"/>
  <c r="DJ13" i="15"/>
  <c r="DI13" i="15"/>
  <c r="DH13" i="15"/>
  <c r="DG13" i="15"/>
  <c r="DF13" i="15"/>
  <c r="DE13" i="15"/>
  <c r="DD13" i="15"/>
  <c r="DC13" i="15"/>
  <c r="DB13" i="15"/>
  <c r="DA13" i="15"/>
  <c r="CV13" i="15"/>
  <c r="CU13" i="15"/>
  <c r="CT13" i="15"/>
  <c r="CS13" i="15"/>
  <c r="CR13" i="15"/>
  <c r="GM13" i="15" s="1"/>
  <c r="CQ13" i="15"/>
  <c r="GL13" i="15" s="1"/>
  <c r="CP13" i="15"/>
  <c r="CO13" i="15"/>
  <c r="DZ13" i="15" s="1"/>
  <c r="CN13" i="15"/>
  <c r="DY13" i="15" s="1"/>
  <c r="CM13" i="15"/>
  <c r="DX13" i="15" s="1"/>
  <c r="CL13" i="15"/>
  <c r="DW13" i="15" s="1"/>
  <c r="CG13" i="15"/>
  <c r="CG13" i="15" a="1"/>
  <c r="AX13" i="15"/>
  <c r="AW13" i="15"/>
  <c r="AV13" i="15"/>
  <c r="J13" i="15"/>
  <c r="HI13" i="15" s="1"/>
  <c r="G13" i="15"/>
  <c r="IN12" i="15"/>
  <c r="IX12" i="15" s="1"/>
  <c r="IM12" i="15"/>
  <c r="HX12" i="15"/>
  <c r="IW12" i="15" s="1"/>
  <c r="HX12" i="15" a="1"/>
  <c r="HW12" i="15" a="1"/>
  <c r="HW12" i="15" s="1"/>
  <c r="IV12" i="15" s="1"/>
  <c r="HV12" i="15"/>
  <c r="IU12" i="15" s="1"/>
  <c r="HV12" i="15" a="1"/>
  <c r="HU12" i="15" a="1"/>
  <c r="HU12" i="15" s="1"/>
  <c r="IT12" i="15" s="1"/>
  <c r="HT12" i="15" a="1"/>
  <c r="HT12" i="15" s="1"/>
  <c r="IS12" i="15" s="1"/>
  <c r="HS12" i="15"/>
  <c r="IR12" i="15" s="1"/>
  <c r="HS12" i="15" a="1"/>
  <c r="HR12" i="15" a="1"/>
  <c r="HR12" i="15" s="1"/>
  <c r="IQ12" i="15" s="1"/>
  <c r="HQ12" i="15" a="1"/>
  <c r="HQ12" i="15" s="1"/>
  <c r="IP12" i="15" s="1"/>
  <c r="HP12" i="15"/>
  <c r="IO12" i="15" s="1"/>
  <c r="HP12" i="15" a="1"/>
  <c r="HL12" i="15"/>
  <c r="HJ12" i="15"/>
  <c r="HI12" i="15"/>
  <c r="HH12" i="15"/>
  <c r="HC12" i="15"/>
  <c r="HB12" i="15"/>
  <c r="HA12" i="15"/>
  <c r="GZ12" i="15"/>
  <c r="GY12" i="15"/>
  <c r="GX12" i="15"/>
  <c r="GW12" i="15"/>
  <c r="GV12" i="15"/>
  <c r="GU12" i="15"/>
  <c r="GT12" i="15"/>
  <c r="GP12" i="15"/>
  <c r="GN12" i="15"/>
  <c r="GM12" i="15"/>
  <c r="GI12" i="15"/>
  <c r="GH12" i="15"/>
  <c r="GG12" i="15"/>
  <c r="GF12" i="15"/>
  <c r="GE12" i="15"/>
  <c r="GB12" i="15"/>
  <c r="GA12" i="15"/>
  <c r="FZ12" i="15"/>
  <c r="FY12" i="15"/>
  <c r="FW12" i="15"/>
  <c r="FV12" i="15"/>
  <c r="FU12" i="15"/>
  <c r="FT12" i="15"/>
  <c r="FS12" i="15"/>
  <c r="FR12" i="15"/>
  <c r="FQ12" i="15"/>
  <c r="FP12" i="15"/>
  <c r="FL12" i="15"/>
  <c r="FK12" i="15"/>
  <c r="FJ12" i="15"/>
  <c r="FM12" i="15" s="1"/>
  <c r="FI12" i="15"/>
  <c r="FH12" i="15"/>
  <c r="FG12" i="15"/>
  <c r="FF12" i="15"/>
  <c r="FE12" i="15"/>
  <c r="FD12" i="15"/>
  <c r="FB12" i="15"/>
  <c r="FA12" i="15"/>
  <c r="EZ12" i="15"/>
  <c r="EY12" i="15"/>
  <c r="EX12" i="15"/>
  <c r="EW12" i="15"/>
  <c r="EV12" i="15"/>
  <c r="EU12" i="15"/>
  <c r="ET12" i="15"/>
  <c r="ES12" i="15"/>
  <c r="ER12" i="15"/>
  <c r="EQ12" i="15"/>
  <c r="EP12" i="15"/>
  <c r="EO12" i="15"/>
  <c r="EN12" i="15"/>
  <c r="EM12" i="15"/>
  <c r="EL12" i="15"/>
  <c r="EK12" i="15"/>
  <c r="EJ12" i="15"/>
  <c r="EI12" i="15"/>
  <c r="EH12" i="15"/>
  <c r="EG12" i="15"/>
  <c r="EF12" i="15"/>
  <c r="EE12" i="15"/>
  <c r="ED12" i="15"/>
  <c r="EC12" i="15"/>
  <c r="EB12" i="15"/>
  <c r="EA12" i="15"/>
  <c r="DZ12" i="15"/>
  <c r="DY12" i="15"/>
  <c r="DW12" i="15"/>
  <c r="DU12" i="15"/>
  <c r="DT12" i="15"/>
  <c r="DS12" i="15"/>
  <c r="DR12" i="15"/>
  <c r="DQ12" i="15"/>
  <c r="DP12" i="15"/>
  <c r="DO12" i="15"/>
  <c r="DN12" i="15"/>
  <c r="DM12" i="15"/>
  <c r="DM12" i="15" a="1"/>
  <c r="DK12" i="15"/>
  <c r="DJ12" i="15"/>
  <c r="DI12" i="15"/>
  <c r="DH12" i="15"/>
  <c r="DG12" i="15"/>
  <c r="DF12" i="15"/>
  <c r="DE12" i="15"/>
  <c r="DD12" i="15"/>
  <c r="DB12" i="15"/>
  <c r="DA12" i="15"/>
  <c r="CV12" i="15"/>
  <c r="CU12" i="15"/>
  <c r="CT12" i="15"/>
  <c r="CS12" i="15"/>
  <c r="CR12" i="15"/>
  <c r="CQ12" i="15"/>
  <c r="GL12" i="15" s="1"/>
  <c r="CP12" i="15"/>
  <c r="GJ12" i="15" s="1"/>
  <c r="GK12" i="15" s="1"/>
  <c r="CO12" i="15"/>
  <c r="CN12" i="15"/>
  <c r="CM12" i="15"/>
  <c r="DX12" i="15" s="1"/>
  <c r="CL12" i="15"/>
  <c r="CJ12" i="15"/>
  <c r="CY12" i="15" s="1"/>
  <c r="CI12" i="15"/>
  <c r="CX12" i="15" s="1"/>
  <c r="CH12" i="15"/>
  <c r="CW12" i="15" s="1"/>
  <c r="CG12" i="15"/>
  <c r="CG12" i="15" a="1"/>
  <c r="AW12" i="15"/>
  <c r="AV12" i="15"/>
  <c r="J12" i="15"/>
  <c r="G12" i="15"/>
  <c r="IR11" i="15"/>
  <c r="IM11" i="15"/>
  <c r="HX11" i="15"/>
  <c r="IW11" i="15" s="1"/>
  <c r="HX11" i="15" a="1"/>
  <c r="HW11" i="15" a="1"/>
  <c r="HW11" i="15" s="1"/>
  <c r="IV11" i="15" s="1"/>
  <c r="HV11" i="15" a="1"/>
  <c r="HV11" i="15" s="1"/>
  <c r="IU11" i="15" s="1"/>
  <c r="HU11" i="15" a="1"/>
  <c r="HU11" i="15" s="1"/>
  <c r="IT11" i="15" s="1"/>
  <c r="HT11" i="15" a="1"/>
  <c r="HT11" i="15" s="1"/>
  <c r="IS11" i="15" s="1"/>
  <c r="HS11" i="15"/>
  <c r="HS11" i="15" a="1"/>
  <c r="HR11" i="15" a="1"/>
  <c r="HR11" i="15" s="1"/>
  <c r="IQ11" i="15" s="1"/>
  <c r="HQ11" i="15" a="1"/>
  <c r="HQ11" i="15" s="1"/>
  <c r="IP11" i="15" s="1"/>
  <c r="HP11" i="15"/>
  <c r="IO11" i="15" s="1"/>
  <c r="HP11" i="15" a="1"/>
  <c r="HL11" i="15"/>
  <c r="HJ11" i="15"/>
  <c r="HI11" i="15"/>
  <c r="HH11" i="15"/>
  <c r="HB11" i="15"/>
  <c r="HA11" i="15"/>
  <c r="GZ11" i="15"/>
  <c r="GY11" i="15"/>
  <c r="GX11" i="15"/>
  <c r="GW11" i="15"/>
  <c r="GV11" i="15"/>
  <c r="GU11" i="15"/>
  <c r="GT11" i="15"/>
  <c r="GP11" i="15"/>
  <c r="GL11" i="15"/>
  <c r="GJ11" i="15"/>
  <c r="GK11" i="15" s="1"/>
  <c r="GI11" i="15"/>
  <c r="GH11" i="15"/>
  <c r="GG11" i="15"/>
  <c r="GF11" i="15"/>
  <c r="GE11" i="15"/>
  <c r="GB11" i="15"/>
  <c r="GA11" i="15"/>
  <c r="FZ11" i="15"/>
  <c r="FY11" i="15"/>
  <c r="FW11" i="15"/>
  <c r="FV11" i="15"/>
  <c r="FU11" i="15"/>
  <c r="FT11" i="15"/>
  <c r="FS11" i="15"/>
  <c r="FR11" i="15"/>
  <c r="FQ11" i="15"/>
  <c r="FP11" i="15"/>
  <c r="FJ11" i="15"/>
  <c r="FI11" i="15"/>
  <c r="FH11" i="15"/>
  <c r="FG11" i="15"/>
  <c r="FF11" i="15"/>
  <c r="FE11" i="15"/>
  <c r="FD11" i="15"/>
  <c r="FB11" i="15"/>
  <c r="FA11" i="15"/>
  <c r="EZ11" i="15"/>
  <c r="EY11" i="15"/>
  <c r="EX11" i="15"/>
  <c r="EW11" i="15"/>
  <c r="EV11" i="15"/>
  <c r="EU11" i="15"/>
  <c r="ET11" i="15"/>
  <c r="ES11" i="15"/>
  <c r="ER11" i="15"/>
  <c r="EQ11" i="15"/>
  <c r="EP11" i="15"/>
  <c r="EO11" i="15"/>
  <c r="EN11" i="15"/>
  <c r="EM11" i="15"/>
  <c r="EL11" i="15"/>
  <c r="EK11" i="15"/>
  <c r="EJ11" i="15"/>
  <c r="EI11" i="15"/>
  <c r="EH11" i="15"/>
  <c r="EG11" i="15"/>
  <c r="EF11" i="15"/>
  <c r="EE11" i="15"/>
  <c r="ED11" i="15"/>
  <c r="EC11" i="15"/>
  <c r="EB11" i="15"/>
  <c r="EA11" i="15"/>
  <c r="DZ11" i="15"/>
  <c r="DY11" i="15"/>
  <c r="DU11" i="15"/>
  <c r="DT11" i="15"/>
  <c r="DS11" i="15"/>
  <c r="DR11" i="15"/>
  <c r="DQ11" i="15"/>
  <c r="DP11" i="15"/>
  <c r="DO11" i="15"/>
  <c r="DN11" i="15"/>
  <c r="DK11" i="15"/>
  <c r="DJ11" i="15"/>
  <c r="DI11" i="15"/>
  <c r="DH11" i="15"/>
  <c r="DG11" i="15"/>
  <c r="DF11" i="15"/>
  <c r="DE11" i="15"/>
  <c r="DD11" i="15"/>
  <c r="DB11" i="15"/>
  <c r="DA11" i="15"/>
  <c r="CV11" i="15"/>
  <c r="CU11" i="15"/>
  <c r="CT11" i="15"/>
  <c r="CS11" i="15"/>
  <c r="GN11" i="15" s="1"/>
  <c r="CR11" i="15"/>
  <c r="GM11" i="15" s="1"/>
  <c r="CQ11" i="15"/>
  <c r="CP11" i="15"/>
  <c r="CO11" i="15"/>
  <c r="CN11" i="15"/>
  <c r="CM11" i="15"/>
  <c r="DX11" i="15" s="1"/>
  <c r="CL11" i="15"/>
  <c r="DW11" i="15" s="1"/>
  <c r="CG11" i="15"/>
  <c r="DL11" i="15" s="1"/>
  <c r="CG11" i="15" a="1"/>
  <c r="AW11" i="15"/>
  <c r="AV11" i="15"/>
  <c r="J11" i="15"/>
  <c r="G11" i="15"/>
  <c r="IW10" i="15"/>
  <c r="IU10" i="15"/>
  <c r="HX10" i="15"/>
  <c r="HX10" i="15" a="1"/>
  <c r="HW10" i="15"/>
  <c r="IV10" i="15" s="1"/>
  <c r="HW10" i="15" a="1"/>
  <c r="HV10" i="15"/>
  <c r="HV10" i="15" a="1"/>
  <c r="HU10" i="15" a="1"/>
  <c r="HU10" i="15" s="1"/>
  <c r="IT10" i="15" s="1"/>
  <c r="HT10" i="15" a="1"/>
  <c r="HT10" i="15" s="1"/>
  <c r="IS10" i="15" s="1"/>
  <c r="HS10" i="15" a="1"/>
  <c r="HS10" i="15" s="1"/>
  <c r="IR10" i="15" s="1"/>
  <c r="HR10" i="15"/>
  <c r="IQ10" i="15" s="1"/>
  <c r="HR10" i="15" a="1"/>
  <c r="HQ10" i="15" a="1"/>
  <c r="HQ10" i="15" s="1"/>
  <c r="IP10" i="15" s="1"/>
  <c r="HP10" i="15" a="1"/>
  <c r="HP10" i="15" s="1"/>
  <c r="IO10" i="15" s="1"/>
  <c r="HL10" i="15"/>
  <c r="HJ10" i="15"/>
  <c r="HH10" i="15"/>
  <c r="HB10" i="15"/>
  <c r="HA10" i="15"/>
  <c r="GZ10" i="15"/>
  <c r="GY10" i="15"/>
  <c r="GX10" i="15"/>
  <c r="GW10" i="15"/>
  <c r="GV10" i="15"/>
  <c r="GU10" i="15"/>
  <c r="GT10" i="15"/>
  <c r="GP10" i="15"/>
  <c r="GI10" i="15"/>
  <c r="GH10" i="15"/>
  <c r="GG10" i="15"/>
  <c r="GF10" i="15"/>
  <c r="GE10" i="15"/>
  <c r="GB10" i="15"/>
  <c r="GA10" i="15"/>
  <c r="FZ10" i="15"/>
  <c r="FY10" i="15"/>
  <c r="FW10" i="15"/>
  <c r="FV10" i="15"/>
  <c r="FU10" i="15"/>
  <c r="FT10" i="15"/>
  <c r="FS10" i="15"/>
  <c r="FR10" i="15"/>
  <c r="FQ10" i="15"/>
  <c r="FP10" i="15"/>
  <c r="FO10" i="15"/>
  <c r="FN10" i="15"/>
  <c r="FJ10" i="15"/>
  <c r="FI10" i="15"/>
  <c r="FH10" i="15"/>
  <c r="FG10" i="15"/>
  <c r="FF10" i="15"/>
  <c r="FE10" i="15"/>
  <c r="FD10" i="15"/>
  <c r="FB10" i="15"/>
  <c r="FA10" i="15"/>
  <c r="EZ10" i="15"/>
  <c r="EY10" i="15"/>
  <c r="EX10" i="15"/>
  <c r="EW10" i="15"/>
  <c r="EV10" i="15"/>
  <c r="EU10" i="15"/>
  <c r="ET10" i="15"/>
  <c r="ES10" i="15"/>
  <c r="ER10" i="15"/>
  <c r="EQ10" i="15"/>
  <c r="EP10" i="15"/>
  <c r="EO10" i="15"/>
  <c r="EN10" i="15"/>
  <c r="EM10" i="15"/>
  <c r="EL10" i="15"/>
  <c r="EK10" i="15"/>
  <c r="EJ10" i="15"/>
  <c r="EI10" i="15"/>
  <c r="EH10" i="15"/>
  <c r="EG10" i="15"/>
  <c r="EF10" i="15"/>
  <c r="EE10" i="15"/>
  <c r="ED10" i="15"/>
  <c r="EC10" i="15"/>
  <c r="EB10" i="15"/>
  <c r="EA10" i="15"/>
  <c r="DY10" i="15"/>
  <c r="DU10" i="15"/>
  <c r="DT10" i="15"/>
  <c r="DS10" i="15"/>
  <c r="DR10" i="15"/>
  <c r="DQ10" i="15"/>
  <c r="DP10" i="15"/>
  <c r="DO10" i="15"/>
  <c r="DN10" i="15"/>
  <c r="DK10" i="15"/>
  <c r="DJ10" i="15"/>
  <c r="DI10" i="15"/>
  <c r="DH10" i="15"/>
  <c r="DG10" i="15"/>
  <c r="DF10" i="15"/>
  <c r="DE10" i="15"/>
  <c r="DD10" i="15"/>
  <c r="DB10" i="15"/>
  <c r="DA10" i="15"/>
  <c r="CV10" i="15"/>
  <c r="CU10" i="15"/>
  <c r="CT10" i="15"/>
  <c r="CS10" i="15"/>
  <c r="GN10" i="15" s="1"/>
  <c r="CR10" i="15"/>
  <c r="GM10" i="15" s="1"/>
  <c r="CQ10" i="15"/>
  <c r="GL10" i="15" s="1"/>
  <c r="CP10" i="15"/>
  <c r="GJ10" i="15" s="1"/>
  <c r="GK10" i="15" s="1"/>
  <c r="CO10" i="15"/>
  <c r="DZ10" i="15" s="1"/>
  <c r="CN10" i="15"/>
  <c r="CM10" i="15"/>
  <c r="DX10" i="15" s="1"/>
  <c r="CL10" i="15"/>
  <c r="DW10" i="15" s="1"/>
  <c r="CG10" i="15" a="1"/>
  <c r="CG10" i="15" s="1"/>
  <c r="AW10" i="15"/>
  <c r="AV10" i="15"/>
  <c r="J10" i="15"/>
  <c r="HI10" i="15" s="1"/>
  <c r="G10" i="15"/>
  <c r="IW9" i="15"/>
  <c r="IQ9" i="15"/>
  <c r="IP9" i="15"/>
  <c r="IO9" i="15"/>
  <c r="IL9" i="15"/>
  <c r="HX9" i="15"/>
  <c r="HX9" i="15" a="1"/>
  <c r="HW9" i="15"/>
  <c r="IV9" i="15" s="1"/>
  <c r="HW9" i="15" a="1"/>
  <c r="HV9" i="15" a="1"/>
  <c r="HV9" i="15" s="1"/>
  <c r="IU9" i="15" s="1"/>
  <c r="HU9" i="15"/>
  <c r="IT9" i="15" s="1"/>
  <c r="HU9" i="15" a="1"/>
  <c r="HT9" i="15" a="1"/>
  <c r="HT9" i="15" s="1"/>
  <c r="IS9" i="15" s="1"/>
  <c r="HS9" i="15"/>
  <c r="IR9" i="15" s="1"/>
  <c r="HS9" i="15" a="1"/>
  <c r="HR9" i="15"/>
  <c r="HR9" i="15" a="1"/>
  <c r="HQ9" i="15"/>
  <c r="HQ9" i="15" a="1"/>
  <c r="HP9" i="15" a="1"/>
  <c r="HP9" i="15" s="1"/>
  <c r="HL9" i="15"/>
  <c r="HJ9" i="15"/>
  <c r="HI9" i="15"/>
  <c r="HH9" i="15"/>
  <c r="HB9" i="15"/>
  <c r="HA9" i="15"/>
  <c r="GZ9" i="15"/>
  <c r="GY9" i="15"/>
  <c r="GX9" i="15"/>
  <c r="GW9" i="15"/>
  <c r="GV9" i="15"/>
  <c r="GU9" i="15"/>
  <c r="GT9" i="15"/>
  <c r="GP9" i="15"/>
  <c r="GM9" i="15"/>
  <c r="GL9" i="15"/>
  <c r="GI9" i="15"/>
  <c r="GH9" i="15"/>
  <c r="GG9" i="15"/>
  <c r="GF9" i="15"/>
  <c r="GE9" i="15"/>
  <c r="GD9" i="15"/>
  <c r="GC9" i="15"/>
  <c r="GB9" i="15"/>
  <c r="GA9" i="15"/>
  <c r="FZ9" i="15"/>
  <c r="FY9" i="15"/>
  <c r="FX9" i="15"/>
  <c r="FW9" i="15"/>
  <c r="FV9" i="15"/>
  <c r="FU9" i="15"/>
  <c r="FT9" i="15"/>
  <c r="FS9" i="15"/>
  <c r="FR9" i="15"/>
  <c r="FQ9" i="15"/>
  <c r="FP9" i="15"/>
  <c r="FO9" i="15"/>
  <c r="FN9" i="15"/>
  <c r="FJ9" i="15"/>
  <c r="FM9" i="15" s="1"/>
  <c r="FI9" i="15"/>
  <c r="FL9" i="15" s="1"/>
  <c r="FH9" i="15"/>
  <c r="FG9" i="15"/>
  <c r="FF9" i="15"/>
  <c r="FE9" i="15"/>
  <c r="FD9" i="15"/>
  <c r="FC9" i="15"/>
  <c r="FB9" i="15"/>
  <c r="FA9" i="15"/>
  <c r="EZ9" i="15"/>
  <c r="EY9" i="15"/>
  <c r="EX9" i="15"/>
  <c r="EW9" i="15"/>
  <c r="EV9" i="15"/>
  <c r="EU9" i="15"/>
  <c r="ET9" i="15"/>
  <c r="ES9" i="15"/>
  <c r="ER9" i="15"/>
  <c r="EQ9" i="15"/>
  <c r="EP9" i="15"/>
  <c r="EO9" i="15"/>
  <c r="EN9" i="15"/>
  <c r="EM9" i="15"/>
  <c r="EL9" i="15"/>
  <c r="EK9" i="15"/>
  <c r="EJ9" i="15"/>
  <c r="EI9" i="15"/>
  <c r="EH9" i="15"/>
  <c r="EG9" i="15"/>
  <c r="EF9" i="15"/>
  <c r="EE9" i="15"/>
  <c r="ED9" i="15"/>
  <c r="EC9" i="15"/>
  <c r="EB9" i="15"/>
  <c r="EA9" i="15"/>
  <c r="DY9" i="15"/>
  <c r="DW9" i="15"/>
  <c r="DV9" i="15"/>
  <c r="DU9" i="15"/>
  <c r="DT9" i="15"/>
  <c r="DS9" i="15"/>
  <c r="DR9" i="15"/>
  <c r="DQ9" i="15"/>
  <c r="DP9" i="15"/>
  <c r="DO9" i="15"/>
  <c r="DN9" i="15"/>
  <c r="DK9" i="15"/>
  <c r="DJ9" i="15"/>
  <c r="DI9" i="15"/>
  <c r="DH9" i="15"/>
  <c r="DG9" i="15"/>
  <c r="DF9" i="15"/>
  <c r="DE9" i="15"/>
  <c r="DD9" i="15"/>
  <c r="DC9" i="15"/>
  <c r="DB9" i="15"/>
  <c r="DA9" i="15"/>
  <c r="CV9" i="15"/>
  <c r="CU9" i="15"/>
  <c r="CT9" i="15"/>
  <c r="CS9" i="15"/>
  <c r="GN9" i="15" s="1"/>
  <c r="CR9" i="15"/>
  <c r="CQ9" i="15"/>
  <c r="CP9" i="15"/>
  <c r="GJ9" i="15" s="1"/>
  <c r="GK9" i="15" s="1"/>
  <c r="CO9" i="15"/>
  <c r="DZ9" i="15" s="1"/>
  <c r="CN9" i="15"/>
  <c r="CM9" i="15"/>
  <c r="DX9" i="15" s="1"/>
  <c r="CL9" i="15"/>
  <c r="CG9" i="15"/>
  <c r="CG9" i="15" a="1"/>
  <c r="AW9" i="15"/>
  <c r="AV9" i="15"/>
  <c r="J9" i="15"/>
  <c r="G9" i="15"/>
  <c r="IR8" i="15"/>
  <c r="IL8" i="15"/>
  <c r="HX8" i="15" a="1"/>
  <c r="HX8" i="15" s="1"/>
  <c r="IW8" i="15" s="1"/>
  <c r="HW8" i="15" a="1"/>
  <c r="HW8" i="15" s="1"/>
  <c r="IV8" i="15" s="1"/>
  <c r="HV8" i="15"/>
  <c r="IU8" i="15" s="1"/>
  <c r="HV8" i="15" a="1"/>
  <c r="HU8" i="15"/>
  <c r="IT8" i="15" s="1"/>
  <c r="HU8" i="15" a="1"/>
  <c r="HT8" i="15" a="1"/>
  <c r="HT8" i="15" s="1"/>
  <c r="IS8" i="15" s="1"/>
  <c r="HS8" i="15"/>
  <c r="HS8" i="15" a="1"/>
  <c r="HR8" i="15" a="1"/>
  <c r="HR8" i="15" s="1"/>
  <c r="IQ8" i="15" s="1"/>
  <c r="HQ8" i="15" a="1"/>
  <c r="HQ8" i="15" s="1"/>
  <c r="IP8" i="15" s="1"/>
  <c r="HP8" i="15" a="1"/>
  <c r="HP8" i="15" s="1"/>
  <c r="IO8" i="15" s="1"/>
  <c r="HL8" i="15"/>
  <c r="HJ8" i="15"/>
  <c r="HI8" i="15"/>
  <c r="HH8" i="15"/>
  <c r="HB8" i="15"/>
  <c r="HA8" i="15"/>
  <c r="GZ8" i="15"/>
  <c r="GY8" i="15"/>
  <c r="GX8" i="15"/>
  <c r="GW8" i="15"/>
  <c r="GV8" i="15"/>
  <c r="GU8" i="15"/>
  <c r="GT8" i="15"/>
  <c r="GP8" i="15"/>
  <c r="GI8" i="15"/>
  <c r="GH8" i="15"/>
  <c r="GG8" i="15"/>
  <c r="GF8" i="15"/>
  <c r="GE8" i="15"/>
  <c r="GD8" i="15"/>
  <c r="GC8" i="15"/>
  <c r="GB8" i="15"/>
  <c r="GA8" i="15"/>
  <c r="FZ8" i="15"/>
  <c r="FY8" i="15"/>
  <c r="FX8" i="15"/>
  <c r="FW8" i="15"/>
  <c r="FV8" i="15"/>
  <c r="FU8" i="15"/>
  <c r="FT8" i="15"/>
  <c r="FS8" i="15"/>
  <c r="FR8" i="15"/>
  <c r="FQ8" i="15"/>
  <c r="FK8" i="15"/>
  <c r="FJ8" i="15"/>
  <c r="FM8" i="15" s="1"/>
  <c r="FI8" i="15"/>
  <c r="FL8" i="15" s="1"/>
  <c r="FH8" i="15"/>
  <c r="FG8" i="15"/>
  <c r="FF8" i="15"/>
  <c r="FP8" i="15" s="1"/>
  <c r="FE8" i="15"/>
  <c r="FD8" i="15"/>
  <c r="FC8" i="15"/>
  <c r="FB8" i="15"/>
  <c r="FA8" i="15"/>
  <c r="EZ8" i="15"/>
  <c r="EY8" i="15"/>
  <c r="EX8" i="15"/>
  <c r="EW8" i="15"/>
  <c r="EV8" i="15"/>
  <c r="EU8" i="15"/>
  <c r="ET8" i="15"/>
  <c r="ES8" i="15"/>
  <c r="ER8" i="15"/>
  <c r="EQ8" i="15"/>
  <c r="EP8" i="15"/>
  <c r="EO8" i="15"/>
  <c r="EN8" i="15"/>
  <c r="EM8" i="15"/>
  <c r="EL8" i="15"/>
  <c r="EK8" i="15"/>
  <c r="EJ8" i="15"/>
  <c r="EI8" i="15"/>
  <c r="EH8" i="15"/>
  <c r="EG8" i="15"/>
  <c r="EF8" i="15"/>
  <c r="EE8" i="15"/>
  <c r="ED8" i="15"/>
  <c r="EC8" i="15"/>
  <c r="EB8" i="15"/>
  <c r="EA8" i="15"/>
  <c r="DZ8" i="15"/>
  <c r="DY8" i="15"/>
  <c r="DW8" i="15"/>
  <c r="DV8" i="15"/>
  <c r="DU8" i="15"/>
  <c r="DT8" i="15"/>
  <c r="DS8" i="15"/>
  <c r="DR8" i="15"/>
  <c r="DQ8" i="15"/>
  <c r="DP8" i="15"/>
  <c r="DO8" i="15"/>
  <c r="DN8" i="15"/>
  <c r="DK8" i="15"/>
  <c r="DJ8" i="15"/>
  <c r="DI8" i="15"/>
  <c r="DH8" i="15"/>
  <c r="DG8" i="15"/>
  <c r="DF8" i="15"/>
  <c r="DE8" i="15"/>
  <c r="DD8" i="15"/>
  <c r="DC8" i="15"/>
  <c r="DB8" i="15"/>
  <c r="DA8" i="15"/>
  <c r="CV8" i="15"/>
  <c r="CU8" i="15"/>
  <c r="CT8" i="15"/>
  <c r="CS8" i="15"/>
  <c r="GN8" i="15" s="1"/>
  <c r="CR8" i="15"/>
  <c r="GM8" i="15" s="1"/>
  <c r="CQ8" i="15"/>
  <c r="GL8" i="15" s="1"/>
  <c r="CP8" i="15"/>
  <c r="GJ8" i="15" s="1"/>
  <c r="GK8" i="15" s="1"/>
  <c r="CO8" i="15"/>
  <c r="CN8" i="15"/>
  <c r="CM8" i="15"/>
  <c r="DX8" i="15" s="1"/>
  <c r="CL8" i="15"/>
  <c r="CG8" i="15" a="1"/>
  <c r="CG8" i="15" s="1"/>
  <c r="AW8" i="15"/>
  <c r="AV8" i="15"/>
  <c r="J8" i="15"/>
  <c r="G8" i="15"/>
  <c r="IX7" i="15"/>
  <c r="IW7" i="15"/>
  <c r="IU7" i="15"/>
  <c r="IP7" i="15"/>
  <c r="IO7" i="15"/>
  <c r="IN7" i="15"/>
  <c r="IM7" i="15"/>
  <c r="IL7" i="15"/>
  <c r="HX7" i="15"/>
  <c r="HX7" i="15" a="1"/>
  <c r="HW7" i="15" a="1"/>
  <c r="HW7" i="15" s="1"/>
  <c r="IV7" i="15" s="1"/>
  <c r="HV7" i="15"/>
  <c r="HV7" i="15" a="1"/>
  <c r="HU7" i="15" a="1"/>
  <c r="HU7" i="15" s="1"/>
  <c r="IT7" i="15" s="1"/>
  <c r="HT7" i="15" a="1"/>
  <c r="HT7" i="15" s="1"/>
  <c r="IS7" i="15" s="1"/>
  <c r="HS7" i="15"/>
  <c r="IR7" i="15" s="1"/>
  <c r="HS7" i="15" a="1"/>
  <c r="HR7" i="15"/>
  <c r="IQ7" i="15" s="1"/>
  <c r="HR7" i="15" a="1"/>
  <c r="HQ7" i="15"/>
  <c r="HQ7" i="15" a="1"/>
  <c r="HP7" i="15"/>
  <c r="HP7" i="15" a="1"/>
  <c r="HL7" i="15"/>
  <c r="HJ7" i="15"/>
  <c r="HH7" i="15"/>
  <c r="HB7" i="15"/>
  <c r="HA7" i="15"/>
  <c r="GZ7" i="15"/>
  <c r="GY7" i="15"/>
  <c r="GX7" i="15"/>
  <c r="GW7" i="15"/>
  <c r="GV7" i="15"/>
  <c r="GU7" i="15"/>
  <c r="GT7" i="15"/>
  <c r="GP7" i="15"/>
  <c r="GN7" i="15"/>
  <c r="GM7" i="15"/>
  <c r="GL7" i="15"/>
  <c r="GI7" i="15"/>
  <c r="GH7" i="15"/>
  <c r="GG7" i="15"/>
  <c r="GF7" i="15"/>
  <c r="GE7" i="15"/>
  <c r="GD7" i="15"/>
  <c r="GC7" i="15"/>
  <c r="GB7" i="15"/>
  <c r="GA7" i="15"/>
  <c r="FZ7" i="15"/>
  <c r="FY7" i="15"/>
  <c r="FX7" i="15"/>
  <c r="FW7" i="15"/>
  <c r="FV7" i="15"/>
  <c r="FU7" i="15"/>
  <c r="FT7" i="15"/>
  <c r="FS7" i="15"/>
  <c r="FR7" i="15"/>
  <c r="FQ7" i="15"/>
  <c r="FJ7" i="15"/>
  <c r="FI7" i="15"/>
  <c r="FH7" i="15"/>
  <c r="FG7" i="15"/>
  <c r="FO7" i="15" s="1"/>
  <c r="FF7" i="15"/>
  <c r="FE7" i="15"/>
  <c r="FD7" i="15"/>
  <c r="FC7" i="15"/>
  <c r="FB7" i="15"/>
  <c r="FA7" i="15"/>
  <c r="EZ7" i="15"/>
  <c r="EY7" i="15"/>
  <c r="EX7" i="15"/>
  <c r="EW7" i="15"/>
  <c r="EV7" i="15"/>
  <c r="EU7" i="15"/>
  <c r="ET7" i="15"/>
  <c r="ES7" i="15"/>
  <c r="ER7" i="15"/>
  <c r="EQ7" i="15"/>
  <c r="EP7" i="15"/>
  <c r="EO7" i="15"/>
  <c r="EN7" i="15"/>
  <c r="EM7" i="15"/>
  <c r="EL7" i="15"/>
  <c r="EK7" i="15"/>
  <c r="EJ7" i="15"/>
  <c r="EI7" i="15"/>
  <c r="EH7" i="15"/>
  <c r="EG7" i="15"/>
  <c r="EF7" i="15"/>
  <c r="EE7" i="15"/>
  <c r="ED7" i="15"/>
  <c r="EC7" i="15"/>
  <c r="EB7" i="15"/>
  <c r="EA7" i="15"/>
  <c r="DX7" i="15"/>
  <c r="DW7" i="15"/>
  <c r="DV7" i="15"/>
  <c r="DU7" i="15"/>
  <c r="DT7" i="15"/>
  <c r="DS7" i="15"/>
  <c r="DR7" i="15"/>
  <c r="DQ7" i="15"/>
  <c r="DP7" i="15"/>
  <c r="DO7" i="15"/>
  <c r="DN7" i="15"/>
  <c r="DM7" i="15" a="1"/>
  <c r="DM7" i="15" s="1"/>
  <c r="DL7" i="15"/>
  <c r="DK7" i="15"/>
  <c r="DJ7" i="15"/>
  <c r="DI7" i="15"/>
  <c r="DH7" i="15"/>
  <c r="DG7" i="15"/>
  <c r="DF7" i="15"/>
  <c r="DE7" i="15"/>
  <c r="DD7" i="15"/>
  <c r="DC7" i="15"/>
  <c r="DB7" i="15"/>
  <c r="DA7" i="15"/>
  <c r="CY7" i="15"/>
  <c r="CV7" i="15"/>
  <c r="CU7" i="15"/>
  <c r="CT7" i="15"/>
  <c r="CS7" i="15"/>
  <c r="CR7" i="15"/>
  <c r="CQ7" i="15"/>
  <c r="CP7" i="15"/>
  <c r="GJ7" i="15" s="1"/>
  <c r="GK7" i="15" s="1"/>
  <c r="CO7" i="15"/>
  <c r="DZ7" i="15" s="1"/>
  <c r="CN7" i="15"/>
  <c r="DY7" i="15" s="1"/>
  <c r="CM7" i="15"/>
  <c r="CL7" i="15"/>
  <c r="CK7" i="15"/>
  <c r="CZ7" i="15" s="1"/>
  <c r="CJ7" i="15"/>
  <c r="CI7" i="15"/>
  <c r="CX7" i="15" s="1"/>
  <c r="CH7" i="15"/>
  <c r="CW7" i="15" s="1"/>
  <c r="CG7" i="15"/>
  <c r="CG7" i="15" a="1"/>
  <c r="AW7" i="15"/>
  <c r="AV7" i="15"/>
  <c r="J7" i="15"/>
  <c r="HI7" i="15" s="1"/>
  <c r="G7" i="15"/>
  <c r="IV6" i="15"/>
  <c r="IR6" i="15"/>
  <c r="IQ6" i="15"/>
  <c r="IL6" i="15"/>
  <c r="HX6" i="15" a="1"/>
  <c r="HX6" i="15" s="1"/>
  <c r="IW6" i="15" s="1"/>
  <c r="HW6" i="15" a="1"/>
  <c r="HW6" i="15" s="1"/>
  <c r="HV6" i="15" a="1"/>
  <c r="HV6" i="15" s="1"/>
  <c r="IU6" i="15" s="1"/>
  <c r="HU6" i="15" a="1"/>
  <c r="HU6" i="15" s="1"/>
  <c r="IT6" i="15" s="1"/>
  <c r="HT6" i="15" a="1"/>
  <c r="HT6" i="15" s="1"/>
  <c r="IS6" i="15" s="1"/>
  <c r="HS6" i="15"/>
  <c r="HS6" i="15" a="1"/>
  <c r="HR6" i="15" a="1"/>
  <c r="HR6" i="15" s="1"/>
  <c r="HQ6" i="15" a="1"/>
  <c r="HQ6" i="15" s="1"/>
  <c r="IP6" i="15" s="1"/>
  <c r="HP6" i="15"/>
  <c r="IO6" i="15" s="1"/>
  <c r="HP6" i="15" a="1"/>
  <c r="HL6" i="15"/>
  <c r="HJ6" i="15"/>
  <c r="HH6" i="15"/>
  <c r="HB6" i="15"/>
  <c r="HA6" i="15"/>
  <c r="GZ6" i="15"/>
  <c r="GY6" i="15"/>
  <c r="GX6" i="15"/>
  <c r="GW6" i="15"/>
  <c r="GV6" i="15"/>
  <c r="HC6" i="15" s="1"/>
  <c r="GU6" i="15"/>
  <c r="GT6" i="15"/>
  <c r="GP6" i="15"/>
  <c r="GN6" i="15"/>
  <c r="GL6" i="15"/>
  <c r="GJ6" i="15"/>
  <c r="GK6" i="15" s="1"/>
  <c r="GI6" i="15"/>
  <c r="GH6" i="15"/>
  <c r="GG6" i="15"/>
  <c r="GF6" i="15"/>
  <c r="GE6" i="15"/>
  <c r="GD6" i="15"/>
  <c r="GC6" i="15"/>
  <c r="GB6" i="15"/>
  <c r="GA6" i="15"/>
  <c r="FZ6" i="15"/>
  <c r="FY6" i="15"/>
  <c r="FX6" i="15"/>
  <c r="FW6" i="15"/>
  <c r="FV6" i="15"/>
  <c r="FU6" i="15"/>
  <c r="FT6" i="15"/>
  <c r="FS6" i="15"/>
  <c r="FR6" i="15"/>
  <c r="FQ6" i="15"/>
  <c r="FP6" i="15"/>
  <c r="FL6" i="15"/>
  <c r="FJ6" i="15"/>
  <c r="FM6" i="15" s="1"/>
  <c r="FI6" i="15"/>
  <c r="FH6" i="15"/>
  <c r="FK6" i="15" s="1"/>
  <c r="FG6" i="15"/>
  <c r="FF6" i="15"/>
  <c r="FE6" i="15"/>
  <c r="FD6" i="15"/>
  <c r="FC6" i="15"/>
  <c r="FB6" i="15"/>
  <c r="FA6" i="15"/>
  <c r="EZ6" i="15"/>
  <c r="EY6" i="15"/>
  <c r="EX6" i="15"/>
  <c r="EW6" i="15"/>
  <c r="EV6" i="15"/>
  <c r="EU6" i="15"/>
  <c r="ET6" i="15"/>
  <c r="ES6" i="15"/>
  <c r="ER6" i="15"/>
  <c r="EQ6" i="15"/>
  <c r="EP6" i="15"/>
  <c r="EO6" i="15"/>
  <c r="EN6" i="15"/>
  <c r="EM6" i="15"/>
  <c r="EL6" i="15"/>
  <c r="EK6" i="15"/>
  <c r="EJ6" i="15"/>
  <c r="EI6" i="15"/>
  <c r="EH6" i="15"/>
  <c r="EG6" i="15"/>
  <c r="EF6" i="15"/>
  <c r="EE6" i="15"/>
  <c r="ED6" i="15"/>
  <c r="EC6" i="15"/>
  <c r="EB6" i="15"/>
  <c r="EA6" i="15"/>
  <c r="DZ6" i="15"/>
  <c r="DX6" i="15"/>
  <c r="DV6" i="15"/>
  <c r="DU6" i="15"/>
  <c r="DT6" i="15"/>
  <c r="DS6" i="15"/>
  <c r="DR6" i="15"/>
  <c r="DQ6" i="15"/>
  <c r="DP6" i="15"/>
  <c r="DO6" i="15"/>
  <c r="DN6" i="15"/>
  <c r="DM6" i="15"/>
  <c r="DM6" i="15" a="1"/>
  <c r="DK6" i="15"/>
  <c r="DJ6" i="15"/>
  <c r="DI6" i="15"/>
  <c r="DH6" i="15"/>
  <c r="DG6" i="15"/>
  <c r="DF6" i="15"/>
  <c r="DE6" i="15"/>
  <c r="DD6" i="15"/>
  <c r="DC6" i="15"/>
  <c r="DB6" i="15"/>
  <c r="DA6" i="15"/>
  <c r="CW6" i="15"/>
  <c r="CV6" i="15"/>
  <c r="CU6" i="15"/>
  <c r="CT6" i="15"/>
  <c r="CS6" i="15"/>
  <c r="CR6" i="15"/>
  <c r="GM6" i="15" s="1"/>
  <c r="CQ6" i="15"/>
  <c r="CP6" i="15"/>
  <c r="CO6" i="15"/>
  <c r="CN6" i="15"/>
  <c r="DY6" i="15" s="1"/>
  <c r="CM6" i="15"/>
  <c r="CL6" i="15"/>
  <c r="DW6" i="15" s="1"/>
  <c r="CK6" i="15"/>
  <c r="CZ6" i="15" s="1"/>
  <c r="CJ6" i="15"/>
  <c r="CY6" i="15" s="1"/>
  <c r="CH6" i="15"/>
  <c r="CG6" i="15"/>
  <c r="CG6" i="15" a="1"/>
  <c r="AW6" i="15"/>
  <c r="AV6" i="15"/>
  <c r="J6" i="15"/>
  <c r="G6" i="15"/>
  <c r="IS5" i="15"/>
  <c r="IR5" i="15"/>
  <c r="IQ5" i="15"/>
  <c r="IN5" i="15"/>
  <c r="IX5" i="15" s="1"/>
  <c r="IL5" i="15"/>
  <c r="HX5" i="15" a="1"/>
  <c r="HX5" i="15" s="1"/>
  <c r="IW5" i="15" s="1"/>
  <c r="HW5" i="15"/>
  <c r="IV5" i="15" s="1"/>
  <c r="HW5" i="15" a="1"/>
  <c r="HV5" i="15" a="1"/>
  <c r="HV5" i="15" s="1"/>
  <c r="IU5" i="15" s="1"/>
  <c r="HU5" i="15" a="1"/>
  <c r="HU5" i="15" s="1"/>
  <c r="IT5" i="15" s="1"/>
  <c r="HT5" i="15" a="1"/>
  <c r="HT5" i="15" s="1"/>
  <c r="HS5" i="15"/>
  <c r="HS5" i="15" a="1"/>
  <c r="HR5" i="15" a="1"/>
  <c r="HR5" i="15" s="1"/>
  <c r="HQ5" i="15" a="1"/>
  <c r="HQ5" i="15" s="1"/>
  <c r="IP5" i="15" s="1"/>
  <c r="HP5" i="15" a="1"/>
  <c r="HP5" i="15" s="1"/>
  <c r="IO5" i="15" s="1"/>
  <c r="HL5" i="15"/>
  <c r="HJ5" i="15"/>
  <c r="HH5" i="15"/>
  <c r="HB5" i="15"/>
  <c r="HA5" i="15"/>
  <c r="GZ5" i="15"/>
  <c r="GY5" i="15"/>
  <c r="GX5" i="15"/>
  <c r="GW5" i="15"/>
  <c r="GV5" i="15"/>
  <c r="GU5" i="15"/>
  <c r="GT5" i="15"/>
  <c r="GP5" i="15"/>
  <c r="GN5" i="15"/>
  <c r="GJ5" i="15"/>
  <c r="GK5" i="15" s="1"/>
  <c r="GI5" i="15"/>
  <c r="GH5" i="15"/>
  <c r="GG5" i="15"/>
  <c r="GF5" i="15"/>
  <c r="GE5" i="15"/>
  <c r="GD5" i="15"/>
  <c r="GC5" i="15"/>
  <c r="GB5" i="15"/>
  <c r="GA5" i="15"/>
  <c r="FZ5" i="15"/>
  <c r="FY5" i="15"/>
  <c r="FX5" i="15"/>
  <c r="FW5" i="15"/>
  <c r="FV5" i="15"/>
  <c r="FU5" i="15"/>
  <c r="FT5" i="15"/>
  <c r="FS5" i="15"/>
  <c r="FR5" i="15"/>
  <c r="FQ5" i="15"/>
  <c r="FP5" i="15"/>
  <c r="FN5" i="15"/>
  <c r="FL5" i="15"/>
  <c r="FJ5" i="15"/>
  <c r="FM5" i="15" s="1"/>
  <c r="FI5" i="15"/>
  <c r="FH5" i="15"/>
  <c r="FK5" i="15" s="1"/>
  <c r="FG5" i="15"/>
  <c r="FO5" i="15" s="1"/>
  <c r="FF5" i="15"/>
  <c r="FE5" i="15"/>
  <c r="FD5" i="15"/>
  <c r="FC5" i="15"/>
  <c r="FB5" i="15"/>
  <c r="FA5" i="15"/>
  <c r="EZ5" i="15"/>
  <c r="EY5" i="15"/>
  <c r="EX5" i="15"/>
  <c r="EW5" i="15"/>
  <c r="EV5" i="15"/>
  <c r="EU5" i="15"/>
  <c r="ET5" i="15"/>
  <c r="ES5" i="15"/>
  <c r="ER5" i="15"/>
  <c r="EQ5" i="15"/>
  <c r="EP5" i="15"/>
  <c r="EO5" i="15"/>
  <c r="EN5" i="15"/>
  <c r="EM5" i="15"/>
  <c r="EL5" i="15"/>
  <c r="EK5" i="15"/>
  <c r="EJ5" i="15"/>
  <c r="EI5" i="15"/>
  <c r="EH5" i="15"/>
  <c r="EG5" i="15"/>
  <c r="EF5" i="15"/>
  <c r="EE5" i="15"/>
  <c r="ED5" i="15"/>
  <c r="EC5" i="15"/>
  <c r="EB5" i="15"/>
  <c r="EA5" i="15"/>
  <c r="DX5" i="15"/>
  <c r="DW5" i="15"/>
  <c r="DV5" i="15"/>
  <c r="DU5" i="15"/>
  <c r="DT5" i="15"/>
  <c r="DS5" i="15"/>
  <c r="DR5" i="15"/>
  <c r="DQ5" i="15"/>
  <c r="DP5" i="15"/>
  <c r="DO5" i="15"/>
  <c r="DN5" i="15"/>
  <c r="DM5" i="15"/>
  <c r="DM5" i="15" a="1"/>
  <c r="DL5" i="15"/>
  <c r="DK5" i="15"/>
  <c r="DJ5" i="15"/>
  <c r="DI5" i="15"/>
  <c r="DH5" i="15"/>
  <c r="DG5" i="15"/>
  <c r="DF5" i="15"/>
  <c r="DE5" i="15"/>
  <c r="DD5" i="15"/>
  <c r="DC5" i="15"/>
  <c r="DB5" i="15"/>
  <c r="DA5" i="15"/>
  <c r="CZ5" i="15"/>
  <c r="CV5" i="15"/>
  <c r="CU5" i="15"/>
  <c r="CT5" i="15"/>
  <c r="CS5" i="15"/>
  <c r="CR5" i="15"/>
  <c r="GM5" i="15" s="1"/>
  <c r="CQ5" i="15"/>
  <c r="GL5" i="15" s="1"/>
  <c r="CP5" i="15"/>
  <c r="CO5" i="15"/>
  <c r="DZ5" i="15" s="1"/>
  <c r="CN5" i="15"/>
  <c r="DY5" i="15" s="1"/>
  <c r="CM5" i="15"/>
  <c r="CL5" i="15"/>
  <c r="CK5" i="15"/>
  <c r="CJ5" i="15"/>
  <c r="CY5" i="15" s="1"/>
  <c r="CI5" i="15"/>
  <c r="CX5" i="15" s="1"/>
  <c r="CG5" i="15"/>
  <c r="IM5" i="15" s="1"/>
  <c r="CG5" i="15" a="1"/>
  <c r="AW5" i="15"/>
  <c r="AV5" i="15"/>
  <c r="J5" i="15"/>
  <c r="HI5" i="15" s="1"/>
  <c r="G5" i="15"/>
  <c r="IT4" i="15"/>
  <c r="IS4" i="15"/>
  <c r="IL4" i="15"/>
  <c r="HX4" i="15" a="1"/>
  <c r="HX4" i="15" s="1"/>
  <c r="IW4" i="15" s="1"/>
  <c r="HW4" i="15"/>
  <c r="IV4" i="15" s="1"/>
  <c r="HW4" i="15" a="1"/>
  <c r="HV4" i="15"/>
  <c r="IU4" i="15" s="1"/>
  <c r="HV4" i="15" a="1"/>
  <c r="HU4" i="15"/>
  <c r="HU4" i="15" a="1"/>
  <c r="HT4" i="15"/>
  <c r="HT4" i="15" a="1"/>
  <c r="HS4" i="15"/>
  <c r="IR4" i="15" s="1"/>
  <c r="HS4" i="15" a="1"/>
  <c r="HR4" i="15" a="1"/>
  <c r="HR4" i="15" s="1"/>
  <c r="IQ4" i="15" s="1"/>
  <c r="HQ4" i="15"/>
  <c r="IP4" i="15" s="1"/>
  <c r="HQ4" i="15" a="1"/>
  <c r="HP4" i="15" a="1"/>
  <c r="HP4" i="15" s="1"/>
  <c r="IO4" i="15" s="1"/>
  <c r="HL4" i="15"/>
  <c r="HJ4" i="15"/>
  <c r="HH4" i="15"/>
  <c r="HB4" i="15"/>
  <c r="HA4" i="15"/>
  <c r="HC4" i="15" s="1"/>
  <c r="GZ4" i="15"/>
  <c r="GY4" i="15"/>
  <c r="GX4" i="15"/>
  <c r="GW4" i="15"/>
  <c r="GV4" i="15"/>
  <c r="GU4" i="15"/>
  <c r="GT4" i="15"/>
  <c r="GP4" i="15"/>
  <c r="GL4" i="15"/>
  <c r="GK4" i="15"/>
  <c r="GJ4" i="15"/>
  <c r="GI4" i="15"/>
  <c r="GH4" i="15"/>
  <c r="GG4" i="15"/>
  <c r="GF4" i="15"/>
  <c r="GE4" i="15"/>
  <c r="GD4" i="15"/>
  <c r="GC4" i="15"/>
  <c r="GB4" i="15"/>
  <c r="GA4" i="15"/>
  <c r="FZ4" i="15"/>
  <c r="FY4" i="15"/>
  <c r="FX4" i="15"/>
  <c r="FW4" i="15"/>
  <c r="FV4" i="15"/>
  <c r="FU4" i="15"/>
  <c r="FT4" i="15"/>
  <c r="FS4" i="15"/>
  <c r="FR4" i="15"/>
  <c r="FQ4" i="15"/>
  <c r="FP4" i="15"/>
  <c r="FO4" i="15"/>
  <c r="FN4" i="15"/>
  <c r="FM4" i="15"/>
  <c r="FL4" i="15"/>
  <c r="FK4" i="15"/>
  <c r="FJ4" i="15"/>
  <c r="FI4" i="15"/>
  <c r="FH4" i="15"/>
  <c r="FG4" i="15"/>
  <c r="FF4" i="15"/>
  <c r="FE4" i="15"/>
  <c r="FD4" i="15"/>
  <c r="FC4" i="15"/>
  <c r="FB4" i="15"/>
  <c r="FA4" i="15"/>
  <c r="EZ4" i="15"/>
  <c r="EY4" i="15"/>
  <c r="EX4" i="15"/>
  <c r="EW4" i="15"/>
  <c r="EV4" i="15"/>
  <c r="EU4" i="15"/>
  <c r="ET4" i="15"/>
  <c r="ES4" i="15"/>
  <c r="ER4" i="15"/>
  <c r="EQ4" i="15"/>
  <c r="EP4" i="15"/>
  <c r="EO4" i="15"/>
  <c r="EN4" i="15"/>
  <c r="EM4" i="15"/>
  <c r="EL4" i="15"/>
  <c r="EK4" i="15"/>
  <c r="EJ4" i="15"/>
  <c r="EI4" i="15"/>
  <c r="EH4" i="15"/>
  <c r="EG4" i="15"/>
  <c r="EF4" i="15"/>
  <c r="EE4" i="15"/>
  <c r="ED4" i="15"/>
  <c r="EC4" i="15"/>
  <c r="EB4" i="15"/>
  <c r="EA4" i="15"/>
  <c r="DY4" i="15"/>
  <c r="DX4" i="15"/>
  <c r="DV4" i="15"/>
  <c r="DU4" i="15"/>
  <c r="DT4" i="15"/>
  <c r="DS4" i="15"/>
  <c r="DR4" i="15"/>
  <c r="DQ4" i="15"/>
  <c r="DP4" i="15"/>
  <c r="DO4" i="15"/>
  <c r="DN4" i="15"/>
  <c r="DK4" i="15"/>
  <c r="DJ4" i="15"/>
  <c r="DI4" i="15"/>
  <c r="DH4" i="15"/>
  <c r="DG4" i="15"/>
  <c r="DF4" i="15"/>
  <c r="DE4" i="15"/>
  <c r="DD4" i="15"/>
  <c r="DC4" i="15"/>
  <c r="DB4" i="15"/>
  <c r="DA4" i="15"/>
  <c r="CV4" i="15"/>
  <c r="CU4" i="15"/>
  <c r="CT4" i="15"/>
  <c r="CS4" i="15"/>
  <c r="GN4" i="15" s="1"/>
  <c r="CR4" i="15"/>
  <c r="GM4" i="15" s="1"/>
  <c r="CQ4" i="15"/>
  <c r="CP4" i="15"/>
  <c r="CO4" i="15"/>
  <c r="DZ4" i="15" s="1"/>
  <c r="CN4" i="15"/>
  <c r="CM4" i="15"/>
  <c r="CL4" i="15"/>
  <c r="DW4" i="15" s="1"/>
  <c r="CG4" i="15" a="1"/>
  <c r="CG4" i="15" s="1"/>
  <c r="AW4" i="15"/>
  <c r="AV4" i="15"/>
  <c r="J4" i="15"/>
  <c r="HI4" i="15" s="1"/>
  <c r="G4" i="15"/>
  <c r="IR3" i="15"/>
  <c r="IL3" i="15"/>
  <c r="HX3" i="15"/>
  <c r="IW3" i="15" s="1"/>
  <c r="HX3" i="15" a="1"/>
  <c r="HW3" i="15"/>
  <c r="IV3" i="15" s="1"/>
  <c r="HW3" i="15" a="1"/>
  <c r="HV3" i="15"/>
  <c r="IU3" i="15" s="1"/>
  <c r="HV3" i="15" a="1"/>
  <c r="HU3" i="15"/>
  <c r="IT3" i="15" s="1"/>
  <c r="HU3" i="15" a="1"/>
  <c r="HT3" i="15"/>
  <c r="IS3" i="15" s="1"/>
  <c r="HT3" i="15" a="1"/>
  <c r="HS3" i="15" a="1"/>
  <c r="HS3" i="15" s="1"/>
  <c r="HR3" i="15" a="1"/>
  <c r="HR3" i="15" s="1"/>
  <c r="IQ3" i="15" s="1"/>
  <c r="HQ3" i="15" a="1"/>
  <c r="HQ3" i="15" s="1"/>
  <c r="IP3" i="15" s="1"/>
  <c r="HP3" i="15" a="1"/>
  <c r="HP3" i="15" s="1"/>
  <c r="IO3" i="15" s="1"/>
  <c r="HL3" i="15"/>
  <c r="HJ3" i="15"/>
  <c r="HH3" i="15"/>
  <c r="HB3" i="15"/>
  <c r="HA3" i="15"/>
  <c r="GZ3" i="15"/>
  <c r="GY3" i="15"/>
  <c r="GX3" i="15"/>
  <c r="GW3" i="15"/>
  <c r="GV3" i="15"/>
  <c r="GU3" i="15"/>
  <c r="GT3" i="15"/>
  <c r="GP3" i="15"/>
  <c r="GL3" i="15"/>
  <c r="GI3" i="15"/>
  <c r="GH3" i="15"/>
  <c r="GG3" i="15"/>
  <c r="GF3" i="15"/>
  <c r="GE3" i="15"/>
  <c r="GD3" i="15"/>
  <c r="GC3" i="15"/>
  <c r="GB3" i="15"/>
  <c r="GA3" i="15"/>
  <c r="FZ3" i="15"/>
  <c r="FY3" i="15"/>
  <c r="FX3" i="15"/>
  <c r="FW3" i="15"/>
  <c r="FV3" i="15"/>
  <c r="FU3" i="15"/>
  <c r="FT3" i="15"/>
  <c r="FS3" i="15"/>
  <c r="FR3" i="15"/>
  <c r="FQ3" i="15"/>
  <c r="FJ3" i="15"/>
  <c r="FI3" i="15"/>
  <c r="FH3" i="15"/>
  <c r="FG3" i="15"/>
  <c r="FF3" i="15"/>
  <c r="FE3" i="15"/>
  <c r="FD3" i="15"/>
  <c r="FC3" i="15"/>
  <c r="FB3" i="15"/>
  <c r="FA3" i="15"/>
  <c r="EZ3" i="15"/>
  <c r="EY3" i="15"/>
  <c r="EX3" i="15"/>
  <c r="EW3" i="15"/>
  <c r="EV3" i="15"/>
  <c r="EU3" i="15"/>
  <c r="ET3" i="15"/>
  <c r="ES3" i="15"/>
  <c r="ER3" i="15"/>
  <c r="EQ3" i="15"/>
  <c r="EP3" i="15"/>
  <c r="EO3" i="15"/>
  <c r="EN3" i="15"/>
  <c r="EM3" i="15"/>
  <c r="EL3" i="15"/>
  <c r="EK3" i="15"/>
  <c r="EJ3" i="15"/>
  <c r="EI3" i="15"/>
  <c r="EH3" i="15"/>
  <c r="EG3" i="15"/>
  <c r="EF3" i="15"/>
  <c r="EE3" i="15"/>
  <c r="ED3" i="15"/>
  <c r="EC3" i="15"/>
  <c r="EB3" i="15"/>
  <c r="EA3" i="15"/>
  <c r="DZ3" i="15"/>
  <c r="DY3" i="15"/>
  <c r="DV3" i="15"/>
  <c r="DU3" i="15"/>
  <c r="DT3" i="15"/>
  <c r="DS3" i="15"/>
  <c r="DR3" i="15"/>
  <c r="DQ3" i="15"/>
  <c r="DP3" i="15"/>
  <c r="DO3" i="15"/>
  <c r="DN3" i="15"/>
  <c r="DK3" i="15"/>
  <c r="DJ3" i="15"/>
  <c r="DI3" i="15"/>
  <c r="DH3" i="15"/>
  <c r="DG3" i="15"/>
  <c r="DF3" i="15"/>
  <c r="DE3" i="15"/>
  <c r="DD3" i="15"/>
  <c r="DC3" i="15"/>
  <c r="DB3" i="15"/>
  <c r="DA3" i="15"/>
  <c r="CV3" i="15"/>
  <c r="CU3" i="15"/>
  <c r="CT3" i="15"/>
  <c r="CS3" i="15"/>
  <c r="GN3" i="15" s="1"/>
  <c r="CR3" i="15"/>
  <c r="GM3" i="15" s="1"/>
  <c r="CQ3" i="15"/>
  <c r="CP3" i="15"/>
  <c r="GJ3" i="15" s="1"/>
  <c r="GK3" i="15" s="1"/>
  <c r="CO3" i="15"/>
  <c r="CN3" i="15"/>
  <c r="CM3" i="15"/>
  <c r="DX3" i="15" s="1"/>
  <c r="CL3" i="15"/>
  <c r="DW3" i="15" s="1"/>
  <c r="CJ3" i="15"/>
  <c r="CY3" i="15" s="1"/>
  <c r="CH3" i="15"/>
  <c r="CW3" i="15" s="1"/>
  <c r="CG3" i="15"/>
  <c r="CG3" i="15" a="1"/>
  <c r="AW3" i="15"/>
  <c r="AV3" i="15"/>
  <c r="J3" i="15"/>
  <c r="HI3" i="15" s="1"/>
  <c r="G3" i="15"/>
  <c r="IW8" i="14"/>
  <c r="IR8" i="14"/>
  <c r="IP8" i="14"/>
  <c r="IL8" i="14"/>
  <c r="HX8" i="14"/>
  <c r="HX8" i="14" a="1"/>
  <c r="HW8" i="14"/>
  <c r="IV8" i="14" s="1"/>
  <c r="HW8" i="14" a="1"/>
  <c r="HV8" i="14" a="1"/>
  <c r="HV8" i="14" s="1"/>
  <c r="IU8" i="14" s="1"/>
  <c r="HU8" i="14"/>
  <c r="IT8" i="14" s="1"/>
  <c r="HU8" i="14" a="1"/>
  <c r="HT8" i="14"/>
  <c r="IS8" i="14" s="1"/>
  <c r="HT8" i="14" a="1"/>
  <c r="HS8" i="14" a="1"/>
  <c r="HS8" i="14" s="1"/>
  <c r="HR8" i="14" a="1"/>
  <c r="HR8" i="14" s="1"/>
  <c r="IQ8" i="14" s="1"/>
  <c r="HQ8" i="14" a="1"/>
  <c r="HQ8" i="14" s="1"/>
  <c r="HP8" i="14" a="1"/>
  <c r="HP8" i="14" s="1"/>
  <c r="IO8" i="14" s="1"/>
  <c r="HL8" i="14"/>
  <c r="HJ8" i="14"/>
  <c r="HH8" i="14"/>
  <c r="HB8" i="14"/>
  <c r="HA8" i="14"/>
  <c r="GZ8" i="14"/>
  <c r="GY8" i="14"/>
  <c r="GX8" i="14"/>
  <c r="GW8" i="14"/>
  <c r="GV8" i="14"/>
  <c r="GU8" i="14"/>
  <c r="GT8" i="14"/>
  <c r="GP8" i="14"/>
  <c r="GL8" i="14"/>
  <c r="GK8" i="14"/>
  <c r="GJ8" i="14"/>
  <c r="GI8" i="14"/>
  <c r="GH8" i="14"/>
  <c r="GG8" i="14"/>
  <c r="GF8" i="14"/>
  <c r="GE8" i="14"/>
  <c r="GD8" i="14"/>
  <c r="GC8" i="14"/>
  <c r="GB8" i="14"/>
  <c r="GA8" i="14"/>
  <c r="FZ8" i="14"/>
  <c r="FY8" i="14"/>
  <c r="FX8" i="14"/>
  <c r="FW8" i="14"/>
  <c r="FV8" i="14"/>
  <c r="FU8" i="14"/>
  <c r="FT8" i="14"/>
  <c r="FS8" i="14"/>
  <c r="FR8" i="14"/>
  <c r="FQ8" i="14"/>
  <c r="FN8" i="14"/>
  <c r="FM8" i="14"/>
  <c r="FL8" i="14"/>
  <c r="FK8" i="14"/>
  <c r="FJ8" i="14"/>
  <c r="FI8" i="14"/>
  <c r="FH8" i="14"/>
  <c r="FG8" i="14"/>
  <c r="FO8" i="14" s="1"/>
  <c r="FF8" i="14"/>
  <c r="FP8" i="14" s="1"/>
  <c r="FE8" i="14"/>
  <c r="FD8" i="14"/>
  <c r="FC8" i="14"/>
  <c r="FB8" i="14"/>
  <c r="FA8" i="14"/>
  <c r="EZ8" i="14"/>
  <c r="EY8" i="14"/>
  <c r="EX8" i="14"/>
  <c r="EW8" i="14"/>
  <c r="EV8" i="14"/>
  <c r="EU8" i="14"/>
  <c r="ET8" i="14"/>
  <c r="ES8" i="14"/>
  <c r="ER8" i="14"/>
  <c r="EQ8" i="14"/>
  <c r="EP8" i="14"/>
  <c r="EO8" i="14"/>
  <c r="EN8" i="14"/>
  <c r="EM8" i="14"/>
  <c r="EL8" i="14"/>
  <c r="EK8" i="14"/>
  <c r="EJ8" i="14"/>
  <c r="EI8" i="14"/>
  <c r="EH8" i="14"/>
  <c r="EG8" i="14"/>
  <c r="EF8" i="14"/>
  <c r="EE8" i="14"/>
  <c r="ED8" i="14"/>
  <c r="EC8" i="14"/>
  <c r="EB8" i="14"/>
  <c r="EA8" i="14"/>
  <c r="DZ8" i="14"/>
  <c r="DW8" i="14"/>
  <c r="DV8" i="14"/>
  <c r="DU8" i="14"/>
  <c r="DT8" i="14"/>
  <c r="DS8" i="14"/>
  <c r="DR8" i="14"/>
  <c r="DQ8" i="14"/>
  <c r="DP8" i="14"/>
  <c r="DO8" i="14"/>
  <c r="DN8" i="14"/>
  <c r="DL8" i="14"/>
  <c r="DK8" i="14"/>
  <c r="DJ8" i="14"/>
  <c r="DI8" i="14"/>
  <c r="DH8" i="14"/>
  <c r="DG8" i="14"/>
  <c r="DF8" i="14"/>
  <c r="DE8" i="14"/>
  <c r="DD8" i="14"/>
  <c r="DC8" i="14"/>
  <c r="DB8" i="14"/>
  <c r="DA8" i="14"/>
  <c r="CY8" i="14"/>
  <c r="CX8" i="14"/>
  <c r="CV8" i="14"/>
  <c r="CU8" i="14"/>
  <c r="CT8" i="14"/>
  <c r="CS8" i="14"/>
  <c r="GN8" i="14" s="1"/>
  <c r="CR8" i="14"/>
  <c r="GM8" i="14" s="1"/>
  <c r="CQ8" i="14"/>
  <c r="CP8" i="14"/>
  <c r="CO8" i="14"/>
  <c r="CN8" i="14"/>
  <c r="DY8" i="14" s="1"/>
  <c r="CM8" i="14"/>
  <c r="DX8" i="14" s="1"/>
  <c r="CL8" i="14"/>
  <c r="CK8" i="14"/>
  <c r="CZ8" i="14" s="1"/>
  <c r="CJ8" i="14"/>
  <c r="CI8" i="14"/>
  <c r="CG8" i="14"/>
  <c r="CG8" i="14" a="1"/>
  <c r="AW8" i="14"/>
  <c r="AV8" i="14"/>
  <c r="J8" i="14"/>
  <c r="G8" i="14"/>
  <c r="IL7" i="14"/>
  <c r="HX7" i="14"/>
  <c r="IW7" i="14" s="1"/>
  <c r="HX7" i="14" a="1"/>
  <c r="HW7" i="14" a="1"/>
  <c r="HW7" i="14" s="1"/>
  <c r="IV7" i="14" s="1"/>
  <c r="HV7" i="14"/>
  <c r="IU7" i="14" s="1"/>
  <c r="HV7" i="14" a="1"/>
  <c r="HU7" i="14" a="1"/>
  <c r="HU7" i="14" s="1"/>
  <c r="IT7" i="14" s="1"/>
  <c r="HT7" i="14" a="1"/>
  <c r="HT7" i="14" s="1"/>
  <c r="IS7" i="14" s="1"/>
  <c r="HS7" i="14" a="1"/>
  <c r="HS7" i="14" s="1"/>
  <c r="IR7" i="14" s="1"/>
  <c r="HR7" i="14"/>
  <c r="IQ7" i="14" s="1"/>
  <c r="HR7" i="14" a="1"/>
  <c r="HQ7" i="14"/>
  <c r="IP7" i="14" s="1"/>
  <c r="HQ7" i="14" a="1"/>
  <c r="HP7" i="14" a="1"/>
  <c r="HP7" i="14" s="1"/>
  <c r="IO7" i="14" s="1"/>
  <c r="HL7" i="14"/>
  <c r="HJ7" i="14"/>
  <c r="HI7" i="14"/>
  <c r="HH7" i="14"/>
  <c r="HB7" i="14"/>
  <c r="HA7" i="14"/>
  <c r="GZ7" i="14"/>
  <c r="GY7" i="14"/>
  <c r="GX7" i="14"/>
  <c r="GW7" i="14"/>
  <c r="GV7" i="14"/>
  <c r="GU7" i="14"/>
  <c r="GT7" i="14"/>
  <c r="HC7" i="14" s="1"/>
  <c r="GP7" i="14"/>
  <c r="GL7" i="14"/>
  <c r="GJ7" i="14"/>
  <c r="GK7" i="14" s="1"/>
  <c r="GI7" i="14"/>
  <c r="GH7" i="14"/>
  <c r="GG7" i="14"/>
  <c r="GF7" i="14"/>
  <c r="GE7" i="14"/>
  <c r="GD7" i="14"/>
  <c r="GC7" i="14"/>
  <c r="GB7" i="14"/>
  <c r="GA7" i="14"/>
  <c r="FZ7" i="14"/>
  <c r="FY7" i="14"/>
  <c r="FX7" i="14"/>
  <c r="FW7" i="14"/>
  <c r="FV7" i="14"/>
  <c r="FU7" i="14"/>
  <c r="FT7" i="14"/>
  <c r="FS7" i="14"/>
  <c r="FR7" i="14"/>
  <c r="FQ7" i="14"/>
  <c r="FO7" i="14"/>
  <c r="FN7" i="14"/>
  <c r="FM7" i="14"/>
  <c r="FL7" i="14"/>
  <c r="FJ7" i="14"/>
  <c r="FI7" i="14"/>
  <c r="FH7" i="14"/>
  <c r="FK7" i="14" s="1"/>
  <c r="FG7" i="14"/>
  <c r="FF7" i="14"/>
  <c r="FP7" i="14" s="1"/>
  <c r="FE7" i="14"/>
  <c r="FD7" i="14"/>
  <c r="FC7" i="14"/>
  <c r="FB7" i="14"/>
  <c r="FA7" i="14"/>
  <c r="EZ7" i="14"/>
  <c r="EY7" i="14"/>
  <c r="EX7" i="14"/>
  <c r="EW7" i="14"/>
  <c r="EV7" i="14"/>
  <c r="EU7" i="14"/>
  <c r="ET7" i="14"/>
  <c r="ES7" i="14"/>
  <c r="ER7" i="14"/>
  <c r="EQ7" i="14"/>
  <c r="EP7" i="14"/>
  <c r="EO7" i="14"/>
  <c r="EN7" i="14"/>
  <c r="EM7" i="14"/>
  <c r="EL7" i="14"/>
  <c r="EK7" i="14"/>
  <c r="EJ7" i="14"/>
  <c r="EI7" i="14"/>
  <c r="EH7" i="14"/>
  <c r="EG7" i="14"/>
  <c r="EF7" i="14"/>
  <c r="EE7" i="14"/>
  <c r="ED7" i="14"/>
  <c r="EC7" i="14"/>
  <c r="EB7" i="14"/>
  <c r="EA7" i="14"/>
  <c r="DX7" i="14"/>
  <c r="DV7" i="14"/>
  <c r="DU7" i="14"/>
  <c r="DT7" i="14"/>
  <c r="DS7" i="14"/>
  <c r="DR7" i="14"/>
  <c r="DQ7" i="14"/>
  <c r="DP7" i="14"/>
  <c r="DO7" i="14"/>
  <c r="DN7" i="14"/>
  <c r="DK7" i="14"/>
  <c r="DJ7" i="14"/>
  <c r="DI7" i="14"/>
  <c r="DH7" i="14"/>
  <c r="DG7" i="14"/>
  <c r="DF7" i="14"/>
  <c r="DE7" i="14"/>
  <c r="DD7" i="14"/>
  <c r="DC7" i="14"/>
  <c r="DB7" i="14"/>
  <c r="DA7" i="14"/>
  <c r="CV7" i="14"/>
  <c r="CU7" i="14"/>
  <c r="CT7" i="14"/>
  <c r="CS7" i="14"/>
  <c r="GN7" i="14" s="1"/>
  <c r="CR7" i="14"/>
  <c r="GM7" i="14" s="1"/>
  <c r="CQ7" i="14"/>
  <c r="CP7" i="14"/>
  <c r="CO7" i="14"/>
  <c r="DZ7" i="14" s="1"/>
  <c r="CN7" i="14"/>
  <c r="DY7" i="14" s="1"/>
  <c r="CM7" i="14"/>
  <c r="CL7" i="14"/>
  <c r="DW7" i="14" s="1"/>
  <c r="CG7" i="14" a="1"/>
  <c r="CG7" i="14" s="1"/>
  <c r="AW7" i="14"/>
  <c r="AV7" i="14"/>
  <c r="J7" i="14"/>
  <c r="G7" i="14"/>
  <c r="IW6" i="14"/>
  <c r="IV6" i="14"/>
  <c r="IS6" i="14"/>
  <c r="IQ6" i="14"/>
  <c r="IN6" i="14"/>
  <c r="IX6" i="14" s="1"/>
  <c r="IL6" i="14"/>
  <c r="HX6" i="14"/>
  <c r="HX6" i="14" a="1"/>
  <c r="HW6" i="14"/>
  <c r="HW6" i="14" a="1"/>
  <c r="HV6" i="14"/>
  <c r="IU6" i="14" s="1"/>
  <c r="HV6" i="14" a="1"/>
  <c r="HU6" i="14"/>
  <c r="IT6" i="14" s="1"/>
  <c r="HU6" i="14" a="1"/>
  <c r="HT6" i="14" a="1"/>
  <c r="HT6" i="14" s="1"/>
  <c r="HS6" i="14"/>
  <c r="IR6" i="14" s="1"/>
  <c r="HS6" i="14" a="1"/>
  <c r="HR6" i="14" a="1"/>
  <c r="HR6" i="14" s="1"/>
  <c r="HQ6" i="14" a="1"/>
  <c r="HQ6" i="14" s="1"/>
  <c r="IP6" i="14" s="1"/>
  <c r="HP6" i="14" a="1"/>
  <c r="HP6" i="14" s="1"/>
  <c r="IO6" i="14" s="1"/>
  <c r="HL6" i="14"/>
  <c r="HJ6" i="14"/>
  <c r="HH6" i="14"/>
  <c r="HB6" i="14"/>
  <c r="HA6" i="14"/>
  <c r="GZ6" i="14"/>
  <c r="GY6" i="14"/>
  <c r="GX6" i="14"/>
  <c r="GW6" i="14"/>
  <c r="GV6" i="14"/>
  <c r="GU6" i="14"/>
  <c r="GT6" i="14"/>
  <c r="GP6" i="14"/>
  <c r="GM6" i="14"/>
  <c r="GL6" i="14"/>
  <c r="GJ6" i="14"/>
  <c r="GK6" i="14" s="1"/>
  <c r="GI6" i="14"/>
  <c r="GH6" i="14"/>
  <c r="GG6" i="14"/>
  <c r="GF6" i="14"/>
  <c r="GE6" i="14"/>
  <c r="GD6" i="14"/>
  <c r="GC6" i="14"/>
  <c r="GB6" i="14"/>
  <c r="GA6" i="14"/>
  <c r="FZ6" i="14"/>
  <c r="FY6" i="14"/>
  <c r="FX6" i="14"/>
  <c r="FW6" i="14"/>
  <c r="FV6" i="14"/>
  <c r="FU6" i="14"/>
  <c r="FT6" i="14"/>
  <c r="FS6" i="14"/>
  <c r="FR6" i="14"/>
  <c r="FQ6" i="14"/>
  <c r="FJ6" i="14"/>
  <c r="FI6" i="14"/>
  <c r="FH6" i="14"/>
  <c r="FG6" i="14"/>
  <c r="FF6" i="14"/>
  <c r="FE6" i="14"/>
  <c r="FD6" i="14"/>
  <c r="FC6" i="14"/>
  <c r="FB6" i="14"/>
  <c r="FA6" i="14"/>
  <c r="EZ6" i="14"/>
  <c r="EY6" i="14"/>
  <c r="EX6" i="14"/>
  <c r="EW6" i="14"/>
  <c r="EV6" i="14"/>
  <c r="EU6" i="14"/>
  <c r="ET6" i="14"/>
  <c r="ES6" i="14"/>
  <c r="ER6" i="14"/>
  <c r="EQ6" i="14"/>
  <c r="EP6" i="14"/>
  <c r="EO6" i="14"/>
  <c r="EN6" i="14"/>
  <c r="EM6" i="14"/>
  <c r="EL6" i="14"/>
  <c r="EK6" i="14"/>
  <c r="EJ6" i="14"/>
  <c r="EI6" i="14"/>
  <c r="EH6" i="14"/>
  <c r="EG6" i="14"/>
  <c r="EF6" i="14"/>
  <c r="EE6" i="14"/>
  <c r="ED6" i="14"/>
  <c r="EC6" i="14"/>
  <c r="EB6" i="14"/>
  <c r="EA6" i="14"/>
  <c r="DX6" i="14"/>
  <c r="DV6" i="14"/>
  <c r="DU6" i="14"/>
  <c r="DT6" i="14"/>
  <c r="DS6" i="14"/>
  <c r="DR6" i="14"/>
  <c r="DQ6" i="14"/>
  <c r="DP6" i="14"/>
  <c r="DO6" i="14"/>
  <c r="DN6" i="14"/>
  <c r="DK6" i="14"/>
  <c r="DJ6" i="14"/>
  <c r="DI6" i="14"/>
  <c r="DH6" i="14"/>
  <c r="DG6" i="14"/>
  <c r="DF6" i="14"/>
  <c r="DE6" i="14"/>
  <c r="DD6" i="14"/>
  <c r="DC6" i="14"/>
  <c r="DB6" i="14"/>
  <c r="DA6" i="14"/>
  <c r="CV6" i="14"/>
  <c r="CU6" i="14"/>
  <c r="CT6" i="14"/>
  <c r="CS6" i="14"/>
  <c r="GN6" i="14" s="1"/>
  <c r="CR6" i="14"/>
  <c r="CQ6" i="14"/>
  <c r="CP6" i="14"/>
  <c r="CO6" i="14"/>
  <c r="DZ6" i="14" s="1"/>
  <c r="CN6" i="14"/>
  <c r="DY6" i="14" s="1"/>
  <c r="CM6" i="14"/>
  <c r="CL6" i="14"/>
  <c r="DW6" i="14" s="1"/>
  <c r="CG6" i="14"/>
  <c r="CG6" i="14" a="1"/>
  <c r="AW6" i="14"/>
  <c r="AV6" i="14"/>
  <c r="J6" i="14"/>
  <c r="HI6" i="14" s="1"/>
  <c r="G6" i="14"/>
  <c r="IT5" i="14"/>
  <c r="IO5" i="14"/>
  <c r="IL5" i="14"/>
  <c r="HX5" i="14"/>
  <c r="IW5" i="14" s="1"/>
  <c r="HX5" i="14" a="1"/>
  <c r="HW5" i="14"/>
  <c r="IV5" i="14" s="1"/>
  <c r="HW5" i="14" a="1"/>
  <c r="HV5" i="14" a="1"/>
  <c r="HV5" i="14" s="1"/>
  <c r="IU5" i="14" s="1"/>
  <c r="HU5" i="14" a="1"/>
  <c r="HU5" i="14" s="1"/>
  <c r="HT5" i="14" a="1"/>
  <c r="HT5" i="14" s="1"/>
  <c r="IS5" i="14" s="1"/>
  <c r="HS5" i="14"/>
  <c r="IR5" i="14" s="1"/>
  <c r="HS5" i="14" a="1"/>
  <c r="HR5" i="14"/>
  <c r="IQ5" i="14" s="1"/>
  <c r="HR5" i="14" a="1"/>
  <c r="HQ5" i="14" a="1"/>
  <c r="HQ5" i="14" s="1"/>
  <c r="IP5" i="14" s="1"/>
  <c r="HP5" i="14"/>
  <c r="HP5" i="14" a="1"/>
  <c r="HL5" i="14"/>
  <c r="HJ5" i="14"/>
  <c r="HH5" i="14"/>
  <c r="HC5" i="14"/>
  <c r="HB5" i="14"/>
  <c r="HA5" i="14"/>
  <c r="GZ5" i="14"/>
  <c r="GY5" i="14"/>
  <c r="GX5" i="14"/>
  <c r="GW5" i="14"/>
  <c r="GV5" i="14"/>
  <c r="GU5" i="14"/>
  <c r="GT5" i="14"/>
  <c r="GP5" i="14"/>
  <c r="GN5" i="14"/>
  <c r="GM5" i="14"/>
  <c r="GI5" i="14"/>
  <c r="GH5" i="14"/>
  <c r="GG5" i="14"/>
  <c r="GF5" i="14"/>
  <c r="GE5" i="14"/>
  <c r="GD5" i="14"/>
  <c r="GC5" i="14"/>
  <c r="GB5" i="14"/>
  <c r="GA5" i="14"/>
  <c r="FZ5" i="14"/>
  <c r="FY5" i="14"/>
  <c r="FX5" i="14"/>
  <c r="FW5" i="14"/>
  <c r="FV5" i="14"/>
  <c r="FU5" i="14"/>
  <c r="FT5" i="14"/>
  <c r="FS5" i="14"/>
  <c r="FR5" i="14"/>
  <c r="FQ5" i="14"/>
  <c r="FP5" i="14"/>
  <c r="FO5" i="14"/>
  <c r="FN5" i="14"/>
  <c r="FM5" i="14"/>
  <c r="FJ5" i="14"/>
  <c r="FI5" i="14"/>
  <c r="FL5" i="14" s="1"/>
  <c r="FH5" i="14"/>
  <c r="FG5" i="14"/>
  <c r="FF5" i="14"/>
  <c r="FE5" i="14"/>
  <c r="FD5" i="14"/>
  <c r="FC5" i="14"/>
  <c r="FB5" i="14"/>
  <c r="FA5" i="14"/>
  <c r="EZ5" i="14"/>
  <c r="EY5" i="14"/>
  <c r="EX5" i="14"/>
  <c r="EW5" i="14"/>
  <c r="EV5" i="14"/>
  <c r="EU5" i="14"/>
  <c r="ET5" i="14"/>
  <c r="ES5" i="14"/>
  <c r="ER5" i="14"/>
  <c r="EQ5" i="14"/>
  <c r="EP5" i="14"/>
  <c r="EO5" i="14"/>
  <c r="EN5" i="14"/>
  <c r="EM5" i="14"/>
  <c r="EL5" i="14"/>
  <c r="EK5" i="14"/>
  <c r="EJ5" i="14"/>
  <c r="EI5" i="14"/>
  <c r="EH5" i="14"/>
  <c r="EG5" i="14"/>
  <c r="EF5" i="14"/>
  <c r="EE5" i="14"/>
  <c r="ED5" i="14"/>
  <c r="EC5" i="14"/>
  <c r="EB5" i="14"/>
  <c r="EA5" i="14"/>
  <c r="DZ5" i="14"/>
  <c r="DY5" i="14"/>
  <c r="DV5" i="14"/>
  <c r="DU5" i="14"/>
  <c r="DT5" i="14"/>
  <c r="DS5" i="14"/>
  <c r="DR5" i="14"/>
  <c r="DQ5" i="14"/>
  <c r="DP5" i="14"/>
  <c r="DO5" i="14"/>
  <c r="DN5" i="14"/>
  <c r="DK5" i="14"/>
  <c r="DJ5" i="14"/>
  <c r="DI5" i="14"/>
  <c r="DH5" i="14"/>
  <c r="DG5" i="14"/>
  <c r="DF5" i="14"/>
  <c r="DE5" i="14"/>
  <c r="DD5" i="14"/>
  <c r="DC5" i="14"/>
  <c r="DB5" i="14"/>
  <c r="DA5" i="14"/>
  <c r="CV5" i="14"/>
  <c r="CU5" i="14"/>
  <c r="CT5" i="14"/>
  <c r="CS5" i="14"/>
  <c r="CR5" i="14"/>
  <c r="CQ5" i="14"/>
  <c r="GL5" i="14" s="1"/>
  <c r="CP5" i="14"/>
  <c r="GJ5" i="14" s="1"/>
  <c r="GK5" i="14" s="1"/>
  <c r="CO5" i="14"/>
  <c r="CN5" i="14"/>
  <c r="CM5" i="14"/>
  <c r="DX5" i="14" s="1"/>
  <c r="CL5" i="14"/>
  <c r="DW5" i="14" s="1"/>
  <c r="CG5" i="14" a="1"/>
  <c r="CG5" i="14" s="1"/>
  <c r="AW5" i="14"/>
  <c r="AV5" i="14"/>
  <c r="J5" i="14"/>
  <c r="HI5" i="14" s="1"/>
  <c r="G5" i="14"/>
  <c r="IX4" i="14"/>
  <c r="IV4" i="14"/>
  <c r="IT4" i="14"/>
  <c r="IN4" i="14"/>
  <c r="IM4" i="14"/>
  <c r="IL4" i="14"/>
  <c r="HX4" i="14" a="1"/>
  <c r="HX4" i="14" s="1"/>
  <c r="IW4" i="14" s="1"/>
  <c r="HW4" i="14" a="1"/>
  <c r="HW4" i="14" s="1"/>
  <c r="HV4" i="14"/>
  <c r="IU4" i="14" s="1"/>
  <c r="HV4" i="14" a="1"/>
  <c r="HU4" i="14" a="1"/>
  <c r="HU4" i="14" s="1"/>
  <c r="HT4" i="14"/>
  <c r="IS4" i="14" s="1"/>
  <c r="HT4" i="14" a="1"/>
  <c r="HS4" i="14" a="1"/>
  <c r="HS4" i="14" s="1"/>
  <c r="IR4" i="14" s="1"/>
  <c r="HR4" i="14"/>
  <c r="IQ4" i="14" s="1"/>
  <c r="HR4" i="14" a="1"/>
  <c r="HQ4" i="14"/>
  <c r="IP4" i="14" s="1"/>
  <c r="HQ4" i="14" a="1"/>
  <c r="HP4" i="14"/>
  <c r="IO4" i="14" s="1"/>
  <c r="HP4" i="14" a="1"/>
  <c r="HL4" i="14"/>
  <c r="HJ4" i="14"/>
  <c r="HI4" i="14"/>
  <c r="HH4" i="14"/>
  <c r="HB4" i="14"/>
  <c r="HA4" i="14"/>
  <c r="GZ4" i="14"/>
  <c r="GY4" i="14"/>
  <c r="GX4" i="14"/>
  <c r="GW4" i="14"/>
  <c r="GV4" i="14"/>
  <c r="GU4" i="14"/>
  <c r="GT4" i="14"/>
  <c r="GP4" i="14"/>
  <c r="GN4" i="14"/>
  <c r="GM4" i="14"/>
  <c r="GI4" i="14"/>
  <c r="GH4" i="14"/>
  <c r="GG4" i="14"/>
  <c r="GF4" i="14"/>
  <c r="GE4" i="14"/>
  <c r="GD4" i="14"/>
  <c r="GC4" i="14"/>
  <c r="GB4" i="14"/>
  <c r="GA4" i="14"/>
  <c r="FZ4" i="14"/>
  <c r="FY4" i="14"/>
  <c r="FX4" i="14"/>
  <c r="FW4" i="14"/>
  <c r="FV4" i="14"/>
  <c r="FU4" i="14"/>
  <c r="FT4" i="14"/>
  <c r="FS4" i="14"/>
  <c r="FR4" i="14"/>
  <c r="FQ4" i="14"/>
  <c r="FJ4" i="14"/>
  <c r="FI4" i="14"/>
  <c r="FL4" i="14" s="1"/>
  <c r="FH4" i="14"/>
  <c r="FK4" i="14" s="1"/>
  <c r="FG4" i="14"/>
  <c r="FF4" i="14"/>
  <c r="FP4" i="14" s="1"/>
  <c r="FE4" i="14"/>
  <c r="FD4" i="14"/>
  <c r="FC4" i="14"/>
  <c r="FB4" i="14"/>
  <c r="FA4" i="14"/>
  <c r="EZ4" i="14"/>
  <c r="EY4" i="14"/>
  <c r="EX4" i="14"/>
  <c r="EW4" i="14"/>
  <c r="EV4" i="14"/>
  <c r="EU4" i="14"/>
  <c r="ET4" i="14"/>
  <c r="ES4" i="14"/>
  <c r="ER4" i="14"/>
  <c r="EQ4" i="14"/>
  <c r="EP4" i="14"/>
  <c r="EO4" i="14"/>
  <c r="EN4" i="14"/>
  <c r="EM4" i="14"/>
  <c r="EL4" i="14"/>
  <c r="EK4" i="14"/>
  <c r="EJ4" i="14"/>
  <c r="EI4" i="14"/>
  <c r="EH4" i="14"/>
  <c r="EG4" i="14"/>
  <c r="EF4" i="14"/>
  <c r="EE4" i="14"/>
  <c r="ED4" i="14"/>
  <c r="EC4" i="14"/>
  <c r="EB4" i="14"/>
  <c r="EA4" i="14"/>
  <c r="DX4" i="14"/>
  <c r="DW4" i="14"/>
  <c r="DV4" i="14"/>
  <c r="DU4" i="14"/>
  <c r="DT4" i="14"/>
  <c r="DS4" i="14"/>
  <c r="DR4" i="14"/>
  <c r="DQ4" i="14"/>
  <c r="DP4" i="14"/>
  <c r="DO4" i="14"/>
  <c r="DN4" i="14"/>
  <c r="DM4" i="14" a="1"/>
  <c r="DM4" i="14" s="1"/>
  <c r="DL4" i="14"/>
  <c r="DK4" i="14"/>
  <c r="DJ4" i="14"/>
  <c r="DI4" i="14"/>
  <c r="DH4" i="14"/>
  <c r="DG4" i="14"/>
  <c r="DF4" i="14"/>
  <c r="DE4" i="14"/>
  <c r="DD4" i="14"/>
  <c r="DC4" i="14"/>
  <c r="DB4" i="14"/>
  <c r="DA4" i="14"/>
  <c r="CZ4" i="14"/>
  <c r="CY4" i="14"/>
  <c r="CW4" i="14"/>
  <c r="CV4" i="14"/>
  <c r="CU4" i="14"/>
  <c r="CT4" i="14"/>
  <c r="CS4" i="14"/>
  <c r="CR4" i="14"/>
  <c r="CQ4" i="14"/>
  <c r="GL4" i="14" s="1"/>
  <c r="CP4" i="14"/>
  <c r="GJ4" i="14" s="1"/>
  <c r="GK4" i="14" s="1"/>
  <c r="CO4" i="14"/>
  <c r="DZ4" i="14" s="1"/>
  <c r="CN4" i="14"/>
  <c r="DY4" i="14" s="1"/>
  <c r="CM4" i="14"/>
  <c r="CL4" i="14"/>
  <c r="CK4" i="14"/>
  <c r="CJ4" i="14"/>
  <c r="CG4" i="14" a="1"/>
  <c r="CG4" i="14" s="1"/>
  <c r="CH4" i="14" s="1"/>
  <c r="AW4" i="14"/>
  <c r="AV4" i="14"/>
  <c r="J4" i="14"/>
  <c r="G4" i="14"/>
  <c r="IW3" i="14"/>
  <c r="IV3" i="14"/>
  <c r="IU3" i="14"/>
  <c r="IQ3" i="14"/>
  <c r="IL3" i="14"/>
  <c r="HX3" i="14"/>
  <c r="HX3" i="14" a="1"/>
  <c r="HW3" i="14" a="1"/>
  <c r="HW3" i="14" s="1"/>
  <c r="HV3" i="14" a="1"/>
  <c r="HV3" i="14" s="1"/>
  <c r="HU3" i="14" a="1"/>
  <c r="HU3" i="14" s="1"/>
  <c r="IT3" i="14" s="1"/>
  <c r="HT3" i="14"/>
  <c r="IS3" i="14" s="1"/>
  <c r="HT3" i="14" a="1"/>
  <c r="HS3" i="14" a="1"/>
  <c r="HS3" i="14" s="1"/>
  <c r="IR3" i="14" s="1"/>
  <c r="HR3" i="14" a="1"/>
  <c r="HR3" i="14" s="1"/>
  <c r="HQ3" i="14" a="1"/>
  <c r="HQ3" i="14" s="1"/>
  <c r="IP3" i="14" s="1"/>
  <c r="HP3" i="14" a="1"/>
  <c r="HP3" i="14" s="1"/>
  <c r="IO3" i="14" s="1"/>
  <c r="HL3" i="14"/>
  <c r="HJ3" i="14"/>
  <c r="HI3" i="14"/>
  <c r="HH3" i="14"/>
  <c r="HB3" i="14"/>
  <c r="HA3" i="14"/>
  <c r="GZ3" i="14"/>
  <c r="GY3" i="14"/>
  <c r="GX3" i="14"/>
  <c r="GW3" i="14"/>
  <c r="GV3" i="14"/>
  <c r="GU3" i="14"/>
  <c r="HC3" i="14" s="1"/>
  <c r="GT3" i="14"/>
  <c r="GP3" i="14"/>
  <c r="GN3" i="14"/>
  <c r="GI3" i="14"/>
  <c r="GH3" i="14"/>
  <c r="GG3" i="14"/>
  <c r="GF3" i="14"/>
  <c r="GE3" i="14"/>
  <c r="GD3" i="14"/>
  <c r="GC3" i="14"/>
  <c r="GB3" i="14"/>
  <c r="GA3" i="14"/>
  <c r="FZ3" i="14"/>
  <c r="FY3" i="14"/>
  <c r="FX3" i="14"/>
  <c r="FW3" i="14"/>
  <c r="FV3" i="14"/>
  <c r="FU3" i="14"/>
  <c r="FT3" i="14"/>
  <c r="FS3" i="14"/>
  <c r="FR3" i="14"/>
  <c r="FQ3" i="14"/>
  <c r="FJ3" i="14"/>
  <c r="FI3" i="14"/>
  <c r="FH3" i="14"/>
  <c r="FG3" i="14"/>
  <c r="FF3" i="14"/>
  <c r="FE3" i="14"/>
  <c r="FD3" i="14"/>
  <c r="FC3" i="14"/>
  <c r="FB3" i="14"/>
  <c r="FA3" i="14"/>
  <c r="EZ3" i="14"/>
  <c r="EY3" i="14"/>
  <c r="EX3" i="14"/>
  <c r="EW3" i="14"/>
  <c r="EV3" i="14"/>
  <c r="EU3" i="14"/>
  <c r="ET3" i="14"/>
  <c r="ES3" i="14"/>
  <c r="ER3" i="14"/>
  <c r="EQ3" i="14"/>
  <c r="EP3" i="14"/>
  <c r="EO3" i="14"/>
  <c r="EN3" i="14"/>
  <c r="EM3" i="14"/>
  <c r="EL3" i="14"/>
  <c r="EK3" i="14"/>
  <c r="EJ3" i="14"/>
  <c r="EI3" i="14"/>
  <c r="EH3" i="14"/>
  <c r="EG3" i="14"/>
  <c r="EF3" i="14"/>
  <c r="EE3" i="14"/>
  <c r="ED3" i="14"/>
  <c r="EC3" i="14"/>
  <c r="EB3" i="14"/>
  <c r="EA3" i="14"/>
  <c r="DX3" i="14"/>
  <c r="DV3" i="14"/>
  <c r="DU3" i="14"/>
  <c r="DT3" i="14"/>
  <c r="DS3" i="14"/>
  <c r="DR3" i="14"/>
  <c r="DQ3" i="14"/>
  <c r="DP3" i="14"/>
  <c r="DO3" i="14"/>
  <c r="DN3" i="14"/>
  <c r="DK3" i="14"/>
  <c r="DJ3" i="14"/>
  <c r="DI3" i="14"/>
  <c r="DH3" i="14"/>
  <c r="DG3" i="14"/>
  <c r="DF3" i="14"/>
  <c r="DE3" i="14"/>
  <c r="DD3" i="14"/>
  <c r="DC3" i="14"/>
  <c r="DB3" i="14"/>
  <c r="DA3" i="14"/>
  <c r="CV3" i="14"/>
  <c r="CU3" i="14"/>
  <c r="CT3" i="14"/>
  <c r="CS3" i="14"/>
  <c r="CR3" i="14"/>
  <c r="GM3" i="14" s="1"/>
  <c r="CQ3" i="14"/>
  <c r="GL3" i="14" s="1"/>
  <c r="CP3" i="14"/>
  <c r="GJ3" i="14" s="1"/>
  <c r="GK3" i="14" s="1"/>
  <c r="CO3" i="14"/>
  <c r="DZ3" i="14" s="1"/>
  <c r="CN3" i="14"/>
  <c r="DY3" i="14" s="1"/>
  <c r="CM3" i="14"/>
  <c r="CL3" i="14"/>
  <c r="DW3" i="14" s="1"/>
  <c r="CK3" i="14"/>
  <c r="CZ3" i="14" s="1"/>
  <c r="CG3" i="14"/>
  <c r="CG3" i="14" a="1"/>
  <c r="AW3" i="14"/>
  <c r="AV3" i="14"/>
  <c r="J3" i="14"/>
  <c r="G3" i="14"/>
  <c r="IT4" i="11"/>
  <c r="IQ4" i="11"/>
  <c r="IP4" i="11"/>
  <c r="IO4" i="11"/>
  <c r="IN4" i="11"/>
  <c r="IX4" i="11" s="1"/>
  <c r="IL4" i="11"/>
  <c r="HX4" i="11"/>
  <c r="IW4" i="11" s="1"/>
  <c r="HX4" i="11" a="1"/>
  <c r="HW4" i="11" a="1"/>
  <c r="HW4" i="11" s="1"/>
  <c r="IV4" i="11" s="1"/>
  <c r="HV4" i="11"/>
  <c r="IU4" i="11" s="1"/>
  <c r="HV4" i="11" a="1"/>
  <c r="HU4" i="11"/>
  <c r="HU4" i="11" a="1"/>
  <c r="HT4" i="11"/>
  <c r="IS4" i="11" s="1"/>
  <c r="HT4" i="11" a="1"/>
  <c r="HS4" i="11"/>
  <c r="IR4" i="11" s="1"/>
  <c r="HS4" i="11" a="1"/>
  <c r="HR4" i="11"/>
  <c r="HR4" i="11" a="1"/>
  <c r="HQ4" i="11" a="1"/>
  <c r="HQ4" i="11" s="1"/>
  <c r="HP4" i="11" a="1"/>
  <c r="HP4" i="11" s="1"/>
  <c r="HL4" i="11"/>
  <c r="HJ4" i="11"/>
  <c r="HH4" i="11"/>
  <c r="HB4" i="11"/>
  <c r="HA4" i="11"/>
  <c r="GZ4" i="11"/>
  <c r="GY4" i="11"/>
  <c r="GX4" i="11"/>
  <c r="GW4" i="11"/>
  <c r="GV4" i="11"/>
  <c r="GU4" i="11"/>
  <c r="GT4" i="11"/>
  <c r="GP4" i="11"/>
  <c r="GI4" i="11"/>
  <c r="GH4" i="11"/>
  <c r="GG4" i="11"/>
  <c r="GF4" i="11"/>
  <c r="GE4" i="11"/>
  <c r="GD4" i="11"/>
  <c r="GC4" i="11"/>
  <c r="GB4" i="11"/>
  <c r="GA4" i="11"/>
  <c r="FZ4" i="11"/>
  <c r="FY4" i="11"/>
  <c r="FX4" i="11"/>
  <c r="FW4" i="11"/>
  <c r="FV4" i="11"/>
  <c r="FU4" i="11"/>
  <c r="FT4" i="11"/>
  <c r="FS4" i="11"/>
  <c r="FR4" i="11"/>
  <c r="FQ4" i="11"/>
  <c r="FN4" i="11"/>
  <c r="FM4" i="11"/>
  <c r="FJ4" i="11"/>
  <c r="FI4" i="11"/>
  <c r="FH4" i="11"/>
  <c r="FG4" i="11"/>
  <c r="FO4" i="11" s="1"/>
  <c r="FF4" i="11"/>
  <c r="FE4" i="11"/>
  <c r="FD4" i="11"/>
  <c r="FC4" i="11"/>
  <c r="FB4" i="11"/>
  <c r="FA4" i="11"/>
  <c r="EZ4" i="11"/>
  <c r="EY4" i="11"/>
  <c r="EX4" i="11"/>
  <c r="EW4" i="11"/>
  <c r="EV4" i="11"/>
  <c r="EU4" i="11"/>
  <c r="ET4" i="11"/>
  <c r="ES4" i="11"/>
  <c r="ER4" i="11"/>
  <c r="EQ4" i="11"/>
  <c r="EP4" i="11"/>
  <c r="EO4" i="11"/>
  <c r="EN4" i="11"/>
  <c r="EM4" i="11"/>
  <c r="EL4" i="11"/>
  <c r="EK4" i="11"/>
  <c r="EJ4" i="11"/>
  <c r="EI4" i="11"/>
  <c r="EH4" i="11"/>
  <c r="EG4" i="11"/>
  <c r="EF4" i="11"/>
  <c r="EE4" i="11"/>
  <c r="ED4" i="11"/>
  <c r="EC4" i="11"/>
  <c r="EB4" i="11"/>
  <c r="EA4" i="11"/>
  <c r="DY4" i="11"/>
  <c r="DW4" i="11"/>
  <c r="DV4" i="11"/>
  <c r="DU4" i="11"/>
  <c r="DT4" i="11"/>
  <c r="DS4" i="11"/>
  <c r="DR4" i="11"/>
  <c r="DQ4" i="11"/>
  <c r="DP4" i="11"/>
  <c r="DO4" i="11"/>
  <c r="DN4" i="11"/>
  <c r="DK4" i="11"/>
  <c r="DJ4" i="11"/>
  <c r="DI4" i="11"/>
  <c r="DH4" i="11"/>
  <c r="DG4" i="11"/>
  <c r="DF4" i="11"/>
  <c r="DE4" i="11"/>
  <c r="DD4" i="11"/>
  <c r="DC4" i="11"/>
  <c r="DB4" i="11"/>
  <c r="DA4" i="11"/>
  <c r="CV4" i="11"/>
  <c r="CU4" i="11"/>
  <c r="CT4" i="11"/>
  <c r="CS4" i="11"/>
  <c r="GN4" i="11" s="1"/>
  <c r="CR4" i="11"/>
  <c r="GM4" i="11" s="1"/>
  <c r="CQ4" i="11"/>
  <c r="GL4" i="11" s="1"/>
  <c r="CP4" i="11"/>
  <c r="GJ4" i="11" s="1"/>
  <c r="GK4" i="11" s="1"/>
  <c r="CO4" i="11"/>
  <c r="DZ4" i="11" s="1"/>
  <c r="CN4" i="11"/>
  <c r="CM4" i="11"/>
  <c r="DX4" i="11" s="1"/>
  <c r="CL4" i="11"/>
  <c r="CG4" i="11"/>
  <c r="CG4" i="11" a="1"/>
  <c r="AW4" i="11"/>
  <c r="AV4" i="11"/>
  <c r="J4" i="11"/>
  <c r="HI4" i="11" s="1"/>
  <c r="G4" i="11"/>
  <c r="IP3" i="11"/>
  <c r="IN3" i="11"/>
  <c r="IX3" i="11" s="1"/>
  <c r="IM3" i="11"/>
  <c r="IL3" i="11"/>
  <c r="HX3" i="11" a="1"/>
  <c r="HX3" i="11" s="1"/>
  <c r="IW3" i="11" s="1"/>
  <c r="HW3" i="11"/>
  <c r="IV3" i="11" s="1"/>
  <c r="HW3" i="11" a="1"/>
  <c r="HV3" i="11"/>
  <c r="IU3" i="11" s="1"/>
  <c r="HV3" i="11" a="1"/>
  <c r="HU3" i="11" a="1"/>
  <c r="HU3" i="11" s="1"/>
  <c r="IT3" i="11" s="1"/>
  <c r="HT3" i="11" a="1"/>
  <c r="HT3" i="11" s="1"/>
  <c r="IS3" i="11" s="1"/>
  <c r="HS3" i="11" a="1"/>
  <c r="HS3" i="11" s="1"/>
  <c r="IR3" i="11" s="1"/>
  <c r="HR3" i="11" a="1"/>
  <c r="HR3" i="11" s="1"/>
  <c r="IQ3" i="11" s="1"/>
  <c r="HQ3" i="11" a="1"/>
  <c r="HQ3" i="11" s="1"/>
  <c r="HP3" i="11" a="1"/>
  <c r="HP3" i="11" s="1"/>
  <c r="IO3" i="11" s="1"/>
  <c r="HL3" i="11"/>
  <c r="HJ3" i="11"/>
  <c r="HH3" i="11"/>
  <c r="HB3" i="11"/>
  <c r="HA3" i="11"/>
  <c r="GZ3" i="11"/>
  <c r="GY3" i="11"/>
  <c r="GX3" i="11"/>
  <c r="HC3" i="11" s="1"/>
  <c r="GW3" i="11"/>
  <c r="GV3" i="11"/>
  <c r="GU3" i="11"/>
  <c r="GT3" i="11"/>
  <c r="GP3" i="11"/>
  <c r="GM3" i="11"/>
  <c r="GJ3" i="11"/>
  <c r="GK3" i="11" s="1"/>
  <c r="GI3" i="11"/>
  <c r="GH3" i="11"/>
  <c r="GG3" i="11"/>
  <c r="GF3" i="11"/>
  <c r="GE3" i="11"/>
  <c r="GD3" i="11"/>
  <c r="GC3" i="11"/>
  <c r="GB3" i="11"/>
  <c r="GA3" i="11"/>
  <c r="FZ3" i="11"/>
  <c r="FY3" i="11"/>
  <c r="FX3" i="11"/>
  <c r="FW3" i="11"/>
  <c r="FV3" i="11"/>
  <c r="FU3" i="11"/>
  <c r="FT3" i="11"/>
  <c r="FS3" i="11"/>
  <c r="FR3" i="11"/>
  <c r="FQ3" i="11"/>
  <c r="FP3" i="11"/>
  <c r="FN3" i="11"/>
  <c r="FJ3" i="11"/>
  <c r="FM3" i="11" s="1"/>
  <c r="FI3" i="11"/>
  <c r="FL3" i="11" s="1"/>
  <c r="FH3" i="11"/>
  <c r="FK3" i="11" s="1"/>
  <c r="FG3" i="11"/>
  <c r="FO3" i="11" s="1"/>
  <c r="FF3" i="11"/>
  <c r="FE3" i="11"/>
  <c r="FD3" i="11"/>
  <c r="FC3" i="11"/>
  <c r="FB3" i="11"/>
  <c r="FA3" i="11"/>
  <c r="EZ3" i="11"/>
  <c r="EY3" i="11"/>
  <c r="EX3" i="11"/>
  <c r="EW3" i="11"/>
  <c r="EV3" i="11"/>
  <c r="EU3" i="11"/>
  <c r="ET3" i="11"/>
  <c r="ES3" i="11"/>
  <c r="ER3" i="11"/>
  <c r="EQ3" i="11"/>
  <c r="EP3" i="11"/>
  <c r="EO3" i="11"/>
  <c r="EN3" i="11"/>
  <c r="EM3" i="11"/>
  <c r="EL3" i="11"/>
  <c r="EK3" i="11"/>
  <c r="EJ3" i="11"/>
  <c r="EI3" i="11"/>
  <c r="EH3" i="11"/>
  <c r="EG3" i="11"/>
  <c r="EF3" i="11"/>
  <c r="EE3" i="11"/>
  <c r="ED3" i="11"/>
  <c r="EC3" i="11"/>
  <c r="EB3" i="11"/>
  <c r="EA3" i="11"/>
  <c r="DZ3" i="11"/>
  <c r="DX3" i="11"/>
  <c r="DV3" i="11"/>
  <c r="DU3" i="11"/>
  <c r="DT3" i="11"/>
  <c r="DS3" i="11"/>
  <c r="DR3" i="11"/>
  <c r="DQ3" i="11"/>
  <c r="DP3" i="11"/>
  <c r="DO3" i="11"/>
  <c r="DN3" i="11"/>
  <c r="DM3" i="11" a="1"/>
  <c r="DM3" i="11" s="1"/>
  <c r="DK3" i="11"/>
  <c r="DJ3" i="11"/>
  <c r="DI3" i="11"/>
  <c r="DH3" i="11"/>
  <c r="DG3" i="11"/>
  <c r="DF3" i="11"/>
  <c r="DE3" i="11"/>
  <c r="DD3" i="11"/>
  <c r="DC3" i="11"/>
  <c r="DB3" i="11"/>
  <c r="DA3" i="11"/>
  <c r="CV3" i="11"/>
  <c r="CU3" i="11"/>
  <c r="CT3" i="11"/>
  <c r="CS3" i="11"/>
  <c r="GN3" i="11" s="1"/>
  <c r="CR3" i="11"/>
  <c r="CQ3" i="11"/>
  <c r="GL3" i="11" s="1"/>
  <c r="CP3" i="11"/>
  <c r="CO3" i="11"/>
  <c r="CN3" i="11"/>
  <c r="DY3" i="11" s="1"/>
  <c r="CM3" i="11"/>
  <c r="CL3" i="11"/>
  <c r="DW3" i="11" s="1"/>
  <c r="CG3" i="11"/>
  <c r="CG3" i="11" a="1"/>
  <c r="AW3" i="11"/>
  <c r="AV3" i="11"/>
  <c r="J3" i="11"/>
  <c r="HI3" i="11" s="1"/>
  <c r="G3" i="11"/>
  <c r="IU4" i="12"/>
  <c r="IR4" i="12"/>
  <c r="IQ4" i="12"/>
  <c r="IP4" i="12"/>
  <c r="IL4" i="12"/>
  <c r="HX4" i="12" a="1"/>
  <c r="HX4" i="12" s="1"/>
  <c r="IW4" i="12" s="1"/>
  <c r="HW4" i="12"/>
  <c r="IV4" i="12" s="1"/>
  <c r="HW4" i="12" a="1"/>
  <c r="HV4" i="12"/>
  <c r="HV4" i="12" a="1"/>
  <c r="HU4" i="12" a="1"/>
  <c r="HU4" i="12" s="1"/>
  <c r="IT4" i="12" s="1"/>
  <c r="HT4" i="12"/>
  <c r="IS4" i="12" s="1"/>
  <c r="HT4" i="12" a="1"/>
  <c r="HS4" i="12"/>
  <c r="HS4" i="12" a="1"/>
  <c r="HR4" i="12" a="1"/>
  <c r="HR4" i="12" s="1"/>
  <c r="HQ4" i="12"/>
  <c r="HQ4" i="12" a="1"/>
  <c r="HP4" i="12"/>
  <c r="IO4" i="12" s="1"/>
  <c r="HP4" i="12" a="1"/>
  <c r="HL4" i="12"/>
  <c r="HJ4" i="12"/>
  <c r="HI4" i="12"/>
  <c r="HH4" i="12"/>
  <c r="HB4" i="12"/>
  <c r="HA4" i="12"/>
  <c r="GZ4" i="12"/>
  <c r="GY4" i="12"/>
  <c r="GX4" i="12"/>
  <c r="GW4" i="12"/>
  <c r="GV4" i="12"/>
  <c r="GU4" i="12"/>
  <c r="GT4" i="12"/>
  <c r="GP4" i="12"/>
  <c r="GN4" i="12"/>
  <c r="GJ4" i="12"/>
  <c r="GK4" i="12" s="1"/>
  <c r="GI4" i="12"/>
  <c r="GH4" i="12"/>
  <c r="GG4" i="12"/>
  <c r="GF4" i="12"/>
  <c r="GE4" i="12"/>
  <c r="GD4" i="12"/>
  <c r="GC4" i="12"/>
  <c r="GB4" i="12"/>
  <c r="GA4" i="12"/>
  <c r="FZ4" i="12"/>
  <c r="FY4" i="12"/>
  <c r="FX4" i="12"/>
  <c r="FW4" i="12"/>
  <c r="FV4" i="12"/>
  <c r="FU4" i="12"/>
  <c r="FT4" i="12"/>
  <c r="FS4" i="12"/>
  <c r="FR4" i="12"/>
  <c r="FQ4" i="12"/>
  <c r="FJ4" i="12"/>
  <c r="FI4" i="12"/>
  <c r="FH4" i="12"/>
  <c r="FG4" i="12"/>
  <c r="FF4" i="12"/>
  <c r="FE4" i="12"/>
  <c r="FO4" i="12" s="1"/>
  <c r="FD4" i="12"/>
  <c r="FC4" i="12"/>
  <c r="FB4" i="12"/>
  <c r="FA4" i="12"/>
  <c r="EZ4" i="12"/>
  <c r="EY4" i="12"/>
  <c r="EX4" i="12"/>
  <c r="EW4" i="12"/>
  <c r="EV4" i="12"/>
  <c r="EU4" i="12"/>
  <c r="ET4" i="12"/>
  <c r="ES4" i="12"/>
  <c r="ER4" i="12"/>
  <c r="EQ4" i="12"/>
  <c r="EP4" i="12"/>
  <c r="EO4" i="12"/>
  <c r="EN4" i="12"/>
  <c r="EM4" i="12"/>
  <c r="EL4" i="12"/>
  <c r="EK4" i="12"/>
  <c r="EJ4" i="12"/>
  <c r="EI4" i="12"/>
  <c r="EH4" i="12"/>
  <c r="EG4" i="12"/>
  <c r="EF4" i="12"/>
  <c r="EE4" i="12"/>
  <c r="ED4" i="12"/>
  <c r="EC4" i="12"/>
  <c r="EB4" i="12"/>
  <c r="EA4" i="12"/>
  <c r="DY4" i="12"/>
  <c r="DX4" i="12"/>
  <c r="DV4" i="12"/>
  <c r="DU4" i="12"/>
  <c r="DT4" i="12"/>
  <c r="DS4" i="12"/>
  <c r="DR4" i="12"/>
  <c r="DQ4" i="12"/>
  <c r="DP4" i="12"/>
  <c r="DO4" i="12"/>
  <c r="DN4" i="12"/>
  <c r="DM4" i="12" a="1"/>
  <c r="DM4" i="12" s="1"/>
  <c r="DK4" i="12"/>
  <c r="DJ4" i="12"/>
  <c r="DI4" i="12"/>
  <c r="DH4" i="12"/>
  <c r="DG4" i="12"/>
  <c r="DF4" i="12"/>
  <c r="DE4" i="12"/>
  <c r="DD4" i="12"/>
  <c r="DC4" i="12"/>
  <c r="DB4" i="12"/>
  <c r="DA4" i="12"/>
  <c r="CV4" i="12"/>
  <c r="CU4" i="12"/>
  <c r="CT4" i="12"/>
  <c r="CS4" i="12"/>
  <c r="CR4" i="12"/>
  <c r="GM4" i="12" s="1"/>
  <c r="CQ4" i="12"/>
  <c r="GL4" i="12" s="1"/>
  <c r="CP4" i="12"/>
  <c r="CO4" i="12"/>
  <c r="DZ4" i="12" s="1"/>
  <c r="CN4" i="12"/>
  <c r="CM4" i="12"/>
  <c r="CL4" i="12"/>
  <c r="DW4" i="12" s="1"/>
  <c r="CI4" i="12"/>
  <c r="CX4" i="12" s="1"/>
  <c r="CH4" i="12"/>
  <c r="CW4" i="12" s="1"/>
  <c r="CG4" i="12"/>
  <c r="CG4" i="12" a="1"/>
  <c r="AW4" i="12"/>
  <c r="AV4" i="12"/>
  <c r="J4" i="12"/>
  <c r="G4" i="12"/>
  <c r="IW3" i="12"/>
  <c r="IP3" i="12"/>
  <c r="IO3" i="12"/>
  <c r="IM3" i="12"/>
  <c r="IL3" i="12"/>
  <c r="HX3" i="12" a="1"/>
  <c r="HX3" i="12" s="1"/>
  <c r="HW3" i="12" a="1"/>
  <c r="HW3" i="12" s="1"/>
  <c r="IV3" i="12" s="1"/>
  <c r="HV3" i="12"/>
  <c r="IU3" i="12" s="1"/>
  <c r="HV3" i="12" a="1"/>
  <c r="HU3" i="12" a="1"/>
  <c r="HU3" i="12" s="1"/>
  <c r="IT3" i="12" s="1"/>
  <c r="HT3" i="12" a="1"/>
  <c r="HT3" i="12" s="1"/>
  <c r="IS3" i="12" s="1"/>
  <c r="HS3" i="12"/>
  <c r="IR3" i="12" s="1"/>
  <c r="HS3" i="12" a="1"/>
  <c r="HR3" i="12"/>
  <c r="IQ3" i="12" s="1"/>
  <c r="HR3" i="12" a="1"/>
  <c r="HQ3" i="12" a="1"/>
  <c r="HQ3" i="12" s="1"/>
  <c r="HP3" i="12" a="1"/>
  <c r="HP3" i="12" s="1"/>
  <c r="HL3" i="12"/>
  <c r="HJ3" i="12"/>
  <c r="HH3" i="12"/>
  <c r="HI3" i="12" s="1"/>
  <c r="HB3" i="12"/>
  <c r="HA3" i="12"/>
  <c r="GZ3" i="12"/>
  <c r="GY3" i="12"/>
  <c r="GX3" i="12"/>
  <c r="GW3" i="12"/>
  <c r="GV3" i="12"/>
  <c r="GU3" i="12"/>
  <c r="GT3" i="12"/>
  <c r="HC3" i="12" s="1"/>
  <c r="GP3" i="12"/>
  <c r="GK3" i="12"/>
  <c r="GI3" i="12"/>
  <c r="GH3" i="12"/>
  <c r="GG3" i="12"/>
  <c r="GF3" i="12"/>
  <c r="GE3" i="12"/>
  <c r="GD3" i="12"/>
  <c r="GC3" i="12"/>
  <c r="GB3" i="12"/>
  <c r="GA3" i="12"/>
  <c r="FZ3" i="12"/>
  <c r="FY3" i="12"/>
  <c r="FX3" i="12"/>
  <c r="FW3" i="12"/>
  <c r="FV3" i="12"/>
  <c r="FU3" i="12"/>
  <c r="FT3" i="12"/>
  <c r="FS3" i="12"/>
  <c r="FR3" i="12"/>
  <c r="FQ3" i="12"/>
  <c r="FN3" i="12"/>
  <c r="FJ3" i="12"/>
  <c r="FI3" i="12"/>
  <c r="FL3" i="12" s="1"/>
  <c r="FH3" i="12"/>
  <c r="FG3" i="12"/>
  <c r="FF3" i="12"/>
  <c r="FP3" i="12" s="1"/>
  <c r="FE3" i="12"/>
  <c r="FO3" i="12" s="1"/>
  <c r="FD3" i="12"/>
  <c r="FC3" i="12"/>
  <c r="FB3" i="12"/>
  <c r="FA3" i="12"/>
  <c r="EZ3" i="12"/>
  <c r="EY3" i="12"/>
  <c r="EX3" i="12"/>
  <c r="EW3" i="12"/>
  <c r="EV3" i="12"/>
  <c r="EU3" i="12"/>
  <c r="ET3" i="12"/>
  <c r="ES3" i="12"/>
  <c r="ER3" i="12"/>
  <c r="EQ3" i="12"/>
  <c r="EP3" i="12"/>
  <c r="EO3" i="12"/>
  <c r="EN3" i="12"/>
  <c r="EM3" i="12"/>
  <c r="EL3" i="12"/>
  <c r="EK3" i="12"/>
  <c r="EJ3" i="12"/>
  <c r="EI3" i="12"/>
  <c r="EH3" i="12"/>
  <c r="EG3" i="12"/>
  <c r="EF3" i="12"/>
  <c r="EE3" i="12"/>
  <c r="ED3" i="12"/>
  <c r="EC3" i="12"/>
  <c r="EB3" i="12"/>
  <c r="EA3" i="12"/>
  <c r="DY3" i="12"/>
  <c r="DX3" i="12"/>
  <c r="DV3" i="12"/>
  <c r="DU3" i="12"/>
  <c r="DT3" i="12"/>
  <c r="DS3" i="12"/>
  <c r="DR3" i="12"/>
  <c r="DQ3" i="12"/>
  <c r="DP3" i="12"/>
  <c r="DO3" i="12"/>
  <c r="DN3" i="12"/>
  <c r="DK3" i="12"/>
  <c r="DJ3" i="12"/>
  <c r="DI3" i="12"/>
  <c r="DH3" i="12"/>
  <c r="DG3" i="12"/>
  <c r="DF3" i="12"/>
  <c r="DE3" i="12"/>
  <c r="DD3" i="12"/>
  <c r="DC3" i="12"/>
  <c r="DB3" i="12"/>
  <c r="DA3" i="12"/>
  <c r="CV3" i="12"/>
  <c r="CU3" i="12"/>
  <c r="CT3" i="12"/>
  <c r="CS3" i="12"/>
  <c r="GN3" i="12" s="1"/>
  <c r="CR3" i="12"/>
  <c r="GM3" i="12" s="1"/>
  <c r="CQ3" i="12"/>
  <c r="GL3" i="12" s="1"/>
  <c r="CP3" i="12"/>
  <c r="GJ3" i="12" s="1"/>
  <c r="CO3" i="12"/>
  <c r="DZ3" i="12" s="1"/>
  <c r="CN3" i="12"/>
  <c r="CM3" i="12"/>
  <c r="CL3" i="12"/>
  <c r="DW3" i="12" s="1"/>
  <c r="CJ3" i="12"/>
  <c r="CY3" i="12" s="1"/>
  <c r="CH3" i="12"/>
  <c r="CW3" i="12" s="1"/>
  <c r="CG3" i="12"/>
  <c r="CG3" i="12" a="1"/>
  <c r="AW3" i="12"/>
  <c r="AV3" i="12"/>
  <c r="J3" i="12"/>
  <c r="G3" i="12"/>
  <c r="IW3" i="10"/>
  <c r="IV3" i="10"/>
  <c r="IQ3" i="10"/>
  <c r="IP3" i="10"/>
  <c r="HX3" i="10" a="1"/>
  <c r="HX3" i="10" s="1"/>
  <c r="HW3" i="10"/>
  <c r="HW3" i="10" a="1"/>
  <c r="HV3" i="10"/>
  <c r="IU3" i="10" s="1"/>
  <c r="HV3" i="10" a="1"/>
  <c r="HU3" i="10" a="1"/>
  <c r="HU3" i="10" s="1"/>
  <c r="IT3" i="10" s="1"/>
  <c r="HT3" i="10"/>
  <c r="IS3" i="10" s="1"/>
  <c r="HT3" i="10" a="1"/>
  <c r="HS3" i="10"/>
  <c r="IR3" i="10" s="1"/>
  <c r="HS3" i="10" a="1"/>
  <c r="HR3" i="10"/>
  <c r="HR3" i="10" a="1"/>
  <c r="HQ3" i="10"/>
  <c r="HQ3" i="10" a="1"/>
  <c r="HP3" i="10" a="1"/>
  <c r="HP3" i="10" s="1"/>
  <c r="IO3" i="10" s="1"/>
  <c r="HL3" i="10"/>
  <c r="HJ3" i="10"/>
  <c r="HI3" i="10"/>
  <c r="HH3" i="10"/>
  <c r="HB3" i="10"/>
  <c r="HA3" i="10"/>
  <c r="GZ3" i="10"/>
  <c r="GY3" i="10"/>
  <c r="GX3" i="10"/>
  <c r="GW3" i="10"/>
  <c r="GV3" i="10"/>
  <c r="GU3" i="10"/>
  <c r="GT3" i="10"/>
  <c r="GP3" i="10"/>
  <c r="GM3" i="10"/>
  <c r="GI3" i="10"/>
  <c r="GH3" i="10"/>
  <c r="GG3" i="10"/>
  <c r="GF3" i="10"/>
  <c r="GE3" i="10"/>
  <c r="GB3" i="10"/>
  <c r="GA3" i="10"/>
  <c r="FZ3" i="10"/>
  <c r="FY3" i="10"/>
  <c r="FW3" i="10"/>
  <c r="FV3" i="10"/>
  <c r="FU3" i="10"/>
  <c r="FT3" i="10"/>
  <c r="FS3" i="10"/>
  <c r="FR3" i="10"/>
  <c r="FQ3" i="10"/>
  <c r="FP3" i="10"/>
  <c r="FO3" i="10"/>
  <c r="FN3" i="10"/>
  <c r="FM3" i="10"/>
  <c r="FL3" i="10"/>
  <c r="FJ3" i="10"/>
  <c r="FI3" i="10"/>
  <c r="FH3" i="10"/>
  <c r="FK3" i="10" s="1"/>
  <c r="FG3" i="10"/>
  <c r="FF3" i="10"/>
  <c r="FE3" i="10"/>
  <c r="FD3" i="10"/>
  <c r="FB3" i="10"/>
  <c r="FA3" i="10"/>
  <c r="EZ3" i="10"/>
  <c r="EY3" i="10"/>
  <c r="EX3" i="10"/>
  <c r="EW3" i="10"/>
  <c r="EV3" i="10"/>
  <c r="EU3" i="10"/>
  <c r="ET3" i="10"/>
  <c r="ES3" i="10"/>
  <c r="ER3" i="10"/>
  <c r="EQ3" i="10"/>
  <c r="EP3" i="10"/>
  <c r="EO3" i="10"/>
  <c r="EN3" i="10"/>
  <c r="EM3" i="10"/>
  <c r="EL3" i="10"/>
  <c r="EK3" i="10"/>
  <c r="EJ3" i="10"/>
  <c r="EI3" i="10"/>
  <c r="EH3" i="10"/>
  <c r="EG3" i="10"/>
  <c r="EF3" i="10"/>
  <c r="EE3" i="10"/>
  <c r="ED3" i="10"/>
  <c r="EC3" i="10"/>
  <c r="EB3" i="10"/>
  <c r="EA3" i="10"/>
  <c r="DU3" i="10"/>
  <c r="DT3" i="10"/>
  <c r="DS3" i="10"/>
  <c r="DR3" i="10"/>
  <c r="DQ3" i="10"/>
  <c r="DP3" i="10"/>
  <c r="DO3" i="10"/>
  <c r="DN3" i="10"/>
  <c r="DK3" i="10"/>
  <c r="DJ3" i="10"/>
  <c r="DI3" i="10"/>
  <c r="DH3" i="10"/>
  <c r="DG3" i="10"/>
  <c r="DF3" i="10"/>
  <c r="DE3" i="10"/>
  <c r="DD3" i="10"/>
  <c r="DB3" i="10"/>
  <c r="DA3" i="10"/>
  <c r="CV3" i="10"/>
  <c r="CU3" i="10"/>
  <c r="CT3" i="10"/>
  <c r="CS3" i="10"/>
  <c r="GN3" i="10" s="1"/>
  <c r="CR3" i="10"/>
  <c r="CQ3" i="10"/>
  <c r="GL3" i="10" s="1"/>
  <c r="CP3" i="10"/>
  <c r="GJ3" i="10" s="1"/>
  <c r="GK3" i="10" s="1"/>
  <c r="CO3" i="10"/>
  <c r="DZ3" i="10" s="1"/>
  <c r="CN3" i="10"/>
  <c r="DY3" i="10" s="1"/>
  <c r="CM3" i="10"/>
  <c r="DX3" i="10" s="1"/>
  <c r="CL3" i="10"/>
  <c r="DW3" i="10" s="1"/>
  <c r="CG3" i="10" a="1"/>
  <c r="CG3" i="10" s="1"/>
  <c r="AW3" i="10"/>
  <c r="AV3" i="10"/>
  <c r="J3" i="10"/>
  <c r="G3" i="10"/>
  <c r="IO3" i="9"/>
  <c r="IM3" i="9"/>
  <c r="HX3" i="9"/>
  <c r="IW3" i="9" s="1"/>
  <c r="HX3" i="9" a="1"/>
  <c r="HW3" i="9"/>
  <c r="IV3" i="9" s="1"/>
  <c r="HW3" i="9" a="1"/>
  <c r="HV3" i="9" a="1"/>
  <c r="HV3" i="9" s="1"/>
  <c r="IU3" i="9" s="1"/>
  <c r="HU3" i="9"/>
  <c r="IT3" i="9" s="1"/>
  <c r="HU3" i="9" a="1"/>
  <c r="HT3" i="9" a="1"/>
  <c r="HT3" i="9" s="1"/>
  <c r="IS3" i="9" s="1"/>
  <c r="HS3" i="9" a="1"/>
  <c r="HS3" i="9" s="1"/>
  <c r="IR3" i="9" s="1"/>
  <c r="HR3" i="9"/>
  <c r="IQ3" i="9" s="1"/>
  <c r="HR3" i="9" a="1"/>
  <c r="HQ3" i="9" a="1"/>
  <c r="HQ3" i="9" s="1"/>
  <c r="IP3" i="9" s="1"/>
  <c r="HP3" i="9" a="1"/>
  <c r="HP3" i="9" s="1"/>
  <c r="HL3" i="9"/>
  <c r="HJ3" i="9"/>
  <c r="HH3" i="9"/>
  <c r="HB3" i="9"/>
  <c r="HA3" i="9"/>
  <c r="GZ3" i="9"/>
  <c r="GY3" i="9"/>
  <c r="GX3" i="9"/>
  <c r="GW3" i="9"/>
  <c r="GV3" i="9"/>
  <c r="GU3" i="9"/>
  <c r="GT3" i="9"/>
  <c r="GP3" i="9"/>
  <c r="GN3" i="9"/>
  <c r="GM3" i="9"/>
  <c r="GL3" i="9"/>
  <c r="GK3" i="9"/>
  <c r="GI3" i="9"/>
  <c r="GH3" i="9"/>
  <c r="GG3" i="9"/>
  <c r="GF3" i="9"/>
  <c r="GE3" i="9"/>
  <c r="GB3" i="9"/>
  <c r="GA3" i="9"/>
  <c r="FZ3" i="9"/>
  <c r="FY3" i="9"/>
  <c r="FW3" i="9"/>
  <c r="FV3" i="9"/>
  <c r="FU3" i="9"/>
  <c r="FT3" i="9"/>
  <c r="FS3" i="9"/>
  <c r="FR3" i="9"/>
  <c r="FQ3" i="9"/>
  <c r="FM3" i="9"/>
  <c r="FJ3" i="9"/>
  <c r="FI3" i="9"/>
  <c r="FL3" i="9" s="1"/>
  <c r="FH3" i="9"/>
  <c r="FK3" i="9" s="1"/>
  <c r="FG3" i="9"/>
  <c r="FO3" i="9" s="1"/>
  <c r="FF3" i="9"/>
  <c r="FE3" i="9"/>
  <c r="FD3" i="9"/>
  <c r="FB3" i="9"/>
  <c r="FA3" i="9"/>
  <c r="EZ3" i="9"/>
  <c r="EY3" i="9"/>
  <c r="EX3" i="9"/>
  <c r="EW3" i="9"/>
  <c r="EV3" i="9"/>
  <c r="EU3" i="9"/>
  <c r="ET3" i="9"/>
  <c r="ES3" i="9"/>
  <c r="ER3" i="9"/>
  <c r="EQ3" i="9"/>
  <c r="EP3" i="9"/>
  <c r="EO3" i="9"/>
  <c r="EN3" i="9"/>
  <c r="EM3" i="9"/>
  <c r="EL3" i="9"/>
  <c r="EK3" i="9"/>
  <c r="EJ3" i="9"/>
  <c r="EI3" i="9"/>
  <c r="EH3" i="9"/>
  <c r="EG3" i="9"/>
  <c r="EF3" i="9"/>
  <c r="EE3" i="9"/>
  <c r="ED3" i="9"/>
  <c r="EC3" i="9"/>
  <c r="EB3" i="9"/>
  <c r="EA3" i="9"/>
  <c r="DU3" i="9"/>
  <c r="DT3" i="9"/>
  <c r="DS3" i="9"/>
  <c r="DR3" i="9"/>
  <c r="DQ3" i="9"/>
  <c r="DP3" i="9"/>
  <c r="DO3" i="9"/>
  <c r="DN3" i="9"/>
  <c r="DM3" i="9" a="1"/>
  <c r="DM3" i="9" s="1"/>
  <c r="DL3" i="9"/>
  <c r="DK3" i="9"/>
  <c r="DJ3" i="9"/>
  <c r="DI3" i="9"/>
  <c r="DH3" i="9"/>
  <c r="DG3" i="9"/>
  <c r="DF3" i="9"/>
  <c r="DE3" i="9"/>
  <c r="DD3" i="9"/>
  <c r="DB3" i="9"/>
  <c r="DA3" i="9"/>
  <c r="CY3" i="9"/>
  <c r="CV3" i="9"/>
  <c r="CU3" i="9"/>
  <c r="CT3" i="9"/>
  <c r="CS3" i="9"/>
  <c r="CR3" i="9"/>
  <c r="CQ3" i="9"/>
  <c r="CP3" i="9"/>
  <c r="GJ3" i="9" s="1"/>
  <c r="CO3" i="9"/>
  <c r="DZ3" i="9" s="1"/>
  <c r="CN3" i="9"/>
  <c r="DY3" i="9" s="1"/>
  <c r="CM3" i="9"/>
  <c r="DX3" i="9" s="1"/>
  <c r="CL3" i="9"/>
  <c r="DW3" i="9" s="1"/>
  <c r="CK3" i="9"/>
  <c r="CZ3" i="9" s="1"/>
  <c r="CJ3" i="9"/>
  <c r="CG3" i="9"/>
  <c r="CG3" i="9" a="1"/>
  <c r="AW3" i="9"/>
  <c r="AV3" i="9"/>
  <c r="J3" i="9"/>
  <c r="HI3" i="9" s="1"/>
  <c r="G3" i="9"/>
  <c r="IX6" i="7"/>
  <c r="IW6" i="7"/>
  <c r="IV6" i="7"/>
  <c r="IU6" i="7"/>
  <c r="IS6" i="7"/>
  <c r="IL6" i="7"/>
  <c r="HX6" i="7"/>
  <c r="HX6" i="7" a="1"/>
  <c r="HW6" i="7"/>
  <c r="HW6" i="7" a="1"/>
  <c r="HV6" i="7"/>
  <c r="HV6" i="7" a="1"/>
  <c r="HU6" i="7" a="1"/>
  <c r="HU6" i="7" s="1"/>
  <c r="IT6" i="7" s="1"/>
  <c r="HT6" i="7"/>
  <c r="HT6" i="7" a="1"/>
  <c r="HS6" i="7"/>
  <c r="IR6" i="7" s="1"/>
  <c r="HS6" i="7" a="1"/>
  <c r="HR6" i="7" a="1"/>
  <c r="HR6" i="7" s="1"/>
  <c r="IQ6" i="7" s="1"/>
  <c r="HQ6" i="7"/>
  <c r="IP6" i="7" s="1"/>
  <c r="HQ6" i="7" a="1"/>
  <c r="HP6" i="7" a="1"/>
  <c r="HP6" i="7" s="1"/>
  <c r="IO6" i="7" s="1"/>
  <c r="HL6" i="7"/>
  <c r="HJ6" i="7"/>
  <c r="HH6" i="7"/>
  <c r="HB6" i="7"/>
  <c r="HA6" i="7"/>
  <c r="GZ6" i="7"/>
  <c r="GY6" i="7"/>
  <c r="GX6" i="7"/>
  <c r="GW6" i="7"/>
  <c r="GV6" i="7"/>
  <c r="HC6" i="7" s="1"/>
  <c r="GU6" i="7"/>
  <c r="GT6" i="7"/>
  <c r="GP6" i="7"/>
  <c r="GN6" i="7"/>
  <c r="GI6" i="7"/>
  <c r="GH6" i="7"/>
  <c r="GG6" i="7"/>
  <c r="GF6" i="7"/>
  <c r="GE6" i="7"/>
  <c r="GD6" i="7"/>
  <c r="GC6" i="7"/>
  <c r="GB6" i="7"/>
  <c r="GA6" i="7"/>
  <c r="FZ6" i="7"/>
  <c r="FY6" i="7"/>
  <c r="FX6" i="7"/>
  <c r="FW6" i="7"/>
  <c r="FV6" i="7"/>
  <c r="FU6" i="7"/>
  <c r="FT6" i="7"/>
  <c r="FS6" i="7"/>
  <c r="FR6" i="7"/>
  <c r="FQ6" i="7"/>
  <c r="FM6" i="7"/>
  <c r="FJ6" i="7"/>
  <c r="FI6" i="7"/>
  <c r="FL6" i="7" s="1"/>
  <c r="FH6" i="7"/>
  <c r="FK6" i="7" s="1"/>
  <c r="FG6" i="7"/>
  <c r="FF6" i="7"/>
  <c r="FP6" i="7" s="1"/>
  <c r="FE6" i="7"/>
  <c r="FD6" i="7"/>
  <c r="FC6" i="7"/>
  <c r="FB6" i="7"/>
  <c r="FA6" i="7"/>
  <c r="EZ6" i="7"/>
  <c r="EY6" i="7"/>
  <c r="EX6" i="7"/>
  <c r="EW6" i="7"/>
  <c r="EV6" i="7"/>
  <c r="EU6" i="7"/>
  <c r="ET6" i="7"/>
  <c r="ES6" i="7"/>
  <c r="ER6" i="7"/>
  <c r="EQ6" i="7"/>
  <c r="EP6" i="7"/>
  <c r="EO6" i="7"/>
  <c r="EN6" i="7"/>
  <c r="EM6" i="7"/>
  <c r="EL6" i="7"/>
  <c r="EK6" i="7"/>
  <c r="EJ6" i="7"/>
  <c r="EI6" i="7"/>
  <c r="EH6" i="7"/>
  <c r="EG6" i="7"/>
  <c r="EF6" i="7"/>
  <c r="EE6" i="7"/>
  <c r="ED6" i="7"/>
  <c r="EC6" i="7"/>
  <c r="EB6" i="7"/>
  <c r="EA6" i="7"/>
  <c r="DX6" i="7"/>
  <c r="DV6" i="7"/>
  <c r="DU6" i="7"/>
  <c r="DT6" i="7"/>
  <c r="DS6" i="7"/>
  <c r="DR6" i="7"/>
  <c r="DQ6" i="7"/>
  <c r="DP6" i="7"/>
  <c r="DO6" i="7"/>
  <c r="DN6" i="7"/>
  <c r="DM6" i="7" a="1"/>
  <c r="DM6" i="7" s="1"/>
  <c r="DL6" i="7"/>
  <c r="DK6" i="7"/>
  <c r="DJ6" i="7"/>
  <c r="DI6" i="7"/>
  <c r="DH6" i="7"/>
  <c r="DG6" i="7"/>
  <c r="DF6" i="7"/>
  <c r="DE6" i="7"/>
  <c r="DD6" i="7"/>
  <c r="DC6" i="7"/>
  <c r="DB6" i="7"/>
  <c r="DA6" i="7"/>
  <c r="CV6" i="7"/>
  <c r="CU6" i="7"/>
  <c r="CT6" i="7"/>
  <c r="CS6" i="7"/>
  <c r="CR6" i="7"/>
  <c r="GM6" i="7" s="1"/>
  <c r="CQ6" i="7"/>
  <c r="GL6" i="7" s="1"/>
  <c r="CP6" i="7"/>
  <c r="GJ6" i="7" s="1"/>
  <c r="GK6" i="7" s="1"/>
  <c r="CO6" i="7"/>
  <c r="DZ6" i="7" s="1"/>
  <c r="CN6" i="7"/>
  <c r="DY6" i="7" s="1"/>
  <c r="CM6" i="7"/>
  <c r="CL6" i="7"/>
  <c r="DW6" i="7" s="1"/>
  <c r="CI6" i="7"/>
  <c r="CX6" i="7" s="1"/>
  <c r="CG6" i="7" a="1"/>
  <c r="CG6" i="7" s="1"/>
  <c r="IN6" i="7" s="1"/>
  <c r="AW6" i="7"/>
  <c r="AV6" i="7"/>
  <c r="J6" i="7"/>
  <c r="HI6" i="7" s="1"/>
  <c r="G6" i="7"/>
  <c r="IW5" i="7"/>
  <c r="IQ5" i="7"/>
  <c r="IP5" i="7"/>
  <c r="IL5" i="7"/>
  <c r="HX5" i="7"/>
  <c r="HX5" i="7" a="1"/>
  <c r="HW5" i="7" a="1"/>
  <c r="HW5" i="7" s="1"/>
  <c r="IV5" i="7" s="1"/>
  <c r="HV5" i="7"/>
  <c r="IU5" i="7" s="1"/>
  <c r="HV5" i="7" a="1"/>
  <c r="HU5" i="7" a="1"/>
  <c r="HU5" i="7" s="1"/>
  <c r="IT5" i="7" s="1"/>
  <c r="HT5" i="7"/>
  <c r="IS5" i="7" s="1"/>
  <c r="HT5" i="7" a="1"/>
  <c r="HS5" i="7" a="1"/>
  <c r="HS5" i="7" s="1"/>
  <c r="IR5" i="7" s="1"/>
  <c r="HR5" i="7"/>
  <c r="HR5" i="7" a="1"/>
  <c r="HQ5" i="7" a="1"/>
  <c r="HQ5" i="7" s="1"/>
  <c r="HP5" i="7"/>
  <c r="IO5" i="7" s="1"/>
  <c r="HP5" i="7" a="1"/>
  <c r="HL5" i="7"/>
  <c r="HJ5" i="7"/>
  <c r="HI5" i="7"/>
  <c r="HH5" i="7"/>
  <c r="HB5" i="7"/>
  <c r="HA5" i="7"/>
  <c r="GZ5" i="7"/>
  <c r="GY5" i="7"/>
  <c r="GX5" i="7"/>
  <c r="GW5" i="7"/>
  <c r="GV5" i="7"/>
  <c r="GU5" i="7"/>
  <c r="GT5" i="7"/>
  <c r="GP5" i="7"/>
  <c r="GM5" i="7"/>
  <c r="GI5" i="7"/>
  <c r="GH5" i="7"/>
  <c r="GG5" i="7"/>
  <c r="GF5" i="7"/>
  <c r="GE5" i="7"/>
  <c r="GD5" i="7"/>
  <c r="GC5" i="7"/>
  <c r="GB5" i="7"/>
  <c r="GA5" i="7"/>
  <c r="FZ5" i="7"/>
  <c r="FY5" i="7"/>
  <c r="FX5" i="7"/>
  <c r="FW5" i="7"/>
  <c r="FV5" i="7"/>
  <c r="FU5" i="7"/>
  <c r="FT5" i="7"/>
  <c r="FS5" i="7"/>
  <c r="FR5" i="7"/>
  <c r="FQ5" i="7"/>
  <c r="FO5" i="7"/>
  <c r="FJ5" i="7"/>
  <c r="FM5" i="7" s="1"/>
  <c r="FI5" i="7"/>
  <c r="FL5" i="7" s="1"/>
  <c r="FH5" i="7"/>
  <c r="FK5" i="7" s="1"/>
  <c r="FG5" i="7"/>
  <c r="FF5" i="7"/>
  <c r="FP5" i="7" s="1"/>
  <c r="FE5" i="7"/>
  <c r="FN5" i="7" s="1"/>
  <c r="FD5" i="7"/>
  <c r="FC5" i="7"/>
  <c r="FB5" i="7"/>
  <c r="FA5" i="7"/>
  <c r="EZ5" i="7"/>
  <c r="EY5" i="7"/>
  <c r="EX5" i="7"/>
  <c r="EW5" i="7"/>
  <c r="EV5" i="7"/>
  <c r="EU5" i="7"/>
  <c r="ET5" i="7"/>
  <c r="ES5" i="7"/>
  <c r="ER5" i="7"/>
  <c r="EQ5" i="7"/>
  <c r="EP5" i="7"/>
  <c r="EO5" i="7"/>
  <c r="EN5" i="7"/>
  <c r="EM5" i="7"/>
  <c r="EL5" i="7"/>
  <c r="EK5" i="7"/>
  <c r="EJ5" i="7"/>
  <c r="EI5" i="7"/>
  <c r="EH5" i="7"/>
  <c r="EG5" i="7"/>
  <c r="EF5" i="7"/>
  <c r="EE5" i="7"/>
  <c r="ED5" i="7"/>
  <c r="EC5" i="7"/>
  <c r="EB5" i="7"/>
  <c r="EA5" i="7"/>
  <c r="DW5" i="7"/>
  <c r="DV5" i="7"/>
  <c r="DU5" i="7"/>
  <c r="DT5" i="7"/>
  <c r="DS5" i="7"/>
  <c r="DR5" i="7"/>
  <c r="DQ5" i="7"/>
  <c r="DP5" i="7"/>
  <c r="DO5" i="7"/>
  <c r="DN5" i="7"/>
  <c r="DM5" i="7"/>
  <c r="DM5" i="7" a="1"/>
  <c r="DL5" i="7"/>
  <c r="DK5" i="7"/>
  <c r="DJ5" i="7"/>
  <c r="DI5" i="7"/>
  <c r="DH5" i="7"/>
  <c r="DG5" i="7"/>
  <c r="DF5" i="7"/>
  <c r="DE5" i="7"/>
  <c r="DD5" i="7"/>
  <c r="DC5" i="7"/>
  <c r="DB5" i="7"/>
  <c r="DA5" i="7"/>
  <c r="CX5" i="7"/>
  <c r="CV5" i="7"/>
  <c r="CU5" i="7"/>
  <c r="CT5" i="7"/>
  <c r="CS5" i="7"/>
  <c r="GN5" i="7" s="1"/>
  <c r="CR5" i="7"/>
  <c r="CQ5" i="7"/>
  <c r="GL5" i="7" s="1"/>
  <c r="CP5" i="7"/>
  <c r="GJ5" i="7" s="1"/>
  <c r="GK5" i="7" s="1"/>
  <c r="CO5" i="7"/>
  <c r="DZ5" i="7" s="1"/>
  <c r="CN5" i="7"/>
  <c r="DY5" i="7" s="1"/>
  <c r="CM5" i="7"/>
  <c r="DX5" i="7" s="1"/>
  <c r="CL5" i="7"/>
  <c r="CJ5" i="7"/>
  <c r="CY5" i="7" s="1"/>
  <c r="CI5" i="7"/>
  <c r="CG5" i="7"/>
  <c r="CG5" i="7" a="1"/>
  <c r="AX5" i="7"/>
  <c r="AW5" i="7"/>
  <c r="AV5" i="7"/>
  <c r="J5" i="7"/>
  <c r="G5" i="7"/>
  <c r="IX4" i="7"/>
  <c r="IV4" i="7"/>
  <c r="IR4" i="7"/>
  <c r="IQ4" i="7"/>
  <c r="IP4" i="7"/>
  <c r="IN4" i="7"/>
  <c r="IM4" i="7"/>
  <c r="HX4" i="7"/>
  <c r="IW4" i="7" s="1"/>
  <c r="HX4" i="7" a="1"/>
  <c r="HW4" i="7" a="1"/>
  <c r="HW4" i="7" s="1"/>
  <c r="HV4" i="7" a="1"/>
  <c r="HV4" i="7" s="1"/>
  <c r="IU4" i="7" s="1"/>
  <c r="HU4" i="7"/>
  <c r="IT4" i="7" s="1"/>
  <c r="HU4" i="7" a="1"/>
  <c r="HT4" i="7"/>
  <c r="IS4" i="7" s="1"/>
  <c r="HT4" i="7" a="1"/>
  <c r="HS4" i="7"/>
  <c r="HS4" i="7" a="1"/>
  <c r="HR4" i="7"/>
  <c r="HR4" i="7" a="1"/>
  <c r="HQ4" i="7"/>
  <c r="HQ4" i="7" a="1"/>
  <c r="HP4" i="7" a="1"/>
  <c r="HP4" i="7" s="1"/>
  <c r="IO4" i="7" s="1"/>
  <c r="HL4" i="7"/>
  <c r="HJ4" i="7"/>
  <c r="HI4" i="7"/>
  <c r="HH4" i="7"/>
  <c r="HB4" i="7"/>
  <c r="HA4" i="7"/>
  <c r="GZ4" i="7"/>
  <c r="GY4" i="7"/>
  <c r="GX4" i="7"/>
  <c r="GW4" i="7"/>
  <c r="GV4" i="7"/>
  <c r="GU4" i="7"/>
  <c r="GT4" i="7"/>
  <c r="HC4" i="7" s="1"/>
  <c r="GP4" i="7"/>
  <c r="GN4" i="7"/>
  <c r="GM4" i="7"/>
  <c r="GI4" i="7"/>
  <c r="GH4" i="7"/>
  <c r="GG4" i="7"/>
  <c r="GF4" i="7"/>
  <c r="GE4" i="7"/>
  <c r="GB4" i="7"/>
  <c r="GA4" i="7"/>
  <c r="FZ4" i="7"/>
  <c r="FY4" i="7"/>
  <c r="FW4" i="7"/>
  <c r="FV4" i="7"/>
  <c r="FU4" i="7"/>
  <c r="FT4" i="7"/>
  <c r="FS4" i="7"/>
  <c r="FR4" i="7"/>
  <c r="FQ4" i="7"/>
  <c r="FP4" i="7"/>
  <c r="FO4" i="7"/>
  <c r="FM4" i="7"/>
  <c r="FL4" i="7"/>
  <c r="FJ4" i="7"/>
  <c r="FI4" i="7"/>
  <c r="FH4" i="7"/>
  <c r="FK4" i="7" s="1"/>
  <c r="FG4" i="7"/>
  <c r="FF4" i="7"/>
  <c r="FE4" i="7"/>
  <c r="FD4" i="7"/>
  <c r="FB4" i="7"/>
  <c r="FA4" i="7"/>
  <c r="EZ4" i="7"/>
  <c r="EY4" i="7"/>
  <c r="EX4" i="7"/>
  <c r="EW4" i="7"/>
  <c r="EV4" i="7"/>
  <c r="EU4" i="7"/>
  <c r="ET4" i="7"/>
  <c r="ES4" i="7"/>
  <c r="ER4" i="7"/>
  <c r="EQ4" i="7"/>
  <c r="EP4" i="7"/>
  <c r="EO4" i="7"/>
  <c r="EN4" i="7"/>
  <c r="EM4" i="7"/>
  <c r="EL4" i="7"/>
  <c r="EK4" i="7"/>
  <c r="EJ4" i="7"/>
  <c r="EI4" i="7"/>
  <c r="EH4" i="7"/>
  <c r="EG4" i="7"/>
  <c r="EF4" i="7"/>
  <c r="EE4" i="7"/>
  <c r="ED4" i="7"/>
  <c r="EC4" i="7"/>
  <c r="EB4" i="7"/>
  <c r="EA4" i="7"/>
  <c r="DY4" i="7"/>
  <c r="DX4" i="7"/>
  <c r="DU4" i="7"/>
  <c r="DT4" i="7"/>
  <c r="DS4" i="7"/>
  <c r="DR4" i="7"/>
  <c r="DQ4" i="7"/>
  <c r="DP4" i="7"/>
  <c r="DO4" i="7"/>
  <c r="DN4" i="7"/>
  <c r="DM4" i="7" a="1"/>
  <c r="DM4" i="7" s="1"/>
  <c r="DK4" i="7"/>
  <c r="DJ4" i="7"/>
  <c r="DI4" i="7"/>
  <c r="DH4" i="7"/>
  <c r="DG4" i="7"/>
  <c r="DF4" i="7"/>
  <c r="DE4" i="7"/>
  <c r="DD4" i="7"/>
  <c r="DB4" i="7"/>
  <c r="DA4" i="7"/>
  <c r="CZ4" i="7"/>
  <c r="CY4" i="7"/>
  <c r="CX4" i="7"/>
  <c r="CV4" i="7"/>
  <c r="CU4" i="7"/>
  <c r="CT4" i="7"/>
  <c r="CS4" i="7"/>
  <c r="CR4" i="7"/>
  <c r="CQ4" i="7"/>
  <c r="GL4" i="7" s="1"/>
  <c r="CP4" i="7"/>
  <c r="GJ4" i="7" s="1"/>
  <c r="GK4" i="7" s="1"/>
  <c r="CO4" i="7"/>
  <c r="DZ4" i="7" s="1"/>
  <c r="CN4" i="7"/>
  <c r="CM4" i="7"/>
  <c r="CL4" i="7"/>
  <c r="DW4" i="7" s="1"/>
  <c r="CK4" i="7"/>
  <c r="CJ4" i="7"/>
  <c r="CI4" i="7"/>
  <c r="CH4" i="7"/>
  <c r="CW4" i="7" s="1"/>
  <c r="CG4" i="7"/>
  <c r="CG4" i="7" a="1"/>
  <c r="AW4" i="7"/>
  <c r="AV4" i="7"/>
  <c r="J4" i="7"/>
  <c r="G4" i="7"/>
  <c r="IW3" i="7"/>
  <c r="IU3" i="7"/>
  <c r="IS3" i="7"/>
  <c r="IL3" i="7"/>
  <c r="HX3" i="7" a="1"/>
  <c r="HX3" i="7" s="1"/>
  <c r="HW3" i="7"/>
  <c r="IV3" i="7" s="1"/>
  <c r="HW3" i="7" a="1"/>
  <c r="HV3" i="7" a="1"/>
  <c r="HV3" i="7" s="1"/>
  <c r="HU3" i="7" a="1"/>
  <c r="HU3" i="7" s="1"/>
  <c r="IT3" i="7" s="1"/>
  <c r="HT3" i="7"/>
  <c r="HT3" i="7" a="1"/>
  <c r="HS3" i="7" a="1"/>
  <c r="HS3" i="7" s="1"/>
  <c r="IR3" i="7" s="1"/>
  <c r="HR3" i="7" a="1"/>
  <c r="HR3" i="7" s="1"/>
  <c r="IQ3" i="7" s="1"/>
  <c r="HQ3" i="7" a="1"/>
  <c r="HQ3" i="7" s="1"/>
  <c r="IP3" i="7" s="1"/>
  <c r="HP3" i="7"/>
  <c r="IO3" i="7" s="1"/>
  <c r="HP3" i="7" a="1"/>
  <c r="HL3" i="7"/>
  <c r="HJ3" i="7"/>
  <c r="HI3" i="7"/>
  <c r="HH3" i="7"/>
  <c r="HB3" i="7"/>
  <c r="HA3" i="7"/>
  <c r="GZ3" i="7"/>
  <c r="GY3" i="7"/>
  <c r="GX3" i="7"/>
  <c r="GW3" i="7"/>
  <c r="GV3" i="7"/>
  <c r="GU3" i="7"/>
  <c r="GT3" i="7"/>
  <c r="GP3" i="7"/>
  <c r="GN3" i="7"/>
  <c r="GM3" i="7"/>
  <c r="GL3" i="7"/>
  <c r="GK3" i="7"/>
  <c r="GI3" i="7"/>
  <c r="GH3" i="7"/>
  <c r="GG3" i="7"/>
  <c r="GF3" i="7"/>
  <c r="GE3" i="7"/>
  <c r="GD3" i="7"/>
  <c r="GC3" i="7"/>
  <c r="GB3" i="7"/>
  <c r="GA3" i="7"/>
  <c r="FZ3" i="7"/>
  <c r="FY3" i="7"/>
  <c r="FX3" i="7"/>
  <c r="FW3" i="7"/>
  <c r="FV3" i="7"/>
  <c r="FU3" i="7"/>
  <c r="FT3" i="7"/>
  <c r="FS3" i="7"/>
  <c r="FR3" i="7"/>
  <c r="FQ3" i="7"/>
  <c r="FO3" i="7"/>
  <c r="FJ3" i="7"/>
  <c r="FI3" i="7"/>
  <c r="FL3" i="7" s="1"/>
  <c r="FH3" i="7"/>
  <c r="FG3" i="7"/>
  <c r="FF3" i="7"/>
  <c r="FE3" i="7"/>
  <c r="FD3" i="7"/>
  <c r="FC3" i="7"/>
  <c r="FB3" i="7"/>
  <c r="FA3" i="7"/>
  <c r="EZ3" i="7"/>
  <c r="EY3" i="7"/>
  <c r="EX3" i="7"/>
  <c r="EW3" i="7"/>
  <c r="EV3" i="7"/>
  <c r="EU3" i="7"/>
  <c r="ET3" i="7"/>
  <c r="ES3" i="7"/>
  <c r="ER3" i="7"/>
  <c r="EQ3" i="7"/>
  <c r="EP3" i="7"/>
  <c r="EO3" i="7"/>
  <c r="EN3" i="7"/>
  <c r="EM3" i="7"/>
  <c r="EL3" i="7"/>
  <c r="EK3" i="7"/>
  <c r="EJ3" i="7"/>
  <c r="EI3" i="7"/>
  <c r="EH3" i="7"/>
  <c r="EG3" i="7"/>
  <c r="EF3" i="7"/>
  <c r="EE3" i="7"/>
  <c r="ED3" i="7"/>
  <c r="EC3" i="7"/>
  <c r="EB3" i="7"/>
  <c r="EA3" i="7"/>
  <c r="DX3" i="7"/>
  <c r="DW3" i="7"/>
  <c r="DV3" i="7"/>
  <c r="DU3" i="7"/>
  <c r="DT3" i="7"/>
  <c r="DS3" i="7"/>
  <c r="DR3" i="7"/>
  <c r="DQ3" i="7"/>
  <c r="DP3" i="7"/>
  <c r="DO3" i="7"/>
  <c r="DN3" i="7"/>
  <c r="DK3" i="7"/>
  <c r="DJ3" i="7"/>
  <c r="DI3" i="7"/>
  <c r="DH3" i="7"/>
  <c r="DG3" i="7"/>
  <c r="DF3" i="7"/>
  <c r="DE3" i="7"/>
  <c r="DD3" i="7"/>
  <c r="DC3" i="7"/>
  <c r="DB3" i="7"/>
  <c r="DA3" i="7"/>
  <c r="CV3" i="7"/>
  <c r="CU3" i="7"/>
  <c r="CT3" i="7"/>
  <c r="CS3" i="7"/>
  <c r="CR3" i="7"/>
  <c r="CQ3" i="7"/>
  <c r="CP3" i="7"/>
  <c r="GJ3" i="7" s="1"/>
  <c r="CO3" i="7"/>
  <c r="DZ3" i="7" s="1"/>
  <c r="CN3" i="7"/>
  <c r="DY3" i="7" s="1"/>
  <c r="CM3" i="7"/>
  <c r="CL3" i="7"/>
  <c r="CJ3" i="7"/>
  <c r="CY3" i="7" s="1"/>
  <c r="CI3" i="7"/>
  <c r="CX3" i="7" s="1"/>
  <c r="CH3" i="7"/>
  <c r="CW3" i="7" s="1"/>
  <c r="CG3" i="7" a="1"/>
  <c r="CG3" i="7" s="1"/>
  <c r="AW3" i="7"/>
  <c r="AV3" i="7"/>
  <c r="AX3" i="7" s="1"/>
  <c r="J3" i="7"/>
  <c r="G3" i="7"/>
  <c r="IU4" i="6"/>
  <c r="IP4" i="6"/>
  <c r="IO4" i="6"/>
  <c r="IN4" i="6"/>
  <c r="IX4" i="6" s="1"/>
  <c r="IL4" i="6"/>
  <c r="HX4" i="6"/>
  <c r="IW4" i="6" s="1"/>
  <c r="HX4" i="6" a="1"/>
  <c r="HW4" i="6" a="1"/>
  <c r="HW4" i="6" s="1"/>
  <c r="IV4" i="6" s="1"/>
  <c r="HV4" i="6"/>
  <c r="HV4" i="6" a="1"/>
  <c r="HU4" i="6"/>
  <c r="IT4" i="6" s="1"/>
  <c r="HU4" i="6" a="1"/>
  <c r="HT4" i="6" a="1"/>
  <c r="HT4" i="6" s="1"/>
  <c r="IS4" i="6" s="1"/>
  <c r="HS4" i="6" a="1"/>
  <c r="HS4" i="6" s="1"/>
  <c r="IR4" i="6" s="1"/>
  <c r="HR4" i="6"/>
  <c r="IQ4" i="6" s="1"/>
  <c r="HR4" i="6" a="1"/>
  <c r="HQ4" i="6"/>
  <c r="HQ4" i="6" a="1"/>
  <c r="HP4" i="6"/>
  <c r="HP4" i="6" a="1"/>
  <c r="HL4" i="6"/>
  <c r="HJ4" i="6"/>
  <c r="HH4" i="6"/>
  <c r="HC4" i="6"/>
  <c r="HB4" i="6"/>
  <c r="HA4" i="6"/>
  <c r="GZ4" i="6"/>
  <c r="GY4" i="6"/>
  <c r="GX4" i="6"/>
  <c r="GW4" i="6"/>
  <c r="GV4" i="6"/>
  <c r="GU4" i="6"/>
  <c r="GT4" i="6"/>
  <c r="GP4" i="6"/>
  <c r="GN4" i="6"/>
  <c r="GM4" i="6"/>
  <c r="GL4" i="6"/>
  <c r="GJ4" i="6"/>
  <c r="GK4" i="6" s="1"/>
  <c r="GI4" i="6"/>
  <c r="GH4" i="6"/>
  <c r="GG4" i="6"/>
  <c r="GF4" i="6"/>
  <c r="GE4" i="6"/>
  <c r="GD4" i="6"/>
  <c r="GC4" i="6"/>
  <c r="GB4" i="6"/>
  <c r="GA4" i="6"/>
  <c r="FZ4" i="6"/>
  <c r="FY4" i="6"/>
  <c r="FX4" i="6"/>
  <c r="FW4" i="6"/>
  <c r="FV4" i="6"/>
  <c r="FU4" i="6"/>
  <c r="FT4" i="6"/>
  <c r="FS4" i="6"/>
  <c r="FR4" i="6"/>
  <c r="FQ4" i="6"/>
  <c r="FP4" i="6"/>
  <c r="FO4" i="6"/>
  <c r="FN4" i="6"/>
  <c r="FL4" i="6"/>
  <c r="FJ4" i="6"/>
  <c r="FM4" i="6" s="1"/>
  <c r="FI4" i="6"/>
  <c r="FH4" i="6"/>
  <c r="FG4" i="6"/>
  <c r="FF4" i="6"/>
  <c r="FK4" i="6" s="1"/>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W4" i="6"/>
  <c r="DV4" i="6"/>
  <c r="DU4" i="6"/>
  <c r="DT4" i="6"/>
  <c r="DS4" i="6"/>
  <c r="DR4" i="6"/>
  <c r="DQ4" i="6"/>
  <c r="DP4" i="6"/>
  <c r="DO4" i="6"/>
  <c r="DN4" i="6"/>
  <c r="DL4" i="6"/>
  <c r="DK4" i="6"/>
  <c r="DJ4" i="6"/>
  <c r="DI4" i="6"/>
  <c r="DH4" i="6"/>
  <c r="DG4" i="6"/>
  <c r="DF4" i="6"/>
  <c r="DE4" i="6"/>
  <c r="DD4" i="6"/>
  <c r="DC4" i="6"/>
  <c r="DB4" i="6"/>
  <c r="DA4" i="6"/>
  <c r="CZ4" i="6"/>
  <c r="CW4" i="6"/>
  <c r="CV4" i="6"/>
  <c r="CU4" i="6"/>
  <c r="CT4" i="6"/>
  <c r="CS4" i="6"/>
  <c r="CR4" i="6"/>
  <c r="CQ4" i="6"/>
  <c r="CP4" i="6"/>
  <c r="CO4" i="6"/>
  <c r="CN4" i="6"/>
  <c r="CM4" i="6"/>
  <c r="DX4" i="6" s="1"/>
  <c r="CL4" i="6"/>
  <c r="CK4" i="6"/>
  <c r="CI4" i="6"/>
  <c r="CX4" i="6" s="1"/>
  <c r="CH4" i="6"/>
  <c r="CG4" i="6"/>
  <c r="CG4" i="6" a="1"/>
  <c r="AW4" i="6"/>
  <c r="AX4" i="6" s="1"/>
  <c r="AV4" i="6"/>
  <c r="J4" i="6"/>
  <c r="G4" i="6"/>
  <c r="IW3" i="6"/>
  <c r="IS3" i="6"/>
  <c r="IR3" i="6"/>
  <c r="IL3" i="6"/>
  <c r="HX3" i="6"/>
  <c r="HX3" i="6" a="1"/>
  <c r="HW3" i="6" a="1"/>
  <c r="HW3" i="6" s="1"/>
  <c r="IV3" i="6" s="1"/>
  <c r="HV3" i="6" a="1"/>
  <c r="HV3" i="6" s="1"/>
  <c r="IU3" i="6" s="1"/>
  <c r="HU3" i="6" a="1"/>
  <c r="HU3" i="6" s="1"/>
  <c r="IT3" i="6" s="1"/>
  <c r="HT3" i="6" a="1"/>
  <c r="HT3" i="6" s="1"/>
  <c r="HS3" i="6"/>
  <c r="HS3" i="6" a="1"/>
  <c r="HR3" i="6" a="1"/>
  <c r="HR3" i="6" s="1"/>
  <c r="IQ3" i="6" s="1"/>
  <c r="HQ3" i="6"/>
  <c r="IP3" i="6" s="1"/>
  <c r="HQ3" i="6" a="1"/>
  <c r="HP3" i="6"/>
  <c r="IO3" i="6" s="1"/>
  <c r="HP3" i="6" a="1"/>
  <c r="HL3" i="6"/>
  <c r="HJ3" i="6"/>
  <c r="HI3" i="6"/>
  <c r="HH3" i="6"/>
  <c r="HC3" i="6"/>
  <c r="HB3" i="6"/>
  <c r="HA3" i="6"/>
  <c r="GZ3" i="6"/>
  <c r="GY3" i="6"/>
  <c r="GX3" i="6"/>
  <c r="GW3" i="6"/>
  <c r="GV3" i="6"/>
  <c r="GU3" i="6"/>
  <c r="GT3" i="6"/>
  <c r="GP3" i="6"/>
  <c r="GM3" i="6"/>
  <c r="GL3" i="6"/>
  <c r="GI3" i="6"/>
  <c r="GH3" i="6"/>
  <c r="GG3" i="6"/>
  <c r="GF3" i="6"/>
  <c r="GE3" i="6"/>
  <c r="GD3" i="6"/>
  <c r="GC3" i="6"/>
  <c r="GB3" i="6"/>
  <c r="GA3" i="6"/>
  <c r="FZ3" i="6"/>
  <c r="FY3" i="6"/>
  <c r="FX3" i="6"/>
  <c r="FW3" i="6"/>
  <c r="FV3" i="6"/>
  <c r="FU3" i="6"/>
  <c r="FT3" i="6"/>
  <c r="FS3" i="6"/>
  <c r="FR3" i="6"/>
  <c r="FQ3" i="6"/>
  <c r="FP3" i="6"/>
  <c r="FO3" i="6"/>
  <c r="FN3" i="6"/>
  <c r="FM3" i="6"/>
  <c r="FL3" i="6"/>
  <c r="FK3" i="6"/>
  <c r="FJ3" i="6"/>
  <c r="FI3" i="6"/>
  <c r="FH3" i="6"/>
  <c r="FG3" i="6"/>
  <c r="FF3" i="6"/>
  <c r="FE3" i="6"/>
  <c r="FD3" i="6"/>
  <c r="FC3" i="6"/>
  <c r="FB3" i="6"/>
  <c r="FA3" i="6"/>
  <c r="EZ3" i="6"/>
  <c r="EY3" i="6"/>
  <c r="EX3" i="6"/>
  <c r="EW3" i="6"/>
  <c r="EV3" i="6"/>
  <c r="EU3" i="6"/>
  <c r="ET3" i="6"/>
  <c r="ES3" i="6"/>
  <c r="ER3" i="6"/>
  <c r="EQ3" i="6"/>
  <c r="EP3" i="6"/>
  <c r="EO3" i="6"/>
  <c r="EN3" i="6"/>
  <c r="EM3" i="6"/>
  <c r="EL3" i="6"/>
  <c r="EK3" i="6"/>
  <c r="EJ3" i="6"/>
  <c r="EI3" i="6"/>
  <c r="EH3" i="6"/>
  <c r="EG3" i="6"/>
  <c r="EF3" i="6"/>
  <c r="EE3" i="6"/>
  <c r="ED3" i="6"/>
  <c r="EC3" i="6"/>
  <c r="EB3" i="6"/>
  <c r="EA3" i="6"/>
  <c r="DY3" i="6"/>
  <c r="DV3" i="6"/>
  <c r="DU3" i="6"/>
  <c r="DT3" i="6"/>
  <c r="DS3" i="6"/>
  <c r="DR3" i="6"/>
  <c r="DQ3" i="6"/>
  <c r="DP3" i="6"/>
  <c r="DO3" i="6"/>
  <c r="DN3" i="6"/>
  <c r="DM3" i="6"/>
  <c r="DM3" i="6" a="1"/>
  <c r="DK3" i="6"/>
  <c r="DJ3" i="6"/>
  <c r="DI3" i="6"/>
  <c r="DH3" i="6"/>
  <c r="DG3" i="6"/>
  <c r="DF3" i="6"/>
  <c r="DE3" i="6"/>
  <c r="DD3" i="6"/>
  <c r="DC3" i="6"/>
  <c r="DB3" i="6"/>
  <c r="DA3" i="6"/>
  <c r="CV3" i="6"/>
  <c r="CU3" i="6"/>
  <c r="CT3" i="6"/>
  <c r="CS3" i="6"/>
  <c r="GN3" i="6" s="1"/>
  <c r="CR3" i="6"/>
  <c r="CQ3" i="6"/>
  <c r="CP3" i="6"/>
  <c r="GJ3" i="6" s="1"/>
  <c r="GK3" i="6" s="1"/>
  <c r="CO3" i="6"/>
  <c r="DZ3" i="6" s="1"/>
  <c r="CN3" i="6"/>
  <c r="CM3" i="6"/>
  <c r="DX3" i="6" s="1"/>
  <c r="CL3" i="6"/>
  <c r="DW3" i="6" s="1"/>
  <c r="CK3" i="6"/>
  <c r="CZ3" i="6" s="1"/>
  <c r="CG3" i="6" a="1"/>
  <c r="CG3" i="6" s="1"/>
  <c r="AW3" i="6"/>
  <c r="AV3" i="6"/>
  <c r="J3" i="6"/>
  <c r="G3" i="6"/>
  <c r="IV13" i="5"/>
  <c r="IS13" i="5"/>
  <c r="IO13" i="5"/>
  <c r="IL13" i="5"/>
  <c r="HX13" i="5" a="1"/>
  <c r="HX13" i="5" s="1"/>
  <c r="IW13" i="5" s="1"/>
  <c r="HW13" i="5" a="1"/>
  <c r="HW13" i="5" s="1"/>
  <c r="HV13" i="5"/>
  <c r="IU13" i="5" s="1"/>
  <c r="HV13" i="5" a="1"/>
  <c r="HU13" i="5"/>
  <c r="IT13" i="5" s="1"/>
  <c r="HU13" i="5" a="1"/>
  <c r="HT13" i="5" a="1"/>
  <c r="HT13" i="5" s="1"/>
  <c r="HS13" i="5" a="1"/>
  <c r="HS13" i="5" s="1"/>
  <c r="IR13" i="5" s="1"/>
  <c r="HR13" i="5" a="1"/>
  <c r="HR13" i="5" s="1"/>
  <c r="IQ13" i="5" s="1"/>
  <c r="HQ13" i="5"/>
  <c r="IP13" i="5" s="1"/>
  <c r="HQ13" i="5" a="1"/>
  <c r="HP13" i="5"/>
  <c r="HP13" i="5" a="1"/>
  <c r="HL13" i="5"/>
  <c r="HJ13" i="5"/>
  <c r="HH13" i="5"/>
  <c r="HC13" i="5"/>
  <c r="HB13" i="5"/>
  <c r="HA13" i="5"/>
  <c r="GZ13" i="5"/>
  <c r="GY13" i="5"/>
  <c r="GX13" i="5"/>
  <c r="GW13" i="5"/>
  <c r="GV13" i="5"/>
  <c r="GU13" i="5"/>
  <c r="GT13" i="5"/>
  <c r="GP13" i="5"/>
  <c r="GM13" i="5"/>
  <c r="GL13" i="5"/>
  <c r="GI13" i="5"/>
  <c r="GH13" i="5"/>
  <c r="GG13" i="5"/>
  <c r="GF13" i="5"/>
  <c r="GE13" i="5"/>
  <c r="GD13" i="5"/>
  <c r="GC13" i="5"/>
  <c r="GB13" i="5"/>
  <c r="GA13" i="5"/>
  <c r="FZ13" i="5"/>
  <c r="FY13" i="5"/>
  <c r="FX13" i="5"/>
  <c r="FW13" i="5"/>
  <c r="FV13" i="5"/>
  <c r="FU13" i="5"/>
  <c r="FT13" i="5"/>
  <c r="FS13" i="5"/>
  <c r="FR13" i="5"/>
  <c r="FQ13" i="5"/>
  <c r="FP13" i="5"/>
  <c r="FO13" i="5"/>
  <c r="FJ13" i="5"/>
  <c r="FI13" i="5"/>
  <c r="FH13" i="5"/>
  <c r="FG13" i="5"/>
  <c r="FF13" i="5"/>
  <c r="FL13" i="5" s="1"/>
  <c r="FE13" i="5"/>
  <c r="FN13" i="5" s="1"/>
  <c r="FD13" i="5"/>
  <c r="FC13" i="5"/>
  <c r="FB13" i="5"/>
  <c r="FA13" i="5"/>
  <c r="EZ13" i="5"/>
  <c r="EY13" i="5"/>
  <c r="EX13" i="5"/>
  <c r="EW13" i="5"/>
  <c r="EV13" i="5"/>
  <c r="EU13" i="5"/>
  <c r="ET13" i="5"/>
  <c r="ES13" i="5"/>
  <c r="ER13" i="5"/>
  <c r="EQ13" i="5"/>
  <c r="EP13" i="5"/>
  <c r="EO13" i="5"/>
  <c r="EN13" i="5"/>
  <c r="EM13" i="5"/>
  <c r="EL13" i="5"/>
  <c r="EK13" i="5"/>
  <c r="EJ13" i="5"/>
  <c r="EI13" i="5"/>
  <c r="EH13" i="5"/>
  <c r="EG13" i="5"/>
  <c r="EF13" i="5"/>
  <c r="EE13" i="5"/>
  <c r="ED13" i="5"/>
  <c r="EC13" i="5"/>
  <c r="EB13" i="5"/>
  <c r="EA13" i="5"/>
  <c r="DZ13" i="5"/>
  <c r="DV13" i="5"/>
  <c r="DU13" i="5"/>
  <c r="DT13" i="5"/>
  <c r="DS13" i="5"/>
  <c r="DR13" i="5"/>
  <c r="DQ13" i="5"/>
  <c r="DP13" i="5"/>
  <c r="DO13" i="5"/>
  <c r="DN13" i="5"/>
  <c r="DK13" i="5"/>
  <c r="DJ13" i="5"/>
  <c r="DI13" i="5"/>
  <c r="DH13" i="5"/>
  <c r="DG13" i="5"/>
  <c r="DF13" i="5"/>
  <c r="DE13" i="5"/>
  <c r="DD13" i="5"/>
  <c r="DC13" i="5"/>
  <c r="DB13" i="5"/>
  <c r="DA13" i="5"/>
  <c r="CV13" i="5"/>
  <c r="CU13" i="5"/>
  <c r="CT13" i="5"/>
  <c r="CS13" i="5"/>
  <c r="GN13" i="5" s="1"/>
  <c r="CR13" i="5"/>
  <c r="CQ13" i="5"/>
  <c r="CP13" i="5"/>
  <c r="GJ13" i="5" s="1"/>
  <c r="GK13" i="5" s="1"/>
  <c r="CO13" i="5"/>
  <c r="CN13" i="5"/>
  <c r="DY13" i="5" s="1"/>
  <c r="CM13" i="5"/>
  <c r="DX13" i="5" s="1"/>
  <c r="CL13" i="5"/>
  <c r="DW13" i="5" s="1"/>
  <c r="CI13" i="5"/>
  <c r="CX13" i="5" s="1"/>
  <c r="CH13" i="5"/>
  <c r="CW13" i="5" s="1"/>
  <c r="CG13" i="5"/>
  <c r="CG13" i="5" a="1"/>
  <c r="AW13" i="5"/>
  <c r="AX13" i="5" s="1"/>
  <c r="AV13" i="5"/>
  <c r="J13" i="5"/>
  <c r="G13" i="5"/>
  <c r="IT12" i="5"/>
  <c r="IS12" i="5"/>
  <c r="HX12" i="5" a="1"/>
  <c r="HX12" i="5" s="1"/>
  <c r="IW12" i="5" s="1"/>
  <c r="HW12" i="5"/>
  <c r="IV12" i="5" s="1"/>
  <c r="HW12" i="5" a="1"/>
  <c r="HV12" i="5"/>
  <c r="IU12" i="5" s="1"/>
  <c r="HV12" i="5" a="1"/>
  <c r="HU12" i="5" a="1"/>
  <c r="HU12" i="5" s="1"/>
  <c r="HT12" i="5"/>
  <c r="HT12" i="5" a="1"/>
  <c r="HS12" i="5" a="1"/>
  <c r="HS12" i="5" s="1"/>
  <c r="IR12" i="5" s="1"/>
  <c r="HR12" i="5"/>
  <c r="IQ12" i="5" s="1"/>
  <c r="HR12" i="5" a="1"/>
  <c r="HQ12" i="5"/>
  <c r="IP12" i="5" s="1"/>
  <c r="HQ12" i="5" a="1"/>
  <c r="HP12" i="5"/>
  <c r="IO12" i="5" s="1"/>
  <c r="HP12" i="5" a="1"/>
  <c r="HL12" i="5"/>
  <c r="HJ12" i="5"/>
  <c r="HI12" i="5"/>
  <c r="HH12" i="5"/>
  <c r="HB12" i="5"/>
  <c r="HA12" i="5"/>
  <c r="GZ12" i="5"/>
  <c r="GY12" i="5"/>
  <c r="GX12" i="5"/>
  <c r="GW12" i="5"/>
  <c r="GV12" i="5"/>
  <c r="GU12" i="5"/>
  <c r="GT12" i="5"/>
  <c r="GP12" i="5"/>
  <c r="GK12" i="5"/>
  <c r="GI12" i="5"/>
  <c r="GH12" i="5"/>
  <c r="GG12" i="5"/>
  <c r="GF12" i="5"/>
  <c r="GE12" i="5"/>
  <c r="GB12" i="5"/>
  <c r="GA12" i="5"/>
  <c r="FZ12" i="5"/>
  <c r="FY12" i="5"/>
  <c r="FW12" i="5"/>
  <c r="FV12" i="5"/>
  <c r="FU12" i="5"/>
  <c r="FT12" i="5"/>
  <c r="FS12" i="5"/>
  <c r="FR12" i="5"/>
  <c r="FQ12" i="5"/>
  <c r="FP12" i="5"/>
  <c r="FN12" i="5"/>
  <c r="FL12" i="5"/>
  <c r="FJ12" i="5"/>
  <c r="FM12" i="5" s="1"/>
  <c r="FI12" i="5"/>
  <c r="FH12" i="5"/>
  <c r="FK12" i="5" s="1"/>
  <c r="FG12" i="5"/>
  <c r="FF12" i="5"/>
  <c r="FE12" i="5"/>
  <c r="FD12" i="5"/>
  <c r="FB12" i="5"/>
  <c r="FA12" i="5"/>
  <c r="EZ12" i="5"/>
  <c r="EY12" i="5"/>
  <c r="EX12" i="5"/>
  <c r="EW12" i="5"/>
  <c r="EV12" i="5"/>
  <c r="EU12" i="5"/>
  <c r="ET12" i="5"/>
  <c r="ES12" i="5"/>
  <c r="ER12" i="5"/>
  <c r="EQ12" i="5"/>
  <c r="EP12" i="5"/>
  <c r="EO12" i="5"/>
  <c r="EN12" i="5"/>
  <c r="EM12" i="5"/>
  <c r="EL12" i="5"/>
  <c r="EK12" i="5"/>
  <c r="EJ12" i="5"/>
  <c r="EI12" i="5"/>
  <c r="EH12" i="5"/>
  <c r="EG12" i="5"/>
  <c r="EF12" i="5"/>
  <c r="EE12" i="5"/>
  <c r="ED12" i="5"/>
  <c r="EC12" i="5"/>
  <c r="EB12" i="5"/>
  <c r="EA12" i="5"/>
  <c r="DZ12" i="5"/>
  <c r="DY12" i="5"/>
  <c r="DW12" i="5"/>
  <c r="DU12" i="5"/>
  <c r="DT12" i="5"/>
  <c r="DS12" i="5"/>
  <c r="DR12" i="5"/>
  <c r="DQ12" i="5"/>
  <c r="DP12" i="5"/>
  <c r="DO12" i="5"/>
  <c r="DN12" i="5"/>
  <c r="DK12" i="5"/>
  <c r="DJ12" i="5"/>
  <c r="DI12" i="5"/>
  <c r="DH12" i="5"/>
  <c r="DG12" i="5"/>
  <c r="DF12" i="5"/>
  <c r="DE12" i="5"/>
  <c r="DD12" i="5"/>
  <c r="DB12" i="5"/>
  <c r="DA12" i="5"/>
  <c r="CV12" i="5"/>
  <c r="CU12" i="5"/>
  <c r="CT12" i="5"/>
  <c r="CS12" i="5"/>
  <c r="GN12" i="5" s="1"/>
  <c r="CR12" i="5"/>
  <c r="GM12" i="5" s="1"/>
  <c r="CQ12" i="5"/>
  <c r="GL12" i="5" s="1"/>
  <c r="CP12" i="5"/>
  <c r="GJ12" i="5" s="1"/>
  <c r="CO12" i="5"/>
  <c r="CN12" i="5"/>
  <c r="CM12" i="5"/>
  <c r="DX12" i="5" s="1"/>
  <c r="CL12" i="5"/>
  <c r="CG12" i="5" a="1"/>
  <c r="CG12" i="5" s="1"/>
  <c r="AW12" i="5"/>
  <c r="AV12" i="5"/>
  <c r="J12" i="5"/>
  <c r="G12" i="5"/>
  <c r="IW11" i="5"/>
  <c r="IR11" i="5"/>
  <c r="IQ11" i="5"/>
  <c r="IP11" i="5"/>
  <c r="IO11" i="5"/>
  <c r="HX11" i="5" a="1"/>
  <c r="HX11" i="5" s="1"/>
  <c r="HW11" i="5"/>
  <c r="IV11" i="5" s="1"/>
  <c r="HW11" i="5" a="1"/>
  <c r="HV11" i="5" a="1"/>
  <c r="HV11" i="5" s="1"/>
  <c r="IU11" i="5" s="1"/>
  <c r="HU11" i="5"/>
  <c r="IT11" i="5" s="1"/>
  <c r="HU11" i="5" a="1"/>
  <c r="HT11" i="5" a="1"/>
  <c r="HT11" i="5" s="1"/>
  <c r="IS11" i="5" s="1"/>
  <c r="HS11" i="5"/>
  <c r="HS11" i="5" a="1"/>
  <c r="HR11" i="5" a="1"/>
  <c r="HR11" i="5" s="1"/>
  <c r="HQ11" i="5"/>
  <c r="HQ11" i="5" a="1"/>
  <c r="HP11" i="5"/>
  <c r="HP11" i="5" a="1"/>
  <c r="HL11" i="5"/>
  <c r="HJ11" i="5"/>
  <c r="HI11" i="5"/>
  <c r="HH11" i="5"/>
  <c r="HB11" i="5"/>
  <c r="HA11" i="5"/>
  <c r="GZ11" i="5"/>
  <c r="GY11" i="5"/>
  <c r="GX11" i="5"/>
  <c r="GW11" i="5"/>
  <c r="GV11" i="5"/>
  <c r="GU11" i="5"/>
  <c r="GT11" i="5"/>
  <c r="GP11" i="5"/>
  <c r="GN11" i="5"/>
  <c r="GL11" i="5"/>
  <c r="GJ11" i="5"/>
  <c r="GK11" i="5" s="1"/>
  <c r="GI11" i="5"/>
  <c r="GH11" i="5"/>
  <c r="GG11" i="5"/>
  <c r="GF11" i="5"/>
  <c r="GE11" i="5"/>
  <c r="GB11" i="5"/>
  <c r="GA11" i="5"/>
  <c r="FZ11" i="5"/>
  <c r="FY11" i="5"/>
  <c r="FW11" i="5"/>
  <c r="FV11" i="5"/>
  <c r="FU11" i="5"/>
  <c r="FT11" i="5"/>
  <c r="FS11" i="5"/>
  <c r="FR11" i="5"/>
  <c r="FQ11" i="5"/>
  <c r="FM11" i="5"/>
  <c r="FK11" i="5"/>
  <c r="FJ11" i="5"/>
  <c r="FI11" i="5"/>
  <c r="FL11" i="5" s="1"/>
  <c r="FH11" i="5"/>
  <c r="FG11" i="5"/>
  <c r="FF11" i="5"/>
  <c r="FE11" i="5"/>
  <c r="FD11" i="5"/>
  <c r="FB11" i="5"/>
  <c r="FA11" i="5"/>
  <c r="EZ11" i="5"/>
  <c r="EY11" i="5"/>
  <c r="EX11" i="5"/>
  <c r="EW11" i="5"/>
  <c r="EV11" i="5"/>
  <c r="EU11" i="5"/>
  <c r="ET11" i="5"/>
  <c r="ES11" i="5"/>
  <c r="ER11" i="5"/>
  <c r="EQ11" i="5"/>
  <c r="EP11" i="5"/>
  <c r="EO11" i="5"/>
  <c r="EN11" i="5"/>
  <c r="EM11" i="5"/>
  <c r="EL11" i="5"/>
  <c r="EK11" i="5"/>
  <c r="EJ11" i="5"/>
  <c r="EI11" i="5"/>
  <c r="EH11" i="5"/>
  <c r="EG11" i="5"/>
  <c r="EF11" i="5"/>
  <c r="EE11" i="5"/>
  <c r="ED11" i="5"/>
  <c r="EC11" i="5"/>
  <c r="EB11" i="5"/>
  <c r="EA11" i="5"/>
  <c r="DZ11" i="5"/>
  <c r="DU11" i="5"/>
  <c r="DT11" i="5"/>
  <c r="DS11" i="5"/>
  <c r="DR11" i="5"/>
  <c r="DQ11" i="5"/>
  <c r="DP11" i="5"/>
  <c r="DO11" i="5"/>
  <c r="DN11" i="5"/>
  <c r="DM11" i="5" a="1"/>
  <c r="DM11" i="5" s="1"/>
  <c r="DL11" i="5"/>
  <c r="DK11" i="5"/>
  <c r="DJ11" i="5"/>
  <c r="DI11" i="5"/>
  <c r="DH11" i="5"/>
  <c r="DG11" i="5"/>
  <c r="DF11" i="5"/>
  <c r="DE11" i="5"/>
  <c r="DD11" i="5"/>
  <c r="DB11" i="5"/>
  <c r="DA11" i="5"/>
  <c r="CZ11" i="5"/>
  <c r="CY11" i="5"/>
  <c r="CW11" i="5"/>
  <c r="CV11" i="5"/>
  <c r="CU11" i="5"/>
  <c r="CT11" i="5"/>
  <c r="CS11" i="5"/>
  <c r="CR11" i="5"/>
  <c r="GM11" i="5" s="1"/>
  <c r="CQ11" i="5"/>
  <c r="CP11" i="5"/>
  <c r="CO11" i="5"/>
  <c r="CN11" i="5"/>
  <c r="DY11" i="5" s="1"/>
  <c r="CM11" i="5"/>
  <c r="DX11" i="5" s="1"/>
  <c r="CL11" i="5"/>
  <c r="DW11" i="5" s="1"/>
  <c r="CK11" i="5"/>
  <c r="CJ11" i="5"/>
  <c r="CH11" i="5"/>
  <c r="CG11" i="5" a="1"/>
  <c r="CG11" i="5" s="1"/>
  <c r="CI11" i="5" s="1"/>
  <c r="CX11" i="5" s="1"/>
  <c r="AW11" i="5"/>
  <c r="AV11" i="5"/>
  <c r="J11" i="5"/>
  <c r="G11" i="5"/>
  <c r="IW10" i="5"/>
  <c r="IU10" i="5"/>
  <c r="IT10" i="5"/>
  <c r="IN10" i="5"/>
  <c r="IX10" i="5" s="1"/>
  <c r="IM10" i="5"/>
  <c r="HX10" i="5" a="1"/>
  <c r="HX10" i="5" s="1"/>
  <c r="HW10" i="5" a="1"/>
  <c r="HW10" i="5" s="1"/>
  <c r="IV10" i="5" s="1"/>
  <c r="HV10" i="5" a="1"/>
  <c r="HV10" i="5" s="1"/>
  <c r="HU10" i="5" a="1"/>
  <c r="HU10" i="5" s="1"/>
  <c r="HT10" i="5"/>
  <c r="IS10" i="5" s="1"/>
  <c r="HT10" i="5" a="1"/>
  <c r="HS10" i="5" a="1"/>
  <c r="HS10" i="5" s="1"/>
  <c r="IR10" i="5" s="1"/>
  <c r="HR10" i="5"/>
  <c r="IQ10" i="5" s="1"/>
  <c r="HR10" i="5" a="1"/>
  <c r="HQ10" i="5" a="1"/>
  <c r="HQ10" i="5" s="1"/>
  <c r="IP10" i="5" s="1"/>
  <c r="HP10" i="5"/>
  <c r="IO10" i="5" s="1"/>
  <c r="HP10" i="5" a="1"/>
  <c r="HL10" i="5"/>
  <c r="HJ10" i="5"/>
  <c r="HH10" i="5"/>
  <c r="HB10" i="5"/>
  <c r="HA10" i="5"/>
  <c r="HC10" i="5" s="1"/>
  <c r="GZ10" i="5"/>
  <c r="GY10" i="5"/>
  <c r="GX10" i="5"/>
  <c r="GW10" i="5"/>
  <c r="GV10" i="5"/>
  <c r="GU10" i="5"/>
  <c r="GT10" i="5"/>
  <c r="GP10" i="5"/>
  <c r="GN10" i="5"/>
  <c r="GM10" i="5"/>
  <c r="GI10" i="5"/>
  <c r="GH10" i="5"/>
  <c r="GG10" i="5"/>
  <c r="GF10" i="5"/>
  <c r="GE10" i="5"/>
  <c r="GB10" i="5"/>
  <c r="GA10" i="5"/>
  <c r="FZ10" i="5"/>
  <c r="FY10" i="5"/>
  <c r="FW10" i="5"/>
  <c r="FV10" i="5"/>
  <c r="FU10" i="5"/>
  <c r="FT10" i="5"/>
  <c r="FS10" i="5"/>
  <c r="FR10" i="5"/>
  <c r="FQ10" i="5"/>
  <c r="FP10" i="5"/>
  <c r="FO10" i="5"/>
  <c r="FN10" i="5"/>
  <c r="FL10" i="5"/>
  <c r="FK10" i="5"/>
  <c r="FJ10" i="5"/>
  <c r="FM10" i="5" s="1"/>
  <c r="FI10" i="5"/>
  <c r="FH10" i="5"/>
  <c r="FG10" i="5"/>
  <c r="FF10" i="5"/>
  <c r="FE10" i="5"/>
  <c r="FD10" i="5"/>
  <c r="FB10" i="5"/>
  <c r="FA10" i="5"/>
  <c r="EZ10" i="5"/>
  <c r="EY10" i="5"/>
  <c r="EX10" i="5"/>
  <c r="EW10" i="5"/>
  <c r="EV10" i="5"/>
  <c r="EU10" i="5"/>
  <c r="ET10" i="5"/>
  <c r="ES10" i="5"/>
  <c r="ER10" i="5"/>
  <c r="EQ10" i="5"/>
  <c r="EP10" i="5"/>
  <c r="EO10" i="5"/>
  <c r="EN10" i="5"/>
  <c r="EM10" i="5"/>
  <c r="EL10" i="5"/>
  <c r="EK10" i="5"/>
  <c r="EJ10" i="5"/>
  <c r="EI10" i="5"/>
  <c r="EH10" i="5"/>
  <c r="EG10" i="5"/>
  <c r="EF10" i="5"/>
  <c r="EE10" i="5"/>
  <c r="ED10" i="5"/>
  <c r="EC10" i="5"/>
  <c r="EB10" i="5"/>
  <c r="EA10" i="5"/>
  <c r="DY10" i="5"/>
  <c r="DW10" i="5"/>
  <c r="DU10" i="5"/>
  <c r="DT10" i="5"/>
  <c r="DS10" i="5"/>
  <c r="DR10" i="5"/>
  <c r="DQ10" i="5"/>
  <c r="DP10" i="5"/>
  <c r="DO10" i="5"/>
  <c r="DN10" i="5"/>
  <c r="DK10" i="5"/>
  <c r="DJ10" i="5"/>
  <c r="DI10" i="5"/>
  <c r="DH10" i="5"/>
  <c r="DG10" i="5"/>
  <c r="DF10" i="5"/>
  <c r="DE10" i="5"/>
  <c r="DD10" i="5"/>
  <c r="DB10" i="5"/>
  <c r="DA10" i="5"/>
  <c r="CV10" i="5"/>
  <c r="CU10" i="5"/>
  <c r="CT10" i="5"/>
  <c r="CS10" i="5"/>
  <c r="CR10" i="5"/>
  <c r="CQ10" i="5"/>
  <c r="GL10" i="5" s="1"/>
  <c r="CP10" i="5"/>
  <c r="GJ10" i="5" s="1"/>
  <c r="GK10" i="5" s="1"/>
  <c r="CO10" i="5"/>
  <c r="DZ10" i="5" s="1"/>
  <c r="CN10" i="5"/>
  <c r="CM10" i="5"/>
  <c r="DX10" i="5" s="1"/>
  <c r="CL10" i="5"/>
  <c r="CK10" i="5"/>
  <c r="CZ10" i="5" s="1"/>
  <c r="CG10" i="5"/>
  <c r="CG10" i="5" a="1"/>
  <c r="AW10" i="5"/>
  <c r="AV10" i="5"/>
  <c r="J10" i="5"/>
  <c r="HI10" i="5" s="1"/>
  <c r="G10" i="5"/>
  <c r="IR9" i="5"/>
  <c r="IM9" i="5"/>
  <c r="IL9" i="5"/>
  <c r="HX9" i="5"/>
  <c r="IW9" i="5" s="1"/>
  <c r="HX9" i="5" a="1"/>
  <c r="HW9" i="5" a="1"/>
  <c r="HW9" i="5" s="1"/>
  <c r="IV9" i="5" s="1"/>
  <c r="HV9" i="5" a="1"/>
  <c r="HV9" i="5" s="1"/>
  <c r="IU9" i="5" s="1"/>
  <c r="HU9" i="5"/>
  <c r="IT9" i="5" s="1"/>
  <c r="HU9" i="5" a="1"/>
  <c r="HT9" i="5"/>
  <c r="IS9" i="5" s="1"/>
  <c r="HT9" i="5" a="1"/>
  <c r="HS9" i="5"/>
  <c r="HS9" i="5" a="1"/>
  <c r="HR9" i="5" a="1"/>
  <c r="HR9" i="5" s="1"/>
  <c r="IQ9" i="5" s="1"/>
  <c r="HQ9" i="5" a="1"/>
  <c r="HQ9" i="5" s="1"/>
  <c r="IP9" i="5" s="1"/>
  <c r="HP9" i="5" a="1"/>
  <c r="HP9" i="5" s="1"/>
  <c r="IO9" i="5" s="1"/>
  <c r="HL9" i="5"/>
  <c r="HJ9" i="5"/>
  <c r="HI9" i="5"/>
  <c r="HH9" i="5"/>
  <c r="HB9" i="5"/>
  <c r="HA9" i="5"/>
  <c r="GZ9" i="5"/>
  <c r="GY9" i="5"/>
  <c r="GX9" i="5"/>
  <c r="GW9" i="5"/>
  <c r="GV9" i="5"/>
  <c r="GU9" i="5"/>
  <c r="GT9" i="5"/>
  <c r="GP9" i="5"/>
  <c r="GL9" i="5"/>
  <c r="GJ9" i="5"/>
  <c r="GK9" i="5" s="1"/>
  <c r="GI9" i="5"/>
  <c r="GH9" i="5"/>
  <c r="GG9" i="5"/>
  <c r="GF9" i="5"/>
  <c r="GE9" i="5"/>
  <c r="GD9" i="5"/>
  <c r="GC9" i="5"/>
  <c r="GB9" i="5"/>
  <c r="GA9" i="5"/>
  <c r="FZ9" i="5"/>
  <c r="FY9" i="5"/>
  <c r="FX9" i="5"/>
  <c r="FW9" i="5"/>
  <c r="FV9" i="5"/>
  <c r="FU9" i="5"/>
  <c r="FT9" i="5"/>
  <c r="FS9" i="5"/>
  <c r="FR9" i="5"/>
  <c r="FQ9" i="5"/>
  <c r="FM9" i="5"/>
  <c r="FJ9" i="5"/>
  <c r="FI9" i="5"/>
  <c r="FL9" i="5" s="1"/>
  <c r="FH9" i="5"/>
  <c r="FK9" i="5" s="1"/>
  <c r="FG9" i="5"/>
  <c r="FF9" i="5"/>
  <c r="FP9" i="5" s="1"/>
  <c r="FE9" i="5"/>
  <c r="FD9" i="5"/>
  <c r="FC9" i="5"/>
  <c r="FB9" i="5"/>
  <c r="FA9" i="5"/>
  <c r="EZ9" i="5"/>
  <c r="EY9" i="5"/>
  <c r="EX9" i="5"/>
  <c r="EW9" i="5"/>
  <c r="EV9" i="5"/>
  <c r="EU9" i="5"/>
  <c r="ET9" i="5"/>
  <c r="ES9" i="5"/>
  <c r="ER9" i="5"/>
  <c r="EQ9" i="5"/>
  <c r="EP9" i="5"/>
  <c r="EO9" i="5"/>
  <c r="EN9" i="5"/>
  <c r="EM9" i="5"/>
  <c r="EL9" i="5"/>
  <c r="EK9" i="5"/>
  <c r="EJ9" i="5"/>
  <c r="EI9" i="5"/>
  <c r="EH9" i="5"/>
  <c r="EG9" i="5"/>
  <c r="EF9" i="5"/>
  <c r="EE9" i="5"/>
  <c r="ED9" i="5"/>
  <c r="EC9" i="5"/>
  <c r="EB9" i="5"/>
  <c r="EA9" i="5"/>
  <c r="DY9" i="5"/>
  <c r="DX9" i="5"/>
  <c r="DV9" i="5"/>
  <c r="DU9" i="5"/>
  <c r="DT9" i="5"/>
  <c r="DS9" i="5"/>
  <c r="DR9" i="5"/>
  <c r="DQ9" i="5"/>
  <c r="DP9" i="5"/>
  <c r="DO9" i="5"/>
  <c r="DN9" i="5"/>
  <c r="DM9" i="5" a="1"/>
  <c r="DM9" i="5" s="1"/>
  <c r="DK9" i="5"/>
  <c r="DJ9" i="5"/>
  <c r="DI9" i="5"/>
  <c r="DH9" i="5"/>
  <c r="DG9" i="5"/>
  <c r="DF9" i="5"/>
  <c r="DE9" i="5"/>
  <c r="DD9" i="5"/>
  <c r="DC9" i="5"/>
  <c r="DB9" i="5"/>
  <c r="DA9" i="5"/>
  <c r="CV9" i="5"/>
  <c r="CU9" i="5"/>
  <c r="CT9" i="5"/>
  <c r="CS9" i="5"/>
  <c r="GN9" i="5" s="1"/>
  <c r="CR9" i="5"/>
  <c r="GM9" i="5" s="1"/>
  <c r="CQ9" i="5"/>
  <c r="CP9" i="5"/>
  <c r="CO9" i="5"/>
  <c r="DZ9" i="5" s="1"/>
  <c r="CN9" i="5"/>
  <c r="CM9" i="5"/>
  <c r="CL9" i="5"/>
  <c r="DW9" i="5" s="1"/>
  <c r="CJ9" i="5"/>
  <c r="CY9" i="5" s="1"/>
  <c r="CH9" i="5"/>
  <c r="CW9" i="5" s="1"/>
  <c r="CG9" i="5"/>
  <c r="CG9" i="5" a="1"/>
  <c r="AX9" i="5"/>
  <c r="AW9" i="5"/>
  <c r="AV9" i="5"/>
  <c r="J9" i="5"/>
  <c r="G9" i="5"/>
  <c r="IU8" i="5"/>
  <c r="IS8" i="5"/>
  <c r="IL8" i="5"/>
  <c r="HX8" i="5" a="1"/>
  <c r="HX8" i="5" s="1"/>
  <c r="IW8" i="5" s="1"/>
  <c r="HW8" i="5"/>
  <c r="IV8" i="5" s="1"/>
  <c r="HW8" i="5" a="1"/>
  <c r="HV8" i="5"/>
  <c r="HV8" i="5" a="1"/>
  <c r="HU8" i="5" a="1"/>
  <c r="HU8" i="5" s="1"/>
  <c r="IT8" i="5" s="1"/>
  <c r="HT8" i="5" a="1"/>
  <c r="HT8" i="5" s="1"/>
  <c r="HS8" i="5" a="1"/>
  <c r="HS8" i="5" s="1"/>
  <c r="IR8" i="5" s="1"/>
  <c r="HR8" i="5" a="1"/>
  <c r="HR8" i="5" s="1"/>
  <c r="IQ8" i="5" s="1"/>
  <c r="HQ8" i="5"/>
  <c r="IP8" i="5" s="1"/>
  <c r="HQ8" i="5" a="1"/>
  <c r="HP8" i="5" a="1"/>
  <c r="HP8" i="5" s="1"/>
  <c r="IO8" i="5" s="1"/>
  <c r="HL8" i="5"/>
  <c r="HJ8" i="5"/>
  <c r="HH8" i="5"/>
  <c r="HI8" i="5" s="1"/>
  <c r="HB8" i="5"/>
  <c r="HA8" i="5"/>
  <c r="GZ8" i="5"/>
  <c r="GY8" i="5"/>
  <c r="GX8" i="5"/>
  <c r="GW8" i="5"/>
  <c r="GV8" i="5"/>
  <c r="GU8" i="5"/>
  <c r="GT8" i="5"/>
  <c r="GP8" i="5"/>
  <c r="GL8" i="5"/>
  <c r="GI8" i="5"/>
  <c r="GH8" i="5"/>
  <c r="GG8" i="5"/>
  <c r="GF8" i="5"/>
  <c r="GE8" i="5"/>
  <c r="GD8" i="5"/>
  <c r="GC8" i="5"/>
  <c r="GB8" i="5"/>
  <c r="GA8" i="5"/>
  <c r="FZ8" i="5"/>
  <c r="FY8" i="5"/>
  <c r="FX8" i="5"/>
  <c r="FW8" i="5"/>
  <c r="FV8" i="5"/>
  <c r="FU8" i="5"/>
  <c r="FT8" i="5"/>
  <c r="FS8" i="5"/>
  <c r="FR8" i="5"/>
  <c r="FQ8" i="5"/>
  <c r="FJ8" i="5"/>
  <c r="FI8" i="5"/>
  <c r="FH8" i="5"/>
  <c r="FG8" i="5"/>
  <c r="FF8" i="5"/>
  <c r="FE8" i="5"/>
  <c r="FD8" i="5"/>
  <c r="FC8" i="5"/>
  <c r="FB8" i="5"/>
  <c r="FA8" i="5"/>
  <c r="EZ8" i="5"/>
  <c r="EY8" i="5"/>
  <c r="EX8" i="5"/>
  <c r="EW8" i="5"/>
  <c r="EV8" i="5"/>
  <c r="EU8" i="5"/>
  <c r="ET8" i="5"/>
  <c r="ES8" i="5"/>
  <c r="ER8" i="5"/>
  <c r="EQ8" i="5"/>
  <c r="EP8" i="5"/>
  <c r="EO8" i="5"/>
  <c r="EN8" i="5"/>
  <c r="EM8" i="5"/>
  <c r="EL8" i="5"/>
  <c r="EK8" i="5"/>
  <c r="EJ8" i="5"/>
  <c r="EI8" i="5"/>
  <c r="EH8" i="5"/>
  <c r="EG8" i="5"/>
  <c r="EF8" i="5"/>
  <c r="EE8" i="5"/>
  <c r="ED8" i="5"/>
  <c r="EC8" i="5"/>
  <c r="EB8" i="5"/>
  <c r="EA8" i="5"/>
  <c r="DY8" i="5"/>
  <c r="DX8" i="5"/>
  <c r="DV8" i="5"/>
  <c r="DU8" i="5"/>
  <c r="DT8" i="5"/>
  <c r="DS8" i="5"/>
  <c r="DR8" i="5"/>
  <c r="DQ8" i="5"/>
  <c r="DP8" i="5"/>
  <c r="DO8" i="5"/>
  <c r="DN8" i="5"/>
  <c r="DK8" i="5"/>
  <c r="DJ8" i="5"/>
  <c r="DI8" i="5"/>
  <c r="DH8" i="5"/>
  <c r="DG8" i="5"/>
  <c r="DF8" i="5"/>
  <c r="DE8" i="5"/>
  <c r="DD8" i="5"/>
  <c r="DC8" i="5"/>
  <c r="DB8" i="5"/>
  <c r="DA8" i="5"/>
  <c r="CV8" i="5"/>
  <c r="CU8" i="5"/>
  <c r="CT8" i="5"/>
  <c r="CS8" i="5"/>
  <c r="GN8" i="5" s="1"/>
  <c r="CR8" i="5"/>
  <c r="GM8" i="5" s="1"/>
  <c r="CQ8" i="5"/>
  <c r="CP8" i="5"/>
  <c r="GJ8" i="5" s="1"/>
  <c r="GK8" i="5" s="1"/>
  <c r="CO8" i="5"/>
  <c r="DZ8" i="5" s="1"/>
  <c r="CN8" i="5"/>
  <c r="CM8" i="5"/>
  <c r="CL8" i="5"/>
  <c r="DW8" i="5" s="1"/>
  <c r="CJ8" i="5"/>
  <c r="CY8" i="5" s="1"/>
  <c r="CI8" i="5"/>
  <c r="CX8" i="5" s="1"/>
  <c r="CG8" i="5" a="1"/>
  <c r="CG8" i="5" s="1"/>
  <c r="AW8" i="5"/>
  <c r="AV8" i="5"/>
  <c r="J8" i="5"/>
  <c r="G8" i="5"/>
  <c r="IU7" i="5"/>
  <c r="IT7" i="5"/>
  <c r="IQ7" i="5"/>
  <c r="IL7" i="5"/>
  <c r="HX7" i="5"/>
  <c r="IW7" i="5" s="1"/>
  <c r="HX7" i="5" a="1"/>
  <c r="HW7" i="5"/>
  <c r="IV7" i="5" s="1"/>
  <c r="HW7" i="5" a="1"/>
  <c r="HV7" i="5"/>
  <c r="HV7" i="5" a="1"/>
  <c r="HU7" i="5"/>
  <c r="HU7" i="5" a="1"/>
  <c r="HT7" i="5"/>
  <c r="IS7" i="5" s="1"/>
  <c r="HT7" i="5" a="1"/>
  <c r="HS7" i="5" a="1"/>
  <c r="HS7" i="5" s="1"/>
  <c r="IR7" i="5" s="1"/>
  <c r="HR7" i="5" a="1"/>
  <c r="HR7" i="5" s="1"/>
  <c r="HQ7" i="5"/>
  <c r="IP7" i="5" s="1"/>
  <c r="HQ7" i="5" a="1"/>
  <c r="HP7" i="5"/>
  <c r="IO7" i="5" s="1"/>
  <c r="HP7" i="5" a="1"/>
  <c r="HL7" i="5"/>
  <c r="HJ7" i="5"/>
  <c r="HH7" i="5"/>
  <c r="HB7" i="5"/>
  <c r="HA7" i="5"/>
  <c r="GZ7" i="5"/>
  <c r="GY7" i="5"/>
  <c r="GX7" i="5"/>
  <c r="GW7" i="5"/>
  <c r="GV7" i="5"/>
  <c r="GU7" i="5"/>
  <c r="GT7" i="5"/>
  <c r="GP7" i="5"/>
  <c r="GM7" i="5"/>
  <c r="GL7" i="5"/>
  <c r="GJ7" i="5"/>
  <c r="GK7" i="5" s="1"/>
  <c r="GI7" i="5"/>
  <c r="GH7" i="5"/>
  <c r="GG7" i="5"/>
  <c r="GF7" i="5"/>
  <c r="GE7" i="5"/>
  <c r="GD7" i="5"/>
  <c r="GC7" i="5"/>
  <c r="GB7" i="5"/>
  <c r="GA7" i="5"/>
  <c r="FZ7" i="5"/>
  <c r="FY7" i="5"/>
  <c r="FX7" i="5"/>
  <c r="FW7" i="5"/>
  <c r="FV7" i="5"/>
  <c r="FU7" i="5"/>
  <c r="FT7" i="5"/>
  <c r="FS7" i="5"/>
  <c r="FR7" i="5"/>
  <c r="FQ7" i="5"/>
  <c r="FO7" i="5"/>
  <c r="FJ7" i="5"/>
  <c r="FM7" i="5" s="1"/>
  <c r="FI7" i="5"/>
  <c r="FL7" i="5" s="1"/>
  <c r="FH7" i="5"/>
  <c r="FK7" i="5" s="1"/>
  <c r="FG7" i="5"/>
  <c r="FF7" i="5"/>
  <c r="FE7" i="5"/>
  <c r="FD7" i="5"/>
  <c r="FC7" i="5"/>
  <c r="FB7" i="5"/>
  <c r="FA7" i="5"/>
  <c r="EZ7" i="5"/>
  <c r="EY7" i="5"/>
  <c r="EX7" i="5"/>
  <c r="EW7" i="5"/>
  <c r="EV7" i="5"/>
  <c r="EU7" i="5"/>
  <c r="ET7" i="5"/>
  <c r="ES7" i="5"/>
  <c r="ER7" i="5"/>
  <c r="EQ7" i="5"/>
  <c r="EP7" i="5"/>
  <c r="EO7" i="5"/>
  <c r="EN7" i="5"/>
  <c r="EM7" i="5"/>
  <c r="EL7" i="5"/>
  <c r="EK7" i="5"/>
  <c r="EJ7" i="5"/>
  <c r="EI7" i="5"/>
  <c r="EH7" i="5"/>
  <c r="EG7" i="5"/>
  <c r="EF7" i="5"/>
  <c r="EE7" i="5"/>
  <c r="ED7" i="5"/>
  <c r="EC7" i="5"/>
  <c r="EB7" i="5"/>
  <c r="EA7" i="5"/>
  <c r="DZ7" i="5"/>
  <c r="DY7" i="5"/>
  <c r="DW7" i="5"/>
  <c r="DV7" i="5"/>
  <c r="DU7" i="5"/>
  <c r="DT7" i="5"/>
  <c r="DS7" i="5"/>
  <c r="DR7" i="5"/>
  <c r="DQ7" i="5"/>
  <c r="DP7" i="5"/>
  <c r="DO7" i="5"/>
  <c r="DN7" i="5"/>
  <c r="DL7" i="5"/>
  <c r="DK7" i="5"/>
  <c r="DJ7" i="5"/>
  <c r="DI7" i="5"/>
  <c r="DH7" i="5"/>
  <c r="DG7" i="5"/>
  <c r="DF7" i="5"/>
  <c r="DE7" i="5"/>
  <c r="DD7" i="5"/>
  <c r="DC7" i="5"/>
  <c r="DB7" i="5"/>
  <c r="DA7" i="5"/>
  <c r="CZ7" i="5"/>
  <c r="CV7" i="5"/>
  <c r="CU7" i="5"/>
  <c r="CT7" i="5"/>
  <c r="CS7" i="5"/>
  <c r="GN7" i="5" s="1"/>
  <c r="CR7" i="5"/>
  <c r="CQ7" i="5"/>
  <c r="CP7" i="5"/>
  <c r="CO7" i="5"/>
  <c r="CN7" i="5"/>
  <c r="CM7" i="5"/>
  <c r="DX7" i="5" s="1"/>
  <c r="CL7" i="5"/>
  <c r="CK7" i="5"/>
  <c r="CG7" i="5"/>
  <c r="CG7" i="5" a="1"/>
  <c r="AW7" i="5"/>
  <c r="AV7" i="5"/>
  <c r="J7" i="5"/>
  <c r="G7" i="5"/>
  <c r="IV6" i="5"/>
  <c r="IT6" i="5"/>
  <c r="IP6" i="5"/>
  <c r="IO6" i="5"/>
  <c r="IM6" i="5"/>
  <c r="IL6" i="5"/>
  <c r="HX6" i="5"/>
  <c r="IW6" i="5" s="1"/>
  <c r="HX6" i="5" a="1"/>
  <c r="HW6" i="5" a="1"/>
  <c r="HW6" i="5" s="1"/>
  <c r="HV6" i="5"/>
  <c r="IU6" i="5" s="1"/>
  <c r="HV6" i="5" a="1"/>
  <c r="HU6" i="5" a="1"/>
  <c r="HU6" i="5" s="1"/>
  <c r="HT6" i="5"/>
  <c r="IS6" i="5" s="1"/>
  <c r="HT6" i="5" a="1"/>
  <c r="HS6" i="5" a="1"/>
  <c r="HS6" i="5" s="1"/>
  <c r="IR6" i="5" s="1"/>
  <c r="HR6" i="5"/>
  <c r="IQ6" i="5" s="1"/>
  <c r="HR6" i="5" a="1"/>
  <c r="HQ6" i="5"/>
  <c r="HQ6" i="5" a="1"/>
  <c r="HP6" i="5"/>
  <c r="HP6" i="5" a="1"/>
  <c r="HL6" i="5"/>
  <c r="HJ6" i="5"/>
  <c r="HI6" i="5"/>
  <c r="HH6" i="5"/>
  <c r="HB6" i="5"/>
  <c r="HA6" i="5"/>
  <c r="GZ6" i="5"/>
  <c r="GY6" i="5"/>
  <c r="GX6" i="5"/>
  <c r="GW6" i="5"/>
  <c r="GV6" i="5"/>
  <c r="GU6" i="5"/>
  <c r="GT6" i="5"/>
  <c r="HC6" i="5" s="1"/>
  <c r="GP6" i="5"/>
  <c r="GN6" i="5"/>
  <c r="GM6" i="5"/>
  <c r="GI6" i="5"/>
  <c r="GH6" i="5"/>
  <c r="GG6" i="5"/>
  <c r="GF6" i="5"/>
  <c r="GE6" i="5"/>
  <c r="GD6" i="5"/>
  <c r="GC6" i="5"/>
  <c r="GB6" i="5"/>
  <c r="GA6" i="5"/>
  <c r="FZ6" i="5"/>
  <c r="FY6" i="5"/>
  <c r="FX6" i="5"/>
  <c r="FW6" i="5"/>
  <c r="FV6" i="5"/>
  <c r="FU6" i="5"/>
  <c r="FT6" i="5"/>
  <c r="FS6" i="5"/>
  <c r="FR6" i="5"/>
  <c r="FQ6" i="5"/>
  <c r="FP6" i="5"/>
  <c r="FO6" i="5"/>
  <c r="FN6" i="5"/>
  <c r="FJ6" i="5"/>
  <c r="FI6" i="5"/>
  <c r="FH6" i="5"/>
  <c r="FG6" i="5"/>
  <c r="FF6" i="5"/>
  <c r="FK6" i="5" s="1"/>
  <c r="FE6" i="5"/>
  <c r="FD6" i="5"/>
  <c r="FC6" i="5"/>
  <c r="FB6" i="5"/>
  <c r="FA6" i="5"/>
  <c r="EZ6" i="5"/>
  <c r="EY6" i="5"/>
  <c r="EX6" i="5"/>
  <c r="EW6" i="5"/>
  <c r="EV6" i="5"/>
  <c r="EU6" i="5"/>
  <c r="ET6" i="5"/>
  <c r="ES6" i="5"/>
  <c r="ER6" i="5"/>
  <c r="EQ6" i="5"/>
  <c r="EP6" i="5"/>
  <c r="EO6" i="5"/>
  <c r="EN6" i="5"/>
  <c r="EM6" i="5"/>
  <c r="EL6" i="5"/>
  <c r="EK6" i="5"/>
  <c r="EJ6" i="5"/>
  <c r="EI6" i="5"/>
  <c r="EH6" i="5"/>
  <c r="EG6" i="5"/>
  <c r="EF6" i="5"/>
  <c r="EE6" i="5"/>
  <c r="ED6" i="5"/>
  <c r="EC6" i="5"/>
  <c r="EB6" i="5"/>
  <c r="EA6" i="5"/>
  <c r="DX6" i="5"/>
  <c r="DV6" i="5"/>
  <c r="DU6" i="5"/>
  <c r="DT6" i="5"/>
  <c r="DS6" i="5"/>
  <c r="DR6" i="5"/>
  <c r="DQ6" i="5"/>
  <c r="DP6" i="5"/>
  <c r="DO6" i="5"/>
  <c r="DN6" i="5"/>
  <c r="DK6" i="5"/>
  <c r="DJ6" i="5"/>
  <c r="DI6" i="5"/>
  <c r="DH6" i="5"/>
  <c r="DG6" i="5"/>
  <c r="DF6" i="5"/>
  <c r="DE6" i="5"/>
  <c r="DD6" i="5"/>
  <c r="DC6" i="5"/>
  <c r="DB6" i="5"/>
  <c r="DA6" i="5"/>
  <c r="CX6" i="5"/>
  <c r="CW6" i="5"/>
  <c r="CV6" i="5"/>
  <c r="CU6" i="5"/>
  <c r="CT6" i="5"/>
  <c r="CS6" i="5"/>
  <c r="CR6" i="5"/>
  <c r="CQ6" i="5"/>
  <c r="GL6" i="5" s="1"/>
  <c r="CP6" i="5"/>
  <c r="GJ6" i="5" s="1"/>
  <c r="GK6" i="5" s="1"/>
  <c r="CO6" i="5"/>
  <c r="DZ6" i="5" s="1"/>
  <c r="CN6" i="5"/>
  <c r="DY6" i="5" s="1"/>
  <c r="CM6" i="5"/>
  <c r="CL6" i="5"/>
  <c r="DW6" i="5" s="1"/>
  <c r="CK6" i="5"/>
  <c r="CZ6" i="5" s="1"/>
  <c r="CJ6" i="5"/>
  <c r="CY6" i="5" s="1"/>
  <c r="CI6" i="5"/>
  <c r="CH6" i="5"/>
  <c r="CG6" i="5" a="1"/>
  <c r="CG6" i="5" s="1"/>
  <c r="AW6" i="5"/>
  <c r="AV6" i="5"/>
  <c r="J6" i="5"/>
  <c r="G6" i="5"/>
  <c r="IU5" i="5"/>
  <c r="IQ5" i="5"/>
  <c r="IP5" i="5"/>
  <c r="IN5" i="5"/>
  <c r="IX5" i="5" s="1"/>
  <c r="IL5" i="5"/>
  <c r="HX5" i="5"/>
  <c r="IW5" i="5" s="1"/>
  <c r="HX5" i="5" a="1"/>
  <c r="HW5" i="5" a="1"/>
  <c r="HW5" i="5" s="1"/>
  <c r="IV5" i="5" s="1"/>
  <c r="HV5" i="5"/>
  <c r="HV5" i="5" a="1"/>
  <c r="HU5" i="5"/>
  <c r="IT5" i="5" s="1"/>
  <c r="HU5" i="5" a="1"/>
  <c r="HT5" i="5" a="1"/>
  <c r="HT5" i="5" s="1"/>
  <c r="IS5" i="5" s="1"/>
  <c r="HS5" i="5"/>
  <c r="IR5" i="5" s="1"/>
  <c r="HS5" i="5" a="1"/>
  <c r="HR5" i="5"/>
  <c r="HR5" i="5" a="1"/>
  <c r="HQ5" i="5"/>
  <c r="HQ5" i="5" a="1"/>
  <c r="HP5" i="5"/>
  <c r="HP5" i="5" a="1"/>
  <c r="HL5" i="5"/>
  <c r="HJ5" i="5"/>
  <c r="HH5" i="5"/>
  <c r="HB5" i="5"/>
  <c r="HA5" i="5"/>
  <c r="GZ5" i="5"/>
  <c r="GY5" i="5"/>
  <c r="GX5" i="5"/>
  <c r="GW5" i="5"/>
  <c r="GV5" i="5"/>
  <c r="GU5" i="5"/>
  <c r="GT5" i="5"/>
  <c r="GP5" i="5"/>
  <c r="GN5" i="5"/>
  <c r="GL5" i="5"/>
  <c r="GI5" i="5"/>
  <c r="GH5" i="5"/>
  <c r="GG5" i="5"/>
  <c r="GF5" i="5"/>
  <c r="GE5" i="5"/>
  <c r="GD5" i="5"/>
  <c r="GC5" i="5"/>
  <c r="GB5" i="5"/>
  <c r="GA5" i="5"/>
  <c r="FZ5" i="5"/>
  <c r="FY5" i="5"/>
  <c r="FX5" i="5"/>
  <c r="FW5" i="5"/>
  <c r="FV5" i="5"/>
  <c r="FU5" i="5"/>
  <c r="FT5" i="5"/>
  <c r="FS5" i="5"/>
  <c r="FR5" i="5"/>
  <c r="FQ5" i="5"/>
  <c r="FJ5" i="5"/>
  <c r="FI5" i="5"/>
  <c r="FH5" i="5"/>
  <c r="FG5" i="5"/>
  <c r="FO5" i="5" s="1"/>
  <c r="FF5" i="5"/>
  <c r="FE5" i="5"/>
  <c r="FD5" i="5"/>
  <c r="FC5" i="5"/>
  <c r="FB5" i="5"/>
  <c r="FA5" i="5"/>
  <c r="EZ5" i="5"/>
  <c r="EY5" i="5"/>
  <c r="EX5" i="5"/>
  <c r="EW5" i="5"/>
  <c r="EV5" i="5"/>
  <c r="EU5" i="5"/>
  <c r="ET5" i="5"/>
  <c r="ES5" i="5"/>
  <c r="ER5" i="5"/>
  <c r="EQ5" i="5"/>
  <c r="EP5" i="5"/>
  <c r="EO5" i="5"/>
  <c r="EN5" i="5"/>
  <c r="EM5" i="5"/>
  <c r="EL5" i="5"/>
  <c r="EK5" i="5"/>
  <c r="EJ5" i="5"/>
  <c r="EI5" i="5"/>
  <c r="EH5" i="5"/>
  <c r="EG5" i="5"/>
  <c r="EF5" i="5"/>
  <c r="EE5" i="5"/>
  <c r="ED5" i="5"/>
  <c r="EC5" i="5"/>
  <c r="EB5" i="5"/>
  <c r="EA5" i="5"/>
  <c r="DY5" i="5"/>
  <c r="DV5" i="5"/>
  <c r="DU5" i="5"/>
  <c r="DT5" i="5"/>
  <c r="DS5" i="5"/>
  <c r="DR5" i="5"/>
  <c r="DQ5" i="5"/>
  <c r="DP5" i="5"/>
  <c r="DO5" i="5"/>
  <c r="DN5" i="5"/>
  <c r="DM5" i="5"/>
  <c r="DM5" i="5" a="1"/>
  <c r="DK5" i="5"/>
  <c r="DJ5" i="5"/>
  <c r="DI5" i="5"/>
  <c r="DH5" i="5"/>
  <c r="DG5" i="5"/>
  <c r="DF5" i="5"/>
  <c r="DE5" i="5"/>
  <c r="DD5" i="5"/>
  <c r="DC5" i="5"/>
  <c r="DB5" i="5"/>
  <c r="DA5" i="5"/>
  <c r="CX5" i="5"/>
  <c r="CV5" i="5"/>
  <c r="CU5" i="5"/>
  <c r="CT5" i="5"/>
  <c r="CS5" i="5"/>
  <c r="CR5" i="5"/>
  <c r="GM5" i="5" s="1"/>
  <c r="CQ5" i="5"/>
  <c r="CP5" i="5"/>
  <c r="GJ5" i="5" s="1"/>
  <c r="GK5" i="5" s="1"/>
  <c r="CO5" i="5"/>
  <c r="DZ5" i="5" s="1"/>
  <c r="CN5" i="5"/>
  <c r="CM5" i="5"/>
  <c r="DX5" i="5" s="1"/>
  <c r="CL5" i="5"/>
  <c r="DW5" i="5" s="1"/>
  <c r="CJ5" i="5"/>
  <c r="CY5" i="5" s="1"/>
  <c r="CI5" i="5"/>
  <c r="CG5" i="5"/>
  <c r="CH5" i="5" s="1"/>
  <c r="CW5" i="5" s="1"/>
  <c r="CG5" i="5" a="1"/>
  <c r="AW5" i="5"/>
  <c r="AV5" i="5"/>
  <c r="J5" i="5"/>
  <c r="HI5" i="5" s="1"/>
  <c r="G5" i="5"/>
  <c r="IT4" i="5"/>
  <c r="IN4" i="5"/>
  <c r="IX4" i="5" s="1"/>
  <c r="IM4" i="5"/>
  <c r="IL4" i="5"/>
  <c r="HX4" i="5" a="1"/>
  <c r="HX4" i="5" s="1"/>
  <c r="IW4" i="5" s="1"/>
  <c r="HW4" i="5"/>
  <c r="IV4" i="5" s="1"/>
  <c r="HW4" i="5" a="1"/>
  <c r="HV4" i="5" a="1"/>
  <c r="HV4" i="5" s="1"/>
  <c r="IU4" i="5" s="1"/>
  <c r="HU4" i="5"/>
  <c r="HU4" i="5" a="1"/>
  <c r="HT4" i="5"/>
  <c r="IS4" i="5" s="1"/>
  <c r="HT4" i="5" a="1"/>
  <c r="HS4" i="5"/>
  <c r="IR4" i="5" s="1"/>
  <c r="HS4" i="5" a="1"/>
  <c r="HR4" i="5"/>
  <c r="IQ4" i="5" s="1"/>
  <c r="HR4" i="5" a="1"/>
  <c r="HQ4" i="5" a="1"/>
  <c r="HQ4" i="5" s="1"/>
  <c r="IP4" i="5" s="1"/>
  <c r="HP4" i="5" a="1"/>
  <c r="HP4" i="5" s="1"/>
  <c r="IO4" i="5" s="1"/>
  <c r="HL4" i="5"/>
  <c r="HJ4" i="5"/>
  <c r="HH4" i="5"/>
  <c r="HC4" i="5"/>
  <c r="HB4" i="5"/>
  <c r="HA4" i="5"/>
  <c r="GZ4" i="5"/>
  <c r="GY4" i="5"/>
  <c r="GX4" i="5"/>
  <c r="GW4" i="5"/>
  <c r="GV4" i="5"/>
  <c r="GU4" i="5"/>
  <c r="GT4" i="5"/>
  <c r="GP4" i="5"/>
  <c r="GN4" i="5"/>
  <c r="GM4" i="5"/>
  <c r="GJ4" i="5"/>
  <c r="GK4" i="5" s="1"/>
  <c r="GI4" i="5"/>
  <c r="GH4" i="5"/>
  <c r="GG4" i="5"/>
  <c r="GF4" i="5"/>
  <c r="GE4" i="5"/>
  <c r="GD4" i="5"/>
  <c r="GC4" i="5"/>
  <c r="GB4" i="5"/>
  <c r="GA4" i="5"/>
  <c r="FZ4" i="5"/>
  <c r="FY4" i="5"/>
  <c r="FX4" i="5"/>
  <c r="FW4" i="5"/>
  <c r="FV4" i="5"/>
  <c r="FU4" i="5"/>
  <c r="FT4" i="5"/>
  <c r="FS4" i="5"/>
  <c r="FR4" i="5"/>
  <c r="FQ4" i="5"/>
  <c r="FP4" i="5"/>
  <c r="FO4" i="5"/>
  <c r="FM4" i="5"/>
  <c r="FL4" i="5"/>
  <c r="FJ4" i="5"/>
  <c r="FI4" i="5"/>
  <c r="FH4" i="5"/>
  <c r="FG4" i="5"/>
  <c r="FF4" i="5"/>
  <c r="FE4" i="5"/>
  <c r="FD4" i="5"/>
  <c r="FC4" i="5"/>
  <c r="FB4" i="5"/>
  <c r="FA4" i="5"/>
  <c r="EZ4" i="5"/>
  <c r="EY4" i="5"/>
  <c r="EX4" i="5"/>
  <c r="EW4" i="5"/>
  <c r="EV4" i="5"/>
  <c r="EU4" i="5"/>
  <c r="ET4" i="5"/>
  <c r="ES4" i="5"/>
  <c r="ER4" i="5"/>
  <c r="EQ4" i="5"/>
  <c r="EP4" i="5"/>
  <c r="EO4" i="5"/>
  <c r="EN4" i="5"/>
  <c r="EM4" i="5"/>
  <c r="EL4" i="5"/>
  <c r="EK4" i="5"/>
  <c r="EJ4" i="5"/>
  <c r="EI4" i="5"/>
  <c r="EH4" i="5"/>
  <c r="EG4" i="5"/>
  <c r="EF4" i="5"/>
  <c r="EE4" i="5"/>
  <c r="ED4" i="5"/>
  <c r="EC4" i="5"/>
  <c r="EB4" i="5"/>
  <c r="EA4" i="5"/>
  <c r="DZ4" i="5"/>
  <c r="DW4" i="5"/>
  <c r="DV4" i="5"/>
  <c r="DU4" i="5"/>
  <c r="DT4" i="5"/>
  <c r="DS4" i="5"/>
  <c r="DR4" i="5"/>
  <c r="DQ4" i="5"/>
  <c r="DP4" i="5"/>
  <c r="DO4" i="5"/>
  <c r="DN4" i="5"/>
  <c r="DL4" i="5"/>
  <c r="DK4" i="5"/>
  <c r="DJ4" i="5"/>
  <c r="DI4" i="5"/>
  <c r="DH4" i="5"/>
  <c r="DG4" i="5"/>
  <c r="DF4" i="5"/>
  <c r="DE4" i="5"/>
  <c r="DD4" i="5"/>
  <c r="DC4" i="5"/>
  <c r="DB4" i="5"/>
  <c r="DA4" i="5"/>
  <c r="CV4" i="5"/>
  <c r="CU4" i="5"/>
  <c r="CT4" i="5"/>
  <c r="CS4" i="5"/>
  <c r="CR4" i="5"/>
  <c r="CQ4" i="5"/>
  <c r="GL4" i="5" s="1"/>
  <c r="CP4" i="5"/>
  <c r="CO4" i="5"/>
  <c r="CN4" i="5"/>
  <c r="DY4" i="5" s="1"/>
  <c r="CM4" i="5"/>
  <c r="DX4" i="5" s="1"/>
  <c r="CL4" i="5"/>
  <c r="CJ4" i="5"/>
  <c r="CY4" i="5" s="1"/>
  <c r="CH4" i="5"/>
  <c r="CW4" i="5" s="1"/>
  <c r="CG4" i="5"/>
  <c r="CG4" i="5" a="1"/>
  <c r="AW4" i="5"/>
  <c r="AV4" i="5"/>
  <c r="J4" i="5"/>
  <c r="HI4" i="5" s="1"/>
  <c r="G4" i="5"/>
  <c r="IX3" i="5"/>
  <c r="IS3" i="5"/>
  <c r="IP3" i="5"/>
  <c r="IO3" i="5"/>
  <c r="IN3" i="5"/>
  <c r="IL3" i="5"/>
  <c r="HX3" i="5" a="1"/>
  <c r="HX3" i="5" s="1"/>
  <c r="IW3" i="5" s="1"/>
  <c r="HW3" i="5"/>
  <c r="IV3" i="5" s="1"/>
  <c r="HW3" i="5" a="1"/>
  <c r="HV3" i="5" a="1"/>
  <c r="HV3" i="5" s="1"/>
  <c r="IU3" i="5" s="1"/>
  <c r="HU3" i="5" a="1"/>
  <c r="HU3" i="5" s="1"/>
  <c r="IT3" i="5" s="1"/>
  <c r="HT3" i="5"/>
  <c r="HT3" i="5" a="1"/>
  <c r="HS3" i="5" a="1"/>
  <c r="HS3" i="5" s="1"/>
  <c r="IR3" i="5" s="1"/>
  <c r="HR3" i="5"/>
  <c r="IQ3" i="5" s="1"/>
  <c r="HR3" i="5" a="1"/>
  <c r="HQ3" i="5"/>
  <c r="HQ3" i="5" a="1"/>
  <c r="HP3" i="5"/>
  <c r="HP3" i="5" a="1"/>
  <c r="HL3" i="5"/>
  <c r="HJ3" i="5"/>
  <c r="HH3" i="5"/>
  <c r="HI3" i="5" s="1"/>
  <c r="HB3" i="5"/>
  <c r="HA3" i="5"/>
  <c r="GZ3" i="5"/>
  <c r="GY3" i="5"/>
  <c r="GX3" i="5"/>
  <c r="GW3" i="5"/>
  <c r="GV3" i="5"/>
  <c r="GU3" i="5"/>
  <c r="GT3" i="5"/>
  <c r="GP3" i="5"/>
  <c r="GN3" i="5"/>
  <c r="GL3" i="5"/>
  <c r="GK3" i="5"/>
  <c r="GI3" i="5"/>
  <c r="GH3" i="5"/>
  <c r="GG3" i="5"/>
  <c r="GF3" i="5"/>
  <c r="GE3" i="5"/>
  <c r="GD3" i="5"/>
  <c r="GC3" i="5"/>
  <c r="GB3" i="5"/>
  <c r="GA3" i="5"/>
  <c r="FZ3" i="5"/>
  <c r="FY3" i="5"/>
  <c r="FX3" i="5"/>
  <c r="FW3" i="5"/>
  <c r="FV3" i="5"/>
  <c r="FU3" i="5"/>
  <c r="FT3" i="5"/>
  <c r="FS3" i="5"/>
  <c r="FR3" i="5"/>
  <c r="FQ3" i="5"/>
  <c r="FP3" i="5"/>
  <c r="FN3" i="5"/>
  <c r="FK3" i="5"/>
  <c r="FJ3" i="5"/>
  <c r="FM3" i="5" s="1"/>
  <c r="FI3" i="5"/>
  <c r="FH3" i="5"/>
  <c r="FG3" i="5"/>
  <c r="FF3" i="5"/>
  <c r="FE3" i="5"/>
  <c r="FO3" i="5" s="1"/>
  <c r="FD3" i="5"/>
  <c r="FC3" i="5"/>
  <c r="FB3" i="5"/>
  <c r="FA3" i="5"/>
  <c r="EZ3" i="5"/>
  <c r="EY3" i="5"/>
  <c r="EX3" i="5"/>
  <c r="EW3" i="5"/>
  <c r="EV3" i="5"/>
  <c r="EU3" i="5"/>
  <c r="ET3" i="5"/>
  <c r="ES3" i="5"/>
  <c r="ER3" i="5"/>
  <c r="EQ3" i="5"/>
  <c r="EP3" i="5"/>
  <c r="EO3" i="5"/>
  <c r="EN3" i="5"/>
  <c r="EM3" i="5"/>
  <c r="EL3" i="5"/>
  <c r="EK3" i="5"/>
  <c r="EJ3" i="5"/>
  <c r="EI3" i="5"/>
  <c r="EH3" i="5"/>
  <c r="EG3" i="5"/>
  <c r="EF3" i="5"/>
  <c r="EE3" i="5"/>
  <c r="ED3" i="5"/>
  <c r="EC3" i="5"/>
  <c r="EB3" i="5"/>
  <c r="EA3" i="5"/>
  <c r="DZ3" i="5"/>
  <c r="DV3" i="5"/>
  <c r="DU3" i="5"/>
  <c r="DT3" i="5"/>
  <c r="DS3" i="5"/>
  <c r="DR3" i="5"/>
  <c r="DQ3" i="5"/>
  <c r="DP3" i="5"/>
  <c r="DO3" i="5"/>
  <c r="DN3" i="5"/>
  <c r="DL3" i="5"/>
  <c r="DK3" i="5"/>
  <c r="DJ3" i="5"/>
  <c r="DI3" i="5"/>
  <c r="DH3" i="5"/>
  <c r="DG3" i="5"/>
  <c r="DF3" i="5"/>
  <c r="DE3" i="5"/>
  <c r="DD3" i="5"/>
  <c r="DC3" i="5"/>
  <c r="DB3" i="5"/>
  <c r="DA3" i="5"/>
  <c r="CV3" i="5"/>
  <c r="CU3" i="5"/>
  <c r="CT3" i="5"/>
  <c r="CS3" i="5"/>
  <c r="CR3" i="5"/>
  <c r="GM3" i="5" s="1"/>
  <c r="CQ3" i="5"/>
  <c r="CP3" i="5"/>
  <c r="GJ3" i="5" s="1"/>
  <c r="CO3" i="5"/>
  <c r="CN3" i="5"/>
  <c r="DY3" i="5" s="1"/>
  <c r="CM3" i="5"/>
  <c r="DX3" i="5" s="1"/>
  <c r="CL3" i="5"/>
  <c r="DW3" i="5" s="1"/>
  <c r="CG3" i="5" a="1"/>
  <c r="CG3" i="5" s="1"/>
  <c r="AW3" i="5"/>
  <c r="AV3" i="5"/>
  <c r="J3" i="5"/>
  <c r="G3" i="5"/>
  <c r="IO29" i="4"/>
  <c r="IN29" i="4"/>
  <c r="IX29" i="4" s="1"/>
  <c r="IL29" i="4"/>
  <c r="HX29" i="4"/>
  <c r="IW29" i="4" s="1"/>
  <c r="HX29" i="4" a="1"/>
  <c r="HW29" i="4"/>
  <c r="IV29" i="4" s="1"/>
  <c r="HW29" i="4" a="1"/>
  <c r="HV29" i="4"/>
  <c r="IU29" i="4" s="1"/>
  <c r="HV29" i="4" a="1"/>
  <c r="HU29" i="4"/>
  <c r="IT29" i="4" s="1"/>
  <c r="HU29" i="4" a="1"/>
  <c r="HT29" i="4" a="1"/>
  <c r="HT29" i="4" s="1"/>
  <c r="IS29" i="4" s="1"/>
  <c r="HS29" i="4" a="1"/>
  <c r="HS29" i="4" s="1"/>
  <c r="IR29" i="4" s="1"/>
  <c r="HR29" i="4" a="1"/>
  <c r="HR29" i="4" s="1"/>
  <c r="IQ29" i="4" s="1"/>
  <c r="HQ29" i="4" a="1"/>
  <c r="HQ29" i="4" s="1"/>
  <c r="IP29" i="4" s="1"/>
  <c r="HP29" i="4"/>
  <c r="HP29" i="4" a="1"/>
  <c r="HL29" i="4"/>
  <c r="HJ29" i="4"/>
  <c r="HH29" i="4"/>
  <c r="HC29" i="4"/>
  <c r="HB29" i="4"/>
  <c r="HA29" i="4"/>
  <c r="GZ29" i="4"/>
  <c r="GY29" i="4"/>
  <c r="GX29" i="4"/>
  <c r="GW29" i="4"/>
  <c r="GV29" i="4"/>
  <c r="GU29" i="4"/>
  <c r="GT29" i="4"/>
  <c r="GP29" i="4"/>
  <c r="GN29" i="4"/>
  <c r="GM29" i="4"/>
  <c r="GK29" i="4"/>
  <c r="GI29" i="4"/>
  <c r="GH29" i="4"/>
  <c r="GG29" i="4"/>
  <c r="GF29" i="4"/>
  <c r="GE29" i="4"/>
  <c r="GD29" i="4"/>
  <c r="GC29" i="4"/>
  <c r="GB29" i="4"/>
  <c r="GA29" i="4"/>
  <c r="FZ29" i="4"/>
  <c r="FY29" i="4"/>
  <c r="FX29" i="4"/>
  <c r="FW29" i="4"/>
  <c r="FV29" i="4"/>
  <c r="FU29" i="4"/>
  <c r="FT29" i="4"/>
  <c r="FS29" i="4"/>
  <c r="FR29" i="4"/>
  <c r="FQ29" i="4"/>
  <c r="FM29" i="4"/>
  <c r="FJ29" i="4"/>
  <c r="FI29" i="4"/>
  <c r="FH29" i="4"/>
  <c r="FK29" i="4" s="1"/>
  <c r="FG29" i="4"/>
  <c r="FO29" i="4" s="1"/>
  <c r="FF29" i="4"/>
  <c r="FE29" i="4"/>
  <c r="FD29" i="4"/>
  <c r="FC29" i="4"/>
  <c r="FB29" i="4"/>
  <c r="FA29" i="4"/>
  <c r="EZ29" i="4"/>
  <c r="EY29" i="4"/>
  <c r="EX29" i="4"/>
  <c r="EW29" i="4"/>
  <c r="EV29" i="4"/>
  <c r="EU29" i="4"/>
  <c r="ET29" i="4"/>
  <c r="ES29" i="4"/>
  <c r="ER29" i="4"/>
  <c r="EQ29" i="4"/>
  <c r="EP29" i="4"/>
  <c r="EO29" i="4"/>
  <c r="EN29" i="4"/>
  <c r="EM29" i="4"/>
  <c r="EL29" i="4"/>
  <c r="EK29" i="4"/>
  <c r="EJ29" i="4"/>
  <c r="EI29" i="4"/>
  <c r="EH29" i="4"/>
  <c r="EG29" i="4"/>
  <c r="EF29" i="4"/>
  <c r="EE29" i="4"/>
  <c r="ED29" i="4"/>
  <c r="EC29" i="4"/>
  <c r="EB29" i="4"/>
  <c r="EA29" i="4"/>
  <c r="DZ29" i="4"/>
  <c r="DV29" i="4"/>
  <c r="DU29" i="4"/>
  <c r="DT29" i="4"/>
  <c r="DS29" i="4"/>
  <c r="DR29" i="4"/>
  <c r="DQ29" i="4"/>
  <c r="DP29" i="4"/>
  <c r="DO29" i="4"/>
  <c r="DN29" i="4"/>
  <c r="DK29" i="4"/>
  <c r="DJ29" i="4"/>
  <c r="DI29" i="4"/>
  <c r="DH29" i="4"/>
  <c r="DG29" i="4"/>
  <c r="DF29" i="4"/>
  <c r="DE29" i="4"/>
  <c r="DD29" i="4"/>
  <c r="DC29" i="4"/>
  <c r="DB29" i="4"/>
  <c r="DA29" i="4"/>
  <c r="CX29" i="4"/>
  <c r="CW29" i="4"/>
  <c r="CV29" i="4"/>
  <c r="CU29" i="4"/>
  <c r="CT29" i="4"/>
  <c r="CS29" i="4"/>
  <c r="CR29" i="4"/>
  <c r="CQ29" i="4"/>
  <c r="GL29" i="4" s="1"/>
  <c r="CP29" i="4"/>
  <c r="GJ29" i="4" s="1"/>
  <c r="CO29" i="4"/>
  <c r="CN29" i="4"/>
  <c r="DY29" i="4" s="1"/>
  <c r="CM29" i="4"/>
  <c r="DX29" i="4" s="1"/>
  <c r="CL29" i="4"/>
  <c r="DW29" i="4" s="1"/>
  <c r="CK29" i="4"/>
  <c r="CZ29" i="4" s="1"/>
  <c r="CJ29" i="4"/>
  <c r="CY29" i="4" s="1"/>
  <c r="CI29" i="4"/>
  <c r="CH29" i="4"/>
  <c r="CG29" i="4"/>
  <c r="CG29" i="4" a="1"/>
  <c r="AX29" i="4"/>
  <c r="AW29" i="4"/>
  <c r="AV29" i="4"/>
  <c r="J29" i="4"/>
  <c r="G29" i="4"/>
  <c r="IW28" i="4"/>
  <c r="IV28" i="4"/>
  <c r="IP28" i="4"/>
  <c r="HX28" i="4" a="1"/>
  <c r="HX28" i="4" s="1"/>
  <c r="HW28" i="4"/>
  <c r="HW28" i="4" a="1"/>
  <c r="HV28" i="4" a="1"/>
  <c r="HV28" i="4" s="1"/>
  <c r="IU28" i="4" s="1"/>
  <c r="HU28" i="4" a="1"/>
  <c r="HU28" i="4" s="1"/>
  <c r="IT28" i="4" s="1"/>
  <c r="HT28" i="4"/>
  <c r="IS28" i="4" s="1"/>
  <c r="HT28" i="4" a="1"/>
  <c r="HS28" i="4"/>
  <c r="IR28" i="4" s="1"/>
  <c r="HS28" i="4" a="1"/>
  <c r="HR28" i="4"/>
  <c r="IQ28" i="4" s="1"/>
  <c r="HR28" i="4" a="1"/>
  <c r="HQ28" i="4"/>
  <c r="HQ28" i="4" a="1"/>
  <c r="HP28" i="4" a="1"/>
  <c r="HP28" i="4" s="1"/>
  <c r="IO28" i="4" s="1"/>
  <c r="HL28" i="4"/>
  <c r="HJ28" i="4"/>
  <c r="HH28" i="4"/>
  <c r="HB28" i="4"/>
  <c r="HA28" i="4"/>
  <c r="GZ28" i="4"/>
  <c r="GY28" i="4"/>
  <c r="GX28" i="4"/>
  <c r="GW28" i="4"/>
  <c r="GV28" i="4"/>
  <c r="GU28" i="4"/>
  <c r="GT28" i="4"/>
  <c r="GP28" i="4"/>
  <c r="GM28" i="4"/>
  <c r="GL28" i="4"/>
  <c r="GI28" i="4"/>
  <c r="GH28" i="4"/>
  <c r="GG28" i="4"/>
  <c r="GF28" i="4"/>
  <c r="GE28" i="4"/>
  <c r="GB28" i="4"/>
  <c r="GA28" i="4"/>
  <c r="FZ28" i="4"/>
  <c r="FY28" i="4"/>
  <c r="FW28" i="4"/>
  <c r="FV28" i="4"/>
  <c r="FU28" i="4"/>
  <c r="FT28" i="4"/>
  <c r="FS28" i="4"/>
  <c r="FR28" i="4"/>
  <c r="FQ28" i="4"/>
  <c r="FP28" i="4"/>
  <c r="FL28" i="4"/>
  <c r="FJ28" i="4"/>
  <c r="FM28" i="4" s="1"/>
  <c r="FI28" i="4"/>
  <c r="FH28" i="4"/>
  <c r="FK28" i="4" s="1"/>
  <c r="FG28" i="4"/>
  <c r="FF28" i="4"/>
  <c r="FE28" i="4"/>
  <c r="FD28" i="4"/>
  <c r="FB28" i="4"/>
  <c r="FA28" i="4"/>
  <c r="EZ28" i="4"/>
  <c r="EY28" i="4"/>
  <c r="EX28" i="4"/>
  <c r="EW28" i="4"/>
  <c r="EV28" i="4"/>
  <c r="EU28" i="4"/>
  <c r="ET28" i="4"/>
  <c r="ES28" i="4"/>
  <c r="ER28" i="4"/>
  <c r="EQ28" i="4"/>
  <c r="EP28" i="4"/>
  <c r="EO28" i="4"/>
  <c r="EN28" i="4"/>
  <c r="EM28" i="4"/>
  <c r="EL28" i="4"/>
  <c r="EK28" i="4"/>
  <c r="EJ28" i="4"/>
  <c r="EI28" i="4"/>
  <c r="EH28" i="4"/>
  <c r="EG28" i="4"/>
  <c r="EF28" i="4"/>
  <c r="EE28" i="4"/>
  <c r="ED28" i="4"/>
  <c r="EC28" i="4"/>
  <c r="EB28" i="4"/>
  <c r="EA28" i="4"/>
  <c r="DZ28" i="4"/>
  <c r="DY28" i="4"/>
  <c r="DW28" i="4"/>
  <c r="DU28" i="4"/>
  <c r="DT28" i="4"/>
  <c r="DS28" i="4"/>
  <c r="DR28" i="4"/>
  <c r="DQ28" i="4"/>
  <c r="DP28" i="4"/>
  <c r="DO28" i="4"/>
  <c r="DN28" i="4"/>
  <c r="DK28" i="4"/>
  <c r="DJ28" i="4"/>
  <c r="DI28" i="4"/>
  <c r="DH28" i="4"/>
  <c r="DG28" i="4"/>
  <c r="DF28" i="4"/>
  <c r="DE28" i="4"/>
  <c r="DD28" i="4"/>
  <c r="DB28" i="4"/>
  <c r="DA28" i="4"/>
  <c r="CV28" i="4"/>
  <c r="CU28" i="4"/>
  <c r="CT28" i="4"/>
  <c r="CS28" i="4"/>
  <c r="GN28" i="4" s="1"/>
  <c r="CR28" i="4"/>
  <c r="CQ28" i="4"/>
  <c r="CP28" i="4"/>
  <c r="GJ28" i="4" s="1"/>
  <c r="GK28" i="4" s="1"/>
  <c r="CO28" i="4"/>
  <c r="CN28" i="4"/>
  <c r="CM28" i="4"/>
  <c r="DX28" i="4" s="1"/>
  <c r="CL28" i="4"/>
  <c r="CG28" i="4" a="1"/>
  <c r="CG28" i="4" s="1"/>
  <c r="AW28" i="4"/>
  <c r="AV28" i="4"/>
  <c r="J28" i="4"/>
  <c r="G28" i="4"/>
  <c r="IQ27" i="4"/>
  <c r="IO27" i="4"/>
  <c r="IN27" i="4"/>
  <c r="IX27" i="4" s="1"/>
  <c r="HX27" i="4" a="1"/>
  <c r="HX27" i="4" s="1"/>
  <c r="IW27" i="4" s="1"/>
  <c r="HW27" i="4"/>
  <c r="IV27" i="4" s="1"/>
  <c r="HW27" i="4" a="1"/>
  <c r="HV27" i="4" a="1"/>
  <c r="HV27" i="4" s="1"/>
  <c r="IU27" i="4" s="1"/>
  <c r="HU27" i="4"/>
  <c r="IT27" i="4" s="1"/>
  <c r="HU27" i="4" a="1"/>
  <c r="HT27" i="4"/>
  <c r="IS27" i="4" s="1"/>
  <c r="HT27" i="4" a="1"/>
  <c r="HS27" i="4" a="1"/>
  <c r="HS27" i="4" s="1"/>
  <c r="IR27" i="4" s="1"/>
  <c r="HR27" i="4" a="1"/>
  <c r="HR27" i="4" s="1"/>
  <c r="HQ27" i="4"/>
  <c r="HQ27" i="4" a="1"/>
  <c r="HP27" i="4"/>
  <c r="HP27" i="4" a="1"/>
  <c r="HL27" i="4"/>
  <c r="HJ27" i="4"/>
  <c r="HH27" i="4"/>
  <c r="HB27" i="4"/>
  <c r="HA27" i="4"/>
  <c r="GZ27" i="4"/>
  <c r="GY27" i="4"/>
  <c r="GX27" i="4"/>
  <c r="GW27" i="4"/>
  <c r="GV27" i="4"/>
  <c r="GU27" i="4"/>
  <c r="GT27" i="4"/>
  <c r="GP27" i="4"/>
  <c r="GN27" i="4"/>
  <c r="GK27" i="4"/>
  <c r="GJ27" i="4"/>
  <c r="GI27" i="4"/>
  <c r="GH27" i="4"/>
  <c r="GG27" i="4"/>
  <c r="GF27" i="4"/>
  <c r="GE27" i="4"/>
  <c r="GB27" i="4"/>
  <c r="GA27" i="4"/>
  <c r="FZ27" i="4"/>
  <c r="FY27" i="4"/>
  <c r="FW27" i="4"/>
  <c r="FV27" i="4"/>
  <c r="FU27" i="4"/>
  <c r="FT27" i="4"/>
  <c r="FS27" i="4"/>
  <c r="FR27" i="4"/>
  <c r="FQ27" i="4"/>
  <c r="FP27" i="4"/>
  <c r="FN27" i="4"/>
  <c r="FM27" i="4"/>
  <c r="FJ27" i="4"/>
  <c r="FI27" i="4"/>
  <c r="FH27" i="4"/>
  <c r="FK27" i="4" s="1"/>
  <c r="FG27" i="4"/>
  <c r="FF27" i="4"/>
  <c r="FE27" i="4"/>
  <c r="FD27" i="4"/>
  <c r="FB27" i="4"/>
  <c r="FA27" i="4"/>
  <c r="EZ27" i="4"/>
  <c r="EY27" i="4"/>
  <c r="EX27" i="4"/>
  <c r="EW27" i="4"/>
  <c r="EV27" i="4"/>
  <c r="EU27" i="4"/>
  <c r="ET27" i="4"/>
  <c r="ES27" i="4"/>
  <c r="ER27" i="4"/>
  <c r="EQ27" i="4"/>
  <c r="EP27" i="4"/>
  <c r="EO27" i="4"/>
  <c r="EN27" i="4"/>
  <c r="EM27" i="4"/>
  <c r="EL27" i="4"/>
  <c r="EK27" i="4"/>
  <c r="EJ27" i="4"/>
  <c r="EI27" i="4"/>
  <c r="EH27" i="4"/>
  <c r="EG27" i="4"/>
  <c r="EF27" i="4"/>
  <c r="EE27" i="4"/>
  <c r="ED27" i="4"/>
  <c r="EC27" i="4"/>
  <c r="EB27" i="4"/>
  <c r="EA27" i="4"/>
  <c r="DU27" i="4"/>
  <c r="DT27" i="4"/>
  <c r="DS27" i="4"/>
  <c r="DR27" i="4"/>
  <c r="DQ27" i="4"/>
  <c r="DP27" i="4"/>
  <c r="DO27" i="4"/>
  <c r="DN27" i="4"/>
  <c r="DK27" i="4"/>
  <c r="DJ27" i="4"/>
  <c r="DI27" i="4"/>
  <c r="DH27" i="4"/>
  <c r="DG27" i="4"/>
  <c r="DF27" i="4"/>
  <c r="DE27" i="4"/>
  <c r="DD27" i="4"/>
  <c r="DB27" i="4"/>
  <c r="DA27" i="4"/>
  <c r="CV27" i="4"/>
  <c r="CU27" i="4"/>
  <c r="CT27" i="4"/>
  <c r="CS27" i="4"/>
  <c r="CR27" i="4"/>
  <c r="GM27" i="4" s="1"/>
  <c r="CQ27" i="4"/>
  <c r="GL27" i="4" s="1"/>
  <c r="CP27" i="4"/>
  <c r="CO27" i="4"/>
  <c r="DZ27" i="4" s="1"/>
  <c r="CN27" i="4"/>
  <c r="DY27" i="4" s="1"/>
  <c r="CM27" i="4"/>
  <c r="DX27" i="4" s="1"/>
  <c r="CL27" i="4"/>
  <c r="DW27" i="4" s="1"/>
  <c r="CH27" i="4"/>
  <c r="CW27" i="4" s="1"/>
  <c r="CG27" i="4" a="1"/>
  <c r="CG27" i="4" s="1"/>
  <c r="AW27" i="4"/>
  <c r="AV27" i="4"/>
  <c r="J27" i="4"/>
  <c r="HI27" i="4" s="1"/>
  <c r="G27" i="4"/>
  <c r="IV26" i="4"/>
  <c r="IQ26" i="4"/>
  <c r="IP26" i="4"/>
  <c r="IL26" i="4"/>
  <c r="HX26" i="4" a="1"/>
  <c r="HX26" i="4" s="1"/>
  <c r="IW26" i="4" s="1"/>
  <c r="HW26" i="4" a="1"/>
  <c r="HW26" i="4" s="1"/>
  <c r="HV26" i="4"/>
  <c r="IU26" i="4" s="1"/>
  <c r="HV26" i="4" a="1"/>
  <c r="HU26" i="4" a="1"/>
  <c r="HU26" i="4" s="1"/>
  <c r="IT26" i="4" s="1"/>
  <c r="HT26" i="4" a="1"/>
  <c r="HT26" i="4" s="1"/>
  <c r="IS26" i="4" s="1"/>
  <c r="HS26" i="4"/>
  <c r="IR26" i="4" s="1"/>
  <c r="HS26" i="4" a="1"/>
  <c r="HR26" i="4"/>
  <c r="HR26" i="4" a="1"/>
  <c r="HQ26" i="4"/>
  <c r="HQ26" i="4" a="1"/>
  <c r="HP26" i="4"/>
  <c r="IO26" i="4" s="1"/>
  <c r="HP26" i="4" a="1"/>
  <c r="HL26" i="4"/>
  <c r="HJ26" i="4"/>
  <c r="HH26" i="4"/>
  <c r="HI26" i="4" s="1"/>
  <c r="HB26" i="4"/>
  <c r="HA26" i="4"/>
  <c r="GZ26" i="4"/>
  <c r="GY26" i="4"/>
  <c r="GX26" i="4"/>
  <c r="GW26" i="4"/>
  <c r="GV26" i="4"/>
  <c r="GU26" i="4"/>
  <c r="GT26" i="4"/>
  <c r="HC26" i="4" s="1"/>
  <c r="GP26" i="4"/>
  <c r="GN26" i="4"/>
  <c r="GL26" i="4"/>
  <c r="GJ26" i="4"/>
  <c r="GK26" i="4" s="1"/>
  <c r="GI26" i="4"/>
  <c r="GH26" i="4"/>
  <c r="GG26" i="4"/>
  <c r="GF26" i="4"/>
  <c r="GE26" i="4"/>
  <c r="GD26" i="4"/>
  <c r="GC26" i="4"/>
  <c r="GB26" i="4"/>
  <c r="GA26" i="4"/>
  <c r="FZ26" i="4"/>
  <c r="FY26" i="4"/>
  <c r="FX26" i="4"/>
  <c r="FW26" i="4"/>
  <c r="FV26" i="4"/>
  <c r="FU26" i="4"/>
  <c r="FT26" i="4"/>
  <c r="FS26" i="4"/>
  <c r="FR26" i="4"/>
  <c r="FQ26" i="4"/>
  <c r="FP26" i="4"/>
  <c r="FO26" i="4"/>
  <c r="FJ26" i="4"/>
  <c r="FI26" i="4"/>
  <c r="FH26" i="4"/>
  <c r="FG26" i="4"/>
  <c r="FF26" i="4"/>
  <c r="FL26" i="4" s="1"/>
  <c r="FE26" i="4"/>
  <c r="FN26" i="4" s="1"/>
  <c r="FD26" i="4"/>
  <c r="FC26" i="4"/>
  <c r="FB26" i="4"/>
  <c r="FA26" i="4"/>
  <c r="EZ26" i="4"/>
  <c r="EY26" i="4"/>
  <c r="EX26" i="4"/>
  <c r="EW26" i="4"/>
  <c r="EV26" i="4"/>
  <c r="EU26" i="4"/>
  <c r="ET26" i="4"/>
  <c r="ES26" i="4"/>
  <c r="ER26" i="4"/>
  <c r="EQ26" i="4"/>
  <c r="EP26" i="4"/>
  <c r="EO26" i="4"/>
  <c r="EN26" i="4"/>
  <c r="EM26" i="4"/>
  <c r="EL26" i="4"/>
  <c r="EK26" i="4"/>
  <c r="EJ26" i="4"/>
  <c r="EI26" i="4"/>
  <c r="EH26" i="4"/>
  <c r="EG26" i="4"/>
  <c r="EF26" i="4"/>
  <c r="EE26" i="4"/>
  <c r="ED26" i="4"/>
  <c r="EC26" i="4"/>
  <c r="EB26" i="4"/>
  <c r="EA26" i="4"/>
  <c r="DV26" i="4"/>
  <c r="DU26" i="4"/>
  <c r="DT26" i="4"/>
  <c r="DS26" i="4"/>
  <c r="DR26" i="4"/>
  <c r="DQ26" i="4"/>
  <c r="DP26" i="4"/>
  <c r="DO26" i="4"/>
  <c r="DN26" i="4"/>
  <c r="DL26" i="4"/>
  <c r="DK26" i="4"/>
  <c r="DJ26" i="4"/>
  <c r="DI26" i="4"/>
  <c r="DH26" i="4"/>
  <c r="DG26" i="4"/>
  <c r="DF26" i="4"/>
  <c r="DE26" i="4"/>
  <c r="DD26" i="4"/>
  <c r="DC26" i="4"/>
  <c r="DB26" i="4"/>
  <c r="DA26" i="4"/>
  <c r="CV26" i="4"/>
  <c r="CU26" i="4"/>
  <c r="CT26" i="4"/>
  <c r="CS26" i="4"/>
  <c r="CR26" i="4"/>
  <c r="GM26" i="4" s="1"/>
  <c r="CQ26" i="4"/>
  <c r="CP26" i="4"/>
  <c r="CO26" i="4"/>
  <c r="DZ26" i="4" s="1"/>
  <c r="CN26" i="4"/>
  <c r="DY26" i="4" s="1"/>
  <c r="CM26" i="4"/>
  <c r="DX26" i="4" s="1"/>
  <c r="CL26" i="4"/>
  <c r="DW26" i="4" s="1"/>
  <c r="CG26" i="4"/>
  <c r="CG26" i="4" a="1"/>
  <c r="AW26" i="4"/>
  <c r="AV26" i="4"/>
  <c r="J26" i="4"/>
  <c r="G26" i="4"/>
  <c r="IX25" i="4"/>
  <c r="IQ25" i="4"/>
  <c r="IN25" i="4"/>
  <c r="IM25" i="4"/>
  <c r="IL25" i="4"/>
  <c r="HX25" i="4" a="1"/>
  <c r="HX25" i="4" s="1"/>
  <c r="IW25" i="4" s="1"/>
  <c r="HW25" i="4"/>
  <c r="IV25" i="4" s="1"/>
  <c r="HW25" i="4" a="1"/>
  <c r="HV25" i="4" a="1"/>
  <c r="HV25" i="4" s="1"/>
  <c r="IU25" i="4" s="1"/>
  <c r="HU25" i="4"/>
  <c r="IT25" i="4" s="1"/>
  <c r="HU25" i="4" a="1"/>
  <c r="HT25" i="4"/>
  <c r="IS25" i="4" s="1"/>
  <c r="HT25" i="4" a="1"/>
  <c r="HS25" i="4"/>
  <c r="IR25" i="4" s="1"/>
  <c r="HS25" i="4" a="1"/>
  <c r="HR25" i="4"/>
  <c r="HR25" i="4" a="1"/>
  <c r="HQ25" i="4" a="1"/>
  <c r="HQ25" i="4" s="1"/>
  <c r="IP25" i="4" s="1"/>
  <c r="HP25" i="4" a="1"/>
  <c r="HP25" i="4" s="1"/>
  <c r="IO25" i="4" s="1"/>
  <c r="HL25" i="4"/>
  <c r="HJ25" i="4"/>
  <c r="HH25" i="4"/>
  <c r="HB25" i="4"/>
  <c r="HA25" i="4"/>
  <c r="GZ25" i="4"/>
  <c r="GY25" i="4"/>
  <c r="GX25" i="4"/>
  <c r="GW25" i="4"/>
  <c r="GV25" i="4"/>
  <c r="GU25" i="4"/>
  <c r="GT25" i="4"/>
  <c r="GP25" i="4"/>
  <c r="GN25" i="4"/>
  <c r="GM25" i="4"/>
  <c r="GI25" i="4"/>
  <c r="GH25" i="4"/>
  <c r="GG25" i="4"/>
  <c r="GF25" i="4"/>
  <c r="GE25" i="4"/>
  <c r="GD25" i="4"/>
  <c r="GC25" i="4"/>
  <c r="GB25" i="4"/>
  <c r="GA25" i="4"/>
  <c r="FZ25" i="4"/>
  <c r="FY25" i="4"/>
  <c r="FX25" i="4"/>
  <c r="FW25" i="4"/>
  <c r="FV25" i="4"/>
  <c r="FU25" i="4"/>
  <c r="FT25" i="4"/>
  <c r="FS25" i="4"/>
  <c r="FR25" i="4"/>
  <c r="FQ25" i="4"/>
  <c r="FJ25" i="4"/>
  <c r="FI25" i="4"/>
  <c r="FL25" i="4" s="1"/>
  <c r="FH25" i="4"/>
  <c r="FK25" i="4" s="1"/>
  <c r="FG25" i="4"/>
  <c r="FF25" i="4"/>
  <c r="FP25" i="4" s="1"/>
  <c r="FE25" i="4"/>
  <c r="FD25" i="4"/>
  <c r="FC25" i="4"/>
  <c r="FB25" i="4"/>
  <c r="FA25" i="4"/>
  <c r="EZ25" i="4"/>
  <c r="EY25" i="4"/>
  <c r="EX25" i="4"/>
  <c r="EW25" i="4"/>
  <c r="EV25" i="4"/>
  <c r="EU25" i="4"/>
  <c r="ET25" i="4"/>
  <c r="ES25" i="4"/>
  <c r="ER25" i="4"/>
  <c r="EQ25" i="4"/>
  <c r="EP25" i="4"/>
  <c r="EO25" i="4"/>
  <c r="EN25" i="4"/>
  <c r="EM25" i="4"/>
  <c r="EL25" i="4"/>
  <c r="EK25" i="4"/>
  <c r="EJ25" i="4"/>
  <c r="EI25" i="4"/>
  <c r="EH25" i="4"/>
  <c r="EG25" i="4"/>
  <c r="EF25" i="4"/>
  <c r="EE25" i="4"/>
  <c r="ED25" i="4"/>
  <c r="EC25" i="4"/>
  <c r="EB25" i="4"/>
  <c r="EA25" i="4"/>
  <c r="DX25" i="4"/>
  <c r="DW25" i="4"/>
  <c r="DV25" i="4"/>
  <c r="DU25" i="4"/>
  <c r="DT25" i="4"/>
  <c r="DS25" i="4"/>
  <c r="DR25" i="4"/>
  <c r="DQ25" i="4"/>
  <c r="DP25" i="4"/>
  <c r="DO25" i="4"/>
  <c r="DN25" i="4"/>
  <c r="DM25" i="4" a="1"/>
  <c r="DM25" i="4" s="1"/>
  <c r="DL25" i="4"/>
  <c r="DK25" i="4"/>
  <c r="DJ25" i="4"/>
  <c r="DI25" i="4"/>
  <c r="DH25" i="4"/>
  <c r="DG25" i="4"/>
  <c r="DF25" i="4"/>
  <c r="DE25" i="4"/>
  <c r="DD25" i="4"/>
  <c r="DC25" i="4"/>
  <c r="DB25" i="4"/>
  <c r="DA25" i="4"/>
  <c r="CY25" i="4"/>
  <c r="CX25" i="4"/>
  <c r="CV25" i="4"/>
  <c r="CU25" i="4"/>
  <c r="CT25" i="4"/>
  <c r="CS25" i="4"/>
  <c r="CR25" i="4"/>
  <c r="CQ25" i="4"/>
  <c r="GL25" i="4" s="1"/>
  <c r="CP25" i="4"/>
  <c r="GJ25" i="4" s="1"/>
  <c r="GK25" i="4" s="1"/>
  <c r="CO25" i="4"/>
  <c r="DZ25" i="4" s="1"/>
  <c r="CN25" i="4"/>
  <c r="DY25" i="4" s="1"/>
  <c r="CM25" i="4"/>
  <c r="CL25" i="4"/>
  <c r="CJ25" i="4"/>
  <c r="CH25" i="4"/>
  <c r="CW25" i="4" s="1"/>
  <c r="CG25" i="4"/>
  <c r="CI25" i="4" s="1"/>
  <c r="CG25" i="4" a="1"/>
  <c r="AW25" i="4"/>
  <c r="AV25" i="4"/>
  <c r="J25" i="4"/>
  <c r="HI25" i="4" s="1"/>
  <c r="G25" i="4"/>
  <c r="IX24" i="4"/>
  <c r="IW24" i="4"/>
  <c r="IV24" i="4"/>
  <c r="IS24" i="4"/>
  <c r="IN24" i="4"/>
  <c r="IM24" i="4"/>
  <c r="IL24" i="4"/>
  <c r="HX24" i="4"/>
  <c r="HX24" i="4" a="1"/>
  <c r="HW24" i="4"/>
  <c r="HW24" i="4" a="1"/>
  <c r="HV24" i="4" a="1"/>
  <c r="HV24" i="4" s="1"/>
  <c r="IU24" i="4" s="1"/>
  <c r="HU24" i="4" a="1"/>
  <c r="HU24" i="4" s="1"/>
  <c r="IT24" i="4" s="1"/>
  <c r="HT24" i="4"/>
  <c r="HT24" i="4" a="1"/>
  <c r="HS24" i="4"/>
  <c r="IR24" i="4" s="1"/>
  <c r="HS24" i="4" a="1"/>
  <c r="HR24" i="4"/>
  <c r="IQ24" i="4" s="1"/>
  <c r="HR24" i="4" a="1"/>
  <c r="HQ24" i="4"/>
  <c r="IP24" i="4" s="1"/>
  <c r="HQ24" i="4" a="1"/>
  <c r="HP24" i="4"/>
  <c r="IO24" i="4" s="1"/>
  <c r="HP24" i="4" a="1"/>
  <c r="HL24" i="4"/>
  <c r="HJ24" i="4"/>
  <c r="HH24" i="4"/>
  <c r="HB24" i="4"/>
  <c r="HA24" i="4"/>
  <c r="GZ24" i="4"/>
  <c r="GY24" i="4"/>
  <c r="GX24" i="4"/>
  <c r="GW24" i="4"/>
  <c r="GV24" i="4"/>
  <c r="GU24" i="4"/>
  <c r="GT24" i="4"/>
  <c r="HC24" i="4" s="1"/>
  <c r="GP24" i="4"/>
  <c r="GN24" i="4"/>
  <c r="GI24" i="4"/>
  <c r="GH24" i="4"/>
  <c r="GG24" i="4"/>
  <c r="GF24" i="4"/>
  <c r="GE24" i="4"/>
  <c r="GD24" i="4"/>
  <c r="GC24" i="4"/>
  <c r="GB24" i="4"/>
  <c r="GA24" i="4"/>
  <c r="FZ24" i="4"/>
  <c r="FY24" i="4"/>
  <c r="FX24" i="4"/>
  <c r="FW24" i="4"/>
  <c r="FV24" i="4"/>
  <c r="FU24" i="4"/>
  <c r="FT24" i="4"/>
  <c r="FS24" i="4"/>
  <c r="FR24" i="4"/>
  <c r="FQ24" i="4"/>
  <c r="FP24" i="4"/>
  <c r="FN24" i="4"/>
  <c r="FM24" i="4"/>
  <c r="FK24" i="4"/>
  <c r="FJ24" i="4"/>
  <c r="FI24" i="4"/>
  <c r="FL24" i="4" s="1"/>
  <c r="FH24" i="4"/>
  <c r="FG24" i="4"/>
  <c r="FF24" i="4"/>
  <c r="FE24" i="4"/>
  <c r="FD24" i="4"/>
  <c r="FC24" i="4"/>
  <c r="FB24" i="4"/>
  <c r="FA24" i="4"/>
  <c r="EZ24" i="4"/>
  <c r="EY24" i="4"/>
  <c r="EX24" i="4"/>
  <c r="EW24" i="4"/>
  <c r="EV24" i="4"/>
  <c r="EU24" i="4"/>
  <c r="ET24" i="4"/>
  <c r="ES24" i="4"/>
  <c r="ER24" i="4"/>
  <c r="EQ24" i="4"/>
  <c r="EP24" i="4"/>
  <c r="EO24" i="4"/>
  <c r="EN24" i="4"/>
  <c r="EM24" i="4"/>
  <c r="EL24" i="4"/>
  <c r="EK24" i="4"/>
  <c r="EJ24" i="4"/>
  <c r="EI24" i="4"/>
  <c r="EH24" i="4"/>
  <c r="EG24" i="4"/>
  <c r="EF24" i="4"/>
  <c r="EE24" i="4"/>
  <c r="ED24" i="4"/>
  <c r="EC24" i="4"/>
  <c r="EB24" i="4"/>
  <c r="EA24" i="4"/>
  <c r="DZ24" i="4"/>
  <c r="DW24" i="4"/>
  <c r="DV24" i="4"/>
  <c r="DU24" i="4"/>
  <c r="DT24" i="4"/>
  <c r="DS24" i="4"/>
  <c r="DR24" i="4"/>
  <c r="DQ24" i="4"/>
  <c r="DP24" i="4"/>
  <c r="DO24" i="4"/>
  <c r="DN24" i="4"/>
  <c r="DL24" i="4"/>
  <c r="DK24" i="4"/>
  <c r="DJ24" i="4"/>
  <c r="DI24" i="4"/>
  <c r="DH24" i="4"/>
  <c r="DG24" i="4"/>
  <c r="DF24" i="4"/>
  <c r="DE24" i="4"/>
  <c r="DD24" i="4"/>
  <c r="DC24" i="4"/>
  <c r="DB24" i="4"/>
  <c r="DA24" i="4"/>
  <c r="CV24" i="4"/>
  <c r="CU24" i="4"/>
  <c r="CT24" i="4"/>
  <c r="CS24" i="4"/>
  <c r="CR24" i="4"/>
  <c r="GM24" i="4" s="1"/>
  <c r="CQ24" i="4"/>
  <c r="GL24" i="4" s="1"/>
  <c r="CP24" i="4"/>
  <c r="GJ24" i="4" s="1"/>
  <c r="GK24" i="4" s="1"/>
  <c r="CO24" i="4"/>
  <c r="CN24" i="4"/>
  <c r="DY24" i="4" s="1"/>
  <c r="CM24" i="4"/>
  <c r="DX24" i="4" s="1"/>
  <c r="CL24" i="4"/>
  <c r="CI24" i="4"/>
  <c r="CX24" i="4" s="1"/>
  <c r="CG24" i="4" a="1"/>
  <c r="CG24" i="4" s="1"/>
  <c r="AW24" i="4"/>
  <c r="AV24" i="4"/>
  <c r="J24" i="4"/>
  <c r="G24" i="4"/>
  <c r="IW23" i="4"/>
  <c r="IQ23" i="4"/>
  <c r="IP23" i="4"/>
  <c r="IL23" i="4"/>
  <c r="HX23" i="4"/>
  <c r="HX23" i="4" a="1"/>
  <c r="HW23" i="4" a="1"/>
  <c r="HW23" i="4" s="1"/>
  <c r="IV23" i="4" s="1"/>
  <c r="HV23" i="4"/>
  <c r="IU23" i="4" s="1"/>
  <c r="HV23" i="4" a="1"/>
  <c r="HU23" i="4" a="1"/>
  <c r="HU23" i="4" s="1"/>
  <c r="IT23" i="4" s="1"/>
  <c r="HT23" i="4"/>
  <c r="IS23" i="4" s="1"/>
  <c r="HT23" i="4" a="1"/>
  <c r="HS23" i="4"/>
  <c r="IR23" i="4" s="1"/>
  <c r="HS23" i="4" a="1"/>
  <c r="HR23" i="4"/>
  <c r="HR23" i="4" a="1"/>
  <c r="HQ23" i="4" a="1"/>
  <c r="HQ23" i="4" s="1"/>
  <c r="HP23" i="4"/>
  <c r="IO23" i="4" s="1"/>
  <c r="HP23" i="4" a="1"/>
  <c r="HL23" i="4"/>
  <c r="HJ23" i="4"/>
  <c r="HH23" i="4"/>
  <c r="HB23" i="4"/>
  <c r="HA23" i="4"/>
  <c r="GZ23" i="4"/>
  <c r="GY23" i="4"/>
  <c r="GX23" i="4"/>
  <c r="GW23" i="4"/>
  <c r="GV23" i="4"/>
  <c r="GU23" i="4"/>
  <c r="GT23" i="4"/>
  <c r="GP23" i="4"/>
  <c r="GI23" i="4"/>
  <c r="GH23" i="4"/>
  <c r="GG23" i="4"/>
  <c r="GF23" i="4"/>
  <c r="GE23" i="4"/>
  <c r="GD23" i="4"/>
  <c r="GC23" i="4"/>
  <c r="GB23" i="4"/>
  <c r="GA23" i="4"/>
  <c r="FZ23" i="4"/>
  <c r="FY23" i="4"/>
  <c r="FX23" i="4"/>
  <c r="FW23" i="4"/>
  <c r="FV23" i="4"/>
  <c r="FU23" i="4"/>
  <c r="FT23" i="4"/>
  <c r="FS23" i="4"/>
  <c r="FR23" i="4"/>
  <c r="FQ23" i="4"/>
  <c r="FO23" i="4"/>
  <c r="FL23" i="4"/>
  <c r="FK23" i="4"/>
  <c r="FJ23" i="4"/>
  <c r="FI23" i="4"/>
  <c r="FH23" i="4"/>
  <c r="FG23" i="4"/>
  <c r="FF23" i="4"/>
  <c r="FP23" i="4" s="1"/>
  <c r="FE23" i="4"/>
  <c r="FN23" i="4" s="1"/>
  <c r="FD23" i="4"/>
  <c r="FC23" i="4"/>
  <c r="FB23" i="4"/>
  <c r="FA23" i="4"/>
  <c r="EZ23" i="4"/>
  <c r="EY23" i="4"/>
  <c r="EX23" i="4"/>
  <c r="EW23" i="4"/>
  <c r="EV23" i="4"/>
  <c r="EU23" i="4"/>
  <c r="ET23" i="4"/>
  <c r="ES23" i="4"/>
  <c r="ER23" i="4"/>
  <c r="EQ23" i="4"/>
  <c r="EP23" i="4"/>
  <c r="EO23" i="4"/>
  <c r="EN23" i="4"/>
  <c r="EM23" i="4"/>
  <c r="EL23" i="4"/>
  <c r="EK23" i="4"/>
  <c r="EJ23" i="4"/>
  <c r="EI23" i="4"/>
  <c r="EH23" i="4"/>
  <c r="EG23" i="4"/>
  <c r="EF23" i="4"/>
  <c r="EE23" i="4"/>
  <c r="ED23" i="4"/>
  <c r="EC23" i="4"/>
  <c r="EB23" i="4"/>
  <c r="EA23" i="4"/>
  <c r="DX23" i="4"/>
  <c r="DW23" i="4"/>
  <c r="DV23" i="4"/>
  <c r="DU23" i="4"/>
  <c r="DT23" i="4"/>
  <c r="DS23" i="4"/>
  <c r="DR23" i="4"/>
  <c r="DQ23" i="4"/>
  <c r="DP23" i="4"/>
  <c r="DO23" i="4"/>
  <c r="DN23" i="4"/>
  <c r="DK23" i="4"/>
  <c r="DJ23" i="4"/>
  <c r="DI23" i="4"/>
  <c r="DH23" i="4"/>
  <c r="DG23" i="4"/>
  <c r="DF23" i="4"/>
  <c r="DE23" i="4"/>
  <c r="DD23" i="4"/>
  <c r="DC23" i="4"/>
  <c r="DB23" i="4"/>
  <c r="DA23" i="4"/>
  <c r="CV23" i="4"/>
  <c r="CU23" i="4"/>
  <c r="CT23" i="4"/>
  <c r="CS23" i="4"/>
  <c r="GN23" i="4" s="1"/>
  <c r="CR23" i="4"/>
  <c r="GM23" i="4" s="1"/>
  <c r="CQ23" i="4"/>
  <c r="GL23" i="4" s="1"/>
  <c r="CP23" i="4"/>
  <c r="GJ23" i="4" s="1"/>
  <c r="GK23" i="4" s="1"/>
  <c r="CO23" i="4"/>
  <c r="DZ23" i="4" s="1"/>
  <c r="CN23" i="4"/>
  <c r="DY23" i="4" s="1"/>
  <c r="CM23" i="4"/>
  <c r="CL23" i="4"/>
  <c r="CG23" i="4" a="1"/>
  <c r="CG23" i="4" s="1"/>
  <c r="AW23" i="4"/>
  <c r="AV23" i="4"/>
  <c r="J23" i="4"/>
  <c r="HI23" i="4" s="1"/>
  <c r="G23" i="4"/>
  <c r="IW22" i="4"/>
  <c r="IU22" i="4"/>
  <c r="IO22" i="4"/>
  <c r="IN22" i="4"/>
  <c r="IX22" i="4" s="1"/>
  <c r="IM22" i="4"/>
  <c r="IL22" i="4"/>
  <c r="HX22" i="4"/>
  <c r="HX22" i="4" a="1"/>
  <c r="HW22" i="4"/>
  <c r="IV22" i="4" s="1"/>
  <c r="HW22" i="4" a="1"/>
  <c r="HV22" i="4" a="1"/>
  <c r="HV22" i="4" s="1"/>
  <c r="HU22" i="4"/>
  <c r="IT22" i="4" s="1"/>
  <c r="HU22" i="4" a="1"/>
  <c r="HT22" i="4" a="1"/>
  <c r="HT22" i="4" s="1"/>
  <c r="IS22" i="4" s="1"/>
  <c r="HS22" i="4"/>
  <c r="IR22" i="4" s="1"/>
  <c r="HS22" i="4" a="1"/>
  <c r="HR22" i="4"/>
  <c r="IQ22" i="4" s="1"/>
  <c r="HR22" i="4" a="1"/>
  <c r="HQ22" i="4" a="1"/>
  <c r="HQ22" i="4" s="1"/>
  <c r="IP22" i="4" s="1"/>
  <c r="HP22" i="4" a="1"/>
  <c r="HP22" i="4" s="1"/>
  <c r="HL22" i="4"/>
  <c r="HJ22" i="4"/>
  <c r="HH22" i="4"/>
  <c r="HI22" i="4" s="1"/>
  <c r="HC22" i="4"/>
  <c r="HB22" i="4"/>
  <c r="HA22" i="4"/>
  <c r="GZ22" i="4"/>
  <c r="GY22" i="4"/>
  <c r="GX22" i="4"/>
  <c r="GW22" i="4"/>
  <c r="GV22" i="4"/>
  <c r="GU22" i="4"/>
  <c r="GT22" i="4"/>
  <c r="GP22" i="4"/>
  <c r="GN22" i="4"/>
  <c r="GK22" i="4"/>
  <c r="GJ22" i="4"/>
  <c r="GI22" i="4"/>
  <c r="GH22" i="4"/>
  <c r="GG22" i="4"/>
  <c r="GF22" i="4"/>
  <c r="GE22" i="4"/>
  <c r="GD22" i="4"/>
  <c r="GC22" i="4"/>
  <c r="GB22" i="4"/>
  <c r="GA22" i="4"/>
  <c r="FZ22" i="4"/>
  <c r="FY22" i="4"/>
  <c r="FX22" i="4"/>
  <c r="FW22" i="4"/>
  <c r="FV22" i="4"/>
  <c r="FU22" i="4"/>
  <c r="FT22" i="4"/>
  <c r="FS22" i="4"/>
  <c r="FR22" i="4"/>
  <c r="FQ22" i="4"/>
  <c r="FL22" i="4"/>
  <c r="FK22" i="4"/>
  <c r="FJ22" i="4"/>
  <c r="FM22" i="4" s="1"/>
  <c r="FI22" i="4"/>
  <c r="FH22" i="4"/>
  <c r="FG22" i="4"/>
  <c r="FO22" i="4" s="1"/>
  <c r="FF22" i="4"/>
  <c r="FN22" i="4" s="1"/>
  <c r="FE22" i="4"/>
  <c r="FD22" i="4"/>
  <c r="FC22" i="4"/>
  <c r="FB22" i="4"/>
  <c r="FA22" i="4"/>
  <c r="EZ22" i="4"/>
  <c r="EY22" i="4"/>
  <c r="EX22" i="4"/>
  <c r="EW22" i="4"/>
  <c r="EV22" i="4"/>
  <c r="EU22" i="4"/>
  <c r="ET22" i="4"/>
  <c r="ES22" i="4"/>
  <c r="ER22" i="4"/>
  <c r="EQ22" i="4"/>
  <c r="EP22" i="4"/>
  <c r="EO22" i="4"/>
  <c r="EN22" i="4"/>
  <c r="EM22" i="4"/>
  <c r="EL22" i="4"/>
  <c r="EK22" i="4"/>
  <c r="EJ22" i="4"/>
  <c r="EI22" i="4"/>
  <c r="EH22" i="4"/>
  <c r="EG22" i="4"/>
  <c r="EF22" i="4"/>
  <c r="EE22" i="4"/>
  <c r="ED22" i="4"/>
  <c r="EC22" i="4"/>
  <c r="EB22" i="4"/>
  <c r="EA22" i="4"/>
  <c r="DZ22" i="4"/>
  <c r="DW22" i="4"/>
  <c r="DV22" i="4"/>
  <c r="DU22" i="4"/>
  <c r="DT22" i="4"/>
  <c r="DS22" i="4"/>
  <c r="DR22" i="4"/>
  <c r="DQ22" i="4"/>
  <c r="DP22" i="4"/>
  <c r="DO22" i="4"/>
  <c r="DN22" i="4"/>
  <c r="DM22" i="4" a="1"/>
  <c r="DM22" i="4" s="1"/>
  <c r="DL22" i="4"/>
  <c r="DK22" i="4"/>
  <c r="DJ22" i="4"/>
  <c r="DI22" i="4"/>
  <c r="DH22" i="4"/>
  <c r="DG22" i="4"/>
  <c r="DF22" i="4"/>
  <c r="DE22" i="4"/>
  <c r="DD22" i="4"/>
  <c r="DC22" i="4"/>
  <c r="DB22" i="4"/>
  <c r="DA22" i="4"/>
  <c r="CZ22" i="4"/>
  <c r="CY22" i="4"/>
  <c r="CW22" i="4"/>
  <c r="CV22" i="4"/>
  <c r="CU22" i="4"/>
  <c r="CT22" i="4"/>
  <c r="CS22" i="4"/>
  <c r="CR22" i="4"/>
  <c r="GM22" i="4" s="1"/>
  <c r="CQ22" i="4"/>
  <c r="GL22" i="4" s="1"/>
  <c r="CP22" i="4"/>
  <c r="CO22" i="4"/>
  <c r="CN22" i="4"/>
  <c r="DY22" i="4" s="1"/>
  <c r="CM22" i="4"/>
  <c r="DX22" i="4" s="1"/>
  <c r="CL22" i="4"/>
  <c r="CK22" i="4"/>
  <c r="CJ22" i="4"/>
  <c r="CH22" i="4"/>
  <c r="CG22" i="4"/>
  <c r="CI22" i="4" s="1"/>
  <c r="CX22" i="4" s="1"/>
  <c r="CG22" i="4" a="1"/>
  <c r="AW22" i="4"/>
  <c r="AV22" i="4"/>
  <c r="J22" i="4"/>
  <c r="G22" i="4"/>
  <c r="IV21" i="4"/>
  <c r="IS21" i="4"/>
  <c r="IQ21" i="4"/>
  <c r="IP21" i="4"/>
  <c r="IL21" i="4"/>
  <c r="HX21" i="4" a="1"/>
  <c r="HX21" i="4" s="1"/>
  <c r="IW21" i="4" s="1"/>
  <c r="HW21" i="4"/>
  <c r="HW21" i="4" a="1"/>
  <c r="HV21" i="4" a="1"/>
  <c r="HV21" i="4" s="1"/>
  <c r="IU21" i="4" s="1"/>
  <c r="HU21" i="4"/>
  <c r="IT21" i="4" s="1"/>
  <c r="HU21" i="4" a="1"/>
  <c r="HT21" i="4"/>
  <c r="HT21" i="4" a="1"/>
  <c r="HS21" i="4" a="1"/>
  <c r="HS21" i="4" s="1"/>
  <c r="IR21" i="4" s="1"/>
  <c r="HR21" i="4" a="1"/>
  <c r="HR21" i="4" s="1"/>
  <c r="HQ21" i="4"/>
  <c r="HQ21" i="4" a="1"/>
  <c r="HP21" i="4"/>
  <c r="IO21" i="4" s="1"/>
  <c r="HP21" i="4" a="1"/>
  <c r="HL21" i="4"/>
  <c r="HJ21" i="4"/>
  <c r="HH21" i="4"/>
  <c r="HB21" i="4"/>
  <c r="HA21" i="4"/>
  <c r="GZ21" i="4"/>
  <c r="GY21" i="4"/>
  <c r="GX21" i="4"/>
  <c r="GW21" i="4"/>
  <c r="GV21" i="4"/>
  <c r="GU21" i="4"/>
  <c r="GT21" i="4"/>
  <c r="GP21" i="4"/>
  <c r="GN21" i="4"/>
  <c r="GI21" i="4"/>
  <c r="GH21" i="4"/>
  <c r="GG21" i="4"/>
  <c r="GF21" i="4"/>
  <c r="GE21" i="4"/>
  <c r="GD21" i="4"/>
  <c r="GC21" i="4"/>
  <c r="GB21" i="4"/>
  <c r="GA21" i="4"/>
  <c r="FZ21" i="4"/>
  <c r="FY21" i="4"/>
  <c r="FX21" i="4"/>
  <c r="FW21" i="4"/>
  <c r="FV21" i="4"/>
  <c r="FU21" i="4"/>
  <c r="FT21" i="4"/>
  <c r="FS21" i="4"/>
  <c r="FR21" i="4"/>
  <c r="FQ21" i="4"/>
  <c r="FP21" i="4"/>
  <c r="FK21" i="4"/>
  <c r="FJ21" i="4"/>
  <c r="FM21" i="4" s="1"/>
  <c r="FI21" i="4"/>
  <c r="FL21" i="4" s="1"/>
  <c r="FH21" i="4"/>
  <c r="FG21" i="4"/>
  <c r="FF21" i="4"/>
  <c r="FE21" i="4"/>
  <c r="FD21" i="4"/>
  <c r="FC21" i="4"/>
  <c r="FB21" i="4"/>
  <c r="FA21" i="4"/>
  <c r="EZ21" i="4"/>
  <c r="EY21" i="4"/>
  <c r="EX21" i="4"/>
  <c r="EW21" i="4"/>
  <c r="EV21" i="4"/>
  <c r="EU21" i="4"/>
  <c r="ET21" i="4"/>
  <c r="ES21" i="4"/>
  <c r="ER21" i="4"/>
  <c r="EQ21" i="4"/>
  <c r="EP21" i="4"/>
  <c r="EO21" i="4"/>
  <c r="EN21" i="4"/>
  <c r="EM21" i="4"/>
  <c r="EL21" i="4"/>
  <c r="EK21" i="4"/>
  <c r="EJ21" i="4"/>
  <c r="EI21" i="4"/>
  <c r="EH21" i="4"/>
  <c r="EG21" i="4"/>
  <c r="EF21" i="4"/>
  <c r="EE21" i="4"/>
  <c r="ED21" i="4"/>
  <c r="EC21" i="4"/>
  <c r="EB21" i="4"/>
  <c r="EA21" i="4"/>
  <c r="DZ21" i="4"/>
  <c r="DX21" i="4"/>
  <c r="DV21" i="4"/>
  <c r="DU21" i="4"/>
  <c r="DT21" i="4"/>
  <c r="DS21" i="4"/>
  <c r="DR21" i="4"/>
  <c r="DQ21" i="4"/>
  <c r="DP21" i="4"/>
  <c r="DO21" i="4"/>
  <c r="DN21" i="4"/>
  <c r="DL21" i="4"/>
  <c r="DK21" i="4"/>
  <c r="DJ21" i="4"/>
  <c r="DI21" i="4"/>
  <c r="DH21" i="4"/>
  <c r="DG21" i="4"/>
  <c r="DF21" i="4"/>
  <c r="DE21" i="4"/>
  <c r="DD21" i="4"/>
  <c r="DC21" i="4"/>
  <c r="DB21" i="4"/>
  <c r="DA21" i="4"/>
  <c r="CZ21" i="4"/>
  <c r="CW21" i="4"/>
  <c r="CV21" i="4"/>
  <c r="CU21" i="4"/>
  <c r="CT21" i="4"/>
  <c r="CS21" i="4"/>
  <c r="CR21" i="4"/>
  <c r="GM21" i="4" s="1"/>
  <c r="CQ21" i="4"/>
  <c r="GL21" i="4" s="1"/>
  <c r="CP21" i="4"/>
  <c r="GJ21" i="4" s="1"/>
  <c r="GK21" i="4" s="1"/>
  <c r="CO21" i="4"/>
  <c r="CN21" i="4"/>
  <c r="DY21" i="4" s="1"/>
  <c r="CM21" i="4"/>
  <c r="CL21" i="4"/>
  <c r="DW21" i="4" s="1"/>
  <c r="CK21" i="4"/>
  <c r="CH21" i="4"/>
  <c r="CG21" i="4"/>
  <c r="CG21" i="4" a="1"/>
  <c r="AW21" i="4"/>
  <c r="AV21" i="4"/>
  <c r="J21" i="4"/>
  <c r="HI21" i="4" s="1"/>
  <c r="G21" i="4"/>
  <c r="IT20" i="4"/>
  <c r="IS20" i="4"/>
  <c r="IQ20" i="4"/>
  <c r="IP20" i="4"/>
  <c r="IM20" i="4"/>
  <c r="IL20" i="4"/>
  <c r="HX20" i="4"/>
  <c r="IW20" i="4" s="1"/>
  <c r="HX20" i="4" a="1"/>
  <c r="HW20" i="4" a="1"/>
  <c r="HW20" i="4" s="1"/>
  <c r="IV20" i="4" s="1"/>
  <c r="HV20" i="4"/>
  <c r="IU20" i="4" s="1"/>
  <c r="HV20" i="4" a="1"/>
  <c r="HU20" i="4" a="1"/>
  <c r="HU20" i="4" s="1"/>
  <c r="HT20" i="4"/>
  <c r="HT20" i="4" a="1"/>
  <c r="HS20" i="4"/>
  <c r="IR20" i="4" s="1"/>
  <c r="HS20" i="4" a="1"/>
  <c r="HR20" i="4"/>
  <c r="HR20" i="4" a="1"/>
  <c r="HQ20" i="4" a="1"/>
  <c r="HQ20" i="4" s="1"/>
  <c r="HP20" i="4"/>
  <c r="IO20" i="4" s="1"/>
  <c r="HP20" i="4" a="1"/>
  <c r="HL20" i="4"/>
  <c r="HJ20" i="4"/>
  <c r="HH20" i="4"/>
  <c r="HB20" i="4"/>
  <c r="HA20" i="4"/>
  <c r="GZ20" i="4"/>
  <c r="GY20" i="4"/>
  <c r="GX20" i="4"/>
  <c r="GW20" i="4"/>
  <c r="GV20" i="4"/>
  <c r="GU20" i="4"/>
  <c r="GT20" i="4"/>
  <c r="GP20" i="4"/>
  <c r="GM20" i="4"/>
  <c r="GL20" i="4"/>
  <c r="GJ20" i="4"/>
  <c r="GK20" i="4" s="1"/>
  <c r="GI20" i="4"/>
  <c r="GH20" i="4"/>
  <c r="GG20" i="4"/>
  <c r="GF20" i="4"/>
  <c r="GE20" i="4"/>
  <c r="GD20" i="4"/>
  <c r="GC20" i="4"/>
  <c r="GB20" i="4"/>
  <c r="GA20" i="4"/>
  <c r="FZ20" i="4"/>
  <c r="FY20" i="4"/>
  <c r="FX20" i="4"/>
  <c r="FW20" i="4"/>
  <c r="FV20" i="4"/>
  <c r="FU20" i="4"/>
  <c r="FT20" i="4"/>
  <c r="FS20" i="4"/>
  <c r="FR20" i="4"/>
  <c r="FQ20" i="4"/>
  <c r="FO20" i="4"/>
  <c r="FN20" i="4"/>
  <c r="FK20" i="4"/>
  <c r="FJ20" i="4"/>
  <c r="FM20" i="4" s="1"/>
  <c r="FI20" i="4"/>
  <c r="FL20" i="4" s="1"/>
  <c r="FH20" i="4"/>
  <c r="FG20" i="4"/>
  <c r="FF20" i="4"/>
  <c r="FP20" i="4" s="1"/>
  <c r="FE20" i="4"/>
  <c r="FD20" i="4"/>
  <c r="FC20" i="4"/>
  <c r="FB20" i="4"/>
  <c r="FA20" i="4"/>
  <c r="EZ20" i="4"/>
  <c r="EY20" i="4"/>
  <c r="EX20" i="4"/>
  <c r="EW20" i="4"/>
  <c r="EV20" i="4"/>
  <c r="EU20" i="4"/>
  <c r="ET20" i="4"/>
  <c r="ES20" i="4"/>
  <c r="ER20" i="4"/>
  <c r="EQ20" i="4"/>
  <c r="EP20" i="4"/>
  <c r="EO20" i="4"/>
  <c r="EN20" i="4"/>
  <c r="EM20" i="4"/>
  <c r="EL20" i="4"/>
  <c r="EK20" i="4"/>
  <c r="EJ20" i="4"/>
  <c r="EI20" i="4"/>
  <c r="EH20" i="4"/>
  <c r="EG20" i="4"/>
  <c r="EF20" i="4"/>
  <c r="EE20" i="4"/>
  <c r="ED20" i="4"/>
  <c r="EC20" i="4"/>
  <c r="EB20" i="4"/>
  <c r="EA20" i="4"/>
  <c r="DZ20" i="4"/>
  <c r="DY20" i="4"/>
  <c r="DV20" i="4"/>
  <c r="DU20" i="4"/>
  <c r="DT20" i="4"/>
  <c r="DS20" i="4"/>
  <c r="DR20" i="4"/>
  <c r="DQ20" i="4"/>
  <c r="DP20" i="4"/>
  <c r="DO20" i="4"/>
  <c r="DN20" i="4"/>
  <c r="DM20" i="4" a="1"/>
  <c r="DM20" i="4" s="1"/>
  <c r="DK20" i="4"/>
  <c r="DJ20" i="4"/>
  <c r="DI20" i="4"/>
  <c r="DH20" i="4"/>
  <c r="DG20" i="4"/>
  <c r="DF20" i="4"/>
  <c r="DE20" i="4"/>
  <c r="DD20" i="4"/>
  <c r="DC20" i="4"/>
  <c r="DB20" i="4"/>
  <c r="DA20" i="4"/>
  <c r="CV20" i="4"/>
  <c r="CU20" i="4"/>
  <c r="CT20" i="4"/>
  <c r="CS20" i="4"/>
  <c r="GN20" i="4" s="1"/>
  <c r="CR20" i="4"/>
  <c r="CQ20" i="4"/>
  <c r="CP20" i="4"/>
  <c r="CO20" i="4"/>
  <c r="CN20" i="4"/>
  <c r="CM20" i="4"/>
  <c r="DX20" i="4" s="1"/>
  <c r="CL20" i="4"/>
  <c r="DW20" i="4" s="1"/>
  <c r="CI20" i="4"/>
  <c r="CX20" i="4" s="1"/>
  <c r="CH20" i="4"/>
  <c r="CW20" i="4" s="1"/>
  <c r="CG20" i="4"/>
  <c r="IN20" i="4" s="1"/>
  <c r="IX20" i="4" s="1"/>
  <c r="CG20" i="4" a="1"/>
  <c r="AW20" i="4"/>
  <c r="AV20" i="4"/>
  <c r="J20" i="4"/>
  <c r="HI20" i="4" s="1"/>
  <c r="G20" i="4"/>
  <c r="IW19" i="4"/>
  <c r="IU19" i="4"/>
  <c r="IS19" i="4"/>
  <c r="IR19" i="4"/>
  <c r="IO19" i="4"/>
  <c r="IL19" i="4"/>
  <c r="HX19" i="4"/>
  <c r="HX19" i="4" a="1"/>
  <c r="HW19" i="4" a="1"/>
  <c r="HW19" i="4" s="1"/>
  <c r="IV19" i="4" s="1"/>
  <c r="HV19" i="4" a="1"/>
  <c r="HV19" i="4" s="1"/>
  <c r="HU19" i="4"/>
  <c r="IT19" i="4" s="1"/>
  <c r="HU19" i="4" a="1"/>
  <c r="HT19" i="4" a="1"/>
  <c r="HT19" i="4" s="1"/>
  <c r="HS19" i="4" a="1"/>
  <c r="HS19" i="4" s="1"/>
  <c r="HR19" i="4"/>
  <c r="IQ19" i="4" s="1"/>
  <c r="HR19" i="4" a="1"/>
  <c r="HQ19" i="4"/>
  <c r="IP19" i="4" s="1"/>
  <c r="HQ19" i="4" a="1"/>
  <c r="HP19" i="4"/>
  <c r="HP19" i="4" a="1"/>
  <c r="HL19" i="4"/>
  <c r="HJ19" i="4"/>
  <c r="HH19" i="4"/>
  <c r="HC19" i="4"/>
  <c r="HB19" i="4"/>
  <c r="HA19" i="4"/>
  <c r="GZ19" i="4"/>
  <c r="GY19" i="4"/>
  <c r="GX19" i="4"/>
  <c r="GW19" i="4"/>
  <c r="GV19" i="4"/>
  <c r="GU19" i="4"/>
  <c r="GT19" i="4"/>
  <c r="GP19" i="4"/>
  <c r="GN19" i="4"/>
  <c r="GI19" i="4"/>
  <c r="GH19" i="4"/>
  <c r="GG19" i="4"/>
  <c r="GF19" i="4"/>
  <c r="GE19" i="4"/>
  <c r="GD19" i="4"/>
  <c r="GC19" i="4"/>
  <c r="GB19" i="4"/>
  <c r="GA19" i="4"/>
  <c r="FZ19" i="4"/>
  <c r="FY19" i="4"/>
  <c r="FX19" i="4"/>
  <c r="FW19" i="4"/>
  <c r="FV19" i="4"/>
  <c r="FU19" i="4"/>
  <c r="FT19" i="4"/>
  <c r="FS19" i="4"/>
  <c r="FR19" i="4"/>
  <c r="FQ19" i="4"/>
  <c r="FO19" i="4"/>
  <c r="FJ19" i="4"/>
  <c r="FI19" i="4"/>
  <c r="FL19" i="4" s="1"/>
  <c r="FH19" i="4"/>
  <c r="FG19" i="4"/>
  <c r="FF19" i="4"/>
  <c r="FE19" i="4"/>
  <c r="FD19" i="4"/>
  <c r="FC19" i="4"/>
  <c r="FB19" i="4"/>
  <c r="FA19" i="4"/>
  <c r="EZ19" i="4"/>
  <c r="EY19" i="4"/>
  <c r="EX19" i="4"/>
  <c r="EW19" i="4"/>
  <c r="EV19" i="4"/>
  <c r="EU19" i="4"/>
  <c r="ET19" i="4"/>
  <c r="ES19" i="4"/>
  <c r="ER19" i="4"/>
  <c r="EQ19" i="4"/>
  <c r="EP19" i="4"/>
  <c r="EO19" i="4"/>
  <c r="EN19" i="4"/>
  <c r="EM19" i="4"/>
  <c r="EL19" i="4"/>
  <c r="EK19" i="4"/>
  <c r="EJ19" i="4"/>
  <c r="EI19" i="4"/>
  <c r="EH19" i="4"/>
  <c r="EG19" i="4"/>
  <c r="EF19" i="4"/>
  <c r="EE19" i="4"/>
  <c r="ED19" i="4"/>
  <c r="EC19" i="4"/>
  <c r="EB19" i="4"/>
  <c r="EA19" i="4"/>
  <c r="DZ19" i="4"/>
  <c r="DY19" i="4"/>
  <c r="DW19" i="4"/>
  <c r="DV19" i="4"/>
  <c r="DU19" i="4"/>
  <c r="DT19" i="4"/>
  <c r="DS19" i="4"/>
  <c r="DR19" i="4"/>
  <c r="DQ19" i="4"/>
  <c r="DP19" i="4"/>
  <c r="DO19" i="4"/>
  <c r="DN19" i="4"/>
  <c r="DK19" i="4"/>
  <c r="DJ19" i="4"/>
  <c r="DI19" i="4"/>
  <c r="DH19" i="4"/>
  <c r="DG19" i="4"/>
  <c r="DF19" i="4"/>
  <c r="DE19" i="4"/>
  <c r="DD19" i="4"/>
  <c r="DC19" i="4"/>
  <c r="DB19" i="4"/>
  <c r="DA19" i="4"/>
  <c r="CV19" i="4"/>
  <c r="CU19" i="4"/>
  <c r="CT19" i="4"/>
  <c r="CS19" i="4"/>
  <c r="CR19" i="4"/>
  <c r="GM19" i="4" s="1"/>
  <c r="CQ19" i="4"/>
  <c r="GL19" i="4" s="1"/>
  <c r="CP19" i="4"/>
  <c r="GJ19" i="4" s="1"/>
  <c r="GK19" i="4" s="1"/>
  <c r="CO19" i="4"/>
  <c r="CN19" i="4"/>
  <c r="CM19" i="4"/>
  <c r="DX19" i="4" s="1"/>
  <c r="CL19" i="4"/>
  <c r="CI19" i="4"/>
  <c r="CX19" i="4" s="1"/>
  <c r="CH19" i="4"/>
  <c r="CW19" i="4" s="1"/>
  <c r="CG19" i="4"/>
  <c r="CG19" i="4" a="1"/>
  <c r="AW19" i="4"/>
  <c r="AX19" i="4" s="1"/>
  <c r="AV19" i="4"/>
  <c r="J19" i="4"/>
  <c r="G19" i="4"/>
  <c r="IS18" i="4"/>
  <c r="IQ18" i="4"/>
  <c r="IN18" i="4"/>
  <c r="IX18" i="4" s="1"/>
  <c r="HX18" i="4" a="1"/>
  <c r="HX18" i="4" s="1"/>
  <c r="IW18" i="4" s="1"/>
  <c r="HW18" i="4"/>
  <c r="IV18" i="4" s="1"/>
  <c r="HW18" i="4" a="1"/>
  <c r="HV18" i="4" a="1"/>
  <c r="HV18" i="4" s="1"/>
  <c r="IU18" i="4" s="1"/>
  <c r="HU18" i="4"/>
  <c r="IT18" i="4" s="1"/>
  <c r="HU18" i="4" a="1"/>
  <c r="HT18" i="4"/>
  <c r="HT18" i="4" a="1"/>
  <c r="HS18" i="4" a="1"/>
  <c r="HS18" i="4" s="1"/>
  <c r="IR18" i="4" s="1"/>
  <c r="HR18" i="4" a="1"/>
  <c r="HR18" i="4" s="1"/>
  <c r="HQ18" i="4" a="1"/>
  <c r="HQ18" i="4" s="1"/>
  <c r="IP18" i="4" s="1"/>
  <c r="HP18" i="4"/>
  <c r="IO18" i="4" s="1"/>
  <c r="HP18" i="4" a="1"/>
  <c r="HL18" i="4"/>
  <c r="HJ18" i="4"/>
  <c r="HH18" i="4"/>
  <c r="HB18" i="4"/>
  <c r="HA18" i="4"/>
  <c r="GZ18" i="4"/>
  <c r="GY18" i="4"/>
  <c r="GX18" i="4"/>
  <c r="GW18" i="4"/>
  <c r="GV18" i="4"/>
  <c r="GU18" i="4"/>
  <c r="GT18" i="4"/>
  <c r="GP18" i="4"/>
  <c r="GN18" i="4"/>
  <c r="GI18" i="4"/>
  <c r="GH18" i="4"/>
  <c r="GG18" i="4"/>
  <c r="GF18" i="4"/>
  <c r="GE18" i="4"/>
  <c r="GB18" i="4"/>
  <c r="GA18" i="4"/>
  <c r="FZ18" i="4"/>
  <c r="FY18" i="4"/>
  <c r="FW18" i="4"/>
  <c r="FV18" i="4"/>
  <c r="FU18" i="4"/>
  <c r="FT18" i="4"/>
  <c r="FS18" i="4"/>
  <c r="FR18" i="4"/>
  <c r="FQ18" i="4"/>
  <c r="FP18" i="4"/>
  <c r="FJ18" i="4"/>
  <c r="FM18" i="4" s="1"/>
  <c r="FI18" i="4"/>
  <c r="FL18" i="4" s="1"/>
  <c r="FH18" i="4"/>
  <c r="FK18" i="4" s="1"/>
  <c r="FG18" i="4"/>
  <c r="FF18" i="4"/>
  <c r="FE18" i="4"/>
  <c r="FD18" i="4"/>
  <c r="FB18" i="4"/>
  <c r="FA18" i="4"/>
  <c r="EZ18" i="4"/>
  <c r="EY18" i="4"/>
  <c r="EX18" i="4"/>
  <c r="EW18" i="4"/>
  <c r="EV18" i="4"/>
  <c r="EU18" i="4"/>
  <c r="ET18" i="4"/>
  <c r="ES18" i="4"/>
  <c r="ER18" i="4"/>
  <c r="EQ18" i="4"/>
  <c r="EP18" i="4"/>
  <c r="EO18" i="4"/>
  <c r="EN18" i="4"/>
  <c r="EM18" i="4"/>
  <c r="EL18" i="4"/>
  <c r="EK18" i="4"/>
  <c r="EJ18" i="4"/>
  <c r="EI18" i="4"/>
  <c r="EH18" i="4"/>
  <c r="EG18" i="4"/>
  <c r="EF18" i="4"/>
  <c r="EE18" i="4"/>
  <c r="ED18" i="4"/>
  <c r="EC18" i="4"/>
  <c r="EB18" i="4"/>
  <c r="EA18" i="4"/>
  <c r="DX18" i="4"/>
  <c r="DU18" i="4"/>
  <c r="DT18" i="4"/>
  <c r="DS18" i="4"/>
  <c r="DR18" i="4"/>
  <c r="DQ18" i="4"/>
  <c r="DP18" i="4"/>
  <c r="DO18" i="4"/>
  <c r="DN18" i="4"/>
  <c r="DK18" i="4"/>
  <c r="DJ18" i="4"/>
  <c r="DI18" i="4"/>
  <c r="DH18" i="4"/>
  <c r="DG18" i="4"/>
  <c r="DF18" i="4"/>
  <c r="DE18" i="4"/>
  <c r="DD18" i="4"/>
  <c r="DB18" i="4"/>
  <c r="DA18" i="4"/>
  <c r="CV18" i="4"/>
  <c r="CU18" i="4"/>
  <c r="CT18" i="4"/>
  <c r="CS18" i="4"/>
  <c r="CR18" i="4"/>
  <c r="GM18" i="4" s="1"/>
  <c r="CQ18" i="4"/>
  <c r="GL18" i="4" s="1"/>
  <c r="CP18" i="4"/>
  <c r="GJ18" i="4" s="1"/>
  <c r="GK18" i="4" s="1"/>
  <c r="CO18" i="4"/>
  <c r="DZ18" i="4" s="1"/>
  <c r="CN18" i="4"/>
  <c r="DY18" i="4" s="1"/>
  <c r="CM18" i="4"/>
  <c r="CL18" i="4"/>
  <c r="DW18" i="4" s="1"/>
  <c r="CG18" i="4" a="1"/>
  <c r="CG18" i="4" s="1"/>
  <c r="AW18" i="4"/>
  <c r="AV18" i="4"/>
  <c r="J18" i="4"/>
  <c r="HI18" i="4" s="1"/>
  <c r="G18" i="4"/>
  <c r="IW17" i="4"/>
  <c r="IV17" i="4"/>
  <c r="IT17" i="4"/>
  <c r="IN17" i="4"/>
  <c r="IX17" i="4" s="1"/>
  <c r="IM17" i="4"/>
  <c r="HX17" i="4"/>
  <c r="HX17" i="4" a="1"/>
  <c r="HW17" i="4"/>
  <c r="HW17" i="4" a="1"/>
  <c r="HV17" i="4"/>
  <c r="IU17" i="4" s="1"/>
  <c r="HV17" i="4" a="1"/>
  <c r="HU17" i="4" a="1"/>
  <c r="HU17" i="4" s="1"/>
  <c r="HT17" i="4"/>
  <c r="IS17" i="4" s="1"/>
  <c r="HT17" i="4" a="1"/>
  <c r="HS17" i="4" a="1"/>
  <c r="HS17" i="4" s="1"/>
  <c r="IR17" i="4" s="1"/>
  <c r="HR17" i="4"/>
  <c r="IQ17" i="4" s="1"/>
  <c r="HR17" i="4" a="1"/>
  <c r="HQ17" i="4"/>
  <c r="IP17" i="4" s="1"/>
  <c r="HQ17" i="4" a="1"/>
  <c r="HP17" i="4"/>
  <c r="IO17" i="4" s="1"/>
  <c r="HP17" i="4" a="1"/>
  <c r="HL17" i="4"/>
  <c r="HJ17" i="4"/>
  <c r="HH17" i="4"/>
  <c r="HB17" i="4"/>
  <c r="HA17" i="4"/>
  <c r="GZ17" i="4"/>
  <c r="HC17" i="4" s="1"/>
  <c r="GY17" i="4"/>
  <c r="GX17" i="4"/>
  <c r="GW17" i="4"/>
  <c r="GV17" i="4"/>
  <c r="GU17" i="4"/>
  <c r="GT17" i="4"/>
  <c r="GP17" i="4"/>
  <c r="GN17" i="4"/>
  <c r="GL17" i="4"/>
  <c r="GK17" i="4"/>
  <c r="GJ17" i="4"/>
  <c r="GI17" i="4"/>
  <c r="GH17" i="4"/>
  <c r="GG17" i="4"/>
  <c r="GF17" i="4"/>
  <c r="GE17" i="4"/>
  <c r="GB17" i="4"/>
  <c r="GA17" i="4"/>
  <c r="FZ17" i="4"/>
  <c r="FY17" i="4"/>
  <c r="FW17" i="4"/>
  <c r="FV17" i="4"/>
  <c r="FU17" i="4"/>
  <c r="FT17" i="4"/>
  <c r="FS17" i="4"/>
  <c r="FR17" i="4"/>
  <c r="FQ17" i="4"/>
  <c r="FP17" i="4"/>
  <c r="FN17" i="4"/>
  <c r="FJ17" i="4"/>
  <c r="FM17" i="4" s="1"/>
  <c r="FI17" i="4"/>
  <c r="FH17" i="4"/>
  <c r="FK17" i="4" s="1"/>
  <c r="FG17" i="4"/>
  <c r="FO17" i="4" s="1"/>
  <c r="FF17" i="4"/>
  <c r="FE17" i="4"/>
  <c r="FD17" i="4"/>
  <c r="FB17" i="4"/>
  <c r="FA17" i="4"/>
  <c r="EZ17" i="4"/>
  <c r="EY17" i="4"/>
  <c r="EX17" i="4"/>
  <c r="EW17" i="4"/>
  <c r="EV17" i="4"/>
  <c r="EU17" i="4"/>
  <c r="ET17" i="4"/>
  <c r="ES17" i="4"/>
  <c r="ER17" i="4"/>
  <c r="EQ17" i="4"/>
  <c r="EP17" i="4"/>
  <c r="EO17" i="4"/>
  <c r="EN17" i="4"/>
  <c r="EM17" i="4"/>
  <c r="EL17" i="4"/>
  <c r="EK17" i="4"/>
  <c r="EJ17" i="4"/>
  <c r="EI17" i="4"/>
  <c r="EH17" i="4"/>
  <c r="EG17" i="4"/>
  <c r="EF17" i="4"/>
  <c r="EE17" i="4"/>
  <c r="ED17" i="4"/>
  <c r="EC17" i="4"/>
  <c r="EB17" i="4"/>
  <c r="EA17" i="4"/>
  <c r="DZ17" i="4"/>
  <c r="DY17" i="4"/>
  <c r="DU17" i="4"/>
  <c r="DT17" i="4"/>
  <c r="DS17" i="4"/>
  <c r="DR17" i="4"/>
  <c r="DQ17" i="4"/>
  <c r="DP17" i="4"/>
  <c r="DO17" i="4"/>
  <c r="DN17" i="4"/>
  <c r="DM17" i="4" a="1"/>
  <c r="DM17" i="4" s="1"/>
  <c r="DK17" i="4"/>
  <c r="DJ17" i="4"/>
  <c r="DI17" i="4"/>
  <c r="DH17" i="4"/>
  <c r="DG17" i="4"/>
  <c r="DF17" i="4"/>
  <c r="DE17" i="4"/>
  <c r="DD17" i="4"/>
  <c r="DB17" i="4"/>
  <c r="DA17" i="4"/>
  <c r="CW17" i="4"/>
  <c r="CV17" i="4"/>
  <c r="CU17" i="4"/>
  <c r="CT17" i="4"/>
  <c r="CS17" i="4"/>
  <c r="CR17" i="4"/>
  <c r="GM17" i="4" s="1"/>
  <c r="CQ17" i="4"/>
  <c r="CP17" i="4"/>
  <c r="CO17" i="4"/>
  <c r="CN17" i="4"/>
  <c r="CM17" i="4"/>
  <c r="DX17" i="4" s="1"/>
  <c r="CL17" i="4"/>
  <c r="DW17" i="4" s="1"/>
  <c r="CK17" i="4"/>
  <c r="CZ17" i="4" s="1"/>
  <c r="CI17" i="4"/>
  <c r="CX17" i="4" s="1"/>
  <c r="CH17" i="4"/>
  <c r="CG17" i="4"/>
  <c r="DL17" i="4" s="1"/>
  <c r="CG17" i="4" a="1"/>
  <c r="AW17" i="4"/>
  <c r="AV17" i="4"/>
  <c r="J17" i="4"/>
  <c r="HI17" i="4" s="1"/>
  <c r="G17" i="4"/>
  <c r="IS16" i="4"/>
  <c r="HX16" i="4" a="1"/>
  <c r="HX16" i="4" s="1"/>
  <c r="IW16" i="4" s="1"/>
  <c r="HW16" i="4" a="1"/>
  <c r="HW16" i="4" s="1"/>
  <c r="IV16" i="4" s="1"/>
  <c r="HV16" i="4"/>
  <c r="IU16" i="4" s="1"/>
  <c r="HV16" i="4" a="1"/>
  <c r="HU16" i="4" a="1"/>
  <c r="HU16" i="4" s="1"/>
  <c r="IT16" i="4" s="1"/>
  <c r="HT16" i="4"/>
  <c r="HT16" i="4" a="1"/>
  <c r="HS16" i="4" a="1"/>
  <c r="HS16" i="4" s="1"/>
  <c r="IR16" i="4" s="1"/>
  <c r="HR16" i="4" a="1"/>
  <c r="HR16" i="4" s="1"/>
  <c r="IQ16" i="4" s="1"/>
  <c r="HQ16" i="4"/>
  <c r="IP16" i="4" s="1"/>
  <c r="HQ16" i="4" a="1"/>
  <c r="HP16" i="4"/>
  <c r="IO16" i="4" s="1"/>
  <c r="HP16" i="4" a="1"/>
  <c r="HL16" i="4"/>
  <c r="HJ16" i="4"/>
  <c r="HI16" i="4"/>
  <c r="HH16" i="4"/>
  <c r="HB16" i="4"/>
  <c r="HC16" i="4" s="1"/>
  <c r="HA16" i="4"/>
  <c r="GZ16" i="4"/>
  <c r="GY16" i="4"/>
  <c r="GX16" i="4"/>
  <c r="GW16" i="4"/>
  <c r="GV16" i="4"/>
  <c r="GU16" i="4"/>
  <c r="GT16" i="4"/>
  <c r="GP16" i="4"/>
  <c r="GN16" i="4"/>
  <c r="GM16" i="4"/>
  <c r="GL16" i="4"/>
  <c r="GK16" i="4"/>
  <c r="GJ16" i="4"/>
  <c r="GI16" i="4"/>
  <c r="GH16" i="4"/>
  <c r="GG16" i="4"/>
  <c r="GF16" i="4"/>
  <c r="GE16" i="4"/>
  <c r="GB16" i="4"/>
  <c r="GA16" i="4"/>
  <c r="FZ16" i="4"/>
  <c r="FY16" i="4"/>
  <c r="FW16" i="4"/>
  <c r="FV16" i="4"/>
  <c r="FU16" i="4"/>
  <c r="FT16" i="4"/>
  <c r="FS16" i="4"/>
  <c r="FR16" i="4"/>
  <c r="FQ16" i="4"/>
  <c r="FP16" i="4"/>
  <c r="FN16" i="4"/>
  <c r="FJ16" i="4"/>
  <c r="FM16" i="4" s="1"/>
  <c r="FI16" i="4"/>
  <c r="FL16" i="4" s="1"/>
  <c r="FH16" i="4"/>
  <c r="FK16" i="4" s="1"/>
  <c r="FG16" i="4"/>
  <c r="FF16" i="4"/>
  <c r="FE16" i="4"/>
  <c r="FD16" i="4"/>
  <c r="FB16" i="4"/>
  <c r="FA16" i="4"/>
  <c r="EZ16" i="4"/>
  <c r="EY16" i="4"/>
  <c r="EX16" i="4"/>
  <c r="EW16" i="4"/>
  <c r="EV16" i="4"/>
  <c r="EU16" i="4"/>
  <c r="ET16" i="4"/>
  <c r="ES16" i="4"/>
  <c r="ER16" i="4"/>
  <c r="EQ16" i="4"/>
  <c r="EP16" i="4"/>
  <c r="EO16" i="4"/>
  <c r="EN16" i="4"/>
  <c r="EM16" i="4"/>
  <c r="EL16" i="4"/>
  <c r="EK16" i="4"/>
  <c r="EJ16" i="4"/>
  <c r="EI16" i="4"/>
  <c r="EH16" i="4"/>
  <c r="EG16" i="4"/>
  <c r="EF16" i="4"/>
  <c r="EE16" i="4"/>
  <c r="ED16" i="4"/>
  <c r="EC16" i="4"/>
  <c r="EB16" i="4"/>
  <c r="EA16" i="4"/>
  <c r="DY16" i="4"/>
  <c r="DU16" i="4"/>
  <c r="DT16" i="4"/>
  <c r="DS16" i="4"/>
  <c r="DR16" i="4"/>
  <c r="DQ16" i="4"/>
  <c r="DP16" i="4"/>
  <c r="DO16" i="4"/>
  <c r="DN16" i="4"/>
  <c r="DM16" i="4" a="1"/>
  <c r="DM16" i="4" s="1"/>
  <c r="DL16" i="4"/>
  <c r="DK16" i="4"/>
  <c r="DJ16" i="4"/>
  <c r="DI16" i="4"/>
  <c r="DH16" i="4"/>
  <c r="DG16" i="4"/>
  <c r="DF16" i="4"/>
  <c r="DE16" i="4"/>
  <c r="DD16" i="4"/>
  <c r="DB16" i="4"/>
  <c r="DA16" i="4"/>
  <c r="CZ16" i="4"/>
  <c r="CV16" i="4"/>
  <c r="CU16" i="4"/>
  <c r="CT16" i="4"/>
  <c r="CS16" i="4"/>
  <c r="CR16" i="4"/>
  <c r="CQ16" i="4"/>
  <c r="CP16" i="4"/>
  <c r="CO16" i="4"/>
  <c r="DZ16" i="4" s="1"/>
  <c r="CN16" i="4"/>
  <c r="CM16" i="4"/>
  <c r="DX16" i="4" s="1"/>
  <c r="CL16" i="4"/>
  <c r="DW16" i="4" s="1"/>
  <c r="CK16" i="4"/>
  <c r="CG16" i="4" a="1"/>
  <c r="CG16" i="4" s="1"/>
  <c r="AW16" i="4"/>
  <c r="AV16" i="4"/>
  <c r="J16" i="4"/>
  <c r="G16" i="4"/>
  <c r="IV15" i="4"/>
  <c r="IQ15" i="4"/>
  <c r="IO15" i="4"/>
  <c r="IL15" i="4"/>
  <c r="HX15" i="4"/>
  <c r="IW15" i="4" s="1"/>
  <c r="HX15" i="4" a="1"/>
  <c r="HW15" i="4" a="1"/>
  <c r="HW15" i="4" s="1"/>
  <c r="HV15" i="4"/>
  <c r="IU15" i="4" s="1"/>
  <c r="HV15" i="4" a="1"/>
  <c r="HU15" i="4" a="1"/>
  <c r="HU15" i="4" s="1"/>
  <c r="IT15" i="4" s="1"/>
  <c r="HT15" i="4" a="1"/>
  <c r="HT15" i="4" s="1"/>
  <c r="IS15" i="4" s="1"/>
  <c r="HS15" i="4"/>
  <c r="IR15" i="4" s="1"/>
  <c r="HS15" i="4" a="1"/>
  <c r="HR15" i="4" a="1"/>
  <c r="HR15" i="4" s="1"/>
  <c r="HQ15" i="4" a="1"/>
  <c r="HQ15" i="4" s="1"/>
  <c r="IP15" i="4" s="1"/>
  <c r="HP15" i="4"/>
  <c r="HP15" i="4" a="1"/>
  <c r="HL15" i="4"/>
  <c r="HJ15" i="4"/>
  <c r="HH15" i="4"/>
  <c r="HB15" i="4"/>
  <c r="HA15" i="4"/>
  <c r="GZ15" i="4"/>
  <c r="GY15" i="4"/>
  <c r="GX15" i="4"/>
  <c r="GW15" i="4"/>
  <c r="GV15" i="4"/>
  <c r="GU15" i="4"/>
  <c r="GT15" i="4"/>
  <c r="GP15" i="4"/>
  <c r="GL15" i="4"/>
  <c r="GJ15" i="4"/>
  <c r="GK15" i="4" s="1"/>
  <c r="GI15" i="4"/>
  <c r="GH15" i="4"/>
  <c r="GG15" i="4"/>
  <c r="GF15" i="4"/>
  <c r="GE15" i="4"/>
  <c r="GD15" i="4"/>
  <c r="GC15" i="4"/>
  <c r="GB15" i="4"/>
  <c r="GA15" i="4"/>
  <c r="FZ15" i="4"/>
  <c r="FY15" i="4"/>
  <c r="FX15" i="4"/>
  <c r="FW15" i="4"/>
  <c r="FV15" i="4"/>
  <c r="FU15" i="4"/>
  <c r="FT15" i="4"/>
  <c r="FS15" i="4"/>
  <c r="FR15" i="4"/>
  <c r="FQ15" i="4"/>
  <c r="FN15" i="4"/>
  <c r="FJ15" i="4"/>
  <c r="FM15" i="4" s="1"/>
  <c r="FI15" i="4"/>
  <c r="FL15" i="4" s="1"/>
  <c r="FH15" i="4"/>
  <c r="FK15" i="4" s="1"/>
  <c r="FG15" i="4"/>
  <c r="FO15" i="4" s="1"/>
  <c r="FF15" i="4"/>
  <c r="FP15" i="4" s="1"/>
  <c r="FE15" i="4"/>
  <c r="FD15" i="4"/>
  <c r="FC15" i="4"/>
  <c r="FB15" i="4"/>
  <c r="FA15" i="4"/>
  <c r="EZ15" i="4"/>
  <c r="EY15" i="4"/>
  <c r="EX15" i="4"/>
  <c r="EW15" i="4"/>
  <c r="EV15" i="4"/>
  <c r="EU15" i="4"/>
  <c r="ET15" i="4"/>
  <c r="ES15" i="4"/>
  <c r="ER15" i="4"/>
  <c r="EQ15" i="4"/>
  <c r="EP15" i="4"/>
  <c r="EO15" i="4"/>
  <c r="EN15" i="4"/>
  <c r="EM15" i="4"/>
  <c r="EL15" i="4"/>
  <c r="EK15" i="4"/>
  <c r="EJ15" i="4"/>
  <c r="EI15" i="4"/>
  <c r="EH15" i="4"/>
  <c r="EG15" i="4"/>
  <c r="EF15" i="4"/>
  <c r="EE15" i="4"/>
  <c r="ED15" i="4"/>
  <c r="EC15" i="4"/>
  <c r="EB15" i="4"/>
  <c r="EA15" i="4"/>
  <c r="DZ15" i="4"/>
  <c r="DY15" i="4"/>
  <c r="DX15" i="4"/>
  <c r="DW15" i="4"/>
  <c r="DV15" i="4"/>
  <c r="DU15" i="4"/>
  <c r="DT15" i="4"/>
  <c r="DS15" i="4"/>
  <c r="DR15" i="4"/>
  <c r="DQ15" i="4"/>
  <c r="DP15" i="4"/>
  <c r="DO15" i="4"/>
  <c r="DN15" i="4"/>
  <c r="DK15" i="4"/>
  <c r="DJ15" i="4"/>
  <c r="DI15" i="4"/>
  <c r="DH15" i="4"/>
  <c r="DG15" i="4"/>
  <c r="DF15" i="4"/>
  <c r="DE15" i="4"/>
  <c r="DD15" i="4"/>
  <c r="DC15" i="4"/>
  <c r="DB15" i="4"/>
  <c r="DA15" i="4"/>
  <c r="CV15" i="4"/>
  <c r="CU15" i="4"/>
  <c r="CT15" i="4"/>
  <c r="CS15" i="4"/>
  <c r="GN15" i="4" s="1"/>
  <c r="CR15" i="4"/>
  <c r="GM15" i="4" s="1"/>
  <c r="CQ15" i="4"/>
  <c r="CP15" i="4"/>
  <c r="CO15" i="4"/>
  <c r="CN15" i="4"/>
  <c r="CM15" i="4"/>
  <c r="CL15" i="4"/>
  <c r="CG15" i="4" a="1"/>
  <c r="CG15" i="4" s="1"/>
  <c r="AW15" i="4"/>
  <c r="AV15" i="4"/>
  <c r="J15" i="4"/>
  <c r="HI15" i="4" s="1"/>
  <c r="G15" i="4"/>
  <c r="IR14" i="4"/>
  <c r="IL14" i="4"/>
  <c r="HX14" i="4"/>
  <c r="IW14" i="4" s="1"/>
  <c r="HX14" i="4" a="1"/>
  <c r="HW14" i="4" a="1"/>
  <c r="HW14" i="4" s="1"/>
  <c r="IV14" i="4" s="1"/>
  <c r="HV14" i="4" a="1"/>
  <c r="HV14" i="4" s="1"/>
  <c r="IU14" i="4" s="1"/>
  <c r="HU14" i="4"/>
  <c r="IT14" i="4" s="1"/>
  <c r="HU14" i="4" a="1"/>
  <c r="HT14" i="4"/>
  <c r="IS14" i="4" s="1"/>
  <c r="HT14" i="4" a="1"/>
  <c r="HS14" i="4"/>
  <c r="HS14" i="4" a="1"/>
  <c r="HR14" i="4"/>
  <c r="IQ14" i="4" s="1"/>
  <c r="HR14" i="4" a="1"/>
  <c r="HQ14" i="4"/>
  <c r="IP14" i="4" s="1"/>
  <c r="HQ14" i="4" a="1"/>
  <c r="HP14" i="4" a="1"/>
  <c r="HP14" i="4" s="1"/>
  <c r="IO14" i="4" s="1"/>
  <c r="HL14" i="4"/>
  <c r="HJ14" i="4"/>
  <c r="HH14" i="4"/>
  <c r="HB14" i="4"/>
  <c r="HA14" i="4"/>
  <c r="GZ14" i="4"/>
  <c r="GY14" i="4"/>
  <c r="GX14" i="4"/>
  <c r="GW14" i="4"/>
  <c r="GV14" i="4"/>
  <c r="GU14" i="4"/>
  <c r="GT14" i="4"/>
  <c r="GP14" i="4"/>
  <c r="GM14" i="4"/>
  <c r="GJ14" i="4"/>
  <c r="GK14" i="4" s="1"/>
  <c r="GI14" i="4"/>
  <c r="GH14" i="4"/>
  <c r="GG14" i="4"/>
  <c r="GF14" i="4"/>
  <c r="GE14" i="4"/>
  <c r="GD14" i="4"/>
  <c r="GC14" i="4"/>
  <c r="GB14" i="4"/>
  <c r="GA14" i="4"/>
  <c r="FZ14" i="4"/>
  <c r="FY14" i="4"/>
  <c r="FX14" i="4"/>
  <c r="FW14" i="4"/>
  <c r="FV14" i="4"/>
  <c r="FU14" i="4"/>
  <c r="FT14" i="4"/>
  <c r="FS14" i="4"/>
  <c r="FR14" i="4"/>
  <c r="FQ14" i="4"/>
  <c r="FO14" i="4"/>
  <c r="FJ14" i="4"/>
  <c r="FI14" i="4"/>
  <c r="FH14" i="4"/>
  <c r="FG14" i="4"/>
  <c r="FF14" i="4"/>
  <c r="FE14" i="4"/>
  <c r="FD14" i="4"/>
  <c r="FC14" i="4"/>
  <c r="FB14" i="4"/>
  <c r="FA14" i="4"/>
  <c r="EZ14" i="4"/>
  <c r="EY14" i="4"/>
  <c r="EX14" i="4"/>
  <c r="EW14" i="4"/>
  <c r="EV14" i="4"/>
  <c r="EU14" i="4"/>
  <c r="ET14" i="4"/>
  <c r="ES14" i="4"/>
  <c r="ER14" i="4"/>
  <c r="EQ14" i="4"/>
  <c r="EP14" i="4"/>
  <c r="EO14" i="4"/>
  <c r="EN14" i="4"/>
  <c r="EM14" i="4"/>
  <c r="EL14" i="4"/>
  <c r="EK14" i="4"/>
  <c r="EJ14" i="4"/>
  <c r="EI14" i="4"/>
  <c r="EH14" i="4"/>
  <c r="EG14" i="4"/>
  <c r="EF14" i="4"/>
  <c r="EE14" i="4"/>
  <c r="ED14" i="4"/>
  <c r="EC14" i="4"/>
  <c r="EB14" i="4"/>
  <c r="EA14" i="4"/>
  <c r="DZ14" i="4"/>
  <c r="DX14" i="4"/>
  <c r="DV14" i="4"/>
  <c r="DU14" i="4"/>
  <c r="DT14" i="4"/>
  <c r="DS14" i="4"/>
  <c r="DR14" i="4"/>
  <c r="DQ14" i="4"/>
  <c r="DP14" i="4"/>
  <c r="DO14" i="4"/>
  <c r="DN14" i="4"/>
  <c r="DK14" i="4"/>
  <c r="DJ14" i="4"/>
  <c r="DI14" i="4"/>
  <c r="DH14" i="4"/>
  <c r="DG14" i="4"/>
  <c r="DF14" i="4"/>
  <c r="DE14" i="4"/>
  <c r="DD14" i="4"/>
  <c r="DC14" i="4"/>
  <c r="DA14" i="4"/>
  <c r="CV14" i="4"/>
  <c r="CU14" i="4"/>
  <c r="CT14" i="4"/>
  <c r="CS14" i="4"/>
  <c r="GN14" i="4" s="1"/>
  <c r="CR14" i="4"/>
  <c r="CQ14" i="4"/>
  <c r="GL14" i="4" s="1"/>
  <c r="CP14" i="4"/>
  <c r="CO14" i="4"/>
  <c r="CN14" i="4"/>
  <c r="DY14" i="4" s="1"/>
  <c r="CM14" i="4"/>
  <c r="CL14" i="4"/>
  <c r="DW14" i="4" s="1"/>
  <c r="CI14" i="4"/>
  <c r="CX14" i="4" s="1"/>
  <c r="CG14" i="4"/>
  <c r="CG14" i="4" a="1"/>
  <c r="AW14" i="4"/>
  <c r="AV14" i="4"/>
  <c r="J14" i="4"/>
  <c r="HI14" i="4" s="1"/>
  <c r="G14" i="4"/>
  <c r="IU13" i="4"/>
  <c r="IR13" i="4"/>
  <c r="IN13" i="4"/>
  <c r="IX13" i="4" s="1"/>
  <c r="IM13" i="4"/>
  <c r="HX13" i="4"/>
  <c r="IW13" i="4" s="1"/>
  <c r="HX13" i="4" a="1"/>
  <c r="HW13" i="4" a="1"/>
  <c r="HW13" i="4" s="1"/>
  <c r="IV13" i="4" s="1"/>
  <c r="HV13" i="4"/>
  <c r="HV13" i="4" a="1"/>
  <c r="HU13" i="4" a="1"/>
  <c r="HU13" i="4" s="1"/>
  <c r="IT13" i="4" s="1"/>
  <c r="HT13" i="4" a="1"/>
  <c r="HT13" i="4" s="1"/>
  <c r="IS13" i="4" s="1"/>
  <c r="HS13" i="4" a="1"/>
  <c r="HS13" i="4" s="1"/>
  <c r="HR13" i="4" a="1"/>
  <c r="HR13" i="4" s="1"/>
  <c r="IQ13" i="4" s="1"/>
  <c r="HQ13" i="4" a="1"/>
  <c r="HQ13" i="4" s="1"/>
  <c r="IP13" i="4" s="1"/>
  <c r="HP13" i="4"/>
  <c r="IO13" i="4" s="1"/>
  <c r="HP13" i="4" a="1"/>
  <c r="HL13" i="4"/>
  <c r="HJ13" i="4"/>
  <c r="HH13" i="4"/>
  <c r="HB13" i="4"/>
  <c r="HA13" i="4"/>
  <c r="GZ13" i="4"/>
  <c r="GY13" i="4"/>
  <c r="GX13" i="4"/>
  <c r="GW13" i="4"/>
  <c r="GV13" i="4"/>
  <c r="GU13" i="4"/>
  <c r="GT13" i="4"/>
  <c r="GP13" i="4"/>
  <c r="GL13" i="4"/>
  <c r="GI13" i="4"/>
  <c r="GH13" i="4"/>
  <c r="GG13" i="4"/>
  <c r="GF13" i="4"/>
  <c r="GE13" i="4"/>
  <c r="GB13" i="4"/>
  <c r="GA13" i="4"/>
  <c r="FZ13" i="4"/>
  <c r="FY13" i="4"/>
  <c r="FW13" i="4"/>
  <c r="FV13" i="4"/>
  <c r="FU13" i="4"/>
  <c r="FT13" i="4"/>
  <c r="FS13" i="4"/>
  <c r="FR13" i="4"/>
  <c r="FQ13" i="4"/>
  <c r="FK13" i="4"/>
  <c r="FJ13" i="4"/>
  <c r="FM13" i="4" s="1"/>
  <c r="FI13" i="4"/>
  <c r="FL13" i="4" s="1"/>
  <c r="FH13" i="4"/>
  <c r="FG13" i="4"/>
  <c r="FF13" i="4"/>
  <c r="FP13" i="4" s="1"/>
  <c r="FE13" i="4"/>
  <c r="FD13" i="4"/>
  <c r="FB13" i="4"/>
  <c r="FA13" i="4"/>
  <c r="EZ13" i="4"/>
  <c r="EY13" i="4"/>
  <c r="EX13" i="4"/>
  <c r="EW13" i="4"/>
  <c r="EV13" i="4"/>
  <c r="EU13" i="4"/>
  <c r="ET13" i="4"/>
  <c r="ES13" i="4"/>
  <c r="ER13" i="4"/>
  <c r="EQ13" i="4"/>
  <c r="EP13" i="4"/>
  <c r="EO13" i="4"/>
  <c r="EN13" i="4"/>
  <c r="EM13" i="4"/>
  <c r="EL13" i="4"/>
  <c r="EK13" i="4"/>
  <c r="EJ13" i="4"/>
  <c r="EI13" i="4"/>
  <c r="EH13" i="4"/>
  <c r="EG13" i="4"/>
  <c r="EF13" i="4"/>
  <c r="EE13" i="4"/>
  <c r="ED13" i="4"/>
  <c r="EC13" i="4"/>
  <c r="EB13" i="4"/>
  <c r="EA13" i="4"/>
  <c r="DZ13" i="4"/>
  <c r="DX13" i="4"/>
  <c r="DW13" i="4"/>
  <c r="DU13" i="4"/>
  <c r="DT13" i="4"/>
  <c r="DS13" i="4"/>
  <c r="DR13" i="4"/>
  <c r="DQ13" i="4"/>
  <c r="DP13" i="4"/>
  <c r="DO13" i="4"/>
  <c r="DN13" i="4"/>
  <c r="DK13" i="4"/>
  <c r="DJ13" i="4"/>
  <c r="DI13" i="4"/>
  <c r="DH13" i="4"/>
  <c r="DG13" i="4"/>
  <c r="DF13" i="4"/>
  <c r="DE13" i="4"/>
  <c r="DD13" i="4"/>
  <c r="DB13" i="4"/>
  <c r="DA13" i="4"/>
  <c r="CV13" i="4"/>
  <c r="CU13" i="4"/>
  <c r="CT13" i="4"/>
  <c r="CS13" i="4"/>
  <c r="GN13" i="4" s="1"/>
  <c r="CR13" i="4"/>
  <c r="GM13" i="4" s="1"/>
  <c r="CQ13" i="4"/>
  <c r="CP13" i="4"/>
  <c r="GJ13" i="4" s="1"/>
  <c r="GK13" i="4" s="1"/>
  <c r="CO13" i="4"/>
  <c r="CN13" i="4"/>
  <c r="DY13" i="4" s="1"/>
  <c r="CM13" i="4"/>
  <c r="CL13" i="4"/>
  <c r="CG13" i="4" a="1"/>
  <c r="CG13" i="4" s="1"/>
  <c r="AW13" i="4"/>
  <c r="AV13" i="4"/>
  <c r="J13" i="4"/>
  <c r="HI13" i="4" s="1"/>
  <c r="G13" i="4"/>
  <c r="IN12" i="4"/>
  <c r="IX12" i="4" s="1"/>
  <c r="HX12" i="4"/>
  <c r="IW12" i="4" s="1"/>
  <c r="HX12" i="4" a="1"/>
  <c r="HW12" i="4" a="1"/>
  <c r="HW12" i="4" s="1"/>
  <c r="IV12" i="4" s="1"/>
  <c r="HV12" i="4"/>
  <c r="IU12" i="4" s="1"/>
  <c r="HV12" i="4" a="1"/>
  <c r="HU12" i="4" a="1"/>
  <c r="HU12" i="4" s="1"/>
  <c r="IT12" i="4" s="1"/>
  <c r="HT12" i="4" a="1"/>
  <c r="HT12" i="4" s="1"/>
  <c r="IS12" i="4" s="1"/>
  <c r="HS12" i="4"/>
  <c r="IR12" i="4" s="1"/>
  <c r="HS12" i="4" a="1"/>
  <c r="HR12" i="4" a="1"/>
  <c r="HR12" i="4" s="1"/>
  <c r="IQ12" i="4" s="1"/>
  <c r="HQ12" i="4"/>
  <c r="IP12" i="4" s="1"/>
  <c r="HQ12" i="4" a="1"/>
  <c r="HP12" i="4"/>
  <c r="IO12" i="4" s="1"/>
  <c r="HP12" i="4" a="1"/>
  <c r="HL12" i="4"/>
  <c r="HJ12" i="4"/>
  <c r="HI12" i="4"/>
  <c r="HH12" i="4"/>
  <c r="HB12" i="4"/>
  <c r="HA12" i="4"/>
  <c r="GZ12" i="4"/>
  <c r="GY12" i="4"/>
  <c r="GX12" i="4"/>
  <c r="GW12" i="4"/>
  <c r="GV12" i="4"/>
  <c r="GU12" i="4"/>
  <c r="GT12" i="4"/>
  <c r="GP12" i="4"/>
  <c r="GN12" i="4"/>
  <c r="GM12" i="4"/>
  <c r="GL12" i="4"/>
  <c r="GI12" i="4"/>
  <c r="GH12" i="4"/>
  <c r="GG12" i="4"/>
  <c r="GF12" i="4"/>
  <c r="GE12" i="4"/>
  <c r="GB12" i="4"/>
  <c r="GA12" i="4"/>
  <c r="FZ12" i="4"/>
  <c r="FY12" i="4"/>
  <c r="FW12" i="4"/>
  <c r="FV12" i="4"/>
  <c r="FU12" i="4"/>
  <c r="FT12" i="4"/>
  <c r="FS12" i="4"/>
  <c r="FR12" i="4"/>
  <c r="FQ12" i="4"/>
  <c r="FN12" i="4"/>
  <c r="FM12" i="4"/>
  <c r="FL12" i="4"/>
  <c r="FJ12" i="4"/>
  <c r="FI12" i="4"/>
  <c r="FH12" i="4"/>
  <c r="FK12" i="4" s="1"/>
  <c r="FG12" i="4"/>
  <c r="FF12" i="4"/>
  <c r="FP12" i="4" s="1"/>
  <c r="FE12" i="4"/>
  <c r="FO12" i="4" s="1"/>
  <c r="FD12" i="4"/>
  <c r="FB12" i="4"/>
  <c r="FA12" i="4"/>
  <c r="EZ12" i="4"/>
  <c r="EY12" i="4"/>
  <c r="EX12" i="4"/>
  <c r="EW12" i="4"/>
  <c r="EV12" i="4"/>
  <c r="EU12" i="4"/>
  <c r="ET12" i="4"/>
  <c r="ES12" i="4"/>
  <c r="ER12" i="4"/>
  <c r="EQ12" i="4"/>
  <c r="EP12" i="4"/>
  <c r="EO12" i="4"/>
  <c r="EN12" i="4"/>
  <c r="EM12" i="4"/>
  <c r="EL12" i="4"/>
  <c r="EK12" i="4"/>
  <c r="EJ12" i="4"/>
  <c r="EI12" i="4"/>
  <c r="EH12" i="4"/>
  <c r="EG12" i="4"/>
  <c r="EF12" i="4"/>
  <c r="EE12" i="4"/>
  <c r="ED12" i="4"/>
  <c r="EC12" i="4"/>
  <c r="EB12" i="4"/>
  <c r="EA12" i="4"/>
  <c r="DY12" i="4"/>
  <c r="DU12" i="4"/>
  <c r="DT12" i="4"/>
  <c r="DS12" i="4"/>
  <c r="DR12" i="4"/>
  <c r="DQ12" i="4"/>
  <c r="DP12" i="4"/>
  <c r="DO12" i="4"/>
  <c r="DN12" i="4"/>
  <c r="DM12" i="4" a="1"/>
  <c r="DM12" i="4" s="1"/>
  <c r="DL12" i="4"/>
  <c r="DK12" i="4"/>
  <c r="DJ12" i="4"/>
  <c r="DI12" i="4"/>
  <c r="DH12" i="4"/>
  <c r="DG12" i="4"/>
  <c r="DF12" i="4"/>
  <c r="DE12" i="4"/>
  <c r="DD12" i="4"/>
  <c r="DB12" i="4"/>
  <c r="DA12" i="4"/>
  <c r="CY12" i="4"/>
  <c r="CV12" i="4"/>
  <c r="CU12" i="4"/>
  <c r="CT12" i="4"/>
  <c r="CS12" i="4"/>
  <c r="CR12" i="4"/>
  <c r="CQ12" i="4"/>
  <c r="CP12" i="4"/>
  <c r="GJ12" i="4" s="1"/>
  <c r="GK12" i="4" s="1"/>
  <c r="CO12" i="4"/>
  <c r="DZ12" i="4" s="1"/>
  <c r="CN12" i="4"/>
  <c r="CM12" i="4"/>
  <c r="DX12" i="4" s="1"/>
  <c r="CL12" i="4"/>
  <c r="DW12" i="4" s="1"/>
  <c r="CJ12" i="4"/>
  <c r="CI12" i="4"/>
  <c r="CX12" i="4" s="1"/>
  <c r="CG12" i="4"/>
  <c r="CG12" i="4" a="1"/>
  <c r="AW12" i="4"/>
  <c r="AV12" i="4"/>
  <c r="J12" i="4"/>
  <c r="G12" i="4"/>
  <c r="IU11" i="4"/>
  <c r="IR11" i="4"/>
  <c r="IQ11" i="4"/>
  <c r="IP11" i="4"/>
  <c r="IL11" i="4"/>
  <c r="HX11" i="4"/>
  <c r="IW11" i="4" s="1"/>
  <c r="HX11" i="4" a="1"/>
  <c r="HW11" i="4" a="1"/>
  <c r="HW11" i="4" s="1"/>
  <c r="IV11" i="4" s="1"/>
  <c r="HV11" i="4" a="1"/>
  <c r="HV11" i="4" s="1"/>
  <c r="HU11" i="4"/>
  <c r="IT11" i="4" s="1"/>
  <c r="HU11" i="4" a="1"/>
  <c r="HT11" i="4" a="1"/>
  <c r="HT11" i="4" s="1"/>
  <c r="IS11" i="4" s="1"/>
  <c r="HS11" i="4"/>
  <c r="HS11" i="4" a="1"/>
  <c r="HR11" i="4"/>
  <c r="HR11" i="4" a="1"/>
  <c r="HQ11" i="4"/>
  <c r="HQ11" i="4" a="1"/>
  <c r="HP11" i="4" a="1"/>
  <c r="HP11" i="4" s="1"/>
  <c r="IO11" i="4" s="1"/>
  <c r="HL11" i="4"/>
  <c r="HJ11" i="4"/>
  <c r="HI11" i="4"/>
  <c r="HH11" i="4"/>
  <c r="HB11" i="4"/>
  <c r="HA11" i="4"/>
  <c r="GZ11" i="4"/>
  <c r="GY11" i="4"/>
  <c r="GX11" i="4"/>
  <c r="GW11" i="4"/>
  <c r="GV11" i="4"/>
  <c r="GU11" i="4"/>
  <c r="GT11" i="4"/>
  <c r="GP11" i="4"/>
  <c r="GI11" i="4"/>
  <c r="GH11" i="4"/>
  <c r="GG11" i="4"/>
  <c r="GF11" i="4"/>
  <c r="GE11" i="4"/>
  <c r="GD11" i="4"/>
  <c r="GC11" i="4"/>
  <c r="GB11" i="4"/>
  <c r="GA11" i="4"/>
  <c r="FZ11" i="4"/>
  <c r="FY11" i="4"/>
  <c r="FX11" i="4"/>
  <c r="FW11" i="4"/>
  <c r="FV11" i="4"/>
  <c r="FU11" i="4"/>
  <c r="FT11" i="4"/>
  <c r="FS11" i="4"/>
  <c r="FR11" i="4"/>
  <c r="FQ11" i="4"/>
  <c r="FO11" i="4"/>
  <c r="FJ11" i="4"/>
  <c r="FI11" i="4"/>
  <c r="FH11" i="4"/>
  <c r="FG11" i="4"/>
  <c r="FF11" i="4"/>
  <c r="FE11" i="4"/>
  <c r="FD11" i="4"/>
  <c r="FC11" i="4"/>
  <c r="FB11" i="4"/>
  <c r="FA11" i="4"/>
  <c r="EZ11" i="4"/>
  <c r="EY11" i="4"/>
  <c r="EX11" i="4"/>
  <c r="EW11" i="4"/>
  <c r="EV11" i="4"/>
  <c r="EU11" i="4"/>
  <c r="ET11" i="4"/>
  <c r="ES11" i="4"/>
  <c r="ER11" i="4"/>
  <c r="EQ11" i="4"/>
  <c r="EP11" i="4"/>
  <c r="EO11" i="4"/>
  <c r="EN11" i="4"/>
  <c r="EM11" i="4"/>
  <c r="EL11" i="4"/>
  <c r="EK11" i="4"/>
  <c r="EJ11" i="4"/>
  <c r="EI11" i="4"/>
  <c r="EH11" i="4"/>
  <c r="EG11" i="4"/>
  <c r="EF11" i="4"/>
  <c r="EE11" i="4"/>
  <c r="ED11" i="4"/>
  <c r="EC11" i="4"/>
  <c r="EB11" i="4"/>
  <c r="EA11" i="4"/>
  <c r="DZ11" i="4"/>
  <c r="DY11" i="4"/>
  <c r="DW11" i="4"/>
  <c r="DV11" i="4"/>
  <c r="DU11" i="4"/>
  <c r="DT11" i="4"/>
  <c r="DS11" i="4"/>
  <c r="DR11" i="4"/>
  <c r="DQ11" i="4"/>
  <c r="DP11" i="4"/>
  <c r="DO11" i="4"/>
  <c r="DN11" i="4"/>
  <c r="DK11" i="4"/>
  <c r="DJ11" i="4"/>
  <c r="DI11" i="4"/>
  <c r="DH11" i="4"/>
  <c r="DG11" i="4"/>
  <c r="DF11" i="4"/>
  <c r="DE11" i="4"/>
  <c r="DD11" i="4"/>
  <c r="DC11" i="4"/>
  <c r="DB11" i="4"/>
  <c r="DA11" i="4"/>
  <c r="CV11" i="4"/>
  <c r="CU11" i="4"/>
  <c r="CT11" i="4"/>
  <c r="CS11" i="4"/>
  <c r="GN11" i="4" s="1"/>
  <c r="CR11" i="4"/>
  <c r="GM11" i="4" s="1"/>
  <c r="CQ11" i="4"/>
  <c r="GL11" i="4" s="1"/>
  <c r="CP11" i="4"/>
  <c r="GJ11" i="4" s="1"/>
  <c r="GK11" i="4" s="1"/>
  <c r="CO11" i="4"/>
  <c r="CN11" i="4"/>
  <c r="CM11" i="4"/>
  <c r="DX11" i="4" s="1"/>
  <c r="CL11" i="4"/>
  <c r="CG11" i="4" a="1"/>
  <c r="CG11" i="4" s="1"/>
  <c r="AX11" i="4"/>
  <c r="AW11" i="4"/>
  <c r="AV11" i="4"/>
  <c r="J11" i="4"/>
  <c r="G11" i="4"/>
  <c r="IT10" i="4"/>
  <c r="IQ10" i="4"/>
  <c r="IP10" i="4"/>
  <c r="IO10" i="4"/>
  <c r="IM10" i="4"/>
  <c r="IL10" i="4"/>
  <c r="HX10" i="4"/>
  <c r="IW10" i="4" s="1"/>
  <c r="HX10" i="4" a="1"/>
  <c r="HW10" i="4" a="1"/>
  <c r="HW10" i="4" s="1"/>
  <c r="IV10" i="4" s="1"/>
  <c r="HV10" i="4" a="1"/>
  <c r="HV10" i="4" s="1"/>
  <c r="IU10" i="4" s="1"/>
  <c r="HU10" i="4" a="1"/>
  <c r="HU10" i="4" s="1"/>
  <c r="HT10" i="4"/>
  <c r="IS10" i="4" s="1"/>
  <c r="HT10" i="4" a="1"/>
  <c r="HS10" i="4"/>
  <c r="IR10" i="4" s="1"/>
  <c r="HS10" i="4" a="1"/>
  <c r="HR10" i="4"/>
  <c r="HR10" i="4" a="1"/>
  <c r="HQ10" i="4" a="1"/>
  <c r="HQ10" i="4" s="1"/>
  <c r="HP10" i="4"/>
  <c r="HP10" i="4" a="1"/>
  <c r="HL10" i="4"/>
  <c r="HJ10" i="4"/>
  <c r="HH10" i="4"/>
  <c r="HB10" i="4"/>
  <c r="HA10" i="4"/>
  <c r="GZ10" i="4"/>
  <c r="GY10" i="4"/>
  <c r="GX10" i="4"/>
  <c r="GW10" i="4"/>
  <c r="GV10" i="4"/>
  <c r="GU10" i="4"/>
  <c r="HC10" i="4" s="1"/>
  <c r="GT10" i="4"/>
  <c r="GP10" i="4"/>
  <c r="GI10" i="4"/>
  <c r="GH10" i="4"/>
  <c r="GG10" i="4"/>
  <c r="GF10" i="4"/>
  <c r="GE10" i="4"/>
  <c r="GD10" i="4"/>
  <c r="GC10" i="4"/>
  <c r="GB10" i="4"/>
  <c r="GA10" i="4"/>
  <c r="FZ10" i="4"/>
  <c r="FY10" i="4"/>
  <c r="FX10" i="4"/>
  <c r="FW10" i="4"/>
  <c r="FV10" i="4"/>
  <c r="FU10" i="4"/>
  <c r="FT10" i="4"/>
  <c r="FS10" i="4"/>
  <c r="FR10" i="4"/>
  <c r="FQ10" i="4"/>
  <c r="FM10" i="4"/>
  <c r="FL10" i="4"/>
  <c r="FK10" i="4"/>
  <c r="FJ10" i="4"/>
  <c r="FI10" i="4"/>
  <c r="FH10" i="4"/>
  <c r="FG10" i="4"/>
  <c r="FF10" i="4"/>
  <c r="FP10" i="4" s="1"/>
  <c r="FE10" i="4"/>
  <c r="FN10" i="4" s="1"/>
  <c r="FD10" i="4"/>
  <c r="FC10" i="4"/>
  <c r="FB10" i="4"/>
  <c r="FA10" i="4"/>
  <c r="EZ10" i="4"/>
  <c r="EY10" i="4"/>
  <c r="EX10" i="4"/>
  <c r="EW10" i="4"/>
  <c r="EV10" i="4"/>
  <c r="EU10" i="4"/>
  <c r="ET10" i="4"/>
  <c r="ES10" i="4"/>
  <c r="ER10" i="4"/>
  <c r="EQ10" i="4"/>
  <c r="EP10" i="4"/>
  <c r="EO10" i="4"/>
  <c r="EN10" i="4"/>
  <c r="EM10" i="4"/>
  <c r="EL10" i="4"/>
  <c r="EK10" i="4"/>
  <c r="EJ10" i="4"/>
  <c r="EI10" i="4"/>
  <c r="EH10" i="4"/>
  <c r="EG10" i="4"/>
  <c r="EF10" i="4"/>
  <c r="EE10" i="4"/>
  <c r="ED10" i="4"/>
  <c r="EC10" i="4"/>
  <c r="EB10" i="4"/>
  <c r="EA10" i="4"/>
  <c r="DY10" i="4"/>
  <c r="DV10" i="4"/>
  <c r="DU10" i="4"/>
  <c r="DT10" i="4"/>
  <c r="DS10" i="4"/>
  <c r="DR10" i="4"/>
  <c r="DQ10" i="4"/>
  <c r="DP10" i="4"/>
  <c r="DO10" i="4"/>
  <c r="DN10" i="4"/>
  <c r="DM10" i="4"/>
  <c r="DM10" i="4" a="1"/>
  <c r="DK10" i="4"/>
  <c r="DJ10" i="4"/>
  <c r="DI10" i="4"/>
  <c r="DH10" i="4"/>
  <c r="DG10" i="4"/>
  <c r="DF10" i="4"/>
  <c r="DE10" i="4"/>
  <c r="DD10" i="4"/>
  <c r="DC10" i="4"/>
  <c r="DB10" i="4"/>
  <c r="DA10" i="4"/>
  <c r="CV10" i="4"/>
  <c r="CU10" i="4"/>
  <c r="CT10" i="4"/>
  <c r="CS10" i="4"/>
  <c r="GN10" i="4" s="1"/>
  <c r="CR10" i="4"/>
  <c r="GM10" i="4" s="1"/>
  <c r="CQ10" i="4"/>
  <c r="GL10" i="4" s="1"/>
  <c r="CP10" i="4"/>
  <c r="GJ10" i="4" s="1"/>
  <c r="GK10" i="4" s="1"/>
  <c r="CO10" i="4"/>
  <c r="DZ10" i="4" s="1"/>
  <c r="CN10" i="4"/>
  <c r="CM10" i="4"/>
  <c r="DX10" i="4" s="1"/>
  <c r="CL10" i="4"/>
  <c r="DW10" i="4" s="1"/>
  <c r="CI10" i="4"/>
  <c r="CX10" i="4" s="1"/>
  <c r="CH10" i="4"/>
  <c r="CW10" i="4" s="1"/>
  <c r="CG10" i="4"/>
  <c r="CG10" i="4" a="1"/>
  <c r="AW10" i="4"/>
  <c r="AV10" i="4"/>
  <c r="J10" i="4"/>
  <c r="HI10" i="4" s="1"/>
  <c r="G10" i="4"/>
  <c r="IS9" i="4"/>
  <c r="IR9" i="4"/>
  <c r="IQ9" i="4"/>
  <c r="IL9" i="4"/>
  <c r="HX9" i="4"/>
  <c r="IW9" i="4" s="1"/>
  <c r="HX9" i="4" a="1"/>
  <c r="HW9" i="4" a="1"/>
  <c r="HW9" i="4" s="1"/>
  <c r="IV9" i="4" s="1"/>
  <c r="HV9" i="4" a="1"/>
  <c r="HV9" i="4" s="1"/>
  <c r="IU9" i="4" s="1"/>
  <c r="HU9" i="4"/>
  <c r="IT9" i="4" s="1"/>
  <c r="HU9" i="4" a="1"/>
  <c r="HT9" i="4" a="1"/>
  <c r="HT9" i="4" s="1"/>
  <c r="HS9" i="4" a="1"/>
  <c r="HS9" i="4" s="1"/>
  <c r="HR9" i="4"/>
  <c r="HR9" i="4" a="1"/>
  <c r="HQ9" i="4" a="1"/>
  <c r="HQ9" i="4" s="1"/>
  <c r="IP9" i="4" s="1"/>
  <c r="HP9" i="4"/>
  <c r="IO9" i="4" s="1"/>
  <c r="HP9" i="4" a="1"/>
  <c r="HL9" i="4"/>
  <c r="HJ9" i="4"/>
  <c r="HH9" i="4"/>
  <c r="HB9" i="4"/>
  <c r="HA9" i="4"/>
  <c r="GZ9" i="4"/>
  <c r="GY9" i="4"/>
  <c r="GX9" i="4"/>
  <c r="GW9" i="4"/>
  <c r="GV9" i="4"/>
  <c r="GU9" i="4"/>
  <c r="GT9" i="4"/>
  <c r="GP9" i="4"/>
  <c r="GL9" i="4"/>
  <c r="GJ9" i="4"/>
  <c r="GK9" i="4" s="1"/>
  <c r="GI9" i="4"/>
  <c r="GH9" i="4"/>
  <c r="GG9" i="4"/>
  <c r="GF9" i="4"/>
  <c r="GE9" i="4"/>
  <c r="GD9" i="4"/>
  <c r="GC9" i="4"/>
  <c r="GB9" i="4"/>
  <c r="GA9" i="4"/>
  <c r="FZ9" i="4"/>
  <c r="FY9" i="4"/>
  <c r="FX9" i="4"/>
  <c r="FW9" i="4"/>
  <c r="FV9" i="4"/>
  <c r="FU9" i="4"/>
  <c r="FT9" i="4"/>
  <c r="FS9" i="4"/>
  <c r="FR9" i="4"/>
  <c r="FQ9" i="4"/>
  <c r="FO9" i="4"/>
  <c r="FJ9" i="4"/>
  <c r="FI9" i="4"/>
  <c r="FH9" i="4"/>
  <c r="FG9" i="4"/>
  <c r="FF9" i="4"/>
  <c r="FE9" i="4"/>
  <c r="FD9" i="4"/>
  <c r="FC9" i="4"/>
  <c r="FB9" i="4"/>
  <c r="FA9" i="4"/>
  <c r="EZ9" i="4"/>
  <c r="EY9" i="4"/>
  <c r="EX9" i="4"/>
  <c r="EW9" i="4"/>
  <c r="EV9" i="4"/>
  <c r="EU9" i="4"/>
  <c r="ET9" i="4"/>
  <c r="ES9" i="4"/>
  <c r="ER9" i="4"/>
  <c r="EQ9" i="4"/>
  <c r="EP9" i="4"/>
  <c r="EO9" i="4"/>
  <c r="EN9" i="4"/>
  <c r="EM9" i="4"/>
  <c r="EL9" i="4"/>
  <c r="EK9" i="4"/>
  <c r="EJ9" i="4"/>
  <c r="EI9" i="4"/>
  <c r="EH9" i="4"/>
  <c r="EG9" i="4"/>
  <c r="EF9" i="4"/>
  <c r="EE9" i="4"/>
  <c r="ED9" i="4"/>
  <c r="EC9" i="4"/>
  <c r="EB9" i="4"/>
  <c r="EA9" i="4"/>
  <c r="DZ9" i="4"/>
  <c r="DW9" i="4"/>
  <c r="DV9" i="4"/>
  <c r="DU9" i="4"/>
  <c r="DT9" i="4"/>
  <c r="DS9" i="4"/>
  <c r="DR9" i="4"/>
  <c r="DQ9" i="4"/>
  <c r="DP9" i="4"/>
  <c r="DO9" i="4"/>
  <c r="DN9" i="4"/>
  <c r="DK9" i="4"/>
  <c r="DJ9" i="4"/>
  <c r="DI9" i="4"/>
  <c r="DH9" i="4"/>
  <c r="DG9" i="4"/>
  <c r="DF9" i="4"/>
  <c r="DE9" i="4"/>
  <c r="DD9" i="4"/>
  <c r="DC9" i="4"/>
  <c r="DB9" i="4"/>
  <c r="DA9" i="4"/>
  <c r="CV9" i="4"/>
  <c r="CU9" i="4"/>
  <c r="CT9" i="4"/>
  <c r="CS9" i="4"/>
  <c r="GN9" i="4" s="1"/>
  <c r="CR9" i="4"/>
  <c r="GM9" i="4" s="1"/>
  <c r="CQ9" i="4"/>
  <c r="CP9" i="4"/>
  <c r="CO9" i="4"/>
  <c r="CN9" i="4"/>
  <c r="DY9" i="4" s="1"/>
  <c r="CM9" i="4"/>
  <c r="DX9" i="4" s="1"/>
  <c r="CL9" i="4"/>
  <c r="CH9" i="4"/>
  <c r="CW9" i="4" s="1"/>
  <c r="CG9" i="4"/>
  <c r="CG9" i="4" a="1"/>
  <c r="AW9" i="4"/>
  <c r="AV9" i="4"/>
  <c r="J9" i="4"/>
  <c r="G9" i="4"/>
  <c r="IQ8" i="4"/>
  <c r="IM8" i="4"/>
  <c r="HX8" i="4"/>
  <c r="IW8" i="4" s="1"/>
  <c r="HX8" i="4" a="1"/>
  <c r="HW8" i="4"/>
  <c r="IV8" i="4" s="1"/>
  <c r="HW8" i="4" a="1"/>
  <c r="HV8" i="4" a="1"/>
  <c r="HV8" i="4" s="1"/>
  <c r="IU8" i="4" s="1"/>
  <c r="HU8" i="4" a="1"/>
  <c r="HU8" i="4" s="1"/>
  <c r="IT8" i="4" s="1"/>
  <c r="HT8" i="4" a="1"/>
  <c r="HT8" i="4" s="1"/>
  <c r="IS8" i="4" s="1"/>
  <c r="HS8" i="4" a="1"/>
  <c r="HS8" i="4" s="1"/>
  <c r="IR8" i="4" s="1"/>
  <c r="HR8" i="4"/>
  <c r="HR8" i="4" a="1"/>
  <c r="HQ8" i="4" a="1"/>
  <c r="HQ8" i="4" s="1"/>
  <c r="IP8" i="4" s="1"/>
  <c r="HP8" i="4"/>
  <c r="IO8" i="4" s="1"/>
  <c r="HP8" i="4" a="1"/>
  <c r="HL8" i="4"/>
  <c r="HJ8" i="4"/>
  <c r="HH8" i="4"/>
  <c r="HB8" i="4"/>
  <c r="HA8" i="4"/>
  <c r="GZ8" i="4"/>
  <c r="GY8" i="4"/>
  <c r="GX8" i="4"/>
  <c r="GW8" i="4"/>
  <c r="GV8" i="4"/>
  <c r="GU8" i="4"/>
  <c r="GT8" i="4"/>
  <c r="GP8" i="4"/>
  <c r="GM8" i="4"/>
  <c r="GJ8" i="4"/>
  <c r="GK8" i="4" s="1"/>
  <c r="GI8" i="4"/>
  <c r="GH8" i="4"/>
  <c r="GG8" i="4"/>
  <c r="GF8" i="4"/>
  <c r="GE8" i="4"/>
  <c r="GB8" i="4"/>
  <c r="GA8" i="4"/>
  <c r="FZ8" i="4"/>
  <c r="FY8" i="4"/>
  <c r="FW8" i="4"/>
  <c r="FV8" i="4"/>
  <c r="FU8" i="4"/>
  <c r="FT8" i="4"/>
  <c r="FS8" i="4"/>
  <c r="FR8" i="4"/>
  <c r="FQ8" i="4"/>
  <c r="FP8" i="4"/>
  <c r="FO8" i="4"/>
  <c r="FM8" i="4"/>
  <c r="FJ8" i="4"/>
  <c r="FI8" i="4"/>
  <c r="FH8" i="4"/>
  <c r="FG8" i="4"/>
  <c r="FF8" i="4"/>
  <c r="FE8" i="4"/>
  <c r="FD8" i="4"/>
  <c r="FB8" i="4"/>
  <c r="FA8" i="4"/>
  <c r="EZ8" i="4"/>
  <c r="EY8" i="4"/>
  <c r="EX8" i="4"/>
  <c r="EW8" i="4"/>
  <c r="EV8" i="4"/>
  <c r="EU8" i="4"/>
  <c r="ET8" i="4"/>
  <c r="ES8" i="4"/>
  <c r="ER8" i="4"/>
  <c r="EQ8" i="4"/>
  <c r="EP8" i="4"/>
  <c r="EO8" i="4"/>
  <c r="EN8" i="4"/>
  <c r="EM8" i="4"/>
  <c r="EL8" i="4"/>
  <c r="EK8" i="4"/>
  <c r="EJ8" i="4"/>
  <c r="EI8" i="4"/>
  <c r="EH8" i="4"/>
  <c r="EG8" i="4"/>
  <c r="EF8" i="4"/>
  <c r="EE8" i="4"/>
  <c r="ED8" i="4"/>
  <c r="EC8" i="4"/>
  <c r="EB8" i="4"/>
  <c r="EA8" i="4"/>
  <c r="DU8" i="4"/>
  <c r="DT8" i="4"/>
  <c r="DS8" i="4"/>
  <c r="DR8" i="4"/>
  <c r="DQ8" i="4"/>
  <c r="DP8" i="4"/>
  <c r="DO8" i="4"/>
  <c r="DN8" i="4"/>
  <c r="DM8" i="4" a="1"/>
  <c r="DM8" i="4" s="1"/>
  <c r="DL8" i="4"/>
  <c r="DK8" i="4"/>
  <c r="DJ8" i="4"/>
  <c r="DI8" i="4"/>
  <c r="DH8" i="4"/>
  <c r="DG8" i="4"/>
  <c r="DF8" i="4"/>
  <c r="DE8" i="4"/>
  <c r="DD8" i="4"/>
  <c r="DB8" i="4"/>
  <c r="DA8" i="4"/>
  <c r="CY8" i="4"/>
  <c r="CV8" i="4"/>
  <c r="CU8" i="4"/>
  <c r="CT8" i="4"/>
  <c r="CS8" i="4"/>
  <c r="GN8" i="4" s="1"/>
  <c r="CR8" i="4"/>
  <c r="CQ8" i="4"/>
  <c r="GL8" i="4" s="1"/>
  <c r="CP8" i="4"/>
  <c r="CO8" i="4"/>
  <c r="DZ8" i="4" s="1"/>
  <c r="CN8" i="4"/>
  <c r="DY8" i="4" s="1"/>
  <c r="CM8" i="4"/>
  <c r="DX8" i="4" s="1"/>
  <c r="CL8" i="4"/>
  <c r="DW8" i="4" s="1"/>
  <c r="CJ8" i="4"/>
  <c r="CG8" i="4"/>
  <c r="CG8" i="4" a="1"/>
  <c r="AW8" i="4"/>
  <c r="AV8" i="4"/>
  <c r="J8" i="4"/>
  <c r="HI8" i="4" s="1"/>
  <c r="G8" i="4"/>
  <c r="IS7" i="4"/>
  <c r="HX7" i="4"/>
  <c r="IW7" i="4" s="1"/>
  <c r="HX7" i="4" a="1"/>
  <c r="HW7" i="4"/>
  <c r="IV7" i="4" s="1"/>
  <c r="HW7" i="4" a="1"/>
  <c r="HV7" i="4" a="1"/>
  <c r="HV7" i="4" s="1"/>
  <c r="IU7" i="4" s="1"/>
  <c r="HU7" i="4"/>
  <c r="IT7" i="4" s="1"/>
  <c r="HU7" i="4" a="1"/>
  <c r="HT7" i="4"/>
  <c r="HT7" i="4" a="1"/>
  <c r="HS7" i="4" a="1"/>
  <c r="HS7" i="4" s="1"/>
  <c r="IR7" i="4" s="1"/>
  <c r="HR7" i="4" a="1"/>
  <c r="HR7" i="4" s="1"/>
  <c r="IQ7" i="4" s="1"/>
  <c r="HQ7" i="4" a="1"/>
  <c r="HQ7" i="4" s="1"/>
  <c r="IP7" i="4" s="1"/>
  <c r="HP7" i="4" a="1"/>
  <c r="HP7" i="4" s="1"/>
  <c r="IO7" i="4" s="1"/>
  <c r="HL7" i="4"/>
  <c r="HJ7" i="4"/>
  <c r="HI7" i="4"/>
  <c r="HH7" i="4"/>
  <c r="HB7" i="4"/>
  <c r="HA7" i="4"/>
  <c r="GZ7" i="4"/>
  <c r="GY7" i="4"/>
  <c r="GX7" i="4"/>
  <c r="GW7" i="4"/>
  <c r="GV7" i="4"/>
  <c r="HC7" i="4" s="1"/>
  <c r="GU7" i="4"/>
  <c r="GT7" i="4"/>
  <c r="GP7" i="4"/>
  <c r="GI7" i="4"/>
  <c r="GH7" i="4"/>
  <c r="GG7" i="4"/>
  <c r="GF7" i="4"/>
  <c r="GE7" i="4"/>
  <c r="GB7" i="4"/>
  <c r="GA7" i="4"/>
  <c r="FZ7" i="4"/>
  <c r="FY7" i="4"/>
  <c r="FW7" i="4"/>
  <c r="FV7" i="4"/>
  <c r="FU7" i="4"/>
  <c r="FT7" i="4"/>
  <c r="FS7" i="4"/>
  <c r="FR7" i="4"/>
  <c r="FQ7" i="4"/>
  <c r="FP7" i="4"/>
  <c r="FJ7" i="4"/>
  <c r="FM7" i="4" s="1"/>
  <c r="FI7" i="4"/>
  <c r="FH7" i="4"/>
  <c r="FK7" i="4" s="1"/>
  <c r="FG7" i="4"/>
  <c r="FO7" i="4" s="1"/>
  <c r="FF7" i="4"/>
  <c r="FE7" i="4"/>
  <c r="FD7" i="4"/>
  <c r="FB7" i="4"/>
  <c r="FA7" i="4"/>
  <c r="EZ7" i="4"/>
  <c r="EY7" i="4"/>
  <c r="EX7" i="4"/>
  <c r="EW7" i="4"/>
  <c r="EV7" i="4"/>
  <c r="EU7" i="4"/>
  <c r="ET7" i="4"/>
  <c r="ES7" i="4"/>
  <c r="ER7" i="4"/>
  <c r="EQ7" i="4"/>
  <c r="EP7" i="4"/>
  <c r="EO7" i="4"/>
  <c r="EN7" i="4"/>
  <c r="EM7" i="4"/>
  <c r="EL7" i="4"/>
  <c r="EK7" i="4"/>
  <c r="EJ7" i="4"/>
  <c r="EI7" i="4"/>
  <c r="EH7" i="4"/>
  <c r="EG7" i="4"/>
  <c r="EF7" i="4"/>
  <c r="EE7" i="4"/>
  <c r="ED7" i="4"/>
  <c r="EC7" i="4"/>
  <c r="EB7" i="4"/>
  <c r="EA7" i="4"/>
  <c r="DX7" i="4"/>
  <c r="DU7" i="4"/>
  <c r="DT7" i="4"/>
  <c r="DS7" i="4"/>
  <c r="DR7" i="4"/>
  <c r="DQ7" i="4"/>
  <c r="DP7" i="4"/>
  <c r="DO7" i="4"/>
  <c r="DN7" i="4"/>
  <c r="DK7" i="4"/>
  <c r="DJ7" i="4"/>
  <c r="DI7" i="4"/>
  <c r="DH7" i="4"/>
  <c r="DG7" i="4"/>
  <c r="DF7" i="4"/>
  <c r="DE7" i="4"/>
  <c r="DD7" i="4"/>
  <c r="DB7" i="4"/>
  <c r="DA7" i="4"/>
  <c r="CV7" i="4"/>
  <c r="CU7" i="4"/>
  <c r="CT7" i="4"/>
  <c r="CS7" i="4"/>
  <c r="GN7" i="4" s="1"/>
  <c r="CR7" i="4"/>
  <c r="GM7" i="4" s="1"/>
  <c r="CQ7" i="4"/>
  <c r="GL7" i="4" s="1"/>
  <c r="CP7" i="4"/>
  <c r="GJ7" i="4" s="1"/>
  <c r="GK7" i="4" s="1"/>
  <c r="CO7" i="4"/>
  <c r="DZ7" i="4" s="1"/>
  <c r="CN7" i="4"/>
  <c r="DY7" i="4" s="1"/>
  <c r="CM7" i="4"/>
  <c r="CL7" i="4"/>
  <c r="DW7" i="4" s="1"/>
  <c r="CG7" i="4" a="1"/>
  <c r="CG7" i="4" s="1"/>
  <c r="AW7" i="4"/>
  <c r="AV7" i="4"/>
  <c r="J7" i="4"/>
  <c r="G7" i="4"/>
  <c r="IT6" i="4"/>
  <c r="IR6" i="4"/>
  <c r="HX6" i="4"/>
  <c r="IW6" i="4" s="1"/>
  <c r="HX6" i="4" a="1"/>
  <c r="HW6" i="4"/>
  <c r="IV6" i="4" s="1"/>
  <c r="HW6" i="4" a="1"/>
  <c r="HV6" i="4"/>
  <c r="IU6" i="4" s="1"/>
  <c r="HV6" i="4" a="1"/>
  <c r="HU6" i="4" a="1"/>
  <c r="HU6" i="4" s="1"/>
  <c r="HT6" i="4" a="1"/>
  <c r="HT6" i="4" s="1"/>
  <c r="IS6" i="4" s="1"/>
  <c r="HS6" i="4" a="1"/>
  <c r="HS6" i="4" s="1"/>
  <c r="HR6" i="4"/>
  <c r="IQ6" i="4" s="1"/>
  <c r="HR6" i="4" a="1"/>
  <c r="HQ6" i="4"/>
  <c r="IP6" i="4" s="1"/>
  <c r="HQ6" i="4" a="1"/>
  <c r="HP6" i="4" a="1"/>
  <c r="HP6" i="4" s="1"/>
  <c r="IO6" i="4" s="1"/>
  <c r="HL6" i="4"/>
  <c r="HJ6" i="4"/>
  <c r="HH6" i="4"/>
  <c r="HB6" i="4"/>
  <c r="HA6" i="4"/>
  <c r="GZ6" i="4"/>
  <c r="GY6" i="4"/>
  <c r="GX6" i="4"/>
  <c r="GW6" i="4"/>
  <c r="GV6" i="4"/>
  <c r="GU6" i="4"/>
  <c r="GT6" i="4"/>
  <c r="GP6" i="4"/>
  <c r="GN6" i="4"/>
  <c r="GM6" i="4"/>
  <c r="GL6" i="4"/>
  <c r="GI6" i="4"/>
  <c r="GH6" i="4"/>
  <c r="GG6" i="4"/>
  <c r="GF6" i="4"/>
  <c r="GE6" i="4"/>
  <c r="GB6" i="4"/>
  <c r="GA6" i="4"/>
  <c r="FZ6" i="4"/>
  <c r="FY6" i="4"/>
  <c r="FW6" i="4"/>
  <c r="FV6" i="4"/>
  <c r="FU6" i="4"/>
  <c r="FT6" i="4"/>
  <c r="FS6" i="4"/>
  <c r="FR6" i="4"/>
  <c r="FQ6" i="4"/>
  <c r="FO6" i="4"/>
  <c r="FJ6" i="4"/>
  <c r="FI6" i="4"/>
  <c r="FH6" i="4"/>
  <c r="FG6" i="4"/>
  <c r="FF6" i="4"/>
  <c r="FE6" i="4"/>
  <c r="FD6" i="4"/>
  <c r="FB6" i="4"/>
  <c r="FA6" i="4"/>
  <c r="EZ6" i="4"/>
  <c r="EY6" i="4"/>
  <c r="EX6" i="4"/>
  <c r="EW6" i="4"/>
  <c r="EV6" i="4"/>
  <c r="EU6" i="4"/>
  <c r="ET6" i="4"/>
  <c r="ES6" i="4"/>
  <c r="ER6" i="4"/>
  <c r="EQ6" i="4"/>
  <c r="EP6" i="4"/>
  <c r="EO6" i="4"/>
  <c r="EN6" i="4"/>
  <c r="EM6" i="4"/>
  <c r="EL6" i="4"/>
  <c r="EK6" i="4"/>
  <c r="EJ6" i="4"/>
  <c r="EI6" i="4"/>
  <c r="EH6" i="4"/>
  <c r="EG6" i="4"/>
  <c r="EF6" i="4"/>
  <c r="EE6" i="4"/>
  <c r="ED6" i="4"/>
  <c r="EC6" i="4"/>
  <c r="EB6" i="4"/>
  <c r="EA6" i="4"/>
  <c r="DX6" i="4"/>
  <c r="DU6" i="4"/>
  <c r="DT6" i="4"/>
  <c r="DS6" i="4"/>
  <c r="DR6" i="4"/>
  <c r="DQ6" i="4"/>
  <c r="DP6" i="4"/>
  <c r="DO6" i="4"/>
  <c r="DN6" i="4"/>
  <c r="DK6" i="4"/>
  <c r="DJ6" i="4"/>
  <c r="DI6" i="4"/>
  <c r="DH6" i="4"/>
  <c r="DG6" i="4"/>
  <c r="DF6" i="4"/>
  <c r="DE6" i="4"/>
  <c r="DD6" i="4"/>
  <c r="DB6" i="4"/>
  <c r="DA6" i="4"/>
  <c r="CV6" i="4"/>
  <c r="CU6" i="4"/>
  <c r="CT6" i="4"/>
  <c r="CS6" i="4"/>
  <c r="CR6" i="4"/>
  <c r="CQ6" i="4"/>
  <c r="CP6" i="4"/>
  <c r="GJ6" i="4" s="1"/>
  <c r="GK6" i="4" s="1"/>
  <c r="CO6" i="4"/>
  <c r="DZ6" i="4" s="1"/>
  <c r="CN6" i="4"/>
  <c r="DY6" i="4" s="1"/>
  <c r="CM6" i="4"/>
  <c r="CL6" i="4"/>
  <c r="DW6" i="4" s="1"/>
  <c r="CG6" i="4"/>
  <c r="CG6" i="4" a="1"/>
  <c r="AW6" i="4"/>
  <c r="AV6" i="4"/>
  <c r="J6" i="4"/>
  <c r="HI6" i="4" s="1"/>
  <c r="G6" i="4"/>
  <c r="IW5" i="4"/>
  <c r="IS5" i="4"/>
  <c r="IQ5" i="4"/>
  <c r="IO5" i="4"/>
  <c r="HX5" i="4" a="1"/>
  <c r="HX5" i="4" s="1"/>
  <c r="HW5" i="4"/>
  <c r="IV5" i="4" s="1"/>
  <c r="HW5" i="4" a="1"/>
  <c r="HV5" i="4" a="1"/>
  <c r="HV5" i="4" s="1"/>
  <c r="IU5" i="4" s="1"/>
  <c r="HU5" i="4" a="1"/>
  <c r="HU5" i="4" s="1"/>
  <c r="IT5" i="4" s="1"/>
  <c r="HT5" i="4"/>
  <c r="HT5" i="4" a="1"/>
  <c r="HS5" i="4" a="1"/>
  <c r="HS5" i="4" s="1"/>
  <c r="IR5" i="4" s="1"/>
  <c r="HR5" i="4"/>
  <c r="HR5" i="4" a="1"/>
  <c r="HQ5" i="4" a="1"/>
  <c r="HQ5" i="4" s="1"/>
  <c r="IP5" i="4" s="1"/>
  <c r="HP5" i="4" a="1"/>
  <c r="HP5" i="4" s="1"/>
  <c r="HL5" i="4"/>
  <c r="HJ5" i="4"/>
  <c r="HH5" i="4"/>
  <c r="HI5" i="4" s="1"/>
  <c r="HB5" i="4"/>
  <c r="HA5" i="4"/>
  <c r="GZ5" i="4"/>
  <c r="GY5" i="4"/>
  <c r="GX5" i="4"/>
  <c r="GW5" i="4"/>
  <c r="GV5" i="4"/>
  <c r="GU5" i="4"/>
  <c r="GT5" i="4"/>
  <c r="GP5" i="4"/>
  <c r="GI5" i="4"/>
  <c r="GH5" i="4"/>
  <c r="GG5" i="4"/>
  <c r="GF5" i="4"/>
  <c r="GE5" i="4"/>
  <c r="GB5" i="4"/>
  <c r="GA5" i="4"/>
  <c r="FZ5" i="4"/>
  <c r="FY5" i="4"/>
  <c r="FW5" i="4"/>
  <c r="FV5" i="4"/>
  <c r="FU5" i="4"/>
  <c r="FT5" i="4"/>
  <c r="FS5" i="4"/>
  <c r="FR5" i="4"/>
  <c r="FQ5" i="4"/>
  <c r="FO5" i="4"/>
  <c r="FN5" i="4"/>
  <c r="FL5" i="4"/>
  <c r="FJ5" i="4"/>
  <c r="FM5" i="4" s="1"/>
  <c r="FI5" i="4"/>
  <c r="FH5" i="4"/>
  <c r="FG5" i="4"/>
  <c r="FF5" i="4"/>
  <c r="FP5" i="4" s="1"/>
  <c r="FE5" i="4"/>
  <c r="FD5" i="4"/>
  <c r="FB5" i="4"/>
  <c r="FA5" i="4"/>
  <c r="EZ5" i="4"/>
  <c r="EY5" i="4"/>
  <c r="EX5" i="4"/>
  <c r="EW5" i="4"/>
  <c r="EV5" i="4"/>
  <c r="EU5" i="4"/>
  <c r="ET5" i="4"/>
  <c r="ES5" i="4"/>
  <c r="ER5" i="4"/>
  <c r="EQ5" i="4"/>
  <c r="EP5" i="4"/>
  <c r="EO5" i="4"/>
  <c r="EN5" i="4"/>
  <c r="EM5" i="4"/>
  <c r="EL5" i="4"/>
  <c r="EK5" i="4"/>
  <c r="EJ5" i="4"/>
  <c r="EI5" i="4"/>
  <c r="EH5" i="4"/>
  <c r="EG5" i="4"/>
  <c r="EF5" i="4"/>
  <c r="EE5" i="4"/>
  <c r="ED5" i="4"/>
  <c r="EC5" i="4"/>
  <c r="EB5" i="4"/>
  <c r="EA5" i="4"/>
  <c r="DY5" i="4"/>
  <c r="DX5" i="4"/>
  <c r="DU5" i="4"/>
  <c r="DT5" i="4"/>
  <c r="DS5" i="4"/>
  <c r="DR5" i="4"/>
  <c r="DQ5" i="4"/>
  <c r="DP5" i="4"/>
  <c r="DO5" i="4"/>
  <c r="DN5" i="4"/>
  <c r="DK5" i="4"/>
  <c r="DJ5" i="4"/>
  <c r="DI5" i="4"/>
  <c r="DH5" i="4"/>
  <c r="DG5" i="4"/>
  <c r="DF5" i="4"/>
  <c r="DE5" i="4"/>
  <c r="DD5" i="4"/>
  <c r="DB5" i="4"/>
  <c r="DA5" i="4"/>
  <c r="CV5" i="4"/>
  <c r="CU5" i="4"/>
  <c r="CT5" i="4"/>
  <c r="CS5" i="4"/>
  <c r="GN5" i="4" s="1"/>
  <c r="CR5" i="4"/>
  <c r="GM5" i="4" s="1"/>
  <c r="CQ5" i="4"/>
  <c r="GL5" i="4" s="1"/>
  <c r="CP5" i="4"/>
  <c r="GJ5" i="4" s="1"/>
  <c r="GK5" i="4" s="1"/>
  <c r="CO5" i="4"/>
  <c r="DZ5" i="4" s="1"/>
  <c r="CN5" i="4"/>
  <c r="CM5" i="4"/>
  <c r="CL5" i="4"/>
  <c r="DW5" i="4" s="1"/>
  <c r="CG5" i="4" a="1"/>
  <c r="CG5" i="4" s="1"/>
  <c r="AW5" i="4"/>
  <c r="AV5" i="4"/>
  <c r="J5" i="4"/>
  <c r="G5" i="4"/>
  <c r="IV4" i="4"/>
  <c r="IS4" i="4"/>
  <c r="IQ4" i="4"/>
  <c r="IO4" i="4"/>
  <c r="IM4" i="4"/>
  <c r="IL4" i="4"/>
  <c r="HX4" i="4" a="1"/>
  <c r="HX4" i="4" s="1"/>
  <c r="IW4" i="4" s="1"/>
  <c r="HW4" i="4" a="1"/>
  <c r="HW4" i="4" s="1"/>
  <c r="HV4" i="4" a="1"/>
  <c r="HV4" i="4" s="1"/>
  <c r="IU4" i="4" s="1"/>
  <c r="HU4" i="4"/>
  <c r="IT4" i="4" s="1"/>
  <c r="HU4" i="4" a="1"/>
  <c r="HT4" i="4"/>
  <c r="HT4" i="4" a="1"/>
  <c r="HS4" i="4"/>
  <c r="IR4" i="4" s="1"/>
  <c r="HS4" i="4" a="1"/>
  <c r="HR4" i="4"/>
  <c r="HR4" i="4" a="1"/>
  <c r="HQ4" i="4"/>
  <c r="IP4" i="4" s="1"/>
  <c r="HQ4" i="4" a="1"/>
  <c r="HP4" i="4" a="1"/>
  <c r="HP4" i="4" s="1"/>
  <c r="HL4" i="4"/>
  <c r="HJ4" i="4"/>
  <c r="HH4" i="4"/>
  <c r="HB4" i="4"/>
  <c r="HA4" i="4"/>
  <c r="GZ4" i="4"/>
  <c r="GY4" i="4"/>
  <c r="GX4" i="4"/>
  <c r="GW4" i="4"/>
  <c r="GV4" i="4"/>
  <c r="GU4" i="4"/>
  <c r="GT4" i="4"/>
  <c r="HC4" i="4" s="1"/>
  <c r="GP4" i="4"/>
  <c r="GN4" i="4"/>
  <c r="GK4" i="4"/>
  <c r="GJ4" i="4"/>
  <c r="GI4" i="4"/>
  <c r="GH4" i="4"/>
  <c r="GG4" i="4"/>
  <c r="GF4" i="4"/>
  <c r="GE4" i="4"/>
  <c r="GD4" i="4"/>
  <c r="GC4" i="4"/>
  <c r="GB4" i="4"/>
  <c r="GA4" i="4"/>
  <c r="FZ4" i="4"/>
  <c r="FY4" i="4"/>
  <c r="FX4" i="4"/>
  <c r="FW4" i="4"/>
  <c r="FV4" i="4"/>
  <c r="FU4" i="4"/>
  <c r="FT4" i="4"/>
  <c r="FS4" i="4"/>
  <c r="FR4" i="4"/>
  <c r="FQ4" i="4"/>
  <c r="FP4" i="4"/>
  <c r="FO4" i="4"/>
  <c r="FJ4" i="4"/>
  <c r="FI4" i="4"/>
  <c r="FH4" i="4"/>
  <c r="FG4" i="4"/>
  <c r="FF4" i="4"/>
  <c r="FE4" i="4"/>
  <c r="FD4" i="4"/>
  <c r="FC4" i="4"/>
  <c r="FB4" i="4"/>
  <c r="FA4" i="4"/>
  <c r="EZ4" i="4"/>
  <c r="EY4" i="4"/>
  <c r="EX4" i="4"/>
  <c r="EW4" i="4"/>
  <c r="EV4" i="4"/>
  <c r="EU4" i="4"/>
  <c r="ET4" i="4"/>
  <c r="ES4" i="4"/>
  <c r="ER4" i="4"/>
  <c r="EQ4" i="4"/>
  <c r="EP4" i="4"/>
  <c r="EO4" i="4"/>
  <c r="EN4" i="4"/>
  <c r="EM4" i="4"/>
  <c r="EL4" i="4"/>
  <c r="EK4" i="4"/>
  <c r="EJ4" i="4"/>
  <c r="EI4" i="4"/>
  <c r="EH4" i="4"/>
  <c r="EG4" i="4"/>
  <c r="EF4" i="4"/>
  <c r="EE4" i="4"/>
  <c r="ED4" i="4"/>
  <c r="EC4" i="4"/>
  <c r="EB4" i="4"/>
  <c r="EA4" i="4"/>
  <c r="DV4" i="4"/>
  <c r="DU4" i="4"/>
  <c r="DT4" i="4"/>
  <c r="DS4" i="4"/>
  <c r="DR4" i="4"/>
  <c r="DQ4" i="4"/>
  <c r="DP4" i="4"/>
  <c r="DO4" i="4"/>
  <c r="DN4" i="4"/>
  <c r="DK4" i="4"/>
  <c r="DJ4" i="4"/>
  <c r="DI4" i="4"/>
  <c r="DH4" i="4"/>
  <c r="DG4" i="4"/>
  <c r="DF4" i="4"/>
  <c r="DE4" i="4"/>
  <c r="DD4" i="4"/>
  <c r="DC4" i="4"/>
  <c r="DB4" i="4"/>
  <c r="DA4" i="4"/>
  <c r="CV4" i="4"/>
  <c r="CU4" i="4"/>
  <c r="CT4" i="4"/>
  <c r="CS4" i="4"/>
  <c r="CR4" i="4"/>
  <c r="GM4" i="4" s="1"/>
  <c r="CQ4" i="4"/>
  <c r="GL4" i="4" s="1"/>
  <c r="CP4" i="4"/>
  <c r="CO4" i="4"/>
  <c r="DZ4" i="4" s="1"/>
  <c r="CN4" i="4"/>
  <c r="DY4" i="4" s="1"/>
  <c r="CM4" i="4"/>
  <c r="DX4" i="4" s="1"/>
  <c r="CL4" i="4"/>
  <c r="DW4" i="4" s="1"/>
  <c r="CG4" i="4" a="1"/>
  <c r="CG4" i="4" s="1"/>
  <c r="AX4" i="4"/>
  <c r="AW4" i="4"/>
  <c r="AV4" i="4"/>
  <c r="J4" i="4"/>
  <c r="G4" i="4"/>
  <c r="IT3" i="4"/>
  <c r="HX3" i="4"/>
  <c r="IW3" i="4" s="1"/>
  <c r="HX3" i="4" a="1"/>
  <c r="HW3" i="4" a="1"/>
  <c r="HW3" i="4" s="1"/>
  <c r="IV3" i="4" s="1"/>
  <c r="HV3" i="4"/>
  <c r="IU3" i="4" s="1"/>
  <c r="HV3" i="4" a="1"/>
  <c r="HU3" i="4" a="1"/>
  <c r="HU3" i="4" s="1"/>
  <c r="HT3" i="4" a="1"/>
  <c r="HT3" i="4" s="1"/>
  <c r="IS3" i="4" s="1"/>
  <c r="HS3" i="4"/>
  <c r="IR3" i="4" s="1"/>
  <c r="HS3" i="4" a="1"/>
  <c r="HR3" i="4" a="1"/>
  <c r="HR3" i="4" s="1"/>
  <c r="IQ3" i="4" s="1"/>
  <c r="HQ3" i="4"/>
  <c r="IP3" i="4" s="1"/>
  <c r="HQ3" i="4" a="1"/>
  <c r="HP3" i="4"/>
  <c r="IO3" i="4" s="1"/>
  <c r="HP3" i="4" a="1"/>
  <c r="HL3" i="4"/>
  <c r="HJ3" i="4"/>
  <c r="HH3" i="4"/>
  <c r="HB3" i="4"/>
  <c r="HA3" i="4"/>
  <c r="GZ3" i="4"/>
  <c r="GY3" i="4"/>
  <c r="GX3" i="4"/>
  <c r="GW3" i="4"/>
  <c r="GV3" i="4"/>
  <c r="GU3" i="4"/>
  <c r="GT3" i="4"/>
  <c r="GP3" i="4"/>
  <c r="GN3" i="4"/>
  <c r="GM3" i="4"/>
  <c r="GL3" i="4"/>
  <c r="GJ3" i="4"/>
  <c r="GK3" i="4" s="1"/>
  <c r="GI3" i="4"/>
  <c r="GH3" i="4"/>
  <c r="GG3" i="4"/>
  <c r="GF3" i="4"/>
  <c r="GE3" i="4"/>
  <c r="GB3" i="4"/>
  <c r="GA3" i="4"/>
  <c r="FZ3" i="4"/>
  <c r="FY3" i="4"/>
  <c r="FW3" i="4"/>
  <c r="FV3" i="4"/>
  <c r="FU3" i="4"/>
  <c r="FT3" i="4"/>
  <c r="FS3" i="4"/>
  <c r="FR3" i="4"/>
  <c r="FQ3" i="4"/>
  <c r="FO3" i="4"/>
  <c r="FN3" i="4"/>
  <c r="FK3" i="4"/>
  <c r="FJ3" i="4"/>
  <c r="FM3" i="4" s="1"/>
  <c r="FI3" i="4"/>
  <c r="FL3" i="4" s="1"/>
  <c r="FH3" i="4"/>
  <c r="FG3" i="4"/>
  <c r="FF3" i="4"/>
  <c r="FP3" i="4" s="1"/>
  <c r="FE3" i="4"/>
  <c r="FD3" i="4"/>
  <c r="FB3" i="4"/>
  <c r="FA3" i="4"/>
  <c r="EZ3" i="4"/>
  <c r="EY3" i="4"/>
  <c r="EX3" i="4"/>
  <c r="EW3" i="4"/>
  <c r="EV3" i="4"/>
  <c r="EU3" i="4"/>
  <c r="ET3" i="4"/>
  <c r="ES3" i="4"/>
  <c r="ER3" i="4"/>
  <c r="EQ3" i="4"/>
  <c r="EP3" i="4"/>
  <c r="EO3" i="4"/>
  <c r="EN3" i="4"/>
  <c r="EM3" i="4"/>
  <c r="EL3" i="4"/>
  <c r="EK3" i="4"/>
  <c r="EJ3" i="4"/>
  <c r="EI3" i="4"/>
  <c r="EH3" i="4"/>
  <c r="EG3" i="4"/>
  <c r="EF3" i="4"/>
  <c r="EE3" i="4"/>
  <c r="ED3" i="4"/>
  <c r="EC3" i="4"/>
  <c r="EB3" i="4"/>
  <c r="EA3" i="4"/>
  <c r="DY3" i="4"/>
  <c r="DX3" i="4"/>
  <c r="DU3" i="4"/>
  <c r="DT3" i="4"/>
  <c r="DS3" i="4"/>
  <c r="DR3" i="4"/>
  <c r="DQ3" i="4"/>
  <c r="DP3" i="4"/>
  <c r="DO3" i="4"/>
  <c r="DN3" i="4"/>
  <c r="DK3" i="4"/>
  <c r="DJ3" i="4"/>
  <c r="DI3" i="4"/>
  <c r="DH3" i="4"/>
  <c r="DG3" i="4"/>
  <c r="DF3" i="4"/>
  <c r="DE3" i="4"/>
  <c r="DD3" i="4"/>
  <c r="DB3" i="4"/>
  <c r="DA3" i="4"/>
  <c r="CV3" i="4"/>
  <c r="CU3" i="4"/>
  <c r="CT3" i="4"/>
  <c r="CS3" i="4"/>
  <c r="CR3" i="4"/>
  <c r="CQ3" i="4"/>
  <c r="CP3" i="4"/>
  <c r="CO3" i="4"/>
  <c r="DZ3" i="4" s="1"/>
  <c r="CN3" i="4"/>
  <c r="CM3" i="4"/>
  <c r="CL3" i="4"/>
  <c r="DW3" i="4" s="1"/>
  <c r="CI3" i="4"/>
  <c r="CX3" i="4" s="1"/>
  <c r="CG3" i="4"/>
  <c r="CG3" i="4" a="1"/>
  <c r="AW3" i="4"/>
  <c r="AV3" i="4"/>
  <c r="J3" i="4"/>
  <c r="HI3" i="4" s="1"/>
  <c r="G3" i="4"/>
  <c r="IO3" i="3"/>
  <c r="IL3" i="3"/>
  <c r="HX3" i="3"/>
  <c r="IW3" i="3" s="1"/>
  <c r="HX3" i="3" a="1"/>
  <c r="HW3" i="3"/>
  <c r="IV3" i="3" s="1"/>
  <c r="HW3" i="3" a="1"/>
  <c r="HV3" i="3" a="1"/>
  <c r="HV3" i="3" s="1"/>
  <c r="IU3" i="3" s="1"/>
  <c r="HU3" i="3"/>
  <c r="IT3" i="3" s="1"/>
  <c r="HU3" i="3" a="1"/>
  <c r="HT3" i="3"/>
  <c r="IS3" i="3" s="1"/>
  <c r="HT3" i="3" a="1"/>
  <c r="HS3" i="3" a="1"/>
  <c r="HS3" i="3" s="1"/>
  <c r="IR3" i="3" s="1"/>
  <c r="HR3" i="3"/>
  <c r="IQ3" i="3" s="1"/>
  <c r="HR3" i="3" a="1"/>
  <c r="HQ3" i="3"/>
  <c r="IP3" i="3" s="1"/>
  <c r="HQ3" i="3" a="1"/>
  <c r="HP3" i="3"/>
  <c r="HP3" i="3" a="1"/>
  <c r="HL3" i="3"/>
  <c r="HJ3" i="3"/>
  <c r="HH3" i="3"/>
  <c r="HB3" i="3"/>
  <c r="HA3" i="3"/>
  <c r="GZ3" i="3"/>
  <c r="HC3" i="3" s="1"/>
  <c r="GY3" i="3"/>
  <c r="GX3" i="3"/>
  <c r="GW3" i="3"/>
  <c r="GV3" i="3"/>
  <c r="GU3" i="3"/>
  <c r="GT3" i="3"/>
  <c r="GP3" i="3"/>
  <c r="GN3" i="3"/>
  <c r="GM3" i="3"/>
  <c r="GJ3" i="3"/>
  <c r="GK3" i="3" s="1"/>
  <c r="GI3" i="3"/>
  <c r="GH3" i="3"/>
  <c r="GG3" i="3"/>
  <c r="GF3" i="3"/>
  <c r="GE3" i="3"/>
  <c r="GD3" i="3"/>
  <c r="GC3" i="3"/>
  <c r="GB3" i="3"/>
  <c r="GA3" i="3"/>
  <c r="FZ3" i="3"/>
  <c r="FY3" i="3"/>
  <c r="FX3" i="3"/>
  <c r="FW3" i="3"/>
  <c r="FV3" i="3"/>
  <c r="FU3" i="3"/>
  <c r="FT3" i="3"/>
  <c r="FS3" i="3"/>
  <c r="FR3" i="3"/>
  <c r="FQ3" i="3"/>
  <c r="FM3" i="3"/>
  <c r="FJ3" i="3"/>
  <c r="FI3" i="3"/>
  <c r="FL3" i="3" s="1"/>
  <c r="FH3" i="3"/>
  <c r="FK3" i="3" s="1"/>
  <c r="FG3" i="3"/>
  <c r="FO3" i="3" s="1"/>
  <c r="FF3" i="3"/>
  <c r="FE3" i="3"/>
  <c r="FD3" i="3"/>
  <c r="FC3" i="3"/>
  <c r="FB3" i="3"/>
  <c r="FA3" i="3"/>
  <c r="EZ3" i="3"/>
  <c r="EY3" i="3"/>
  <c r="EX3" i="3"/>
  <c r="EW3" i="3"/>
  <c r="EV3" i="3"/>
  <c r="EU3" i="3"/>
  <c r="ET3" i="3"/>
  <c r="ES3" i="3"/>
  <c r="ER3" i="3"/>
  <c r="EQ3" i="3"/>
  <c r="EP3" i="3"/>
  <c r="EO3" i="3"/>
  <c r="EN3" i="3"/>
  <c r="EM3" i="3"/>
  <c r="EL3" i="3"/>
  <c r="EK3" i="3"/>
  <c r="EJ3" i="3"/>
  <c r="EI3" i="3"/>
  <c r="EH3" i="3"/>
  <c r="EG3" i="3"/>
  <c r="EF3" i="3"/>
  <c r="EE3" i="3"/>
  <c r="ED3" i="3"/>
  <c r="EC3" i="3"/>
  <c r="EB3" i="3"/>
  <c r="EA3" i="3"/>
  <c r="DY3" i="3"/>
  <c r="DX3" i="3"/>
  <c r="DW3" i="3"/>
  <c r="DV3" i="3"/>
  <c r="DU3" i="3"/>
  <c r="DT3" i="3"/>
  <c r="DS3" i="3"/>
  <c r="DR3" i="3"/>
  <c r="DQ3" i="3"/>
  <c r="DP3" i="3"/>
  <c r="DO3" i="3"/>
  <c r="DN3" i="3"/>
  <c r="DL3" i="3"/>
  <c r="DK3" i="3"/>
  <c r="DJ3" i="3"/>
  <c r="DI3" i="3"/>
  <c r="DH3" i="3"/>
  <c r="DG3" i="3"/>
  <c r="DF3" i="3"/>
  <c r="DE3" i="3"/>
  <c r="DD3" i="3"/>
  <c r="DC3" i="3"/>
  <c r="DB3" i="3"/>
  <c r="DA3" i="3"/>
  <c r="CZ3" i="3"/>
  <c r="CV3" i="3"/>
  <c r="CU3" i="3"/>
  <c r="CT3" i="3"/>
  <c r="CS3" i="3"/>
  <c r="CR3" i="3"/>
  <c r="CQ3" i="3"/>
  <c r="GL3" i="3" s="1"/>
  <c r="CP3" i="3"/>
  <c r="CO3" i="3"/>
  <c r="DZ3" i="3" s="1"/>
  <c r="CN3" i="3"/>
  <c r="CM3" i="3"/>
  <c r="CL3" i="3"/>
  <c r="CK3" i="3"/>
  <c r="CG3" i="3" a="1"/>
  <c r="CG3" i="3" s="1"/>
  <c r="AX3" i="3"/>
  <c r="AW3" i="3"/>
  <c r="AV3" i="3"/>
  <c r="J3" i="3"/>
  <c r="HI3" i="3" s="1"/>
  <c r="G3" i="3"/>
  <c r="IW21" i="2"/>
  <c r="IT21" i="2"/>
  <c r="IP21" i="2"/>
  <c r="IO21" i="2"/>
  <c r="IM21" i="2"/>
  <c r="IL21" i="2"/>
  <c r="HX21" i="2" a="1"/>
  <c r="HX21" i="2" s="1"/>
  <c r="HW21" i="2" a="1"/>
  <c r="HW21" i="2" s="1"/>
  <c r="IV21" i="2" s="1"/>
  <c r="HV21" i="2"/>
  <c r="IU21" i="2" s="1"/>
  <c r="HV21" i="2" a="1"/>
  <c r="HU21" i="2" a="1"/>
  <c r="HU21" i="2" s="1"/>
  <c r="HT21" i="2"/>
  <c r="IS21" i="2" s="1"/>
  <c r="HT21" i="2" a="1"/>
  <c r="HS21" i="2" a="1"/>
  <c r="HS21" i="2" s="1"/>
  <c r="IR21" i="2" s="1"/>
  <c r="HR21" i="2" a="1"/>
  <c r="HR21" i="2" s="1"/>
  <c r="IQ21" i="2" s="1"/>
  <c r="HQ21" i="2" a="1"/>
  <c r="HQ21" i="2" s="1"/>
  <c r="HP21" i="2" a="1"/>
  <c r="HP21" i="2" s="1"/>
  <c r="HL21" i="2"/>
  <c r="HJ21" i="2"/>
  <c r="HH21" i="2"/>
  <c r="HB21" i="2"/>
  <c r="HA21" i="2"/>
  <c r="GZ21" i="2"/>
  <c r="GY21" i="2"/>
  <c r="GX21" i="2"/>
  <c r="GW21" i="2"/>
  <c r="GV21" i="2"/>
  <c r="GU21" i="2"/>
  <c r="GT21" i="2"/>
  <c r="GP21" i="2"/>
  <c r="GI21" i="2"/>
  <c r="GH21" i="2"/>
  <c r="GG21" i="2"/>
  <c r="GF21" i="2"/>
  <c r="GE21" i="2"/>
  <c r="GD21" i="2"/>
  <c r="GC21" i="2"/>
  <c r="GB21" i="2"/>
  <c r="GA21" i="2"/>
  <c r="FZ21" i="2"/>
  <c r="FY21" i="2"/>
  <c r="FX21" i="2"/>
  <c r="FW21" i="2"/>
  <c r="FV21" i="2"/>
  <c r="FU21" i="2"/>
  <c r="FT21" i="2"/>
  <c r="FS21" i="2"/>
  <c r="FR21" i="2"/>
  <c r="FQ21" i="2"/>
  <c r="FJ21" i="2"/>
  <c r="FI21" i="2"/>
  <c r="FH21" i="2"/>
  <c r="FG21" i="2"/>
  <c r="FF21" i="2"/>
  <c r="FE21" i="2"/>
  <c r="FD21" i="2"/>
  <c r="FC21" i="2"/>
  <c r="FB21" i="2"/>
  <c r="FA21" i="2"/>
  <c r="EZ21" i="2"/>
  <c r="EY21" i="2"/>
  <c r="EX21" i="2"/>
  <c r="EW21" i="2"/>
  <c r="EV21" i="2"/>
  <c r="EU21" i="2"/>
  <c r="ET21" i="2"/>
  <c r="ES21" i="2"/>
  <c r="ER21" i="2"/>
  <c r="EQ21" i="2"/>
  <c r="EP21" i="2"/>
  <c r="EO21" i="2"/>
  <c r="EN21" i="2"/>
  <c r="EM21" i="2"/>
  <c r="EL21" i="2"/>
  <c r="EK21" i="2"/>
  <c r="EJ21" i="2"/>
  <c r="EI21" i="2"/>
  <c r="EH21" i="2"/>
  <c r="EG21" i="2"/>
  <c r="EF21" i="2"/>
  <c r="EE21" i="2"/>
  <c r="ED21" i="2"/>
  <c r="EC21" i="2"/>
  <c r="EB21" i="2"/>
  <c r="EA21" i="2"/>
  <c r="DZ21" i="2"/>
  <c r="DW21" i="2"/>
  <c r="DV21" i="2"/>
  <c r="DU21" i="2"/>
  <c r="DT21" i="2"/>
  <c r="DS21" i="2"/>
  <c r="DR21" i="2"/>
  <c r="DQ21" i="2"/>
  <c r="DP21" i="2"/>
  <c r="DO21" i="2"/>
  <c r="DN21" i="2"/>
  <c r="DK21" i="2"/>
  <c r="DJ21" i="2"/>
  <c r="DI21" i="2"/>
  <c r="DH21" i="2"/>
  <c r="DG21" i="2"/>
  <c r="DF21" i="2"/>
  <c r="DE21" i="2"/>
  <c r="DD21" i="2"/>
  <c r="DC21" i="2"/>
  <c r="DB21" i="2"/>
  <c r="DA21" i="2"/>
  <c r="CV21" i="2"/>
  <c r="CU21" i="2"/>
  <c r="CT21" i="2"/>
  <c r="CS21" i="2"/>
  <c r="GN21" i="2" s="1"/>
  <c r="CR21" i="2"/>
  <c r="GM21" i="2" s="1"/>
  <c r="CQ21" i="2"/>
  <c r="GL21" i="2" s="1"/>
  <c r="CP21" i="2"/>
  <c r="GJ21" i="2" s="1"/>
  <c r="GK21" i="2" s="1"/>
  <c r="CO21" i="2"/>
  <c r="CN21" i="2"/>
  <c r="DY21" i="2" s="1"/>
  <c r="CM21" i="2"/>
  <c r="DX21" i="2" s="1"/>
  <c r="CL21" i="2"/>
  <c r="CG21" i="2" a="1"/>
  <c r="CG21" i="2" s="1"/>
  <c r="AX21" i="2"/>
  <c r="AW21" i="2"/>
  <c r="AV21" i="2"/>
  <c r="J21" i="2"/>
  <c r="HI21" i="2" s="1"/>
  <c r="G21" i="2"/>
  <c r="IN20" i="2"/>
  <c r="IX20" i="2" s="1"/>
  <c r="IM20" i="2"/>
  <c r="HX20" i="2"/>
  <c r="IW20" i="2" s="1"/>
  <c r="HX20" i="2" a="1"/>
  <c r="HW20" i="2" a="1"/>
  <c r="HW20" i="2" s="1"/>
  <c r="IV20" i="2" s="1"/>
  <c r="HV20" i="2"/>
  <c r="IU20" i="2" s="1"/>
  <c r="HV20" i="2" a="1"/>
  <c r="HU20" i="2" a="1"/>
  <c r="HU20" i="2" s="1"/>
  <c r="IT20" i="2" s="1"/>
  <c r="HT20" i="2" a="1"/>
  <c r="HT20" i="2" s="1"/>
  <c r="IS20" i="2" s="1"/>
  <c r="HS20" i="2"/>
  <c r="IR20" i="2" s="1"/>
  <c r="HS20" i="2" a="1"/>
  <c r="HR20" i="2"/>
  <c r="IQ20" i="2" s="1"/>
  <c r="HR20" i="2" a="1"/>
  <c r="HQ20" i="2" a="1"/>
  <c r="HQ20" i="2" s="1"/>
  <c r="IP20" i="2" s="1"/>
  <c r="HP20" i="2"/>
  <c r="IO20" i="2" s="1"/>
  <c r="HP20" i="2" a="1"/>
  <c r="HL20" i="2"/>
  <c r="HJ20" i="2"/>
  <c r="HH20" i="2"/>
  <c r="HB20" i="2"/>
  <c r="HA20" i="2"/>
  <c r="GZ20" i="2"/>
  <c r="GY20" i="2"/>
  <c r="GX20" i="2"/>
  <c r="GW20" i="2"/>
  <c r="GV20" i="2"/>
  <c r="GU20" i="2"/>
  <c r="GT20" i="2"/>
  <c r="GP20" i="2"/>
  <c r="GM20" i="2"/>
  <c r="GI20" i="2"/>
  <c r="GH20" i="2"/>
  <c r="GG20" i="2"/>
  <c r="GF20" i="2"/>
  <c r="GE20" i="2"/>
  <c r="GB20" i="2"/>
  <c r="GA20" i="2"/>
  <c r="FZ20" i="2"/>
  <c r="FY20" i="2"/>
  <c r="FW20" i="2"/>
  <c r="FV20" i="2"/>
  <c r="FU20" i="2"/>
  <c r="FT20" i="2"/>
  <c r="FS20" i="2"/>
  <c r="FR20" i="2"/>
  <c r="FQ20" i="2"/>
  <c r="FP20" i="2"/>
  <c r="FO20" i="2"/>
  <c r="FJ20" i="2"/>
  <c r="FI20" i="2"/>
  <c r="FL20" i="2" s="1"/>
  <c r="FH20" i="2"/>
  <c r="FK20" i="2" s="1"/>
  <c r="FG20" i="2"/>
  <c r="FF20" i="2"/>
  <c r="FM20" i="2" s="1"/>
  <c r="FE20" i="2"/>
  <c r="FD20" i="2"/>
  <c r="FB20" i="2"/>
  <c r="FA20" i="2"/>
  <c r="EZ20" i="2"/>
  <c r="EY20" i="2"/>
  <c r="EX20" i="2"/>
  <c r="EW20" i="2"/>
  <c r="EV20" i="2"/>
  <c r="EU20" i="2"/>
  <c r="ET20" i="2"/>
  <c r="ES20" i="2"/>
  <c r="ER20" i="2"/>
  <c r="EQ20" i="2"/>
  <c r="EP20" i="2"/>
  <c r="EO20" i="2"/>
  <c r="EN20" i="2"/>
  <c r="EM20" i="2"/>
  <c r="EL20" i="2"/>
  <c r="EK20" i="2"/>
  <c r="EJ20" i="2"/>
  <c r="EI20" i="2"/>
  <c r="EH20" i="2"/>
  <c r="EG20" i="2"/>
  <c r="EF20" i="2"/>
  <c r="EE20" i="2"/>
  <c r="ED20" i="2"/>
  <c r="EC20" i="2"/>
  <c r="EB20" i="2"/>
  <c r="EA20" i="2"/>
  <c r="DW20" i="2"/>
  <c r="DU20" i="2"/>
  <c r="DT20" i="2"/>
  <c r="DS20" i="2"/>
  <c r="DR20" i="2"/>
  <c r="DQ20" i="2"/>
  <c r="DP20" i="2"/>
  <c r="DO20" i="2"/>
  <c r="DN20" i="2"/>
  <c r="DK20" i="2"/>
  <c r="DJ20" i="2"/>
  <c r="DI20" i="2"/>
  <c r="DH20" i="2"/>
  <c r="DG20" i="2"/>
  <c r="DF20" i="2"/>
  <c r="DE20" i="2"/>
  <c r="DD20" i="2"/>
  <c r="DB20" i="2"/>
  <c r="DA20" i="2"/>
  <c r="CV20" i="2"/>
  <c r="CU20" i="2"/>
  <c r="CT20" i="2"/>
  <c r="CS20" i="2"/>
  <c r="GN20" i="2" s="1"/>
  <c r="CR20" i="2"/>
  <c r="CQ20" i="2"/>
  <c r="GL20" i="2" s="1"/>
  <c r="CP20" i="2"/>
  <c r="GJ20" i="2" s="1"/>
  <c r="GK20" i="2" s="1"/>
  <c r="CO20" i="2"/>
  <c r="DZ20" i="2" s="1"/>
  <c r="CN20" i="2"/>
  <c r="DY20" i="2" s="1"/>
  <c r="CM20" i="2"/>
  <c r="DX20" i="2" s="1"/>
  <c r="CL20" i="2"/>
  <c r="CJ20" i="2"/>
  <c r="CY20" i="2" s="1"/>
  <c r="CI20" i="2"/>
  <c r="CX20" i="2" s="1"/>
  <c r="CH20" i="2"/>
  <c r="CW20" i="2" s="1"/>
  <c r="CG20" i="2"/>
  <c r="CG20" i="2" a="1"/>
  <c r="AW20" i="2"/>
  <c r="AV20" i="2"/>
  <c r="J20" i="2"/>
  <c r="HI20" i="2" s="1"/>
  <c r="G20" i="2"/>
  <c r="HX19" i="2"/>
  <c r="IW19" i="2" s="1"/>
  <c r="HX19" i="2" a="1"/>
  <c r="HW19" i="2"/>
  <c r="IV19" i="2" s="1"/>
  <c r="HW19" i="2" a="1"/>
  <c r="HV19" i="2" a="1"/>
  <c r="HV19" i="2" s="1"/>
  <c r="IU19" i="2" s="1"/>
  <c r="HU19" i="2"/>
  <c r="IT19" i="2" s="1"/>
  <c r="HU19" i="2" a="1"/>
  <c r="HT19" i="2"/>
  <c r="IS19" i="2" s="1"/>
  <c r="HT19" i="2" a="1"/>
  <c r="HS19" i="2"/>
  <c r="IR19" i="2" s="1"/>
  <c r="HS19" i="2" a="1"/>
  <c r="HR19" i="2" a="1"/>
  <c r="HR19" i="2" s="1"/>
  <c r="IQ19" i="2" s="1"/>
  <c r="HQ19" i="2"/>
  <c r="IP19" i="2" s="1"/>
  <c r="HQ19" i="2" a="1"/>
  <c r="HP19" i="2" a="1"/>
  <c r="HP19" i="2" s="1"/>
  <c r="IO19" i="2" s="1"/>
  <c r="HL19" i="2"/>
  <c r="HJ19" i="2"/>
  <c r="HI19" i="2"/>
  <c r="HH19" i="2"/>
  <c r="HB19" i="2"/>
  <c r="HA19" i="2"/>
  <c r="GZ19" i="2"/>
  <c r="GY19" i="2"/>
  <c r="GX19" i="2"/>
  <c r="GW19" i="2"/>
  <c r="GV19" i="2"/>
  <c r="GU19" i="2"/>
  <c r="GT19" i="2"/>
  <c r="GP19" i="2"/>
  <c r="GJ19" i="2"/>
  <c r="GK19" i="2" s="1"/>
  <c r="GI19" i="2"/>
  <c r="GH19" i="2"/>
  <c r="GG19" i="2"/>
  <c r="GF19" i="2"/>
  <c r="GE19" i="2"/>
  <c r="GB19" i="2"/>
  <c r="GA19" i="2"/>
  <c r="FZ19" i="2"/>
  <c r="FY19" i="2"/>
  <c r="FW19" i="2"/>
  <c r="FV19" i="2"/>
  <c r="FU19" i="2"/>
  <c r="FT19" i="2"/>
  <c r="FS19" i="2"/>
  <c r="FR19" i="2"/>
  <c r="FQ19" i="2"/>
  <c r="FO19" i="2"/>
  <c r="FN19" i="2"/>
  <c r="FM19" i="2"/>
  <c r="FL19" i="2"/>
  <c r="FJ19" i="2"/>
  <c r="FI19" i="2"/>
  <c r="FH19" i="2"/>
  <c r="FG19" i="2"/>
  <c r="FF19" i="2"/>
  <c r="FE19" i="2"/>
  <c r="FD19" i="2"/>
  <c r="FB19" i="2"/>
  <c r="FA19" i="2"/>
  <c r="EZ19" i="2"/>
  <c r="EY19" i="2"/>
  <c r="EX19" i="2"/>
  <c r="EW19" i="2"/>
  <c r="EV19" i="2"/>
  <c r="EU19" i="2"/>
  <c r="ET19" i="2"/>
  <c r="ES19" i="2"/>
  <c r="ER19" i="2"/>
  <c r="EQ19" i="2"/>
  <c r="EP19" i="2"/>
  <c r="EO19" i="2"/>
  <c r="EN19" i="2"/>
  <c r="EM19" i="2"/>
  <c r="EL19" i="2"/>
  <c r="EK19" i="2"/>
  <c r="EJ19" i="2"/>
  <c r="EI19" i="2"/>
  <c r="EH19" i="2"/>
  <c r="EG19" i="2"/>
  <c r="EF19" i="2"/>
  <c r="EE19" i="2"/>
  <c r="ED19" i="2"/>
  <c r="EC19" i="2"/>
  <c r="EB19" i="2"/>
  <c r="EA19" i="2"/>
  <c r="DU19" i="2"/>
  <c r="DT19" i="2"/>
  <c r="DS19" i="2"/>
  <c r="DR19" i="2"/>
  <c r="DQ19" i="2"/>
  <c r="DP19" i="2"/>
  <c r="DO19" i="2"/>
  <c r="DN19" i="2"/>
  <c r="DK19" i="2"/>
  <c r="DJ19" i="2"/>
  <c r="DI19" i="2"/>
  <c r="DH19" i="2"/>
  <c r="DG19" i="2"/>
  <c r="DF19" i="2"/>
  <c r="DE19" i="2"/>
  <c r="DD19" i="2"/>
  <c r="DB19" i="2"/>
  <c r="DA19" i="2"/>
  <c r="CV19" i="2"/>
  <c r="CU19" i="2"/>
  <c r="CT19" i="2"/>
  <c r="CS19" i="2"/>
  <c r="GN19" i="2" s="1"/>
  <c r="CR19" i="2"/>
  <c r="GM19" i="2" s="1"/>
  <c r="CQ19" i="2"/>
  <c r="GL19" i="2" s="1"/>
  <c r="CP19" i="2"/>
  <c r="CO19" i="2"/>
  <c r="DZ19" i="2" s="1"/>
  <c r="CN19" i="2"/>
  <c r="DY19" i="2" s="1"/>
  <c r="CM19" i="2"/>
  <c r="DX19" i="2" s="1"/>
  <c r="CL19" i="2"/>
  <c r="DW19" i="2" s="1"/>
  <c r="CG19" i="2"/>
  <c r="DM19" i="2" s="1" a="1"/>
  <c r="DM19" i="2" s="1"/>
  <c r="CG19" i="2" a="1"/>
  <c r="AW19" i="2"/>
  <c r="AV19" i="2"/>
  <c r="J19" i="2"/>
  <c r="G19" i="2"/>
  <c r="IL18" i="2"/>
  <c r="HX18" i="2" a="1"/>
  <c r="HX18" i="2" s="1"/>
  <c r="IW18" i="2" s="1"/>
  <c r="HW18" i="2"/>
  <c r="IV18" i="2" s="1"/>
  <c r="HW18" i="2" a="1"/>
  <c r="HV18" i="2" a="1"/>
  <c r="HV18" i="2" s="1"/>
  <c r="IU18" i="2" s="1"/>
  <c r="HU18" i="2" a="1"/>
  <c r="HU18" i="2" s="1"/>
  <c r="IT18" i="2" s="1"/>
  <c r="HT18" i="2" a="1"/>
  <c r="HT18" i="2" s="1"/>
  <c r="IS18" i="2" s="1"/>
  <c r="HS18" i="2" a="1"/>
  <c r="HS18" i="2" s="1"/>
  <c r="IR18" i="2" s="1"/>
  <c r="HR18" i="2" a="1"/>
  <c r="HR18" i="2" s="1"/>
  <c r="IQ18" i="2" s="1"/>
  <c r="HQ18" i="2" a="1"/>
  <c r="HQ18" i="2" s="1"/>
  <c r="IP18" i="2" s="1"/>
  <c r="HP18" i="2" a="1"/>
  <c r="HP18" i="2" s="1"/>
  <c r="IO18" i="2" s="1"/>
  <c r="HL18" i="2"/>
  <c r="HJ18" i="2"/>
  <c r="HH18" i="2"/>
  <c r="HB18" i="2"/>
  <c r="HA18" i="2"/>
  <c r="GZ18" i="2"/>
  <c r="GY18" i="2"/>
  <c r="GX18" i="2"/>
  <c r="GW18" i="2"/>
  <c r="GV18" i="2"/>
  <c r="GU18" i="2"/>
  <c r="GT18" i="2"/>
  <c r="HC18" i="2" s="1"/>
  <c r="GP18" i="2"/>
  <c r="GK18" i="2"/>
  <c r="GJ18" i="2"/>
  <c r="GI18" i="2"/>
  <c r="GH18" i="2"/>
  <c r="GG18" i="2"/>
  <c r="GF18" i="2"/>
  <c r="GE18" i="2"/>
  <c r="GD18" i="2"/>
  <c r="GC18" i="2"/>
  <c r="GB18" i="2"/>
  <c r="GA18" i="2"/>
  <c r="FZ18" i="2"/>
  <c r="FY18" i="2"/>
  <c r="FX18" i="2"/>
  <c r="FW18" i="2"/>
  <c r="FV18" i="2"/>
  <c r="FU18" i="2"/>
  <c r="FT18" i="2"/>
  <c r="FS18" i="2"/>
  <c r="FR18" i="2"/>
  <c r="FQ18" i="2"/>
  <c r="FP18" i="2"/>
  <c r="FM18" i="2"/>
  <c r="FL18" i="2"/>
  <c r="FK18" i="2"/>
  <c r="FJ18" i="2"/>
  <c r="FI18" i="2"/>
  <c r="FH18" i="2"/>
  <c r="FG18" i="2"/>
  <c r="FF18" i="2"/>
  <c r="FE18" i="2"/>
  <c r="FN18" i="2" s="1"/>
  <c r="FD18" i="2"/>
  <c r="FC18" i="2"/>
  <c r="FB18" i="2"/>
  <c r="FA18" i="2"/>
  <c r="EZ18" i="2"/>
  <c r="EY18" i="2"/>
  <c r="EX18" i="2"/>
  <c r="EW18" i="2"/>
  <c r="EV18" i="2"/>
  <c r="EU18" i="2"/>
  <c r="ET18" i="2"/>
  <c r="ES18" i="2"/>
  <c r="ER18" i="2"/>
  <c r="EQ18" i="2"/>
  <c r="EP18" i="2"/>
  <c r="EO18" i="2"/>
  <c r="EN18" i="2"/>
  <c r="EM18" i="2"/>
  <c r="EL18" i="2"/>
  <c r="EK18" i="2"/>
  <c r="EJ18" i="2"/>
  <c r="EI18" i="2"/>
  <c r="EH18" i="2"/>
  <c r="EG18" i="2"/>
  <c r="EF18" i="2"/>
  <c r="EE18" i="2"/>
  <c r="ED18" i="2"/>
  <c r="EC18" i="2"/>
  <c r="EB18" i="2"/>
  <c r="EA18" i="2"/>
  <c r="DX18" i="2"/>
  <c r="DV18" i="2"/>
  <c r="DU18" i="2"/>
  <c r="DT18" i="2"/>
  <c r="DS18" i="2"/>
  <c r="DR18" i="2"/>
  <c r="DQ18" i="2"/>
  <c r="DP18" i="2"/>
  <c r="DO18" i="2"/>
  <c r="DN18" i="2"/>
  <c r="DK18" i="2"/>
  <c r="DJ18" i="2"/>
  <c r="DI18" i="2"/>
  <c r="DH18" i="2"/>
  <c r="DG18" i="2"/>
  <c r="DF18" i="2"/>
  <c r="DE18" i="2"/>
  <c r="DD18" i="2"/>
  <c r="DC18" i="2"/>
  <c r="DB18" i="2"/>
  <c r="DA18" i="2"/>
  <c r="CV18" i="2"/>
  <c r="CU18" i="2"/>
  <c r="CT18" i="2"/>
  <c r="CS18" i="2"/>
  <c r="GN18" i="2" s="1"/>
  <c r="CR18" i="2"/>
  <c r="GM18" i="2" s="1"/>
  <c r="CQ18" i="2"/>
  <c r="GL18" i="2" s="1"/>
  <c r="CP18" i="2"/>
  <c r="CO18" i="2"/>
  <c r="DZ18" i="2" s="1"/>
  <c r="CN18" i="2"/>
  <c r="DY18" i="2" s="1"/>
  <c r="CM18" i="2"/>
  <c r="CL18" i="2"/>
  <c r="DW18" i="2" s="1"/>
  <c r="CG18" i="2" a="1"/>
  <c r="CG18" i="2" s="1"/>
  <c r="AW18" i="2"/>
  <c r="AV18" i="2"/>
  <c r="J18" i="2"/>
  <c r="HI18" i="2" s="1"/>
  <c r="G18" i="2"/>
  <c r="IU17" i="2"/>
  <c r="HX17" i="2" a="1"/>
  <c r="HX17" i="2" s="1"/>
  <c r="IW17" i="2" s="1"/>
  <c r="HW17" i="2" a="1"/>
  <c r="HW17" i="2" s="1"/>
  <c r="IV17" i="2" s="1"/>
  <c r="HV17" i="2" a="1"/>
  <c r="HV17" i="2" s="1"/>
  <c r="HU17" i="2" a="1"/>
  <c r="HU17" i="2" s="1"/>
  <c r="IT17" i="2" s="1"/>
  <c r="HT17" i="2" a="1"/>
  <c r="HT17" i="2" s="1"/>
  <c r="IS17" i="2" s="1"/>
  <c r="HS17" i="2"/>
  <c r="IR17" i="2" s="1"/>
  <c r="HS17" i="2" a="1"/>
  <c r="HR17" i="2" a="1"/>
  <c r="HR17" i="2" s="1"/>
  <c r="IQ17" i="2" s="1"/>
  <c r="HQ17" i="2" a="1"/>
  <c r="HQ17" i="2" s="1"/>
  <c r="IP17" i="2" s="1"/>
  <c r="HP17" i="2" a="1"/>
  <c r="HP17" i="2" s="1"/>
  <c r="IO17" i="2" s="1"/>
  <c r="HL17" i="2"/>
  <c r="HJ17" i="2"/>
  <c r="HI17" i="2"/>
  <c r="HH17" i="2"/>
  <c r="HB17" i="2"/>
  <c r="HA17" i="2"/>
  <c r="GZ17" i="2"/>
  <c r="GY17" i="2"/>
  <c r="GX17" i="2"/>
  <c r="GW17" i="2"/>
  <c r="GV17" i="2"/>
  <c r="GU17" i="2"/>
  <c r="GT17" i="2"/>
  <c r="GP17" i="2"/>
  <c r="GN17" i="2"/>
  <c r="GM17" i="2"/>
  <c r="GK17" i="2"/>
  <c r="GJ17" i="2"/>
  <c r="GI17" i="2"/>
  <c r="GH17" i="2"/>
  <c r="GG17" i="2"/>
  <c r="GF17" i="2"/>
  <c r="GE17" i="2"/>
  <c r="GB17" i="2"/>
  <c r="GA17" i="2"/>
  <c r="FZ17" i="2"/>
  <c r="FY17" i="2"/>
  <c r="FW17" i="2"/>
  <c r="FV17" i="2"/>
  <c r="FU17" i="2"/>
  <c r="FT17" i="2"/>
  <c r="FS17" i="2"/>
  <c r="FR17" i="2"/>
  <c r="FQ17" i="2"/>
  <c r="FN17" i="2"/>
  <c r="FM17" i="2"/>
  <c r="FL17" i="2"/>
  <c r="FJ17" i="2"/>
  <c r="FI17" i="2"/>
  <c r="FH17" i="2"/>
  <c r="FK17" i="2" s="1"/>
  <c r="FG17" i="2"/>
  <c r="FF17" i="2"/>
  <c r="FP17" i="2" s="1"/>
  <c r="FE17" i="2"/>
  <c r="FD17" i="2"/>
  <c r="FB17" i="2"/>
  <c r="FA17" i="2"/>
  <c r="EZ17" i="2"/>
  <c r="EY17" i="2"/>
  <c r="EX17" i="2"/>
  <c r="EW17" i="2"/>
  <c r="EV17" i="2"/>
  <c r="EU17" i="2"/>
  <c r="ET17" i="2"/>
  <c r="ES17" i="2"/>
  <c r="ER17" i="2"/>
  <c r="EQ17" i="2"/>
  <c r="EP17" i="2"/>
  <c r="EO17" i="2"/>
  <c r="EN17" i="2"/>
  <c r="EM17" i="2"/>
  <c r="EL17" i="2"/>
  <c r="EK17" i="2"/>
  <c r="EJ17" i="2"/>
  <c r="EI17" i="2"/>
  <c r="EH17" i="2"/>
  <c r="EG17" i="2"/>
  <c r="EF17" i="2"/>
  <c r="EE17" i="2"/>
  <c r="ED17" i="2"/>
  <c r="EC17" i="2"/>
  <c r="EB17" i="2"/>
  <c r="EA17" i="2"/>
  <c r="DY17" i="2"/>
  <c r="DW17" i="2"/>
  <c r="DU17" i="2"/>
  <c r="DT17" i="2"/>
  <c r="DS17" i="2"/>
  <c r="DR17" i="2"/>
  <c r="DQ17" i="2"/>
  <c r="DP17" i="2"/>
  <c r="DO17" i="2"/>
  <c r="DN17" i="2"/>
  <c r="DK17" i="2"/>
  <c r="DJ17" i="2"/>
  <c r="DI17" i="2"/>
  <c r="DH17" i="2"/>
  <c r="DG17" i="2"/>
  <c r="DF17" i="2"/>
  <c r="DE17" i="2"/>
  <c r="DD17" i="2"/>
  <c r="DB17" i="2"/>
  <c r="DA17" i="2"/>
  <c r="CV17" i="2"/>
  <c r="CU17" i="2"/>
  <c r="CT17" i="2"/>
  <c r="CS17" i="2"/>
  <c r="CR17" i="2"/>
  <c r="CQ17" i="2"/>
  <c r="GL17" i="2" s="1"/>
  <c r="CP17" i="2"/>
  <c r="CO17" i="2"/>
  <c r="DZ17" i="2" s="1"/>
  <c r="CN17" i="2"/>
  <c r="CM17" i="2"/>
  <c r="DX17" i="2" s="1"/>
  <c r="CL17" i="2"/>
  <c r="CG17" i="2" a="1"/>
  <c r="CG17" i="2" s="1"/>
  <c r="AW17" i="2"/>
  <c r="AV17" i="2"/>
  <c r="J17" i="2"/>
  <c r="G17" i="2"/>
  <c r="IT16" i="2"/>
  <c r="IS16" i="2"/>
  <c r="HX16" i="2" a="1"/>
  <c r="HX16" i="2" s="1"/>
  <c r="IW16" i="2" s="1"/>
  <c r="HW16" i="2"/>
  <c r="IV16" i="2" s="1"/>
  <c r="HW16" i="2" a="1"/>
  <c r="HV16" i="2" a="1"/>
  <c r="HV16" i="2" s="1"/>
  <c r="IU16" i="2" s="1"/>
  <c r="HU16" i="2" a="1"/>
  <c r="HU16" i="2" s="1"/>
  <c r="HT16" i="2" a="1"/>
  <c r="HT16" i="2" s="1"/>
  <c r="HS16" i="2" a="1"/>
  <c r="HS16" i="2" s="1"/>
  <c r="IR16" i="2" s="1"/>
  <c r="HR16" i="2"/>
  <c r="IQ16" i="2" s="1"/>
  <c r="HR16" i="2" a="1"/>
  <c r="HQ16" i="2" a="1"/>
  <c r="HQ16" i="2" s="1"/>
  <c r="IP16" i="2" s="1"/>
  <c r="HP16" i="2"/>
  <c r="IO16" i="2" s="1"/>
  <c r="HP16" i="2" a="1"/>
  <c r="HL16" i="2"/>
  <c r="HJ16" i="2"/>
  <c r="HH16" i="2"/>
  <c r="HB16" i="2"/>
  <c r="HA16" i="2"/>
  <c r="GZ16" i="2"/>
  <c r="GY16" i="2"/>
  <c r="GX16" i="2"/>
  <c r="GW16" i="2"/>
  <c r="GV16" i="2"/>
  <c r="GU16" i="2"/>
  <c r="GT16" i="2"/>
  <c r="GP16" i="2"/>
  <c r="GN16" i="2"/>
  <c r="GI16" i="2"/>
  <c r="GH16" i="2"/>
  <c r="GG16" i="2"/>
  <c r="GF16" i="2"/>
  <c r="GE16" i="2"/>
  <c r="GB16" i="2"/>
  <c r="GA16" i="2"/>
  <c r="FZ16" i="2"/>
  <c r="FY16" i="2"/>
  <c r="FW16" i="2"/>
  <c r="FV16" i="2"/>
  <c r="FU16" i="2"/>
  <c r="FT16" i="2"/>
  <c r="FS16" i="2"/>
  <c r="FR16" i="2"/>
  <c r="FQ16" i="2"/>
  <c r="FP16" i="2"/>
  <c r="FO16" i="2"/>
  <c r="FN16" i="2"/>
  <c r="FJ16" i="2"/>
  <c r="FI16" i="2"/>
  <c r="FH16" i="2"/>
  <c r="FK16" i="2" s="1"/>
  <c r="FG16" i="2"/>
  <c r="FF16" i="2"/>
  <c r="FE16" i="2"/>
  <c r="FD16" i="2"/>
  <c r="FB16" i="2"/>
  <c r="FA16" i="2"/>
  <c r="EZ16" i="2"/>
  <c r="EY16" i="2"/>
  <c r="EX16" i="2"/>
  <c r="EW16" i="2"/>
  <c r="EV16" i="2"/>
  <c r="EU16" i="2"/>
  <c r="ET16" i="2"/>
  <c r="ES16" i="2"/>
  <c r="ER16" i="2"/>
  <c r="EQ16" i="2"/>
  <c r="EP16" i="2"/>
  <c r="EO16" i="2"/>
  <c r="EN16" i="2"/>
  <c r="EM16" i="2"/>
  <c r="EL16" i="2"/>
  <c r="EK16" i="2"/>
  <c r="EJ16" i="2"/>
  <c r="EI16" i="2"/>
  <c r="EH16" i="2"/>
  <c r="EG16" i="2"/>
  <c r="EF16" i="2"/>
  <c r="EE16" i="2"/>
  <c r="ED16" i="2"/>
  <c r="EC16" i="2"/>
  <c r="EB16" i="2"/>
  <c r="EA16" i="2"/>
  <c r="DW16" i="2"/>
  <c r="DU16" i="2"/>
  <c r="DT16" i="2"/>
  <c r="DS16" i="2"/>
  <c r="DR16" i="2"/>
  <c r="DQ16" i="2"/>
  <c r="DP16" i="2"/>
  <c r="DO16" i="2"/>
  <c r="DN16" i="2"/>
  <c r="DK16" i="2"/>
  <c r="DJ16" i="2"/>
  <c r="DI16" i="2"/>
  <c r="DH16" i="2"/>
  <c r="DG16" i="2"/>
  <c r="DF16" i="2"/>
  <c r="DE16" i="2"/>
  <c r="DD16" i="2"/>
  <c r="DB16" i="2"/>
  <c r="DA16" i="2"/>
  <c r="CV16" i="2"/>
  <c r="CU16" i="2"/>
  <c r="CT16" i="2"/>
  <c r="CS16" i="2"/>
  <c r="CR16" i="2"/>
  <c r="GM16" i="2" s="1"/>
  <c r="CQ16" i="2"/>
  <c r="GL16" i="2" s="1"/>
  <c r="CP16" i="2"/>
  <c r="GJ16" i="2" s="1"/>
  <c r="GK16" i="2" s="1"/>
  <c r="CO16" i="2"/>
  <c r="DZ16" i="2" s="1"/>
  <c r="CN16" i="2"/>
  <c r="DY16" i="2" s="1"/>
  <c r="CM16" i="2"/>
  <c r="DX16" i="2" s="1"/>
  <c r="CL16" i="2"/>
  <c r="CG16" i="2"/>
  <c r="CG16" i="2" a="1"/>
  <c r="AW16" i="2"/>
  <c r="AV16" i="2"/>
  <c r="J16" i="2"/>
  <c r="HI16" i="2" s="1"/>
  <c r="G16" i="2"/>
  <c r="IW15" i="2"/>
  <c r="IO15" i="2"/>
  <c r="IN15" i="2"/>
  <c r="IX15" i="2" s="1"/>
  <c r="HX15" i="2" a="1"/>
  <c r="HX15" i="2" s="1"/>
  <c r="HW15" i="2"/>
  <c r="IV15" i="2" s="1"/>
  <c r="HW15" i="2" a="1"/>
  <c r="HV15" i="2" a="1"/>
  <c r="HV15" i="2" s="1"/>
  <c r="IU15" i="2" s="1"/>
  <c r="HU15" i="2" a="1"/>
  <c r="HU15" i="2" s="1"/>
  <c r="IT15" i="2" s="1"/>
  <c r="HT15" i="2" a="1"/>
  <c r="HT15" i="2" s="1"/>
  <c r="IS15" i="2" s="1"/>
  <c r="HS15" i="2" a="1"/>
  <c r="HS15" i="2" s="1"/>
  <c r="IR15" i="2" s="1"/>
  <c r="HR15" i="2" a="1"/>
  <c r="HR15" i="2" s="1"/>
  <c r="IQ15" i="2" s="1"/>
  <c r="HQ15" i="2"/>
  <c r="IP15" i="2" s="1"/>
  <c r="HQ15" i="2" a="1"/>
  <c r="HP15" i="2" a="1"/>
  <c r="HP15" i="2" s="1"/>
  <c r="HL15" i="2"/>
  <c r="HJ15" i="2"/>
  <c r="HH15" i="2"/>
  <c r="HI15" i="2" s="1"/>
  <c r="HC15" i="2"/>
  <c r="HB15" i="2"/>
  <c r="HA15" i="2"/>
  <c r="GZ15" i="2"/>
  <c r="GY15" i="2"/>
  <c r="GX15" i="2"/>
  <c r="GW15" i="2"/>
  <c r="GV15" i="2"/>
  <c r="GU15" i="2"/>
  <c r="GT15" i="2"/>
  <c r="GP15" i="2"/>
  <c r="GN15" i="2"/>
  <c r="GM15" i="2"/>
  <c r="GK15" i="2"/>
  <c r="GJ15" i="2"/>
  <c r="GI15" i="2"/>
  <c r="GH15" i="2"/>
  <c r="GG15" i="2"/>
  <c r="GF15" i="2"/>
  <c r="GE15" i="2"/>
  <c r="GB15" i="2"/>
  <c r="GA15" i="2"/>
  <c r="FZ15" i="2"/>
  <c r="FY15" i="2"/>
  <c r="FW15" i="2"/>
  <c r="FV15" i="2"/>
  <c r="FU15" i="2"/>
  <c r="FT15" i="2"/>
  <c r="FS15" i="2"/>
  <c r="FR15" i="2"/>
  <c r="FQ15" i="2"/>
  <c r="FJ15" i="2"/>
  <c r="FI15" i="2"/>
  <c r="FH15" i="2"/>
  <c r="FK15" i="2" s="1"/>
  <c r="FG15" i="2"/>
  <c r="FF15" i="2"/>
  <c r="FE15" i="2"/>
  <c r="FD15" i="2"/>
  <c r="FB15" i="2"/>
  <c r="FA15" i="2"/>
  <c r="EZ15" i="2"/>
  <c r="EY15" i="2"/>
  <c r="EX15" i="2"/>
  <c r="EW15" i="2"/>
  <c r="EV15" i="2"/>
  <c r="EU15" i="2"/>
  <c r="ET15" i="2"/>
  <c r="ES15" i="2"/>
  <c r="ER15" i="2"/>
  <c r="EQ15" i="2"/>
  <c r="EP15" i="2"/>
  <c r="EO15" i="2"/>
  <c r="EN15" i="2"/>
  <c r="EM15" i="2"/>
  <c r="EL15" i="2"/>
  <c r="EK15" i="2"/>
  <c r="EJ15" i="2"/>
  <c r="EI15" i="2"/>
  <c r="EH15" i="2"/>
  <c r="EG15" i="2"/>
  <c r="EF15" i="2"/>
  <c r="EE15" i="2"/>
  <c r="ED15" i="2"/>
  <c r="EC15" i="2"/>
  <c r="EB15" i="2"/>
  <c r="EA15" i="2"/>
  <c r="DY15" i="2"/>
  <c r="DW15" i="2"/>
  <c r="DU15" i="2"/>
  <c r="DT15" i="2"/>
  <c r="DS15" i="2"/>
  <c r="DR15" i="2"/>
  <c r="DQ15" i="2"/>
  <c r="DP15" i="2"/>
  <c r="DO15" i="2"/>
  <c r="DN15" i="2"/>
  <c r="DK15" i="2"/>
  <c r="DJ15" i="2"/>
  <c r="DI15" i="2"/>
  <c r="DH15" i="2"/>
  <c r="DG15" i="2"/>
  <c r="DF15" i="2"/>
  <c r="DE15" i="2"/>
  <c r="DD15" i="2"/>
  <c r="DB15" i="2"/>
  <c r="DA15" i="2"/>
  <c r="CV15" i="2"/>
  <c r="CU15" i="2"/>
  <c r="CT15" i="2"/>
  <c r="CS15" i="2"/>
  <c r="CR15" i="2"/>
  <c r="CQ15" i="2"/>
  <c r="GL15" i="2" s="1"/>
  <c r="CP15" i="2"/>
  <c r="CO15" i="2"/>
  <c r="DZ15" i="2" s="1"/>
  <c r="CN15" i="2"/>
  <c r="CM15" i="2"/>
  <c r="DX15" i="2" s="1"/>
  <c r="CL15" i="2"/>
  <c r="CG15" i="2" a="1"/>
  <c r="CG15" i="2" s="1"/>
  <c r="CH15" i="2" s="1"/>
  <c r="CW15" i="2" s="1"/>
  <c r="AW15" i="2"/>
  <c r="AV15" i="2"/>
  <c r="J15" i="2"/>
  <c r="G15" i="2"/>
  <c r="IT14" i="2"/>
  <c r="IP14" i="2"/>
  <c r="HX14" i="2" a="1"/>
  <c r="HX14" i="2" s="1"/>
  <c r="IW14" i="2" s="1"/>
  <c r="HW14" i="2"/>
  <c r="IV14" i="2" s="1"/>
  <c r="HW14" i="2" a="1"/>
  <c r="HV14" i="2"/>
  <c r="IU14" i="2" s="1"/>
  <c r="HV14" i="2" a="1"/>
  <c r="HU14" i="2" a="1"/>
  <c r="HU14" i="2" s="1"/>
  <c r="HT14" i="2" a="1"/>
  <c r="HT14" i="2" s="1"/>
  <c r="IS14" i="2" s="1"/>
  <c r="HS14" i="2" a="1"/>
  <c r="HS14" i="2" s="1"/>
  <c r="IR14" i="2" s="1"/>
  <c r="HR14" i="2"/>
  <c r="IQ14" i="2" s="1"/>
  <c r="HR14" i="2" a="1"/>
  <c r="HQ14" i="2" a="1"/>
  <c r="HQ14" i="2" s="1"/>
  <c r="HP14" i="2"/>
  <c r="IO14" i="2" s="1"/>
  <c r="HP14" i="2" a="1"/>
  <c r="HL14" i="2"/>
  <c r="HJ14" i="2"/>
  <c r="HH14" i="2"/>
  <c r="HB14" i="2"/>
  <c r="HC14" i="2" s="1"/>
  <c r="HA14" i="2"/>
  <c r="GZ14" i="2"/>
  <c r="GY14" i="2"/>
  <c r="GX14" i="2"/>
  <c r="GW14" i="2"/>
  <c r="GV14" i="2"/>
  <c r="GU14" i="2"/>
  <c r="GT14" i="2"/>
  <c r="GP14" i="2"/>
  <c r="GM14" i="2"/>
  <c r="GI14" i="2"/>
  <c r="GH14" i="2"/>
  <c r="GG14" i="2"/>
  <c r="GF14" i="2"/>
  <c r="GE14" i="2"/>
  <c r="GB14" i="2"/>
  <c r="GA14" i="2"/>
  <c r="FZ14" i="2"/>
  <c r="FY14" i="2"/>
  <c r="FW14" i="2"/>
  <c r="FV14" i="2"/>
  <c r="FU14" i="2"/>
  <c r="FT14" i="2"/>
  <c r="FS14" i="2"/>
  <c r="FR14" i="2"/>
  <c r="FQ14" i="2"/>
  <c r="FO14" i="2"/>
  <c r="FJ14" i="2"/>
  <c r="FI14" i="2"/>
  <c r="FH14" i="2"/>
  <c r="FG14" i="2"/>
  <c r="FF14" i="2"/>
  <c r="FE14" i="2"/>
  <c r="FD14" i="2"/>
  <c r="FB14" i="2"/>
  <c r="FA14" i="2"/>
  <c r="EZ14" i="2"/>
  <c r="EY14" i="2"/>
  <c r="EX14" i="2"/>
  <c r="EW14" i="2"/>
  <c r="EV14" i="2"/>
  <c r="EU14" i="2"/>
  <c r="ET14" i="2"/>
  <c r="ES14" i="2"/>
  <c r="ER14" i="2"/>
  <c r="EQ14" i="2"/>
  <c r="EP14" i="2"/>
  <c r="EO14" i="2"/>
  <c r="EN14" i="2"/>
  <c r="EM14" i="2"/>
  <c r="EL14" i="2"/>
  <c r="EK14" i="2"/>
  <c r="EJ14" i="2"/>
  <c r="EI14" i="2"/>
  <c r="EH14" i="2"/>
  <c r="EG14" i="2"/>
  <c r="EF14" i="2"/>
  <c r="EE14" i="2"/>
  <c r="ED14" i="2"/>
  <c r="EC14" i="2"/>
  <c r="EB14" i="2"/>
  <c r="EA14" i="2"/>
  <c r="DU14" i="2"/>
  <c r="DT14" i="2"/>
  <c r="DS14" i="2"/>
  <c r="DR14" i="2"/>
  <c r="DQ14" i="2"/>
  <c r="DP14" i="2"/>
  <c r="DO14" i="2"/>
  <c r="DN14" i="2"/>
  <c r="DK14" i="2"/>
  <c r="DJ14" i="2"/>
  <c r="DI14" i="2"/>
  <c r="DH14" i="2"/>
  <c r="DG14" i="2"/>
  <c r="DF14" i="2"/>
  <c r="DE14" i="2"/>
  <c r="DD14" i="2"/>
  <c r="DB14" i="2"/>
  <c r="DA14" i="2"/>
  <c r="CV14" i="2"/>
  <c r="CU14" i="2"/>
  <c r="CT14" i="2"/>
  <c r="CS14" i="2"/>
  <c r="GN14" i="2" s="1"/>
  <c r="CR14" i="2"/>
  <c r="CQ14" i="2"/>
  <c r="GL14" i="2" s="1"/>
  <c r="CP14" i="2"/>
  <c r="GJ14" i="2" s="1"/>
  <c r="GK14" i="2" s="1"/>
  <c r="CO14" i="2"/>
  <c r="DZ14" i="2" s="1"/>
  <c r="CN14" i="2"/>
  <c r="DY14" i="2" s="1"/>
  <c r="CM14" i="2"/>
  <c r="DX14" i="2" s="1"/>
  <c r="CL14" i="2"/>
  <c r="DW14" i="2" s="1"/>
  <c r="CG14" i="2" a="1"/>
  <c r="CG14" i="2" s="1"/>
  <c r="AW14" i="2"/>
  <c r="AV14" i="2"/>
  <c r="J14" i="2"/>
  <c r="G14" i="2"/>
  <c r="IW13" i="2"/>
  <c r="IV13" i="2"/>
  <c r="IU13" i="2"/>
  <c r="IQ13" i="2"/>
  <c r="HX13" i="2" a="1"/>
  <c r="HX13" i="2" s="1"/>
  <c r="HW13" i="2"/>
  <c r="HW13" i="2" a="1"/>
  <c r="HV13" i="2" a="1"/>
  <c r="HV13" i="2" s="1"/>
  <c r="HU13" i="2"/>
  <c r="IT13" i="2" s="1"/>
  <c r="HU13" i="2" a="1"/>
  <c r="HT13" i="2" a="1"/>
  <c r="HT13" i="2" s="1"/>
  <c r="IS13" i="2" s="1"/>
  <c r="HS13" i="2"/>
  <c r="IR13" i="2" s="1"/>
  <c r="HS13" i="2" a="1"/>
  <c r="HR13" i="2" a="1"/>
  <c r="HR13" i="2" s="1"/>
  <c r="HQ13" i="2" a="1"/>
  <c r="HQ13" i="2" s="1"/>
  <c r="IP13" i="2" s="1"/>
  <c r="HP13" i="2" a="1"/>
  <c r="HP13" i="2" s="1"/>
  <c r="IO13" i="2" s="1"/>
  <c r="HL13" i="2"/>
  <c r="HJ13" i="2"/>
  <c r="HH13" i="2"/>
  <c r="HI13" i="2" s="1"/>
  <c r="HB13" i="2"/>
  <c r="HA13" i="2"/>
  <c r="GZ13" i="2"/>
  <c r="GY13" i="2"/>
  <c r="GX13" i="2"/>
  <c r="GW13" i="2"/>
  <c r="HC13" i="2" s="1"/>
  <c r="GV13" i="2"/>
  <c r="GU13" i="2"/>
  <c r="GT13" i="2"/>
  <c r="GP13" i="2"/>
  <c r="GN13" i="2"/>
  <c r="GI13" i="2"/>
  <c r="GH13" i="2"/>
  <c r="GG13" i="2"/>
  <c r="GF13" i="2"/>
  <c r="GE13" i="2"/>
  <c r="GB13" i="2"/>
  <c r="GA13" i="2"/>
  <c r="FZ13" i="2"/>
  <c r="FY13" i="2"/>
  <c r="FW13" i="2"/>
  <c r="FV13" i="2"/>
  <c r="FU13" i="2"/>
  <c r="FT13" i="2"/>
  <c r="FS13" i="2"/>
  <c r="FR13" i="2"/>
  <c r="FQ13" i="2"/>
  <c r="FJ13" i="2"/>
  <c r="FM13" i="2" s="1"/>
  <c r="FI13" i="2"/>
  <c r="FL13" i="2" s="1"/>
  <c r="FH13" i="2"/>
  <c r="FK13" i="2" s="1"/>
  <c r="FG13" i="2"/>
  <c r="FF13" i="2"/>
  <c r="FP13" i="2" s="1"/>
  <c r="FE13" i="2"/>
  <c r="FD13" i="2"/>
  <c r="FB13" i="2"/>
  <c r="FA13" i="2"/>
  <c r="EZ13" i="2"/>
  <c r="EY13" i="2"/>
  <c r="EX13" i="2"/>
  <c r="EW13" i="2"/>
  <c r="EV13" i="2"/>
  <c r="EU13" i="2"/>
  <c r="ET13" i="2"/>
  <c r="ES13" i="2"/>
  <c r="ER13" i="2"/>
  <c r="EQ13" i="2"/>
  <c r="EP13" i="2"/>
  <c r="EO13" i="2"/>
  <c r="EN13" i="2"/>
  <c r="EM13" i="2"/>
  <c r="EL13" i="2"/>
  <c r="EK13" i="2"/>
  <c r="EJ13" i="2"/>
  <c r="EI13" i="2"/>
  <c r="EH13" i="2"/>
  <c r="EG13" i="2"/>
  <c r="EF13" i="2"/>
  <c r="EE13" i="2"/>
  <c r="ED13" i="2"/>
  <c r="EC13" i="2"/>
  <c r="EB13" i="2"/>
  <c r="EA13" i="2"/>
  <c r="DY13" i="2"/>
  <c r="DX13" i="2"/>
  <c r="DW13" i="2"/>
  <c r="DU13" i="2"/>
  <c r="DT13" i="2"/>
  <c r="DS13" i="2"/>
  <c r="DR13" i="2"/>
  <c r="DQ13" i="2"/>
  <c r="DP13" i="2"/>
  <c r="DO13" i="2"/>
  <c r="DN13" i="2"/>
  <c r="DK13" i="2"/>
  <c r="DJ13" i="2"/>
  <c r="DI13" i="2"/>
  <c r="DH13" i="2"/>
  <c r="DG13" i="2"/>
  <c r="DF13" i="2"/>
  <c r="DE13" i="2"/>
  <c r="DD13" i="2"/>
  <c r="DB13" i="2"/>
  <c r="DA13" i="2"/>
  <c r="CV13" i="2"/>
  <c r="CU13" i="2"/>
  <c r="CT13" i="2"/>
  <c r="CS13" i="2"/>
  <c r="CR13" i="2"/>
  <c r="GM13" i="2" s="1"/>
  <c r="CQ13" i="2"/>
  <c r="GL13" i="2" s="1"/>
  <c r="CP13" i="2"/>
  <c r="GJ13" i="2" s="1"/>
  <c r="GK13" i="2" s="1"/>
  <c r="CO13" i="2"/>
  <c r="DZ13" i="2" s="1"/>
  <c r="CN13" i="2"/>
  <c r="CM13" i="2"/>
  <c r="CL13" i="2"/>
  <c r="CG13" i="2" a="1"/>
  <c r="CG13" i="2" s="1"/>
  <c r="AW13" i="2"/>
  <c r="AV13" i="2"/>
  <c r="J13" i="2"/>
  <c r="G13" i="2"/>
  <c r="IW12" i="2"/>
  <c r="IT12" i="2"/>
  <c r="HX12" i="2"/>
  <c r="HX12" i="2" a="1"/>
  <c r="HW12" i="2" a="1"/>
  <c r="HW12" i="2" s="1"/>
  <c r="IV12" i="2" s="1"/>
  <c r="HV12" i="2" a="1"/>
  <c r="HV12" i="2" s="1"/>
  <c r="IU12" i="2" s="1"/>
  <c r="HU12" i="2" a="1"/>
  <c r="HU12" i="2" s="1"/>
  <c r="HT12" i="2" a="1"/>
  <c r="HT12" i="2" s="1"/>
  <c r="IS12" i="2" s="1"/>
  <c r="HS12" i="2" a="1"/>
  <c r="HS12" i="2" s="1"/>
  <c r="IR12" i="2" s="1"/>
  <c r="HR12" i="2"/>
  <c r="IQ12" i="2" s="1"/>
  <c r="HR12" i="2" a="1"/>
  <c r="HQ12" i="2"/>
  <c r="IP12" i="2" s="1"/>
  <c r="HQ12" i="2" a="1"/>
  <c r="HP12" i="2" a="1"/>
  <c r="HP12" i="2" s="1"/>
  <c r="IO12" i="2" s="1"/>
  <c r="HL12" i="2"/>
  <c r="HJ12" i="2"/>
  <c r="HH12" i="2"/>
  <c r="HB12" i="2"/>
  <c r="HA12" i="2"/>
  <c r="GZ12" i="2"/>
  <c r="GY12" i="2"/>
  <c r="GX12" i="2"/>
  <c r="GW12" i="2"/>
  <c r="GV12" i="2"/>
  <c r="GU12" i="2"/>
  <c r="GT12" i="2"/>
  <c r="GP12" i="2"/>
  <c r="GI12" i="2"/>
  <c r="GH12" i="2"/>
  <c r="GG12" i="2"/>
  <c r="GF12" i="2"/>
  <c r="GE12" i="2"/>
  <c r="GB12" i="2"/>
  <c r="GA12" i="2"/>
  <c r="FZ12" i="2"/>
  <c r="FY12" i="2"/>
  <c r="FW12" i="2"/>
  <c r="FV12" i="2"/>
  <c r="FU12" i="2"/>
  <c r="FT12" i="2"/>
  <c r="FS12" i="2"/>
  <c r="FR12" i="2"/>
  <c r="FQ12" i="2"/>
  <c r="FP12" i="2"/>
  <c r="FO12" i="2"/>
  <c r="FL12" i="2"/>
  <c r="FK12" i="2"/>
  <c r="FJ12" i="2"/>
  <c r="FM12" i="2" s="1"/>
  <c r="FI12" i="2"/>
  <c r="FH12" i="2"/>
  <c r="FG12" i="2"/>
  <c r="FF12" i="2"/>
  <c r="FN12" i="2" s="1"/>
  <c r="FE12" i="2"/>
  <c r="FD12" i="2"/>
  <c r="FB12" i="2"/>
  <c r="FA12" i="2"/>
  <c r="EZ12" i="2"/>
  <c r="EY12" i="2"/>
  <c r="EX12" i="2"/>
  <c r="EW12" i="2"/>
  <c r="EV12" i="2"/>
  <c r="EU12" i="2"/>
  <c r="ET12" i="2"/>
  <c r="ES12" i="2"/>
  <c r="ER12" i="2"/>
  <c r="EQ12" i="2"/>
  <c r="EP12" i="2"/>
  <c r="EO12" i="2"/>
  <c r="EN12" i="2"/>
  <c r="EM12" i="2"/>
  <c r="EL12" i="2"/>
  <c r="EK12" i="2"/>
  <c r="EJ12" i="2"/>
  <c r="EI12" i="2"/>
  <c r="EH12" i="2"/>
  <c r="EG12" i="2"/>
  <c r="EF12" i="2"/>
  <c r="EE12" i="2"/>
  <c r="ED12" i="2"/>
  <c r="EC12" i="2"/>
  <c r="EB12" i="2"/>
  <c r="EA12" i="2"/>
  <c r="DZ12" i="2"/>
  <c r="DY12" i="2"/>
  <c r="DU12" i="2"/>
  <c r="DT12" i="2"/>
  <c r="DS12" i="2"/>
  <c r="DR12" i="2"/>
  <c r="DQ12" i="2"/>
  <c r="DP12" i="2"/>
  <c r="DO12" i="2"/>
  <c r="DN12" i="2"/>
  <c r="DK12" i="2"/>
  <c r="DJ12" i="2"/>
  <c r="DI12" i="2"/>
  <c r="DH12" i="2"/>
  <c r="DG12" i="2"/>
  <c r="DF12" i="2"/>
  <c r="DE12" i="2"/>
  <c r="DD12" i="2"/>
  <c r="DB12" i="2"/>
  <c r="DA12" i="2"/>
  <c r="CV12" i="2"/>
  <c r="CU12" i="2"/>
  <c r="CT12" i="2"/>
  <c r="CS12" i="2"/>
  <c r="GN12" i="2" s="1"/>
  <c r="CR12" i="2"/>
  <c r="GM12" i="2" s="1"/>
  <c r="CQ12" i="2"/>
  <c r="GL12" i="2" s="1"/>
  <c r="CP12" i="2"/>
  <c r="GJ12" i="2" s="1"/>
  <c r="GK12" i="2" s="1"/>
  <c r="CO12" i="2"/>
  <c r="CN12" i="2"/>
  <c r="CM12" i="2"/>
  <c r="DX12" i="2" s="1"/>
  <c r="CL12" i="2"/>
  <c r="DW12" i="2" s="1"/>
  <c r="CG12" i="2" a="1"/>
  <c r="CG12" i="2" s="1"/>
  <c r="AW12" i="2"/>
  <c r="AV12" i="2"/>
  <c r="J12" i="2"/>
  <c r="HI12" i="2" s="1"/>
  <c r="G12" i="2"/>
  <c r="IO11" i="2"/>
  <c r="IL11" i="2"/>
  <c r="HX11" i="2" a="1"/>
  <c r="HX11" i="2" s="1"/>
  <c r="IW11" i="2" s="1"/>
  <c r="HW11" i="2"/>
  <c r="IV11" i="2" s="1"/>
  <c r="HW11" i="2" a="1"/>
  <c r="HV11" i="2"/>
  <c r="IU11" i="2" s="1"/>
  <c r="HV11" i="2" a="1"/>
  <c r="HU11" i="2" a="1"/>
  <c r="HU11" i="2" s="1"/>
  <c r="IT11" i="2" s="1"/>
  <c r="HT11" i="2" a="1"/>
  <c r="HT11" i="2" s="1"/>
  <c r="IS11" i="2" s="1"/>
  <c r="HS11" i="2"/>
  <c r="IR11" i="2" s="1"/>
  <c r="HS11" i="2" a="1"/>
  <c r="HR11" i="2" a="1"/>
  <c r="HR11" i="2" s="1"/>
  <c r="IQ11" i="2" s="1"/>
  <c r="HQ11" i="2"/>
  <c r="IP11" i="2" s="1"/>
  <c r="HQ11" i="2" a="1"/>
  <c r="HP11" i="2"/>
  <c r="HP11" i="2" a="1"/>
  <c r="HL11" i="2"/>
  <c r="HJ11" i="2"/>
  <c r="HH11" i="2"/>
  <c r="HB11" i="2"/>
  <c r="HA11" i="2"/>
  <c r="HC11" i="2" s="1"/>
  <c r="GZ11" i="2"/>
  <c r="GY11" i="2"/>
  <c r="GX11" i="2"/>
  <c r="GW11" i="2"/>
  <c r="GV11" i="2"/>
  <c r="GU11" i="2"/>
  <c r="GT11" i="2"/>
  <c r="GP11" i="2"/>
  <c r="GN11" i="2"/>
  <c r="GL11" i="2"/>
  <c r="GK11" i="2"/>
  <c r="GI11" i="2"/>
  <c r="GH11" i="2"/>
  <c r="GG11" i="2"/>
  <c r="GF11" i="2"/>
  <c r="GE11" i="2"/>
  <c r="GD11" i="2"/>
  <c r="GC11" i="2"/>
  <c r="GB11" i="2"/>
  <c r="GA11" i="2"/>
  <c r="FZ11" i="2"/>
  <c r="FY11" i="2"/>
  <c r="FX11" i="2"/>
  <c r="FW11" i="2"/>
  <c r="FV11" i="2"/>
  <c r="FU11" i="2"/>
  <c r="FT11" i="2"/>
  <c r="FS11" i="2"/>
  <c r="FR11" i="2"/>
  <c r="FQ11" i="2"/>
  <c r="FP11" i="2"/>
  <c r="FN11" i="2"/>
  <c r="FM11" i="2"/>
  <c r="FL11" i="2"/>
  <c r="FJ11" i="2"/>
  <c r="FI11" i="2"/>
  <c r="FH11" i="2"/>
  <c r="FK11" i="2" s="1"/>
  <c r="FG11" i="2"/>
  <c r="FF11" i="2"/>
  <c r="FE11" i="2"/>
  <c r="FO11" i="2" s="1"/>
  <c r="FD11" i="2"/>
  <c r="FC11" i="2"/>
  <c r="FB11" i="2"/>
  <c r="FA11" i="2"/>
  <c r="EZ11" i="2"/>
  <c r="EY11" i="2"/>
  <c r="EX11" i="2"/>
  <c r="EW11" i="2"/>
  <c r="EV11" i="2"/>
  <c r="EU11" i="2"/>
  <c r="ET11" i="2"/>
  <c r="ES11" i="2"/>
  <c r="ER11" i="2"/>
  <c r="EQ11" i="2"/>
  <c r="EP11" i="2"/>
  <c r="EO11" i="2"/>
  <c r="EN11" i="2"/>
  <c r="EM11" i="2"/>
  <c r="EL11" i="2"/>
  <c r="EK11" i="2"/>
  <c r="EJ11" i="2"/>
  <c r="EI11" i="2"/>
  <c r="EH11" i="2"/>
  <c r="EG11" i="2"/>
  <c r="EF11" i="2"/>
  <c r="EE11" i="2"/>
  <c r="ED11" i="2"/>
  <c r="EC11" i="2"/>
  <c r="EB11" i="2"/>
  <c r="EA11" i="2"/>
  <c r="DZ11" i="2"/>
  <c r="DY11" i="2"/>
  <c r="DV11" i="2"/>
  <c r="DU11" i="2"/>
  <c r="DT11" i="2"/>
  <c r="DS11" i="2"/>
  <c r="DR11" i="2"/>
  <c r="DQ11" i="2"/>
  <c r="DP11" i="2"/>
  <c r="DO11" i="2"/>
  <c r="DN11" i="2"/>
  <c r="DK11" i="2"/>
  <c r="DJ11" i="2"/>
  <c r="DI11" i="2"/>
  <c r="DH11" i="2"/>
  <c r="DG11" i="2"/>
  <c r="DF11" i="2"/>
  <c r="DE11" i="2"/>
  <c r="DD11" i="2"/>
  <c r="DC11" i="2"/>
  <c r="DB11" i="2"/>
  <c r="DA11" i="2"/>
  <c r="CV11" i="2"/>
  <c r="CU11" i="2"/>
  <c r="CT11" i="2"/>
  <c r="CS11" i="2"/>
  <c r="CR11" i="2"/>
  <c r="GM11" i="2" s="1"/>
  <c r="CQ11" i="2"/>
  <c r="CP11" i="2"/>
  <c r="GJ11" i="2" s="1"/>
  <c r="CO11" i="2"/>
  <c r="CN11" i="2"/>
  <c r="CM11" i="2"/>
  <c r="DX11" i="2" s="1"/>
  <c r="CL11" i="2"/>
  <c r="DW11" i="2" s="1"/>
  <c r="CG11" i="2" a="1"/>
  <c r="CG11" i="2" s="1"/>
  <c r="AW11" i="2"/>
  <c r="AV11" i="2"/>
  <c r="J11" i="2"/>
  <c r="HI11" i="2" s="1"/>
  <c r="G11" i="2"/>
  <c r="IW10" i="2"/>
  <c r="IV10" i="2"/>
  <c r="IP10" i="2"/>
  <c r="HX10" i="2"/>
  <c r="HX10" i="2" a="1"/>
  <c r="HW10" i="2"/>
  <c r="HW10" i="2" a="1"/>
  <c r="HV10" i="2" a="1"/>
  <c r="HV10" i="2" s="1"/>
  <c r="IU10" i="2" s="1"/>
  <c r="HU10" i="2"/>
  <c r="IT10" i="2" s="1"/>
  <c r="HU10" i="2" a="1"/>
  <c r="HT10" i="2" a="1"/>
  <c r="HT10" i="2" s="1"/>
  <c r="IS10" i="2" s="1"/>
  <c r="HS10" i="2"/>
  <c r="IR10" i="2" s="1"/>
  <c r="HS10" i="2" a="1"/>
  <c r="HR10" i="2"/>
  <c r="IQ10" i="2" s="1"/>
  <c r="HR10" i="2" a="1"/>
  <c r="HQ10" i="2"/>
  <c r="HQ10" i="2" a="1"/>
  <c r="HP10" i="2" a="1"/>
  <c r="HP10" i="2" s="1"/>
  <c r="IO10" i="2" s="1"/>
  <c r="HL10" i="2"/>
  <c r="HJ10" i="2"/>
  <c r="HI10" i="2"/>
  <c r="HH10" i="2"/>
  <c r="HB10" i="2"/>
  <c r="HA10" i="2"/>
  <c r="GZ10" i="2"/>
  <c r="GY10" i="2"/>
  <c r="GX10" i="2"/>
  <c r="GW10" i="2"/>
  <c r="GV10" i="2"/>
  <c r="GU10" i="2"/>
  <c r="GT10" i="2"/>
  <c r="GP10" i="2"/>
  <c r="GJ10" i="2"/>
  <c r="GK10" i="2" s="1"/>
  <c r="GI10" i="2"/>
  <c r="GH10" i="2"/>
  <c r="GG10" i="2"/>
  <c r="GF10" i="2"/>
  <c r="GE10" i="2"/>
  <c r="GB10" i="2"/>
  <c r="GA10" i="2"/>
  <c r="FZ10" i="2"/>
  <c r="FY10" i="2"/>
  <c r="FW10" i="2"/>
  <c r="FV10" i="2"/>
  <c r="FU10" i="2"/>
  <c r="FT10" i="2"/>
  <c r="FS10" i="2"/>
  <c r="FR10" i="2"/>
  <c r="FQ10" i="2"/>
  <c r="FM10" i="2"/>
  <c r="FJ10" i="2"/>
  <c r="FI10" i="2"/>
  <c r="FL10" i="2" s="1"/>
  <c r="FH10" i="2"/>
  <c r="FK10" i="2" s="1"/>
  <c r="FG10" i="2"/>
  <c r="FF10" i="2"/>
  <c r="FP10" i="2" s="1"/>
  <c r="FE10" i="2"/>
  <c r="FD10" i="2"/>
  <c r="FB10" i="2"/>
  <c r="FA10" i="2"/>
  <c r="EZ10" i="2"/>
  <c r="EY10" i="2"/>
  <c r="EX10" i="2"/>
  <c r="EW10" i="2"/>
  <c r="EV10" i="2"/>
  <c r="EU10" i="2"/>
  <c r="ET10" i="2"/>
  <c r="ES10" i="2"/>
  <c r="ER10" i="2"/>
  <c r="EQ10" i="2"/>
  <c r="EP10" i="2"/>
  <c r="EO10" i="2"/>
  <c r="EN10" i="2"/>
  <c r="EM10" i="2"/>
  <c r="EL10" i="2"/>
  <c r="EK10" i="2"/>
  <c r="EJ10" i="2"/>
  <c r="EI10" i="2"/>
  <c r="EH10" i="2"/>
  <c r="EG10" i="2"/>
  <c r="EF10" i="2"/>
  <c r="EE10" i="2"/>
  <c r="ED10" i="2"/>
  <c r="EC10" i="2"/>
  <c r="EB10" i="2"/>
  <c r="EA10" i="2"/>
  <c r="DX10" i="2"/>
  <c r="DW10" i="2"/>
  <c r="DU10" i="2"/>
  <c r="DT10" i="2"/>
  <c r="DS10" i="2"/>
  <c r="DR10" i="2"/>
  <c r="DQ10" i="2"/>
  <c r="DP10" i="2"/>
  <c r="DO10" i="2"/>
  <c r="DN10" i="2"/>
  <c r="DK10" i="2"/>
  <c r="DJ10" i="2"/>
  <c r="DI10" i="2"/>
  <c r="DH10" i="2"/>
  <c r="DG10" i="2"/>
  <c r="DF10" i="2"/>
  <c r="DE10" i="2"/>
  <c r="DD10" i="2"/>
  <c r="DB10" i="2"/>
  <c r="DA10" i="2"/>
  <c r="CV10" i="2"/>
  <c r="CU10" i="2"/>
  <c r="CT10" i="2"/>
  <c r="CS10" i="2"/>
  <c r="GN10" i="2" s="1"/>
  <c r="CR10" i="2"/>
  <c r="GM10" i="2" s="1"/>
  <c r="CQ10" i="2"/>
  <c r="GL10" i="2" s="1"/>
  <c r="CP10" i="2"/>
  <c r="CO10" i="2"/>
  <c r="DZ10" i="2" s="1"/>
  <c r="CN10" i="2"/>
  <c r="DY10" i="2" s="1"/>
  <c r="CM10" i="2"/>
  <c r="CL10" i="2"/>
  <c r="CG10" i="2"/>
  <c r="CG10" i="2" a="1"/>
  <c r="AW10" i="2"/>
  <c r="AV10" i="2"/>
  <c r="J10" i="2"/>
  <c r="G10" i="2"/>
  <c r="IM9" i="2"/>
  <c r="IL9" i="2"/>
  <c r="HX9" i="2" a="1"/>
  <c r="HX9" i="2" s="1"/>
  <c r="IW9" i="2" s="1"/>
  <c r="HW9" i="2" a="1"/>
  <c r="HW9" i="2" s="1"/>
  <c r="IV9" i="2" s="1"/>
  <c r="HV9" i="2" a="1"/>
  <c r="HV9" i="2" s="1"/>
  <c r="IU9" i="2" s="1"/>
  <c r="HU9" i="2" a="1"/>
  <c r="HU9" i="2" s="1"/>
  <c r="IT9" i="2" s="1"/>
  <c r="HT9" i="2" a="1"/>
  <c r="HT9" i="2" s="1"/>
  <c r="IS9" i="2" s="1"/>
  <c r="HS9" i="2" a="1"/>
  <c r="HS9" i="2" s="1"/>
  <c r="IR9" i="2" s="1"/>
  <c r="HR9" i="2" a="1"/>
  <c r="HR9" i="2" s="1"/>
  <c r="IQ9" i="2" s="1"/>
  <c r="HQ9" i="2" a="1"/>
  <c r="HQ9" i="2" s="1"/>
  <c r="IP9" i="2" s="1"/>
  <c r="HP9" i="2" a="1"/>
  <c r="HP9" i="2" s="1"/>
  <c r="IO9" i="2" s="1"/>
  <c r="HL9" i="2"/>
  <c r="HJ9" i="2"/>
  <c r="HH9" i="2"/>
  <c r="HB9" i="2"/>
  <c r="HA9" i="2"/>
  <c r="GZ9" i="2"/>
  <c r="GY9" i="2"/>
  <c r="GX9" i="2"/>
  <c r="GW9" i="2"/>
  <c r="GV9" i="2"/>
  <c r="GU9" i="2"/>
  <c r="GT9" i="2"/>
  <c r="HC9" i="2" s="1"/>
  <c r="GP9" i="2"/>
  <c r="GN9" i="2"/>
  <c r="GI9" i="2"/>
  <c r="GH9" i="2"/>
  <c r="GG9" i="2"/>
  <c r="GF9" i="2"/>
  <c r="GE9" i="2"/>
  <c r="GD9" i="2"/>
  <c r="GC9" i="2"/>
  <c r="GB9" i="2"/>
  <c r="GA9" i="2"/>
  <c r="FZ9" i="2"/>
  <c r="FY9" i="2"/>
  <c r="FX9" i="2"/>
  <c r="FW9" i="2"/>
  <c r="FV9" i="2"/>
  <c r="FU9" i="2"/>
  <c r="FT9" i="2"/>
  <c r="FS9" i="2"/>
  <c r="FR9" i="2"/>
  <c r="FQ9" i="2"/>
  <c r="FJ9" i="2"/>
  <c r="FI9" i="2"/>
  <c r="FH9" i="2"/>
  <c r="FG9" i="2"/>
  <c r="FF9" i="2"/>
  <c r="FE9" i="2"/>
  <c r="FD9" i="2"/>
  <c r="FC9" i="2"/>
  <c r="FB9" i="2"/>
  <c r="FA9" i="2"/>
  <c r="EZ9" i="2"/>
  <c r="EY9" i="2"/>
  <c r="EX9" i="2"/>
  <c r="EW9" i="2"/>
  <c r="EV9" i="2"/>
  <c r="EU9" i="2"/>
  <c r="ET9" i="2"/>
  <c r="ES9" i="2"/>
  <c r="ER9" i="2"/>
  <c r="EQ9" i="2"/>
  <c r="EP9" i="2"/>
  <c r="EO9" i="2"/>
  <c r="EN9" i="2"/>
  <c r="EM9" i="2"/>
  <c r="EL9" i="2"/>
  <c r="EK9" i="2"/>
  <c r="EJ9" i="2"/>
  <c r="EI9" i="2"/>
  <c r="EH9" i="2"/>
  <c r="EG9" i="2"/>
  <c r="EF9" i="2"/>
  <c r="EE9" i="2"/>
  <c r="ED9" i="2"/>
  <c r="EC9" i="2"/>
  <c r="EB9" i="2"/>
  <c r="EA9" i="2"/>
  <c r="DY9" i="2"/>
  <c r="DV9" i="2"/>
  <c r="DU9" i="2"/>
  <c r="DT9" i="2"/>
  <c r="DS9" i="2"/>
  <c r="DR9" i="2"/>
  <c r="DQ9" i="2"/>
  <c r="DP9" i="2"/>
  <c r="DO9" i="2"/>
  <c r="DN9" i="2"/>
  <c r="DK9" i="2"/>
  <c r="DJ9" i="2"/>
  <c r="DI9" i="2"/>
  <c r="DH9" i="2"/>
  <c r="DG9" i="2"/>
  <c r="DF9" i="2"/>
  <c r="DE9" i="2"/>
  <c r="DD9" i="2"/>
  <c r="CW9" i="2"/>
  <c r="CV9" i="2"/>
  <c r="CU9" i="2"/>
  <c r="CT9" i="2"/>
  <c r="CS9" i="2"/>
  <c r="CR9" i="2"/>
  <c r="GM9" i="2" s="1"/>
  <c r="CQ9" i="2"/>
  <c r="GL9" i="2" s="1"/>
  <c r="CP9" i="2"/>
  <c r="GJ9" i="2" s="1"/>
  <c r="GK9" i="2" s="1"/>
  <c r="CO9" i="2"/>
  <c r="DZ9" i="2" s="1"/>
  <c r="CN9" i="2"/>
  <c r="CM9" i="2"/>
  <c r="DX9" i="2" s="1"/>
  <c r="CL9" i="2"/>
  <c r="DW9" i="2" s="1"/>
  <c r="CK9" i="2"/>
  <c r="CZ9" i="2" s="1"/>
  <c r="CJ9" i="2"/>
  <c r="CY9" i="2" s="1"/>
  <c r="CH9" i="2"/>
  <c r="CG9" i="2" a="1"/>
  <c r="CG9" i="2" s="1"/>
  <c r="AW9" i="2"/>
  <c r="AV9" i="2"/>
  <c r="AX9" i="2" s="1"/>
  <c r="Q9" i="2"/>
  <c r="DC9" i="2" s="1"/>
  <c r="J9" i="2"/>
  <c r="G9" i="2"/>
  <c r="IU8" i="2"/>
  <c r="IT8" i="2"/>
  <c r="IS8" i="2"/>
  <c r="IM8" i="2"/>
  <c r="IL8" i="2"/>
  <c r="HX8" i="2"/>
  <c r="IW8" i="2" s="1"/>
  <c r="HX8" i="2" a="1"/>
  <c r="HW8" i="2"/>
  <c r="IV8" i="2" s="1"/>
  <c r="HW8" i="2" a="1"/>
  <c r="HV8" i="2"/>
  <c r="HV8" i="2" a="1"/>
  <c r="HU8" i="2" a="1"/>
  <c r="HU8" i="2" s="1"/>
  <c r="HT8" i="2" a="1"/>
  <c r="HT8" i="2" s="1"/>
  <c r="HS8" i="2" a="1"/>
  <c r="HS8" i="2" s="1"/>
  <c r="IR8" i="2" s="1"/>
  <c r="HR8" i="2"/>
  <c r="IQ8" i="2" s="1"/>
  <c r="HR8" i="2" a="1"/>
  <c r="HQ8" i="2"/>
  <c r="IP8" i="2" s="1"/>
  <c r="HQ8" i="2" a="1"/>
  <c r="HP8" i="2"/>
  <c r="IO8" i="2" s="1"/>
  <c r="HP8" i="2" a="1"/>
  <c r="HL8" i="2"/>
  <c r="HJ8" i="2"/>
  <c r="HH8" i="2"/>
  <c r="HB8" i="2"/>
  <c r="HC8" i="2" s="1"/>
  <c r="HA8" i="2"/>
  <c r="GZ8" i="2"/>
  <c r="GY8" i="2"/>
  <c r="GX8" i="2"/>
  <c r="GW8" i="2"/>
  <c r="GV8" i="2"/>
  <c r="GU8" i="2"/>
  <c r="GT8" i="2"/>
  <c r="GP8" i="2"/>
  <c r="GN8" i="2"/>
  <c r="GM8" i="2"/>
  <c r="GL8" i="2"/>
  <c r="GI8" i="2"/>
  <c r="GH8" i="2"/>
  <c r="GG8" i="2"/>
  <c r="GF8" i="2"/>
  <c r="GE8" i="2"/>
  <c r="GD8" i="2"/>
  <c r="GC8" i="2"/>
  <c r="GB8" i="2"/>
  <c r="GA8" i="2"/>
  <c r="FZ8" i="2"/>
  <c r="FY8" i="2"/>
  <c r="FX8" i="2"/>
  <c r="FW8" i="2"/>
  <c r="FV8" i="2"/>
  <c r="FU8" i="2"/>
  <c r="FT8" i="2"/>
  <c r="FS8" i="2"/>
  <c r="FR8" i="2"/>
  <c r="FQ8" i="2"/>
  <c r="FP8" i="2"/>
  <c r="FO8" i="2"/>
  <c r="FN8" i="2"/>
  <c r="FL8" i="2"/>
  <c r="FK8" i="2"/>
  <c r="FJ8" i="2"/>
  <c r="FM8" i="2" s="1"/>
  <c r="FI8" i="2"/>
  <c r="FH8" i="2"/>
  <c r="FG8" i="2"/>
  <c r="FF8" i="2"/>
  <c r="FE8" i="2"/>
  <c r="FD8" i="2"/>
  <c r="FC8" i="2"/>
  <c r="FB8" i="2"/>
  <c r="FA8" i="2"/>
  <c r="EZ8" i="2"/>
  <c r="EY8" i="2"/>
  <c r="EX8" i="2"/>
  <c r="EW8" i="2"/>
  <c r="EV8" i="2"/>
  <c r="EU8" i="2"/>
  <c r="ET8" i="2"/>
  <c r="ES8" i="2"/>
  <c r="ER8" i="2"/>
  <c r="EQ8" i="2"/>
  <c r="EP8" i="2"/>
  <c r="EO8" i="2"/>
  <c r="EN8" i="2"/>
  <c r="EM8" i="2"/>
  <c r="EL8" i="2"/>
  <c r="EK8" i="2"/>
  <c r="EJ8" i="2"/>
  <c r="EI8" i="2"/>
  <c r="EH8" i="2"/>
  <c r="EG8" i="2"/>
  <c r="EF8" i="2"/>
  <c r="EE8" i="2"/>
  <c r="ED8" i="2"/>
  <c r="EC8" i="2"/>
  <c r="EB8" i="2"/>
  <c r="EA8" i="2"/>
  <c r="DX8" i="2"/>
  <c r="DW8" i="2"/>
  <c r="DV8" i="2"/>
  <c r="DU8" i="2"/>
  <c r="DT8" i="2"/>
  <c r="DS8" i="2"/>
  <c r="DR8" i="2"/>
  <c r="DQ8" i="2"/>
  <c r="DP8" i="2"/>
  <c r="DO8" i="2"/>
  <c r="DN8" i="2"/>
  <c r="DM8" i="2" a="1"/>
  <c r="DM8" i="2" s="1"/>
  <c r="DK8" i="2"/>
  <c r="DJ8" i="2"/>
  <c r="DI8" i="2"/>
  <c r="DH8" i="2"/>
  <c r="DG8" i="2"/>
  <c r="DF8" i="2"/>
  <c r="DE8" i="2"/>
  <c r="DD8" i="2"/>
  <c r="DC8" i="2"/>
  <c r="DB8" i="2"/>
  <c r="DA8" i="2"/>
  <c r="CV8" i="2"/>
  <c r="CU8" i="2"/>
  <c r="CT8" i="2"/>
  <c r="CS8" i="2"/>
  <c r="CR8" i="2"/>
  <c r="CQ8" i="2"/>
  <c r="CP8" i="2"/>
  <c r="GJ8" i="2" s="1"/>
  <c r="GK8" i="2" s="1"/>
  <c r="CO8" i="2"/>
  <c r="DZ8" i="2" s="1"/>
  <c r="CN8" i="2"/>
  <c r="DY8" i="2" s="1"/>
  <c r="CM8" i="2"/>
  <c r="CL8" i="2"/>
  <c r="CK8" i="2"/>
  <c r="CZ8" i="2" s="1"/>
  <c r="CG8" i="2" a="1"/>
  <c r="CG8" i="2" s="1"/>
  <c r="AW8" i="2"/>
  <c r="AV8" i="2"/>
  <c r="J8" i="2"/>
  <c r="G8" i="2"/>
  <c r="IT7" i="2"/>
  <c r="IR7" i="2"/>
  <c r="IQ7" i="2"/>
  <c r="IL7" i="2"/>
  <c r="HX7" i="2" a="1"/>
  <c r="HX7" i="2" s="1"/>
  <c r="IW7" i="2" s="1"/>
  <c r="HW7" i="2"/>
  <c r="IV7" i="2" s="1"/>
  <c r="HW7" i="2" a="1"/>
  <c r="HV7" i="2" a="1"/>
  <c r="HV7" i="2" s="1"/>
  <c r="IU7" i="2" s="1"/>
  <c r="HU7" i="2"/>
  <c r="HU7" i="2" a="1"/>
  <c r="HT7" i="2"/>
  <c r="IS7" i="2" s="1"/>
  <c r="HT7" i="2" a="1"/>
  <c r="HS7" i="2" a="1"/>
  <c r="HS7" i="2" s="1"/>
  <c r="HR7" i="2" a="1"/>
  <c r="HR7" i="2" s="1"/>
  <c r="HQ7" i="2"/>
  <c r="IP7" i="2" s="1"/>
  <c r="HQ7" i="2" a="1"/>
  <c r="HP7" i="2" a="1"/>
  <c r="HP7" i="2" s="1"/>
  <c r="IO7" i="2" s="1"/>
  <c r="HL7" i="2"/>
  <c r="HJ7" i="2"/>
  <c r="HH7" i="2"/>
  <c r="HB7" i="2"/>
  <c r="HA7" i="2"/>
  <c r="GZ7" i="2"/>
  <c r="GY7" i="2"/>
  <c r="GX7" i="2"/>
  <c r="GW7" i="2"/>
  <c r="GV7" i="2"/>
  <c r="GU7" i="2"/>
  <c r="GT7" i="2"/>
  <c r="HC7" i="2" s="1"/>
  <c r="GP7" i="2"/>
  <c r="GN7" i="2"/>
  <c r="GM7" i="2"/>
  <c r="GI7" i="2"/>
  <c r="GH7" i="2"/>
  <c r="GG7" i="2"/>
  <c r="GF7" i="2"/>
  <c r="GE7" i="2"/>
  <c r="GD7" i="2"/>
  <c r="GC7" i="2"/>
  <c r="GB7" i="2"/>
  <c r="GA7" i="2"/>
  <c r="FZ7" i="2"/>
  <c r="FY7" i="2"/>
  <c r="FX7" i="2"/>
  <c r="FW7" i="2"/>
  <c r="FV7" i="2"/>
  <c r="FU7" i="2"/>
  <c r="FT7" i="2"/>
  <c r="FS7" i="2"/>
  <c r="FR7" i="2"/>
  <c r="FQ7" i="2"/>
  <c r="FP7" i="2"/>
  <c r="FO7" i="2"/>
  <c r="FM7" i="2"/>
  <c r="FK7" i="2"/>
  <c r="FJ7" i="2"/>
  <c r="FI7" i="2"/>
  <c r="FL7" i="2" s="1"/>
  <c r="FH7" i="2"/>
  <c r="FG7" i="2"/>
  <c r="FF7" i="2"/>
  <c r="FE7" i="2"/>
  <c r="FN7" i="2" s="1"/>
  <c r="FD7" i="2"/>
  <c r="FC7" i="2"/>
  <c r="FB7" i="2"/>
  <c r="FA7" i="2"/>
  <c r="EZ7" i="2"/>
  <c r="EY7" i="2"/>
  <c r="EX7" i="2"/>
  <c r="EW7" i="2"/>
  <c r="EV7" i="2"/>
  <c r="EU7" i="2"/>
  <c r="ET7" i="2"/>
  <c r="ES7" i="2"/>
  <c r="ER7" i="2"/>
  <c r="EQ7" i="2"/>
  <c r="EP7" i="2"/>
  <c r="EO7" i="2"/>
  <c r="EN7" i="2"/>
  <c r="EM7" i="2"/>
  <c r="EL7" i="2"/>
  <c r="EK7" i="2"/>
  <c r="EJ7" i="2"/>
  <c r="EI7" i="2"/>
  <c r="EH7" i="2"/>
  <c r="EG7" i="2"/>
  <c r="EF7" i="2"/>
  <c r="EE7" i="2"/>
  <c r="ED7" i="2"/>
  <c r="EC7" i="2"/>
  <c r="EB7" i="2"/>
  <c r="EA7" i="2"/>
  <c r="DY7" i="2"/>
  <c r="DX7" i="2"/>
  <c r="DV7" i="2"/>
  <c r="DU7" i="2"/>
  <c r="DT7" i="2"/>
  <c r="DS7" i="2"/>
  <c r="DR7" i="2"/>
  <c r="DQ7" i="2"/>
  <c r="DP7" i="2"/>
  <c r="DO7" i="2"/>
  <c r="DN7" i="2"/>
  <c r="DK7" i="2"/>
  <c r="DJ7" i="2"/>
  <c r="DI7" i="2"/>
  <c r="DH7" i="2"/>
  <c r="DG7" i="2"/>
  <c r="DF7" i="2"/>
  <c r="DE7" i="2"/>
  <c r="DD7" i="2"/>
  <c r="DC7" i="2"/>
  <c r="DB7" i="2"/>
  <c r="DA7" i="2"/>
  <c r="CV7" i="2"/>
  <c r="CU7" i="2"/>
  <c r="CT7" i="2"/>
  <c r="CS7" i="2"/>
  <c r="CR7" i="2"/>
  <c r="CQ7" i="2"/>
  <c r="GL7" i="2" s="1"/>
  <c r="CP7" i="2"/>
  <c r="GJ7" i="2" s="1"/>
  <c r="GK7" i="2" s="1"/>
  <c r="CO7" i="2"/>
  <c r="DZ7" i="2" s="1"/>
  <c r="CN7" i="2"/>
  <c r="CM7" i="2"/>
  <c r="CL7" i="2"/>
  <c r="DW7" i="2" s="1"/>
  <c r="CK7" i="2"/>
  <c r="CZ7" i="2" s="1"/>
  <c r="CJ7" i="2"/>
  <c r="CY7" i="2" s="1"/>
  <c r="CG7" i="2"/>
  <c r="CG7" i="2" a="1"/>
  <c r="AW7" i="2"/>
  <c r="AV7" i="2"/>
  <c r="J7" i="2"/>
  <c r="HI7" i="2" s="1"/>
  <c r="G7" i="2"/>
  <c r="IR6" i="2"/>
  <c r="IQ6" i="2"/>
  <c r="IP6" i="2"/>
  <c r="IL6" i="2"/>
  <c r="HX6" i="2"/>
  <c r="IW6" i="2" s="1"/>
  <c r="HX6" i="2" a="1"/>
  <c r="HW6" i="2"/>
  <c r="IV6" i="2" s="1"/>
  <c r="HW6" i="2" a="1"/>
  <c r="HV6" i="2" a="1"/>
  <c r="HV6" i="2" s="1"/>
  <c r="IU6" i="2" s="1"/>
  <c r="HU6" i="2" a="1"/>
  <c r="HU6" i="2" s="1"/>
  <c r="IT6" i="2" s="1"/>
  <c r="HT6" i="2"/>
  <c r="IS6" i="2" s="1"/>
  <c r="HT6" i="2" a="1"/>
  <c r="HS6" i="2"/>
  <c r="HS6" i="2" a="1"/>
  <c r="HR6" i="2"/>
  <c r="HR6" i="2" a="1"/>
  <c r="HQ6" i="2"/>
  <c r="HQ6" i="2" a="1"/>
  <c r="HP6" i="2" a="1"/>
  <c r="HP6" i="2" s="1"/>
  <c r="IO6" i="2" s="1"/>
  <c r="HL6" i="2"/>
  <c r="HJ6" i="2"/>
  <c r="HH6" i="2"/>
  <c r="HB6" i="2"/>
  <c r="HA6" i="2"/>
  <c r="GZ6" i="2"/>
  <c r="GY6" i="2"/>
  <c r="GX6" i="2"/>
  <c r="GW6" i="2"/>
  <c r="GV6" i="2"/>
  <c r="GU6" i="2"/>
  <c r="HC6" i="2" s="1"/>
  <c r="GT6" i="2"/>
  <c r="GP6" i="2"/>
  <c r="GN6" i="2"/>
  <c r="GI6" i="2"/>
  <c r="GH6" i="2"/>
  <c r="GG6" i="2"/>
  <c r="GF6" i="2"/>
  <c r="GE6" i="2"/>
  <c r="GD6" i="2"/>
  <c r="GC6" i="2"/>
  <c r="GB6" i="2"/>
  <c r="GA6" i="2"/>
  <c r="FZ6" i="2"/>
  <c r="FY6" i="2"/>
  <c r="FX6" i="2"/>
  <c r="FW6" i="2"/>
  <c r="FV6" i="2"/>
  <c r="FU6" i="2"/>
  <c r="FT6" i="2"/>
  <c r="FS6" i="2"/>
  <c r="FR6" i="2"/>
  <c r="FQ6" i="2"/>
  <c r="FJ6" i="2"/>
  <c r="FI6" i="2"/>
  <c r="FH6" i="2"/>
  <c r="FG6" i="2"/>
  <c r="FF6" i="2"/>
  <c r="FE6" i="2"/>
  <c r="FD6" i="2"/>
  <c r="FC6" i="2"/>
  <c r="FB6" i="2"/>
  <c r="FA6" i="2"/>
  <c r="EZ6" i="2"/>
  <c r="EY6" i="2"/>
  <c r="EX6" i="2"/>
  <c r="EW6" i="2"/>
  <c r="EV6" i="2"/>
  <c r="EU6" i="2"/>
  <c r="ET6" i="2"/>
  <c r="ES6" i="2"/>
  <c r="ER6" i="2"/>
  <c r="EQ6" i="2"/>
  <c r="EP6" i="2"/>
  <c r="EO6" i="2"/>
  <c r="EN6" i="2"/>
  <c r="EM6" i="2"/>
  <c r="EL6" i="2"/>
  <c r="EK6" i="2"/>
  <c r="EJ6" i="2"/>
  <c r="EI6" i="2"/>
  <c r="EH6" i="2"/>
  <c r="EG6" i="2"/>
  <c r="EF6" i="2"/>
  <c r="EE6" i="2"/>
  <c r="ED6" i="2"/>
  <c r="EC6" i="2"/>
  <c r="EB6" i="2"/>
  <c r="EA6" i="2"/>
  <c r="DY6" i="2"/>
  <c r="DX6" i="2"/>
  <c r="DV6" i="2"/>
  <c r="DU6" i="2"/>
  <c r="DT6" i="2"/>
  <c r="DS6" i="2"/>
  <c r="DR6" i="2"/>
  <c r="DQ6" i="2"/>
  <c r="DP6" i="2"/>
  <c r="DO6" i="2"/>
  <c r="DN6" i="2"/>
  <c r="DK6" i="2"/>
  <c r="DJ6" i="2"/>
  <c r="DI6" i="2"/>
  <c r="DH6" i="2"/>
  <c r="DG6" i="2"/>
  <c r="DF6" i="2"/>
  <c r="DE6" i="2"/>
  <c r="DD6" i="2"/>
  <c r="DC6" i="2"/>
  <c r="DB6" i="2"/>
  <c r="DA6" i="2"/>
  <c r="CV6" i="2"/>
  <c r="CU6" i="2"/>
  <c r="CT6" i="2"/>
  <c r="CS6" i="2"/>
  <c r="CR6" i="2"/>
  <c r="GM6" i="2" s="1"/>
  <c r="CQ6" i="2"/>
  <c r="GL6" i="2" s="1"/>
  <c r="CP6" i="2"/>
  <c r="GJ6" i="2" s="1"/>
  <c r="GK6" i="2" s="1"/>
  <c r="CO6" i="2"/>
  <c r="DZ6" i="2" s="1"/>
  <c r="CN6" i="2"/>
  <c r="CM6" i="2"/>
  <c r="CL6" i="2"/>
  <c r="DW6" i="2" s="1"/>
  <c r="CG6" i="2"/>
  <c r="CG6" i="2" a="1"/>
  <c r="AW6" i="2"/>
  <c r="AV6" i="2"/>
  <c r="J6" i="2"/>
  <c r="HI6" i="2" s="1"/>
  <c r="G6" i="2"/>
  <c r="IR5" i="2"/>
  <c r="IL5" i="2"/>
  <c r="HX5" i="2" a="1"/>
  <c r="HX5" i="2" s="1"/>
  <c r="IW5" i="2" s="1"/>
  <c r="HW5" i="2" a="1"/>
  <c r="HW5" i="2" s="1"/>
  <c r="IV5" i="2" s="1"/>
  <c r="HV5" i="2"/>
  <c r="IU5" i="2" s="1"/>
  <c r="HV5" i="2" a="1"/>
  <c r="HU5" i="2" a="1"/>
  <c r="HU5" i="2" s="1"/>
  <c r="IT5" i="2" s="1"/>
  <c r="HT5" i="2"/>
  <c r="IS5" i="2" s="1"/>
  <c r="HT5" i="2" a="1"/>
  <c r="HS5" i="2" a="1"/>
  <c r="HS5" i="2" s="1"/>
  <c r="HR5" i="2" a="1"/>
  <c r="HR5" i="2" s="1"/>
  <c r="IQ5" i="2" s="1"/>
  <c r="HQ5" i="2" a="1"/>
  <c r="HQ5" i="2" s="1"/>
  <c r="IP5" i="2" s="1"/>
  <c r="HP5" i="2"/>
  <c r="HP5" i="2" a="1"/>
  <c r="HL5" i="2"/>
  <c r="HJ5" i="2"/>
  <c r="HH5" i="2"/>
  <c r="HB5" i="2"/>
  <c r="HA5" i="2"/>
  <c r="GZ5" i="2"/>
  <c r="GY5" i="2"/>
  <c r="GX5" i="2"/>
  <c r="GW5" i="2"/>
  <c r="GV5" i="2"/>
  <c r="GU5" i="2"/>
  <c r="GT5" i="2"/>
  <c r="GP5" i="2"/>
  <c r="GL5" i="2"/>
  <c r="GI5" i="2"/>
  <c r="GH5" i="2"/>
  <c r="GG5" i="2"/>
  <c r="GF5" i="2"/>
  <c r="GE5" i="2"/>
  <c r="GD5" i="2"/>
  <c r="GC5" i="2"/>
  <c r="GB5" i="2"/>
  <c r="GA5" i="2"/>
  <c r="FZ5" i="2"/>
  <c r="FY5" i="2"/>
  <c r="FX5" i="2"/>
  <c r="FW5" i="2"/>
  <c r="FV5" i="2"/>
  <c r="FU5" i="2"/>
  <c r="FT5" i="2"/>
  <c r="FS5" i="2"/>
  <c r="FR5" i="2"/>
  <c r="FQ5" i="2"/>
  <c r="FL5" i="2"/>
  <c r="FK5" i="2"/>
  <c r="FJ5" i="2"/>
  <c r="FM5" i="2" s="1"/>
  <c r="FI5" i="2"/>
  <c r="FH5" i="2"/>
  <c r="FG5" i="2"/>
  <c r="FF5" i="2"/>
  <c r="FP5" i="2" s="1"/>
  <c r="FE5" i="2"/>
  <c r="FD5" i="2"/>
  <c r="FC5" i="2"/>
  <c r="FB5" i="2"/>
  <c r="FA5" i="2"/>
  <c r="EZ5" i="2"/>
  <c r="EY5" i="2"/>
  <c r="EX5" i="2"/>
  <c r="EW5" i="2"/>
  <c r="EV5" i="2"/>
  <c r="EU5" i="2"/>
  <c r="ET5" i="2"/>
  <c r="ES5" i="2"/>
  <c r="ER5" i="2"/>
  <c r="EQ5" i="2"/>
  <c r="EP5" i="2"/>
  <c r="EO5" i="2"/>
  <c r="EN5" i="2"/>
  <c r="EM5" i="2"/>
  <c r="EL5" i="2"/>
  <c r="EK5" i="2"/>
  <c r="EJ5" i="2"/>
  <c r="EI5" i="2"/>
  <c r="EH5" i="2"/>
  <c r="EG5" i="2"/>
  <c r="EF5" i="2"/>
  <c r="EE5" i="2"/>
  <c r="ED5" i="2"/>
  <c r="EC5" i="2"/>
  <c r="EB5" i="2"/>
  <c r="EA5" i="2"/>
  <c r="DZ5" i="2"/>
  <c r="DV5" i="2"/>
  <c r="DU5" i="2"/>
  <c r="DT5" i="2"/>
  <c r="DS5" i="2"/>
  <c r="DR5" i="2"/>
  <c r="DQ5" i="2"/>
  <c r="DP5" i="2"/>
  <c r="DO5" i="2"/>
  <c r="DN5" i="2"/>
  <c r="DK5" i="2"/>
  <c r="DJ5" i="2"/>
  <c r="DI5" i="2"/>
  <c r="DH5" i="2"/>
  <c r="DG5" i="2"/>
  <c r="DF5" i="2"/>
  <c r="DE5" i="2"/>
  <c r="DD5" i="2"/>
  <c r="DC5" i="2"/>
  <c r="DB5" i="2"/>
  <c r="DA5" i="2"/>
  <c r="CY5" i="2"/>
  <c r="CV5" i="2"/>
  <c r="CU5" i="2"/>
  <c r="CT5" i="2"/>
  <c r="CS5" i="2"/>
  <c r="GN5" i="2" s="1"/>
  <c r="CR5" i="2"/>
  <c r="GM5" i="2" s="1"/>
  <c r="CQ5" i="2"/>
  <c r="CP5" i="2"/>
  <c r="GJ5" i="2" s="1"/>
  <c r="GK5" i="2" s="1"/>
  <c r="CO5" i="2"/>
  <c r="CN5" i="2"/>
  <c r="DY5" i="2" s="1"/>
  <c r="CM5" i="2"/>
  <c r="DX5" i="2" s="1"/>
  <c r="CL5" i="2"/>
  <c r="DW5" i="2" s="1"/>
  <c r="CJ5" i="2"/>
  <c r="CI5" i="2"/>
  <c r="CX5" i="2" s="1"/>
  <c r="CG5" i="2"/>
  <c r="CG5" i="2" a="1"/>
  <c r="AW5" i="2"/>
  <c r="AV5" i="2"/>
  <c r="J5" i="2"/>
  <c r="HI5" i="2" s="1"/>
  <c r="G5" i="2"/>
  <c r="IW4" i="2"/>
  <c r="IS4" i="2"/>
  <c r="IQ4" i="2"/>
  <c r="IM4" i="2"/>
  <c r="IL4" i="2"/>
  <c r="HX4" i="2"/>
  <c r="HX4" i="2" a="1"/>
  <c r="HW4" i="2"/>
  <c r="IV4" i="2" s="1"/>
  <c r="HW4" i="2" a="1"/>
  <c r="HV4" i="2"/>
  <c r="IU4" i="2" s="1"/>
  <c r="HV4" i="2" a="1"/>
  <c r="HU4" i="2" a="1"/>
  <c r="HU4" i="2" s="1"/>
  <c r="IT4" i="2" s="1"/>
  <c r="HT4" i="2"/>
  <c r="HT4" i="2" a="1"/>
  <c r="HS4" i="2"/>
  <c r="IR4" i="2" s="1"/>
  <c r="HS4" i="2" a="1"/>
  <c r="HR4" i="2"/>
  <c r="HR4" i="2" a="1"/>
  <c r="HQ4" i="2"/>
  <c r="IP4" i="2" s="1"/>
  <c r="HQ4" i="2" a="1"/>
  <c r="HP4" i="2"/>
  <c r="IO4" i="2" s="1"/>
  <c r="HP4" i="2" a="1"/>
  <c r="HL4" i="2"/>
  <c r="HJ4" i="2"/>
  <c r="HH4" i="2"/>
  <c r="HB4" i="2"/>
  <c r="HC4" i="2" s="1"/>
  <c r="HA4" i="2"/>
  <c r="GZ4" i="2"/>
  <c r="GY4" i="2"/>
  <c r="GX4" i="2"/>
  <c r="GW4" i="2"/>
  <c r="GV4" i="2"/>
  <c r="GU4" i="2"/>
  <c r="GT4" i="2"/>
  <c r="GP4" i="2"/>
  <c r="GN4" i="2"/>
  <c r="GM4" i="2"/>
  <c r="GL4" i="2"/>
  <c r="GJ4" i="2"/>
  <c r="GK4" i="2" s="1"/>
  <c r="GI4" i="2"/>
  <c r="GH4" i="2"/>
  <c r="GG4" i="2"/>
  <c r="GF4" i="2"/>
  <c r="GE4" i="2"/>
  <c r="GD4" i="2"/>
  <c r="GC4" i="2"/>
  <c r="GB4" i="2"/>
  <c r="GA4" i="2"/>
  <c r="FZ4" i="2"/>
  <c r="FY4" i="2"/>
  <c r="FX4" i="2"/>
  <c r="FW4" i="2"/>
  <c r="FV4" i="2"/>
  <c r="FU4" i="2"/>
  <c r="FT4" i="2"/>
  <c r="FS4" i="2"/>
  <c r="FR4" i="2"/>
  <c r="FQ4" i="2"/>
  <c r="FP4" i="2"/>
  <c r="FO4" i="2"/>
  <c r="FN4" i="2"/>
  <c r="FM4" i="2"/>
  <c r="FL4" i="2"/>
  <c r="FK4" i="2"/>
  <c r="FJ4" i="2"/>
  <c r="FI4" i="2"/>
  <c r="FH4" i="2"/>
  <c r="FG4" i="2"/>
  <c r="FF4" i="2"/>
  <c r="FE4" i="2"/>
  <c r="FD4" i="2"/>
  <c r="FC4" i="2"/>
  <c r="FB4" i="2"/>
  <c r="FA4" i="2"/>
  <c r="EZ4" i="2"/>
  <c r="EY4" i="2"/>
  <c r="EX4" i="2"/>
  <c r="EW4" i="2"/>
  <c r="EV4" i="2"/>
  <c r="EU4" i="2"/>
  <c r="ET4" i="2"/>
  <c r="ES4" i="2"/>
  <c r="ER4" i="2"/>
  <c r="EQ4" i="2"/>
  <c r="EP4" i="2"/>
  <c r="EO4" i="2"/>
  <c r="EN4" i="2"/>
  <c r="EM4" i="2"/>
  <c r="EL4" i="2"/>
  <c r="EK4" i="2"/>
  <c r="EJ4" i="2"/>
  <c r="EI4" i="2"/>
  <c r="EH4" i="2"/>
  <c r="EG4" i="2"/>
  <c r="EF4" i="2"/>
  <c r="EE4" i="2"/>
  <c r="ED4" i="2"/>
  <c r="EC4" i="2"/>
  <c r="EB4" i="2"/>
  <c r="EA4" i="2"/>
  <c r="DW4" i="2"/>
  <c r="DV4" i="2"/>
  <c r="DU4" i="2"/>
  <c r="DT4" i="2"/>
  <c r="DS4" i="2"/>
  <c r="DR4" i="2"/>
  <c r="DQ4" i="2"/>
  <c r="DP4" i="2"/>
  <c r="DO4" i="2"/>
  <c r="DN4" i="2"/>
  <c r="DM4" i="2" a="1"/>
  <c r="DM4" i="2" s="1"/>
  <c r="DK4" i="2"/>
  <c r="DJ4" i="2"/>
  <c r="DI4" i="2"/>
  <c r="DH4" i="2"/>
  <c r="DG4" i="2"/>
  <c r="DF4" i="2"/>
  <c r="DE4" i="2"/>
  <c r="DD4" i="2"/>
  <c r="DC4" i="2"/>
  <c r="DB4" i="2"/>
  <c r="DA4" i="2"/>
  <c r="CW4" i="2"/>
  <c r="CV4" i="2"/>
  <c r="CU4" i="2"/>
  <c r="CT4" i="2"/>
  <c r="CS4" i="2"/>
  <c r="CR4" i="2"/>
  <c r="CQ4" i="2"/>
  <c r="CP4" i="2"/>
  <c r="CO4" i="2"/>
  <c r="DZ4" i="2" s="1"/>
  <c r="CN4" i="2"/>
  <c r="DY4" i="2" s="1"/>
  <c r="CM4" i="2"/>
  <c r="DX4" i="2" s="1"/>
  <c r="CL4" i="2"/>
  <c r="CK4" i="2"/>
  <c r="CZ4" i="2" s="1"/>
  <c r="CJ4" i="2"/>
  <c r="CY4" i="2" s="1"/>
  <c r="CI4" i="2"/>
  <c r="CX4" i="2" s="1"/>
  <c r="CH4" i="2"/>
  <c r="CG4" i="2"/>
  <c r="CG4" i="2" a="1"/>
  <c r="AW4" i="2"/>
  <c r="AV4" i="2"/>
  <c r="J4" i="2"/>
  <c r="HI4" i="2" s="1"/>
  <c r="G4" i="2"/>
  <c r="IP3" i="2"/>
  <c r="IL3" i="2"/>
  <c r="HX3" i="2" a="1"/>
  <c r="HX3" i="2" s="1"/>
  <c r="IW3" i="2" s="1"/>
  <c r="HW3" i="2" a="1"/>
  <c r="HW3" i="2" s="1"/>
  <c r="IV3" i="2" s="1"/>
  <c r="HV3" i="2" a="1"/>
  <c r="HV3" i="2" s="1"/>
  <c r="IU3" i="2" s="1"/>
  <c r="HU3" i="2" a="1"/>
  <c r="HU3" i="2" s="1"/>
  <c r="IT3" i="2" s="1"/>
  <c r="HT3" i="2" a="1"/>
  <c r="HT3" i="2" s="1"/>
  <c r="IS3" i="2" s="1"/>
  <c r="HS3" i="2"/>
  <c r="IR3" i="2" s="1"/>
  <c r="HS3" i="2" a="1"/>
  <c r="HR3" i="2"/>
  <c r="IQ3" i="2" s="1"/>
  <c r="HR3" i="2" a="1"/>
  <c r="HQ3" i="2"/>
  <c r="HQ3" i="2" a="1"/>
  <c r="HP3" i="2" a="1"/>
  <c r="HP3" i="2" s="1"/>
  <c r="IO3" i="2" s="1"/>
  <c r="HL3" i="2"/>
  <c r="HJ3" i="2"/>
  <c r="HI3" i="2"/>
  <c r="HH3" i="2"/>
  <c r="HB3" i="2"/>
  <c r="HA3" i="2"/>
  <c r="GZ3" i="2"/>
  <c r="GY3" i="2"/>
  <c r="GX3" i="2"/>
  <c r="GW3" i="2"/>
  <c r="GV3" i="2"/>
  <c r="GU3" i="2"/>
  <c r="GT3" i="2"/>
  <c r="HC3" i="2" s="1"/>
  <c r="GP3" i="2"/>
  <c r="GL3" i="2"/>
  <c r="GI3" i="2"/>
  <c r="GH3" i="2"/>
  <c r="GG3" i="2"/>
  <c r="GF3" i="2"/>
  <c r="GE3" i="2"/>
  <c r="GD3" i="2"/>
  <c r="GC3" i="2"/>
  <c r="GB3" i="2"/>
  <c r="GA3" i="2"/>
  <c r="FZ3" i="2"/>
  <c r="FY3" i="2"/>
  <c r="FX3" i="2"/>
  <c r="FW3" i="2"/>
  <c r="FV3" i="2"/>
  <c r="FU3" i="2"/>
  <c r="FT3" i="2"/>
  <c r="FS3" i="2"/>
  <c r="FR3" i="2"/>
  <c r="FQ3" i="2"/>
  <c r="FJ3" i="2"/>
  <c r="FI3" i="2"/>
  <c r="FH3" i="2"/>
  <c r="FG3" i="2"/>
  <c r="FF3" i="2"/>
  <c r="FE3" i="2"/>
  <c r="FD3" i="2"/>
  <c r="FC3" i="2"/>
  <c r="FB3" i="2"/>
  <c r="FA3" i="2"/>
  <c r="EZ3" i="2"/>
  <c r="EY3" i="2"/>
  <c r="EX3" i="2"/>
  <c r="EW3" i="2"/>
  <c r="EV3" i="2"/>
  <c r="EU3" i="2"/>
  <c r="ET3" i="2"/>
  <c r="ES3" i="2"/>
  <c r="ER3" i="2"/>
  <c r="EQ3" i="2"/>
  <c r="EP3" i="2"/>
  <c r="EO3" i="2"/>
  <c r="EN3" i="2"/>
  <c r="EM3" i="2"/>
  <c r="EL3" i="2"/>
  <c r="EK3" i="2"/>
  <c r="EJ3" i="2"/>
  <c r="EI3" i="2"/>
  <c r="EH3" i="2"/>
  <c r="EG3" i="2"/>
  <c r="EF3" i="2"/>
  <c r="EE3" i="2"/>
  <c r="ED3" i="2"/>
  <c r="EC3" i="2"/>
  <c r="EB3" i="2"/>
  <c r="EA3" i="2"/>
  <c r="DY3" i="2"/>
  <c r="DV3" i="2"/>
  <c r="DU3" i="2"/>
  <c r="DT3" i="2"/>
  <c r="DS3" i="2"/>
  <c r="DR3" i="2"/>
  <c r="DQ3" i="2"/>
  <c r="DP3" i="2"/>
  <c r="DO3" i="2"/>
  <c r="DN3" i="2"/>
  <c r="DK3" i="2"/>
  <c r="DJ3" i="2"/>
  <c r="DI3" i="2"/>
  <c r="DH3" i="2"/>
  <c r="DG3" i="2"/>
  <c r="DF3" i="2"/>
  <c r="DE3" i="2"/>
  <c r="DD3" i="2"/>
  <c r="DC3" i="2"/>
  <c r="DB3" i="2"/>
  <c r="DA3" i="2"/>
  <c r="CV3" i="2"/>
  <c r="CU3" i="2"/>
  <c r="CT3" i="2"/>
  <c r="CS3" i="2"/>
  <c r="GN3" i="2" s="1"/>
  <c r="CR3" i="2"/>
  <c r="GM3" i="2" s="1"/>
  <c r="CQ3" i="2"/>
  <c r="CP3" i="2"/>
  <c r="GJ3" i="2" s="1"/>
  <c r="GK3" i="2" s="1"/>
  <c r="CO3" i="2"/>
  <c r="DZ3" i="2" s="1"/>
  <c r="CN3" i="2"/>
  <c r="CM3" i="2"/>
  <c r="DX3" i="2" s="1"/>
  <c r="CL3" i="2"/>
  <c r="DW3" i="2" s="1"/>
  <c r="CG3" i="2" a="1"/>
  <c r="CG3" i="2" s="1"/>
  <c r="AW3" i="2"/>
  <c r="AV3" i="2"/>
  <c r="AX3" i="2" s="1"/>
  <c r="J3" i="2"/>
  <c r="G3" i="2"/>
  <c r="IV2" i="15"/>
  <c r="IQ2" i="15"/>
  <c r="IL2" i="15"/>
  <c r="HX2" i="15" a="1"/>
  <c r="HX2" i="15" s="1"/>
  <c r="IW2" i="15" s="1"/>
  <c r="HW2" i="15"/>
  <c r="HW2" i="15" a="1"/>
  <c r="HV2" i="15" a="1"/>
  <c r="HV2" i="15" s="1"/>
  <c r="IU2" i="15" s="1"/>
  <c r="HU2" i="15" a="1"/>
  <c r="HU2" i="15" s="1"/>
  <c r="IT2" i="15" s="1"/>
  <c r="HT2" i="15"/>
  <c r="IS2" i="15" s="1"/>
  <c r="HT2" i="15" a="1"/>
  <c r="HS2" i="15" a="1"/>
  <c r="HS2" i="15" s="1"/>
  <c r="IR2" i="15" s="1"/>
  <c r="HR2" i="15" a="1"/>
  <c r="HR2" i="15" s="1"/>
  <c r="HQ2" i="15" a="1"/>
  <c r="HQ2" i="15" s="1"/>
  <c r="IP2" i="15" s="1"/>
  <c r="HP2" i="15" a="1"/>
  <c r="HP2" i="15" s="1"/>
  <c r="IO2" i="15" s="1"/>
  <c r="HL2" i="15"/>
  <c r="HJ2" i="15"/>
  <c r="HI2" i="15"/>
  <c r="HH2" i="15"/>
  <c r="HB2" i="15"/>
  <c r="HA2" i="15"/>
  <c r="GZ2" i="15"/>
  <c r="GY2" i="15"/>
  <c r="GX2" i="15"/>
  <c r="GW2" i="15"/>
  <c r="GV2" i="15"/>
  <c r="GU2" i="15"/>
  <c r="GT2" i="15"/>
  <c r="GP2" i="15"/>
  <c r="GM2" i="15"/>
  <c r="GK2" i="15"/>
  <c r="GI2" i="15"/>
  <c r="GH2" i="15"/>
  <c r="GG2" i="15"/>
  <c r="GF2" i="15"/>
  <c r="GE2" i="15"/>
  <c r="GD2" i="15"/>
  <c r="GC2" i="15"/>
  <c r="GB2" i="15"/>
  <c r="GA2" i="15"/>
  <c r="FZ2" i="15"/>
  <c r="FY2" i="15"/>
  <c r="FX2" i="15"/>
  <c r="FW2" i="15"/>
  <c r="FV2" i="15"/>
  <c r="FU2" i="15"/>
  <c r="FT2" i="15"/>
  <c r="FS2" i="15"/>
  <c r="FR2" i="15"/>
  <c r="FQ2" i="15"/>
  <c r="FP2" i="15"/>
  <c r="FN2" i="15"/>
  <c r="FJ2" i="15"/>
  <c r="FM2" i="15" s="1"/>
  <c r="FI2" i="15"/>
  <c r="FL2" i="15" s="1"/>
  <c r="FH2" i="15"/>
  <c r="FK2" i="15" s="1"/>
  <c r="FG2" i="15"/>
  <c r="FO2" i="15" s="1"/>
  <c r="FF2" i="15"/>
  <c r="FE2" i="15"/>
  <c r="FD2" i="15"/>
  <c r="FC2" i="15"/>
  <c r="FB2" i="15"/>
  <c r="FA2" i="15"/>
  <c r="EZ2" i="15"/>
  <c r="EY2" i="15"/>
  <c r="EX2" i="15"/>
  <c r="EW2" i="15"/>
  <c r="EV2" i="15"/>
  <c r="EU2" i="15"/>
  <c r="ET2" i="15"/>
  <c r="ES2" i="15"/>
  <c r="ER2" i="15"/>
  <c r="EQ2" i="15"/>
  <c r="EP2" i="15"/>
  <c r="EO2" i="15"/>
  <c r="EN2" i="15"/>
  <c r="EM2" i="15"/>
  <c r="EL2" i="15"/>
  <c r="EK2" i="15"/>
  <c r="EJ2" i="15"/>
  <c r="EI2" i="15"/>
  <c r="EH2" i="15"/>
  <c r="EG2" i="15"/>
  <c r="EF2" i="15"/>
  <c r="EE2" i="15"/>
  <c r="ED2" i="15"/>
  <c r="EC2" i="15"/>
  <c r="EB2" i="15"/>
  <c r="EA2" i="15"/>
  <c r="DX2" i="15"/>
  <c r="DV2" i="15"/>
  <c r="DU2" i="15"/>
  <c r="DT2" i="15"/>
  <c r="DS2" i="15"/>
  <c r="DR2" i="15"/>
  <c r="DQ2" i="15"/>
  <c r="DP2" i="15"/>
  <c r="DO2" i="15"/>
  <c r="DN2" i="15"/>
  <c r="DK2" i="15"/>
  <c r="DJ2" i="15"/>
  <c r="DI2" i="15"/>
  <c r="DH2" i="15"/>
  <c r="DG2" i="15"/>
  <c r="DF2" i="15"/>
  <c r="DE2" i="15"/>
  <c r="DD2" i="15"/>
  <c r="DC2" i="15"/>
  <c r="DB2" i="15"/>
  <c r="DA2" i="15"/>
  <c r="CV2" i="15"/>
  <c r="CU2" i="15"/>
  <c r="CT2" i="15"/>
  <c r="CS2" i="15"/>
  <c r="GN2" i="15" s="1"/>
  <c r="CR2" i="15"/>
  <c r="CQ2" i="15"/>
  <c r="GL2" i="15" s="1"/>
  <c r="CP2" i="15"/>
  <c r="GJ2" i="15" s="1"/>
  <c r="CO2" i="15"/>
  <c r="DZ2" i="15" s="1"/>
  <c r="CN2" i="15"/>
  <c r="DY2" i="15" s="1"/>
  <c r="CM2" i="15"/>
  <c r="CL2" i="15"/>
  <c r="DW2" i="15" s="1"/>
  <c r="CG2" i="15"/>
  <c r="DL2" i="15" s="1"/>
  <c r="CG2" i="15" a="1"/>
  <c r="AX2" i="15"/>
  <c r="AW2" i="15"/>
  <c r="AV2" i="15"/>
  <c r="J2" i="15"/>
  <c r="G2" i="15"/>
  <c r="IR2" i="14"/>
  <c r="IO2" i="14"/>
  <c r="IL2" i="14"/>
  <c r="HX2" i="14" a="1"/>
  <c r="HX2" i="14" s="1"/>
  <c r="IW2" i="14" s="1"/>
  <c r="HW2" i="14"/>
  <c r="IV2" i="14" s="1"/>
  <c r="HW2" i="14" a="1"/>
  <c r="HV2" i="14" a="1"/>
  <c r="HV2" i="14" s="1"/>
  <c r="IU2" i="14" s="1"/>
  <c r="HU2" i="14"/>
  <c r="IT2" i="14" s="1"/>
  <c r="HU2" i="14" a="1"/>
  <c r="HT2" i="14"/>
  <c r="IS2" i="14" s="1"/>
  <c r="HT2" i="14" a="1"/>
  <c r="HS2" i="14"/>
  <c r="HS2" i="14" a="1"/>
  <c r="HR2" i="14" a="1"/>
  <c r="HR2" i="14" s="1"/>
  <c r="IQ2" i="14" s="1"/>
  <c r="HQ2" i="14" a="1"/>
  <c r="HQ2" i="14" s="1"/>
  <c r="IP2" i="14" s="1"/>
  <c r="HP2" i="14" a="1"/>
  <c r="HP2" i="14" s="1"/>
  <c r="HL2" i="14"/>
  <c r="HJ2" i="14"/>
  <c r="HH2" i="14"/>
  <c r="HI2" i="14" s="1"/>
  <c r="HB2" i="14"/>
  <c r="HA2" i="14"/>
  <c r="GZ2" i="14"/>
  <c r="GY2" i="14"/>
  <c r="GX2" i="14"/>
  <c r="GW2" i="14"/>
  <c r="GV2" i="14"/>
  <c r="HC2" i="14" s="1"/>
  <c r="GU2" i="14"/>
  <c r="GT2" i="14"/>
  <c r="GP2" i="14"/>
  <c r="GN2" i="14"/>
  <c r="GM2" i="14"/>
  <c r="GK2" i="14"/>
  <c r="GI2" i="14"/>
  <c r="GH2" i="14"/>
  <c r="GG2" i="14"/>
  <c r="GF2" i="14"/>
  <c r="GE2" i="14"/>
  <c r="GD2" i="14"/>
  <c r="GC2" i="14"/>
  <c r="GB2" i="14"/>
  <c r="GA2" i="14"/>
  <c r="FZ2" i="14"/>
  <c r="FY2" i="14"/>
  <c r="FX2" i="14"/>
  <c r="FW2" i="14"/>
  <c r="FV2" i="14"/>
  <c r="FU2" i="14"/>
  <c r="FT2" i="14"/>
  <c r="FS2" i="14"/>
  <c r="FR2" i="14"/>
  <c r="FQ2" i="14"/>
  <c r="FJ2" i="14"/>
  <c r="FI2" i="14"/>
  <c r="FH2" i="14"/>
  <c r="FG2" i="14"/>
  <c r="FF2" i="14"/>
  <c r="FP2" i="14" s="1"/>
  <c r="FE2" i="14"/>
  <c r="FD2" i="14"/>
  <c r="FC2" i="14"/>
  <c r="FB2" i="14"/>
  <c r="FA2" i="14"/>
  <c r="EZ2" i="14"/>
  <c r="EY2" i="14"/>
  <c r="EX2" i="14"/>
  <c r="EW2" i="14"/>
  <c r="EV2" i="14"/>
  <c r="EU2" i="14"/>
  <c r="ET2" i="14"/>
  <c r="ES2" i="14"/>
  <c r="ER2" i="14"/>
  <c r="EQ2" i="14"/>
  <c r="EP2" i="14"/>
  <c r="EO2" i="14"/>
  <c r="EN2" i="14"/>
  <c r="EM2" i="14"/>
  <c r="EL2" i="14"/>
  <c r="EK2" i="14"/>
  <c r="EJ2" i="14"/>
  <c r="EI2" i="14"/>
  <c r="EH2" i="14"/>
  <c r="EG2" i="14"/>
  <c r="EF2" i="14"/>
  <c r="EE2" i="14"/>
  <c r="ED2" i="14"/>
  <c r="EC2" i="14"/>
  <c r="EB2" i="14"/>
  <c r="EA2" i="14"/>
  <c r="DV2" i="14"/>
  <c r="DU2" i="14"/>
  <c r="DT2" i="14"/>
  <c r="DS2" i="14"/>
  <c r="DR2" i="14"/>
  <c r="DQ2" i="14"/>
  <c r="DP2" i="14"/>
  <c r="DO2" i="14"/>
  <c r="DN2" i="14"/>
  <c r="DM2" i="14" a="1"/>
  <c r="DM2" i="14" s="1"/>
  <c r="DL2" i="14"/>
  <c r="DK2" i="14"/>
  <c r="DJ2" i="14"/>
  <c r="DI2" i="14"/>
  <c r="DH2" i="14"/>
  <c r="DG2" i="14"/>
  <c r="DF2" i="14"/>
  <c r="DE2" i="14"/>
  <c r="DD2" i="14"/>
  <c r="DC2" i="14"/>
  <c r="DB2" i="14"/>
  <c r="DA2" i="14"/>
  <c r="CX2" i="14"/>
  <c r="CV2" i="14"/>
  <c r="CU2" i="14"/>
  <c r="CT2" i="14"/>
  <c r="CS2" i="14"/>
  <c r="CR2" i="14"/>
  <c r="CQ2" i="14"/>
  <c r="GL2" i="14" s="1"/>
  <c r="CP2" i="14"/>
  <c r="GJ2" i="14" s="1"/>
  <c r="CO2" i="14"/>
  <c r="DZ2" i="14" s="1"/>
  <c r="CN2" i="14"/>
  <c r="DY2" i="14" s="1"/>
  <c r="CM2" i="14"/>
  <c r="DX2" i="14" s="1"/>
  <c r="CL2" i="14"/>
  <c r="DW2" i="14" s="1"/>
  <c r="CK2" i="14"/>
  <c r="CZ2" i="14" s="1"/>
  <c r="CJ2" i="14"/>
  <c r="CY2" i="14" s="1"/>
  <c r="CG2" i="14"/>
  <c r="CI2" i="14" s="1"/>
  <c r="CG2" i="14" a="1"/>
  <c r="AW2" i="14"/>
  <c r="AV2" i="14"/>
  <c r="AX2" i="14" s="1"/>
  <c r="J2" i="14"/>
  <c r="G2" i="14"/>
  <c r="IN2" i="13"/>
  <c r="IX2" i="13" s="1"/>
  <c r="IM2" i="13"/>
  <c r="HX2" i="13"/>
  <c r="IW2" i="13" s="1"/>
  <c r="HX2" i="13" a="1"/>
  <c r="HW2" i="13"/>
  <c r="IV2" i="13" s="1"/>
  <c r="HW2" i="13" a="1"/>
  <c r="HV2" i="13" a="1"/>
  <c r="HV2" i="13" s="1"/>
  <c r="IU2" i="13" s="1"/>
  <c r="HU2" i="13" a="1"/>
  <c r="HU2" i="13" s="1"/>
  <c r="IT2" i="13" s="1"/>
  <c r="HT2" i="13"/>
  <c r="IS2" i="13" s="1"/>
  <c r="HT2" i="13" a="1"/>
  <c r="HS2" i="13" a="1"/>
  <c r="HS2" i="13" s="1"/>
  <c r="IR2" i="13" s="1"/>
  <c r="HR2" i="13"/>
  <c r="IQ2" i="13" s="1"/>
  <c r="HR2" i="13" a="1"/>
  <c r="HQ2" i="13"/>
  <c r="IP2" i="13" s="1"/>
  <c r="HQ2" i="13" a="1"/>
  <c r="HP2" i="13" a="1"/>
  <c r="HP2" i="13" s="1"/>
  <c r="DL2" i="13" s="1"/>
  <c r="HL2" i="13"/>
  <c r="HJ2" i="13"/>
  <c r="HI2" i="13"/>
  <c r="HH2" i="13"/>
  <c r="HB2" i="13"/>
  <c r="HA2" i="13"/>
  <c r="GZ2" i="13"/>
  <c r="GY2" i="13"/>
  <c r="GX2" i="13"/>
  <c r="GW2" i="13"/>
  <c r="GV2" i="13"/>
  <c r="GU2" i="13"/>
  <c r="GT2" i="13"/>
  <c r="GP2" i="13"/>
  <c r="GL2" i="13"/>
  <c r="GJ2" i="13"/>
  <c r="GK2" i="13" s="1"/>
  <c r="GI2" i="13"/>
  <c r="GH2" i="13"/>
  <c r="GG2" i="13"/>
  <c r="GF2" i="13"/>
  <c r="GE2" i="13"/>
  <c r="GB2" i="13"/>
  <c r="GA2" i="13"/>
  <c r="FZ2" i="13"/>
  <c r="FY2" i="13"/>
  <c r="FW2" i="13"/>
  <c r="FV2" i="13"/>
  <c r="FU2" i="13"/>
  <c r="FT2" i="13"/>
  <c r="FS2" i="13"/>
  <c r="FR2" i="13"/>
  <c r="FQ2" i="13"/>
  <c r="FO2" i="13"/>
  <c r="FN2" i="13"/>
  <c r="FK2" i="13"/>
  <c r="FJ2" i="13"/>
  <c r="FI2" i="13"/>
  <c r="FL2" i="13" s="1"/>
  <c r="FH2" i="13"/>
  <c r="FG2" i="13"/>
  <c r="FF2" i="13"/>
  <c r="FP2" i="13" s="1"/>
  <c r="FE2" i="13"/>
  <c r="FD2" i="13"/>
  <c r="FB2" i="13"/>
  <c r="FA2" i="13"/>
  <c r="EZ2" i="13"/>
  <c r="EY2" i="13"/>
  <c r="EX2" i="13"/>
  <c r="EW2" i="13"/>
  <c r="EV2" i="13"/>
  <c r="EU2" i="13"/>
  <c r="ET2" i="13"/>
  <c r="ES2" i="13"/>
  <c r="ER2" i="13"/>
  <c r="EQ2" i="13"/>
  <c r="EP2" i="13"/>
  <c r="EO2" i="13"/>
  <c r="EN2" i="13"/>
  <c r="EM2" i="13"/>
  <c r="EL2" i="13"/>
  <c r="EK2" i="13"/>
  <c r="EJ2" i="13"/>
  <c r="EI2" i="13"/>
  <c r="EH2" i="13"/>
  <c r="EG2" i="13"/>
  <c r="EF2" i="13"/>
  <c r="EE2" i="13"/>
  <c r="ED2" i="13"/>
  <c r="EC2" i="13"/>
  <c r="EB2" i="13"/>
  <c r="EA2" i="13"/>
  <c r="DZ2" i="13"/>
  <c r="DU2" i="13"/>
  <c r="DT2" i="13"/>
  <c r="DS2" i="13"/>
  <c r="DR2" i="13"/>
  <c r="DQ2" i="13"/>
  <c r="DP2" i="13"/>
  <c r="DO2" i="13"/>
  <c r="DN2" i="13"/>
  <c r="DM2" i="13"/>
  <c r="DK2" i="13"/>
  <c r="DJ2" i="13"/>
  <c r="DI2" i="13"/>
  <c r="DH2" i="13"/>
  <c r="DG2" i="13"/>
  <c r="DF2" i="13"/>
  <c r="DE2" i="13"/>
  <c r="DD2" i="13"/>
  <c r="DB2" i="13"/>
  <c r="DA2" i="13"/>
  <c r="CY2" i="13"/>
  <c r="CX2" i="13"/>
  <c r="CV2" i="13"/>
  <c r="CU2" i="13"/>
  <c r="CT2" i="13"/>
  <c r="CS2" i="13"/>
  <c r="GN2" i="13" s="1"/>
  <c r="CR2" i="13"/>
  <c r="GM2" i="13" s="1"/>
  <c r="CQ2" i="13"/>
  <c r="CP2" i="13"/>
  <c r="CO2" i="13"/>
  <c r="CN2" i="13"/>
  <c r="DY2" i="13" s="1"/>
  <c r="CM2" i="13"/>
  <c r="DX2" i="13" s="1"/>
  <c r="CL2" i="13"/>
  <c r="DW2" i="13" s="1"/>
  <c r="CK2" i="13"/>
  <c r="CZ2" i="13" s="1"/>
  <c r="CJ2" i="13"/>
  <c r="CI2" i="13"/>
  <c r="CG2" i="13"/>
  <c r="DM2" i="13" s="1" a="1"/>
  <c r="CG2" i="13" a="1"/>
  <c r="AW2" i="13"/>
  <c r="AV2" i="13"/>
  <c r="J2" i="13"/>
  <c r="G2" i="13"/>
  <c r="IL2" i="12"/>
  <c r="HX2" i="12" a="1"/>
  <c r="HX2" i="12" s="1"/>
  <c r="IW2" i="12" s="1"/>
  <c r="HW2" i="12"/>
  <c r="IV2" i="12" s="1"/>
  <c r="HW2" i="12" a="1"/>
  <c r="HV2" i="12"/>
  <c r="IU2" i="12" s="1"/>
  <c r="HV2" i="12" a="1"/>
  <c r="HU2" i="12" a="1"/>
  <c r="HU2" i="12" s="1"/>
  <c r="IT2" i="12" s="1"/>
  <c r="HT2" i="12"/>
  <c r="IS2" i="12" s="1"/>
  <c r="HT2" i="12" a="1"/>
  <c r="HS2" i="12"/>
  <c r="IR2" i="12" s="1"/>
  <c r="HS2" i="12" a="1"/>
  <c r="HR2" i="12" a="1"/>
  <c r="HR2" i="12" s="1"/>
  <c r="IQ2" i="12" s="1"/>
  <c r="HQ2" i="12" a="1"/>
  <c r="HQ2" i="12" s="1"/>
  <c r="IP2" i="12" s="1"/>
  <c r="HP2" i="12" a="1"/>
  <c r="HP2" i="12" s="1"/>
  <c r="IO2" i="12" s="1"/>
  <c r="HL2" i="12"/>
  <c r="HJ2" i="12"/>
  <c r="HH2" i="12"/>
  <c r="HB2" i="12"/>
  <c r="HA2" i="12"/>
  <c r="GZ2" i="12"/>
  <c r="GY2" i="12"/>
  <c r="GX2" i="12"/>
  <c r="GW2" i="12"/>
  <c r="GV2" i="12"/>
  <c r="GU2" i="12"/>
  <c r="GT2" i="12"/>
  <c r="HC2" i="12" s="1"/>
  <c r="GP2" i="12"/>
  <c r="GN2" i="12"/>
  <c r="GI2" i="12"/>
  <c r="GH2" i="12"/>
  <c r="GG2" i="12"/>
  <c r="GF2" i="12"/>
  <c r="GE2" i="12"/>
  <c r="GD2" i="12"/>
  <c r="GC2" i="12"/>
  <c r="GB2" i="12"/>
  <c r="GA2" i="12"/>
  <c r="FZ2" i="12"/>
  <c r="FY2" i="12"/>
  <c r="FX2" i="12"/>
  <c r="FW2" i="12"/>
  <c r="FV2" i="12"/>
  <c r="FU2" i="12"/>
  <c r="FT2" i="12"/>
  <c r="FS2" i="12"/>
  <c r="FR2" i="12"/>
  <c r="FQ2" i="12"/>
  <c r="FP2" i="12"/>
  <c r="FK2" i="12"/>
  <c r="FJ2" i="12"/>
  <c r="FM2" i="12" s="1"/>
  <c r="FI2" i="12"/>
  <c r="FL2" i="12" s="1"/>
  <c r="FH2" i="12"/>
  <c r="FG2" i="12"/>
  <c r="FF2" i="12"/>
  <c r="FE2" i="12"/>
  <c r="FO2" i="12" s="1"/>
  <c r="FD2" i="12"/>
  <c r="FC2" i="12"/>
  <c r="FB2" i="12"/>
  <c r="FA2" i="12"/>
  <c r="EZ2" i="12"/>
  <c r="EY2" i="12"/>
  <c r="EX2" i="12"/>
  <c r="EW2" i="12"/>
  <c r="EV2" i="12"/>
  <c r="EU2" i="12"/>
  <c r="ET2" i="12"/>
  <c r="ES2" i="12"/>
  <c r="ER2" i="12"/>
  <c r="EQ2" i="12"/>
  <c r="EP2" i="12"/>
  <c r="EO2" i="12"/>
  <c r="EN2" i="12"/>
  <c r="EM2" i="12"/>
  <c r="EL2" i="12"/>
  <c r="EK2" i="12"/>
  <c r="EJ2" i="12"/>
  <c r="EI2" i="12"/>
  <c r="EH2" i="12"/>
  <c r="EG2" i="12"/>
  <c r="EF2" i="12"/>
  <c r="EE2" i="12"/>
  <c r="ED2" i="12"/>
  <c r="EC2" i="12"/>
  <c r="EB2" i="12"/>
  <c r="EA2" i="12"/>
  <c r="DZ2" i="12"/>
  <c r="DX2" i="12"/>
  <c r="DV2" i="12"/>
  <c r="DU2" i="12"/>
  <c r="DT2" i="12"/>
  <c r="DS2" i="12"/>
  <c r="DR2" i="12"/>
  <c r="DQ2" i="12"/>
  <c r="DP2" i="12"/>
  <c r="DO2" i="12"/>
  <c r="DN2" i="12"/>
  <c r="DK2" i="12"/>
  <c r="DJ2" i="12"/>
  <c r="DI2" i="12"/>
  <c r="DH2" i="12"/>
  <c r="DG2" i="12"/>
  <c r="DF2" i="12"/>
  <c r="DE2" i="12"/>
  <c r="DD2" i="12"/>
  <c r="DC2" i="12"/>
  <c r="DB2" i="12"/>
  <c r="DA2" i="12"/>
  <c r="CV2" i="12"/>
  <c r="CU2" i="12"/>
  <c r="CT2" i="12"/>
  <c r="CS2" i="12"/>
  <c r="CR2" i="12"/>
  <c r="GM2" i="12" s="1"/>
  <c r="CQ2" i="12"/>
  <c r="GL2" i="12" s="1"/>
  <c r="CP2" i="12"/>
  <c r="GJ2" i="12" s="1"/>
  <c r="GK2" i="12" s="1"/>
  <c r="CO2" i="12"/>
  <c r="CN2" i="12"/>
  <c r="DY2" i="12" s="1"/>
  <c r="CM2" i="12"/>
  <c r="CL2" i="12"/>
  <c r="DW2" i="12" s="1"/>
  <c r="CG2" i="12" a="1"/>
  <c r="CG2" i="12" s="1"/>
  <c r="AW2" i="12"/>
  <c r="AV2" i="12"/>
  <c r="AX2" i="12" s="1"/>
  <c r="J2" i="12"/>
  <c r="HI2" i="12" s="1"/>
  <c r="G2" i="12"/>
  <c r="IQ2" i="11"/>
  <c r="IN2" i="11"/>
  <c r="IX2" i="11" s="1"/>
  <c r="IM2" i="11"/>
  <c r="HX2" i="11" a="1"/>
  <c r="HX2" i="11" s="1"/>
  <c r="IW2" i="11" s="1"/>
  <c r="HW2" i="11" a="1"/>
  <c r="HW2" i="11" s="1"/>
  <c r="IV2" i="11" s="1"/>
  <c r="HV2" i="11" a="1"/>
  <c r="HV2" i="11" s="1"/>
  <c r="IU2" i="11" s="1"/>
  <c r="HU2" i="11" a="1"/>
  <c r="HU2" i="11" s="1"/>
  <c r="IT2" i="11" s="1"/>
  <c r="HT2" i="11" a="1"/>
  <c r="HT2" i="11" s="1"/>
  <c r="IS2" i="11" s="1"/>
  <c r="HS2" i="11" a="1"/>
  <c r="HS2" i="11" s="1"/>
  <c r="IR2" i="11" s="1"/>
  <c r="HR2" i="11" a="1"/>
  <c r="HR2" i="11" s="1"/>
  <c r="HQ2" i="11" a="1"/>
  <c r="HQ2" i="11" s="1"/>
  <c r="IP2" i="11" s="1"/>
  <c r="HP2" i="11" a="1"/>
  <c r="HP2" i="11" s="1"/>
  <c r="HL2" i="11"/>
  <c r="HJ2" i="11"/>
  <c r="HH2" i="11"/>
  <c r="HI2" i="11" s="1"/>
  <c r="HB2" i="11"/>
  <c r="HA2" i="11"/>
  <c r="GZ2" i="11"/>
  <c r="GY2" i="11"/>
  <c r="GX2" i="11"/>
  <c r="GW2" i="11"/>
  <c r="GV2" i="11"/>
  <c r="GU2" i="11"/>
  <c r="GT2" i="11"/>
  <c r="HC2" i="11" s="1"/>
  <c r="GP2" i="11"/>
  <c r="GN2" i="11"/>
  <c r="GI2" i="11"/>
  <c r="GH2" i="11"/>
  <c r="GG2" i="11"/>
  <c r="GF2" i="11"/>
  <c r="GE2" i="11"/>
  <c r="GB2" i="11"/>
  <c r="GA2" i="11"/>
  <c r="FZ2" i="11"/>
  <c r="FY2" i="11"/>
  <c r="FW2" i="11"/>
  <c r="FV2" i="11"/>
  <c r="FU2" i="11"/>
  <c r="FT2" i="11"/>
  <c r="FS2" i="11"/>
  <c r="FR2" i="11"/>
  <c r="FQ2" i="11"/>
  <c r="FP2" i="11"/>
  <c r="FN2" i="11"/>
  <c r="FM2" i="11"/>
  <c r="FL2" i="11"/>
  <c r="FK2" i="11"/>
  <c r="FJ2" i="11"/>
  <c r="FI2" i="11"/>
  <c r="FH2" i="11"/>
  <c r="FG2" i="11"/>
  <c r="FF2" i="11"/>
  <c r="FE2" i="11"/>
  <c r="FD2" i="11"/>
  <c r="FB2" i="11"/>
  <c r="FA2" i="11"/>
  <c r="EZ2" i="11"/>
  <c r="EY2" i="11"/>
  <c r="EX2" i="11"/>
  <c r="EW2" i="11"/>
  <c r="EV2" i="11"/>
  <c r="EU2" i="11"/>
  <c r="ET2" i="11"/>
  <c r="ES2" i="11"/>
  <c r="ER2" i="11"/>
  <c r="EQ2" i="11"/>
  <c r="EP2" i="11"/>
  <c r="EO2" i="11"/>
  <c r="EN2" i="11"/>
  <c r="EM2" i="11"/>
  <c r="EL2" i="11"/>
  <c r="EK2" i="11"/>
  <c r="EJ2" i="11"/>
  <c r="EI2" i="11"/>
  <c r="EH2" i="11"/>
  <c r="EG2" i="11"/>
  <c r="EF2" i="11"/>
  <c r="EE2" i="11"/>
  <c r="ED2" i="11"/>
  <c r="EC2" i="11"/>
  <c r="EB2" i="11"/>
  <c r="EA2" i="11"/>
  <c r="DZ2" i="11"/>
  <c r="DX2" i="11"/>
  <c r="DU2" i="11"/>
  <c r="DT2" i="11"/>
  <c r="DS2" i="11"/>
  <c r="DR2" i="11"/>
  <c r="DQ2" i="11"/>
  <c r="DP2" i="11"/>
  <c r="DO2" i="11"/>
  <c r="DN2" i="11"/>
  <c r="DL2" i="11"/>
  <c r="DK2" i="11"/>
  <c r="DJ2" i="11"/>
  <c r="DI2" i="11"/>
  <c r="DH2" i="11"/>
  <c r="DG2" i="11"/>
  <c r="DF2" i="11"/>
  <c r="DE2" i="11"/>
  <c r="DD2" i="11"/>
  <c r="DB2" i="11"/>
  <c r="DA2" i="11"/>
  <c r="CZ2" i="11"/>
  <c r="CY2" i="11"/>
  <c r="CX2" i="11"/>
  <c r="CV2" i="11"/>
  <c r="CU2" i="11"/>
  <c r="CT2" i="11"/>
  <c r="CS2" i="11"/>
  <c r="CR2" i="11"/>
  <c r="GM2" i="11" s="1"/>
  <c r="CQ2" i="11"/>
  <c r="GL2" i="11" s="1"/>
  <c r="CP2" i="11"/>
  <c r="GJ2" i="11" s="1"/>
  <c r="GK2" i="11" s="1"/>
  <c r="CO2" i="11"/>
  <c r="CN2" i="11"/>
  <c r="DY2" i="11" s="1"/>
  <c r="CM2" i="11"/>
  <c r="CL2" i="11"/>
  <c r="DW2" i="11" s="1"/>
  <c r="CK2" i="11"/>
  <c r="CJ2" i="11"/>
  <c r="CG2" i="11" a="1"/>
  <c r="CG2" i="11" s="1"/>
  <c r="CI2" i="11" s="1"/>
  <c r="AW2" i="11"/>
  <c r="AV2" i="11"/>
  <c r="J2" i="11"/>
  <c r="G2" i="11"/>
  <c r="IW2" i="10"/>
  <c r="IU2" i="10"/>
  <c r="IT2" i="10"/>
  <c r="IO2" i="10"/>
  <c r="HX2" i="10"/>
  <c r="HX2" i="10" a="1"/>
  <c r="HW2" i="10" a="1"/>
  <c r="HW2" i="10" s="1"/>
  <c r="IV2" i="10" s="1"/>
  <c r="HV2" i="10"/>
  <c r="HV2" i="10" a="1"/>
  <c r="HU2" i="10"/>
  <c r="HU2" i="10" a="1"/>
  <c r="HT2" i="10" a="1"/>
  <c r="HT2" i="10" s="1"/>
  <c r="IS2" i="10" s="1"/>
  <c r="HS2" i="10"/>
  <c r="IR2" i="10" s="1"/>
  <c r="HS2" i="10" a="1"/>
  <c r="HR2" i="10"/>
  <c r="IQ2" i="10" s="1"/>
  <c r="HR2" i="10" a="1"/>
  <c r="HQ2" i="10"/>
  <c r="IP2" i="10" s="1"/>
  <c r="HQ2" i="10" a="1"/>
  <c r="HP2" i="10"/>
  <c r="HP2" i="10" a="1"/>
  <c r="HL2" i="10"/>
  <c r="HJ2" i="10"/>
  <c r="HH2" i="10"/>
  <c r="HI2" i="10" s="1"/>
  <c r="HB2" i="10"/>
  <c r="HA2" i="10"/>
  <c r="GZ2" i="10"/>
  <c r="GY2" i="10"/>
  <c r="GX2" i="10"/>
  <c r="GW2" i="10"/>
  <c r="GV2" i="10"/>
  <c r="GU2" i="10"/>
  <c r="GT2" i="10"/>
  <c r="HC2" i="10" s="1"/>
  <c r="GP2" i="10"/>
  <c r="GN2" i="10"/>
  <c r="GI2" i="10"/>
  <c r="GH2" i="10"/>
  <c r="GG2" i="10"/>
  <c r="GF2" i="10"/>
  <c r="GE2" i="10"/>
  <c r="GB2" i="10"/>
  <c r="GA2" i="10"/>
  <c r="FZ2" i="10"/>
  <c r="FY2" i="10"/>
  <c r="FW2" i="10"/>
  <c r="FV2" i="10"/>
  <c r="FU2" i="10"/>
  <c r="FT2" i="10"/>
  <c r="FS2" i="10"/>
  <c r="FR2" i="10"/>
  <c r="FQ2" i="10"/>
  <c r="FP2" i="10"/>
  <c r="FO2" i="10"/>
  <c r="FJ2" i="10"/>
  <c r="FI2" i="10"/>
  <c r="FH2" i="10"/>
  <c r="FG2" i="10"/>
  <c r="FF2" i="10"/>
  <c r="FM2" i="10" s="1"/>
  <c r="FE2" i="10"/>
  <c r="FN2" i="10" s="1"/>
  <c r="FD2" i="10"/>
  <c r="FB2" i="10"/>
  <c r="FA2" i="10"/>
  <c r="EZ2" i="10"/>
  <c r="EY2" i="10"/>
  <c r="EX2" i="10"/>
  <c r="EW2" i="10"/>
  <c r="EV2" i="10"/>
  <c r="EU2" i="10"/>
  <c r="ET2" i="10"/>
  <c r="ES2" i="10"/>
  <c r="ER2" i="10"/>
  <c r="EQ2" i="10"/>
  <c r="EP2" i="10"/>
  <c r="EO2" i="10"/>
  <c r="EN2" i="10"/>
  <c r="EM2" i="10"/>
  <c r="EL2" i="10"/>
  <c r="EK2" i="10"/>
  <c r="EJ2" i="10"/>
  <c r="EI2" i="10"/>
  <c r="EH2" i="10"/>
  <c r="EG2" i="10"/>
  <c r="EF2" i="10"/>
  <c r="EE2" i="10"/>
  <c r="ED2" i="10"/>
  <c r="EC2" i="10"/>
  <c r="EB2" i="10"/>
  <c r="EA2" i="10"/>
  <c r="DU2" i="10"/>
  <c r="DT2" i="10"/>
  <c r="DS2" i="10"/>
  <c r="DR2" i="10"/>
  <c r="DQ2" i="10"/>
  <c r="DP2" i="10"/>
  <c r="DO2" i="10"/>
  <c r="DN2" i="10"/>
  <c r="DK2" i="10"/>
  <c r="DJ2" i="10"/>
  <c r="DI2" i="10"/>
  <c r="DH2" i="10"/>
  <c r="DG2" i="10"/>
  <c r="DF2" i="10"/>
  <c r="DE2" i="10"/>
  <c r="DD2" i="10"/>
  <c r="DB2" i="10"/>
  <c r="DA2" i="10"/>
  <c r="CV2" i="10"/>
  <c r="CU2" i="10"/>
  <c r="CT2" i="10"/>
  <c r="CS2" i="10"/>
  <c r="CR2" i="10"/>
  <c r="GM2" i="10" s="1"/>
  <c r="CQ2" i="10"/>
  <c r="GL2" i="10" s="1"/>
  <c r="CP2" i="10"/>
  <c r="GJ2" i="10" s="1"/>
  <c r="GK2" i="10" s="1"/>
  <c r="CO2" i="10"/>
  <c r="DZ2" i="10" s="1"/>
  <c r="CN2" i="10"/>
  <c r="DY2" i="10" s="1"/>
  <c r="CM2" i="10"/>
  <c r="DX2" i="10" s="1"/>
  <c r="CL2" i="10"/>
  <c r="DW2" i="10" s="1"/>
  <c r="CG2" i="10" a="1"/>
  <c r="CG2" i="10" s="1"/>
  <c r="AW2" i="10"/>
  <c r="AV2" i="10"/>
  <c r="J2" i="10"/>
  <c r="G2" i="10"/>
  <c r="IR2" i="9"/>
  <c r="IQ2" i="9"/>
  <c r="IP2" i="9"/>
  <c r="IN2" i="9"/>
  <c r="IX2" i="9" s="1"/>
  <c r="IL2" i="9"/>
  <c r="HX2" i="9"/>
  <c r="IW2" i="9" s="1"/>
  <c r="HX2" i="9" a="1"/>
  <c r="HW2" i="9" a="1"/>
  <c r="HW2" i="9" s="1"/>
  <c r="IV2" i="9" s="1"/>
  <c r="HV2" i="9" a="1"/>
  <c r="HV2" i="9" s="1"/>
  <c r="IU2" i="9" s="1"/>
  <c r="HU2" i="9" a="1"/>
  <c r="HU2" i="9" s="1"/>
  <c r="IT2" i="9" s="1"/>
  <c r="HT2" i="9" a="1"/>
  <c r="HT2" i="9" s="1"/>
  <c r="IS2" i="9" s="1"/>
  <c r="HS2" i="9" a="1"/>
  <c r="HS2" i="9" s="1"/>
  <c r="HR2" i="9"/>
  <c r="HR2" i="9" a="1"/>
  <c r="HQ2" i="9"/>
  <c r="HQ2" i="9" a="1"/>
  <c r="HP2" i="9" a="1"/>
  <c r="HP2" i="9" s="1"/>
  <c r="IO2" i="9" s="1"/>
  <c r="HL2" i="9"/>
  <c r="HJ2" i="9"/>
  <c r="HH2" i="9"/>
  <c r="HB2" i="9"/>
  <c r="HA2" i="9"/>
  <c r="GZ2" i="9"/>
  <c r="GY2" i="9"/>
  <c r="GX2" i="9"/>
  <c r="GW2" i="9"/>
  <c r="GV2" i="9"/>
  <c r="HC2" i="9" s="1"/>
  <c r="GU2" i="9"/>
  <c r="GT2" i="9"/>
  <c r="GP2" i="9"/>
  <c r="GJ2" i="9"/>
  <c r="GK2" i="9" s="1"/>
  <c r="GI2" i="9"/>
  <c r="GH2" i="9"/>
  <c r="GG2" i="9"/>
  <c r="GF2" i="9"/>
  <c r="GE2" i="9"/>
  <c r="GD2" i="9"/>
  <c r="GC2" i="9"/>
  <c r="GB2" i="9"/>
  <c r="GA2" i="9"/>
  <c r="FZ2" i="9"/>
  <c r="FY2" i="9"/>
  <c r="FX2" i="9"/>
  <c r="FW2" i="9"/>
  <c r="FV2" i="9"/>
  <c r="FU2" i="9"/>
  <c r="FT2" i="9"/>
  <c r="FS2" i="9"/>
  <c r="FR2" i="9"/>
  <c r="FQ2" i="9"/>
  <c r="FK2" i="9"/>
  <c r="FJ2" i="9"/>
  <c r="FM2" i="9" s="1"/>
  <c r="FI2" i="9"/>
  <c r="FL2" i="9" s="1"/>
  <c r="FH2" i="9"/>
  <c r="FG2" i="9"/>
  <c r="FF2" i="9"/>
  <c r="FP2" i="9" s="1"/>
  <c r="FE2" i="9"/>
  <c r="FO2" i="9" s="1"/>
  <c r="FD2" i="9"/>
  <c r="FC2" i="9"/>
  <c r="FB2" i="9"/>
  <c r="FA2" i="9"/>
  <c r="EZ2" i="9"/>
  <c r="EY2" i="9"/>
  <c r="EX2" i="9"/>
  <c r="EW2" i="9"/>
  <c r="EV2" i="9"/>
  <c r="EU2" i="9"/>
  <c r="ET2" i="9"/>
  <c r="ES2" i="9"/>
  <c r="ER2" i="9"/>
  <c r="EQ2" i="9"/>
  <c r="EP2" i="9"/>
  <c r="EO2" i="9"/>
  <c r="EN2" i="9"/>
  <c r="EM2" i="9"/>
  <c r="EL2" i="9"/>
  <c r="EK2" i="9"/>
  <c r="EJ2" i="9"/>
  <c r="EI2" i="9"/>
  <c r="EH2" i="9"/>
  <c r="EG2" i="9"/>
  <c r="EF2" i="9"/>
  <c r="EE2" i="9"/>
  <c r="ED2" i="9"/>
  <c r="EC2" i="9"/>
  <c r="EB2" i="9"/>
  <c r="EA2" i="9"/>
  <c r="DZ2" i="9"/>
  <c r="DY2" i="9"/>
  <c r="DV2" i="9"/>
  <c r="DU2" i="9"/>
  <c r="DT2" i="9"/>
  <c r="DS2" i="9"/>
  <c r="DR2" i="9"/>
  <c r="DQ2" i="9"/>
  <c r="DP2" i="9"/>
  <c r="DO2" i="9"/>
  <c r="DN2" i="9"/>
  <c r="DK2" i="9"/>
  <c r="DJ2" i="9"/>
  <c r="DI2" i="9"/>
  <c r="DH2" i="9"/>
  <c r="DG2" i="9"/>
  <c r="DF2" i="9"/>
  <c r="DE2" i="9"/>
  <c r="DD2" i="9"/>
  <c r="DC2" i="9"/>
  <c r="DB2" i="9"/>
  <c r="DA2" i="9"/>
  <c r="CW2" i="9"/>
  <c r="CV2" i="9"/>
  <c r="CU2" i="9"/>
  <c r="CT2" i="9"/>
  <c r="CS2" i="9"/>
  <c r="GN2" i="9" s="1"/>
  <c r="CR2" i="9"/>
  <c r="GM2" i="9" s="1"/>
  <c r="CQ2" i="9"/>
  <c r="GL2" i="9" s="1"/>
  <c r="CP2" i="9"/>
  <c r="CO2" i="9"/>
  <c r="CN2" i="9"/>
  <c r="CM2" i="9"/>
  <c r="DX2" i="9" s="1"/>
  <c r="CL2" i="9"/>
  <c r="DW2" i="9" s="1"/>
  <c r="CK2" i="9"/>
  <c r="CZ2" i="9" s="1"/>
  <c r="CJ2" i="9"/>
  <c r="CY2" i="9" s="1"/>
  <c r="CI2" i="9"/>
  <c r="CX2" i="9" s="1"/>
  <c r="CH2" i="9"/>
  <c r="CG2" i="9"/>
  <c r="CG2" i="9" a="1"/>
  <c r="AW2" i="9"/>
  <c r="AV2" i="9"/>
  <c r="J2" i="9"/>
  <c r="HI2" i="9" s="1"/>
  <c r="G2" i="9"/>
  <c r="IP2" i="8"/>
  <c r="IM2" i="8"/>
  <c r="IL2" i="8"/>
  <c r="HX2" i="8"/>
  <c r="IW2" i="8" s="1"/>
  <c r="HX2" i="8" a="1"/>
  <c r="HW2" i="8"/>
  <c r="IV2" i="8" s="1"/>
  <c r="HW2" i="8" a="1"/>
  <c r="HV2" i="8"/>
  <c r="IU2" i="8" s="1"/>
  <c r="HV2" i="8" a="1"/>
  <c r="HU2" i="8" a="1"/>
  <c r="HU2" i="8" s="1"/>
  <c r="IT2" i="8" s="1"/>
  <c r="HT2" i="8" a="1"/>
  <c r="HT2" i="8" s="1"/>
  <c r="IS2" i="8" s="1"/>
  <c r="HS2" i="8" a="1"/>
  <c r="HS2" i="8" s="1"/>
  <c r="IR2" i="8" s="1"/>
  <c r="HR2" i="8" a="1"/>
  <c r="HR2" i="8" s="1"/>
  <c r="IQ2" i="8" s="1"/>
  <c r="HQ2" i="8"/>
  <c r="HQ2" i="8" a="1"/>
  <c r="HP2" i="8"/>
  <c r="IO2" i="8" s="1"/>
  <c r="HP2" i="8" a="1"/>
  <c r="HL2" i="8"/>
  <c r="HJ2" i="8"/>
  <c r="HH2" i="8"/>
  <c r="HI2" i="8" s="1"/>
  <c r="HB2" i="8"/>
  <c r="HA2" i="8"/>
  <c r="GZ2" i="8"/>
  <c r="GY2" i="8"/>
  <c r="GX2" i="8"/>
  <c r="GW2" i="8"/>
  <c r="GV2" i="8"/>
  <c r="GU2" i="8"/>
  <c r="GT2" i="8"/>
  <c r="HC2" i="8" s="1"/>
  <c r="GP2" i="8"/>
  <c r="GN2" i="8"/>
  <c r="GM2" i="8"/>
  <c r="GL2" i="8"/>
  <c r="GK2" i="8"/>
  <c r="GJ2" i="8"/>
  <c r="GI2" i="8"/>
  <c r="GH2" i="8"/>
  <c r="GG2" i="8"/>
  <c r="GF2" i="8"/>
  <c r="GE2" i="8"/>
  <c r="GD2" i="8"/>
  <c r="GC2" i="8"/>
  <c r="GB2" i="8"/>
  <c r="GA2" i="8"/>
  <c r="FZ2" i="8"/>
  <c r="FY2" i="8"/>
  <c r="FX2" i="8"/>
  <c r="FW2" i="8"/>
  <c r="FV2" i="8"/>
  <c r="FU2" i="8"/>
  <c r="FT2" i="8"/>
  <c r="FS2" i="8"/>
  <c r="FR2" i="8"/>
  <c r="FQ2" i="8"/>
  <c r="FJ2" i="8"/>
  <c r="FI2" i="8"/>
  <c r="FH2" i="8"/>
  <c r="FK2" i="8" s="1"/>
  <c r="FG2" i="8"/>
  <c r="FF2" i="8"/>
  <c r="FP2" i="8" s="1"/>
  <c r="FE2" i="8"/>
  <c r="FO2" i="8" s="1"/>
  <c r="FD2" i="8"/>
  <c r="FC2" i="8"/>
  <c r="FB2" i="8"/>
  <c r="FA2" i="8"/>
  <c r="EZ2" i="8"/>
  <c r="EY2" i="8"/>
  <c r="EX2" i="8"/>
  <c r="EW2" i="8"/>
  <c r="EV2" i="8"/>
  <c r="EU2" i="8"/>
  <c r="ET2" i="8"/>
  <c r="ES2" i="8"/>
  <c r="ER2" i="8"/>
  <c r="EQ2" i="8"/>
  <c r="EP2" i="8"/>
  <c r="EO2" i="8"/>
  <c r="EN2" i="8"/>
  <c r="EM2" i="8"/>
  <c r="EL2" i="8"/>
  <c r="EK2" i="8"/>
  <c r="EJ2" i="8"/>
  <c r="EI2" i="8"/>
  <c r="EH2" i="8"/>
  <c r="EG2" i="8"/>
  <c r="EF2" i="8"/>
  <c r="EE2" i="8"/>
  <c r="ED2" i="8"/>
  <c r="EC2" i="8"/>
  <c r="EB2" i="8"/>
  <c r="EA2" i="8"/>
  <c r="DV2" i="8"/>
  <c r="DU2" i="8"/>
  <c r="DT2" i="8"/>
  <c r="DS2" i="8"/>
  <c r="DR2" i="8"/>
  <c r="DQ2" i="8"/>
  <c r="DP2" i="8"/>
  <c r="DO2" i="8"/>
  <c r="DN2" i="8"/>
  <c r="DL2" i="8"/>
  <c r="DK2" i="8"/>
  <c r="DJ2" i="8"/>
  <c r="DI2" i="8"/>
  <c r="DH2" i="8"/>
  <c r="DG2" i="8"/>
  <c r="DF2" i="8"/>
  <c r="DE2" i="8"/>
  <c r="DD2" i="8"/>
  <c r="DC2" i="8"/>
  <c r="DB2" i="8"/>
  <c r="DA2" i="8"/>
  <c r="CW2" i="8"/>
  <c r="CV2" i="8"/>
  <c r="CU2" i="8"/>
  <c r="CT2" i="8"/>
  <c r="CS2" i="8"/>
  <c r="CR2" i="8"/>
  <c r="CQ2" i="8"/>
  <c r="CP2" i="8"/>
  <c r="CO2" i="8"/>
  <c r="DZ2" i="8" s="1"/>
  <c r="CN2" i="8"/>
  <c r="DY2" i="8" s="1"/>
  <c r="CM2" i="8"/>
  <c r="DX2" i="8" s="1"/>
  <c r="CL2" i="8"/>
  <c r="DW2" i="8" s="1"/>
  <c r="CK2" i="8"/>
  <c r="CZ2" i="8" s="1"/>
  <c r="CJ2" i="8"/>
  <c r="CY2" i="8" s="1"/>
  <c r="CI2" i="8"/>
  <c r="CX2" i="8" s="1"/>
  <c r="CH2" i="8"/>
  <c r="CG2" i="8"/>
  <c r="IN2" i="8" s="1"/>
  <c r="IX2" i="8" s="1"/>
  <c r="CG2" i="8" a="1"/>
  <c r="AW2" i="8"/>
  <c r="AV2" i="8"/>
  <c r="J2" i="8"/>
  <c r="G2" i="8"/>
  <c r="IT2" i="7"/>
  <c r="IS2" i="7"/>
  <c r="IR2" i="7"/>
  <c r="IL2" i="7"/>
  <c r="HX2" i="7" a="1"/>
  <c r="HX2" i="7" s="1"/>
  <c r="IW2" i="7" s="1"/>
  <c r="HW2" i="7" a="1"/>
  <c r="HW2" i="7" s="1"/>
  <c r="IV2" i="7" s="1"/>
  <c r="HV2" i="7" a="1"/>
  <c r="HV2" i="7" s="1"/>
  <c r="IU2" i="7" s="1"/>
  <c r="HU2" i="7"/>
  <c r="HU2" i="7" a="1"/>
  <c r="HT2" i="7" a="1"/>
  <c r="HT2" i="7" s="1"/>
  <c r="HS2" i="7"/>
  <c r="HS2" i="7" a="1"/>
  <c r="HR2" i="7" a="1"/>
  <c r="HR2" i="7" s="1"/>
  <c r="IQ2" i="7" s="1"/>
  <c r="HQ2" i="7" a="1"/>
  <c r="HQ2" i="7" s="1"/>
  <c r="IP2" i="7" s="1"/>
  <c r="HP2" i="7" a="1"/>
  <c r="HP2" i="7" s="1"/>
  <c r="IO2" i="7" s="1"/>
  <c r="HL2" i="7"/>
  <c r="HJ2" i="7"/>
  <c r="HH2" i="7"/>
  <c r="HB2" i="7"/>
  <c r="HA2" i="7"/>
  <c r="GZ2" i="7"/>
  <c r="GY2" i="7"/>
  <c r="HC2" i="7" s="1"/>
  <c r="GX2" i="7"/>
  <c r="GW2" i="7"/>
  <c r="GV2" i="7"/>
  <c r="GU2" i="7"/>
  <c r="GT2" i="7"/>
  <c r="GP2" i="7"/>
  <c r="GM2" i="7"/>
  <c r="GL2" i="7"/>
  <c r="GI2" i="7"/>
  <c r="GH2" i="7"/>
  <c r="GG2" i="7"/>
  <c r="GF2" i="7"/>
  <c r="GE2" i="7"/>
  <c r="GD2" i="7"/>
  <c r="GC2" i="7"/>
  <c r="GB2" i="7"/>
  <c r="GA2" i="7"/>
  <c r="FZ2" i="7"/>
  <c r="FY2" i="7"/>
  <c r="FX2" i="7"/>
  <c r="FW2" i="7"/>
  <c r="FV2" i="7"/>
  <c r="FU2" i="7"/>
  <c r="FT2" i="7"/>
  <c r="FS2" i="7"/>
  <c r="FR2" i="7"/>
  <c r="FQ2" i="7"/>
  <c r="FP2" i="7"/>
  <c r="FO2" i="7"/>
  <c r="FN2" i="7"/>
  <c r="FM2" i="7"/>
  <c r="FL2" i="7"/>
  <c r="FJ2" i="7"/>
  <c r="FI2" i="7"/>
  <c r="FH2" i="7"/>
  <c r="FK2" i="7" s="1"/>
  <c r="FG2" i="7"/>
  <c r="FF2" i="7"/>
  <c r="FE2" i="7"/>
  <c r="FD2" i="7"/>
  <c r="FC2" i="7"/>
  <c r="FB2" i="7"/>
  <c r="FA2" i="7"/>
  <c r="EZ2" i="7"/>
  <c r="EY2" i="7"/>
  <c r="EX2" i="7"/>
  <c r="EW2" i="7"/>
  <c r="EV2" i="7"/>
  <c r="EU2" i="7"/>
  <c r="ET2" i="7"/>
  <c r="ES2" i="7"/>
  <c r="ER2" i="7"/>
  <c r="EQ2" i="7"/>
  <c r="EP2" i="7"/>
  <c r="EO2" i="7"/>
  <c r="EN2" i="7"/>
  <c r="EM2" i="7"/>
  <c r="EL2" i="7"/>
  <c r="EK2" i="7"/>
  <c r="EJ2" i="7"/>
  <c r="EI2" i="7"/>
  <c r="EH2" i="7"/>
  <c r="EG2" i="7"/>
  <c r="EF2" i="7"/>
  <c r="EE2" i="7"/>
  <c r="ED2" i="7"/>
  <c r="EC2" i="7"/>
  <c r="EB2" i="7"/>
  <c r="EA2" i="7"/>
  <c r="DY2" i="7"/>
  <c r="DX2" i="7"/>
  <c r="DW2" i="7"/>
  <c r="DV2" i="7"/>
  <c r="DU2" i="7"/>
  <c r="DT2" i="7"/>
  <c r="DS2" i="7"/>
  <c r="DR2" i="7"/>
  <c r="DQ2" i="7"/>
  <c r="DP2" i="7"/>
  <c r="DO2" i="7"/>
  <c r="DN2" i="7"/>
  <c r="DK2" i="7"/>
  <c r="DJ2" i="7"/>
  <c r="DI2" i="7"/>
  <c r="DH2" i="7"/>
  <c r="DG2" i="7"/>
  <c r="DF2" i="7"/>
  <c r="DE2" i="7"/>
  <c r="DD2" i="7"/>
  <c r="DC2" i="7"/>
  <c r="DB2" i="7"/>
  <c r="DA2" i="7"/>
  <c r="CV2" i="7"/>
  <c r="CU2" i="7"/>
  <c r="CT2" i="7"/>
  <c r="CS2" i="7"/>
  <c r="GN2" i="7" s="1"/>
  <c r="CR2" i="7"/>
  <c r="CQ2" i="7"/>
  <c r="CP2" i="7"/>
  <c r="GJ2" i="7" s="1"/>
  <c r="GK2" i="7" s="1"/>
  <c r="CO2" i="7"/>
  <c r="DZ2" i="7" s="1"/>
  <c r="CN2" i="7"/>
  <c r="CM2" i="7"/>
  <c r="CL2" i="7"/>
  <c r="CG2" i="7"/>
  <c r="CG2" i="7" a="1"/>
  <c r="AW2" i="7"/>
  <c r="AV2" i="7"/>
  <c r="J2" i="7"/>
  <c r="HI2" i="7" s="1"/>
  <c r="G2" i="7"/>
  <c r="IX2" i="6"/>
  <c r="IU2" i="6"/>
  <c r="IS2" i="6"/>
  <c r="IN2" i="6"/>
  <c r="IM2" i="6"/>
  <c r="IL2" i="6"/>
  <c r="HX2" i="6" a="1"/>
  <c r="HX2" i="6" s="1"/>
  <c r="IW2" i="6" s="1"/>
  <c r="HW2" i="6" a="1"/>
  <c r="HW2" i="6" s="1"/>
  <c r="IV2" i="6" s="1"/>
  <c r="HV2" i="6"/>
  <c r="HV2" i="6" a="1"/>
  <c r="HU2" i="6" a="1"/>
  <c r="HU2" i="6" s="1"/>
  <c r="IT2" i="6" s="1"/>
  <c r="HT2" i="6"/>
  <c r="HT2" i="6" a="1"/>
  <c r="HS2" i="6"/>
  <c r="IR2" i="6" s="1"/>
  <c r="HS2" i="6" a="1"/>
  <c r="HR2" i="6" a="1"/>
  <c r="HR2" i="6" s="1"/>
  <c r="IQ2" i="6" s="1"/>
  <c r="HQ2" i="6" a="1"/>
  <c r="HQ2" i="6" s="1"/>
  <c r="IP2" i="6" s="1"/>
  <c r="HP2" i="6"/>
  <c r="IO2" i="6" s="1"/>
  <c r="HP2" i="6" a="1"/>
  <c r="HL2" i="6"/>
  <c r="HJ2" i="6"/>
  <c r="HH2" i="6"/>
  <c r="HB2" i="6"/>
  <c r="HA2" i="6"/>
  <c r="GZ2" i="6"/>
  <c r="GY2" i="6"/>
  <c r="GX2" i="6"/>
  <c r="GW2" i="6"/>
  <c r="GV2" i="6"/>
  <c r="GU2" i="6"/>
  <c r="GT2" i="6"/>
  <c r="HC2" i="6" s="1"/>
  <c r="GP2" i="6"/>
  <c r="GN2" i="6"/>
  <c r="GI2" i="6"/>
  <c r="GH2" i="6"/>
  <c r="GG2" i="6"/>
  <c r="GF2" i="6"/>
  <c r="GE2" i="6"/>
  <c r="GD2" i="6"/>
  <c r="GC2" i="6"/>
  <c r="GB2" i="6"/>
  <c r="GA2" i="6"/>
  <c r="FZ2" i="6"/>
  <c r="FY2" i="6"/>
  <c r="FX2" i="6"/>
  <c r="FW2" i="6"/>
  <c r="FV2" i="6"/>
  <c r="FU2" i="6"/>
  <c r="FT2" i="6"/>
  <c r="FS2" i="6"/>
  <c r="FR2" i="6"/>
  <c r="FQ2" i="6"/>
  <c r="FJ2" i="6"/>
  <c r="FI2" i="6"/>
  <c r="FH2" i="6"/>
  <c r="FK2" i="6" s="1"/>
  <c r="FG2" i="6"/>
  <c r="FF2" i="6"/>
  <c r="FP2" i="6" s="1"/>
  <c r="FE2" i="6"/>
  <c r="FO2" i="6" s="1"/>
  <c r="FD2" i="6"/>
  <c r="FC2" i="6"/>
  <c r="FB2" i="6"/>
  <c r="FA2" i="6"/>
  <c r="EZ2" i="6"/>
  <c r="EY2" i="6"/>
  <c r="EX2" i="6"/>
  <c r="EW2" i="6"/>
  <c r="EV2" i="6"/>
  <c r="EU2" i="6"/>
  <c r="ET2" i="6"/>
  <c r="ES2" i="6"/>
  <c r="ER2" i="6"/>
  <c r="EQ2" i="6"/>
  <c r="EP2" i="6"/>
  <c r="EO2" i="6"/>
  <c r="EN2" i="6"/>
  <c r="EM2" i="6"/>
  <c r="EL2" i="6"/>
  <c r="EK2" i="6"/>
  <c r="EJ2" i="6"/>
  <c r="EI2" i="6"/>
  <c r="EH2" i="6"/>
  <c r="EG2" i="6"/>
  <c r="EF2" i="6"/>
  <c r="EE2" i="6"/>
  <c r="ED2" i="6"/>
  <c r="EC2" i="6"/>
  <c r="EB2" i="6"/>
  <c r="EA2" i="6"/>
  <c r="DW2" i="6"/>
  <c r="DV2" i="6"/>
  <c r="DU2" i="6"/>
  <c r="DT2" i="6"/>
  <c r="DS2" i="6"/>
  <c r="DR2" i="6"/>
  <c r="DQ2" i="6"/>
  <c r="DP2" i="6"/>
  <c r="DO2" i="6"/>
  <c r="DN2" i="6"/>
  <c r="DM2" i="6" a="1"/>
  <c r="DM2" i="6" s="1"/>
  <c r="DL2" i="6"/>
  <c r="DK2" i="6"/>
  <c r="DJ2" i="6"/>
  <c r="DI2" i="6"/>
  <c r="DH2" i="6"/>
  <c r="DG2" i="6"/>
  <c r="DF2" i="6"/>
  <c r="DE2" i="6"/>
  <c r="DD2" i="6"/>
  <c r="DC2" i="6"/>
  <c r="DB2" i="6"/>
  <c r="DA2" i="6"/>
  <c r="CZ2" i="6"/>
  <c r="CY2" i="6"/>
  <c r="CX2" i="6"/>
  <c r="CW2" i="6"/>
  <c r="CV2" i="6"/>
  <c r="CU2" i="6"/>
  <c r="CT2" i="6"/>
  <c r="CS2" i="6"/>
  <c r="CR2" i="6"/>
  <c r="GM2" i="6" s="1"/>
  <c r="CQ2" i="6"/>
  <c r="GL2" i="6" s="1"/>
  <c r="CP2" i="6"/>
  <c r="GJ2" i="6" s="1"/>
  <c r="GK2" i="6" s="1"/>
  <c r="CO2" i="6"/>
  <c r="DZ2" i="6" s="1"/>
  <c r="CN2" i="6"/>
  <c r="DY2" i="6" s="1"/>
  <c r="CM2" i="6"/>
  <c r="DX2" i="6" s="1"/>
  <c r="CL2" i="6"/>
  <c r="CK2" i="6"/>
  <c r="CJ2" i="6"/>
  <c r="CI2" i="6"/>
  <c r="CG2" i="6" a="1"/>
  <c r="CG2" i="6" s="1"/>
  <c r="CH2" i="6" s="1"/>
  <c r="AW2" i="6"/>
  <c r="AV2" i="6"/>
  <c r="J2" i="6"/>
  <c r="HI2" i="6" s="1"/>
  <c r="G2" i="6"/>
  <c r="IV2" i="5"/>
  <c r="IQ2" i="5"/>
  <c r="IP2" i="5"/>
  <c r="IL2" i="5"/>
  <c r="HX2" i="5"/>
  <c r="IW2" i="5" s="1"/>
  <c r="HX2" i="5" a="1"/>
  <c r="HW2" i="5" a="1"/>
  <c r="HW2" i="5" s="1"/>
  <c r="HV2" i="5" a="1"/>
  <c r="HV2" i="5" s="1"/>
  <c r="IU2" i="5" s="1"/>
  <c r="HU2" i="5" a="1"/>
  <c r="HU2" i="5" s="1"/>
  <c r="IT2" i="5" s="1"/>
  <c r="HT2" i="5" a="1"/>
  <c r="HT2" i="5" s="1"/>
  <c r="IS2" i="5" s="1"/>
  <c r="HS2" i="5"/>
  <c r="IR2" i="5" s="1"/>
  <c r="HS2" i="5" a="1"/>
  <c r="HR2" i="5"/>
  <c r="HR2" i="5" a="1"/>
  <c r="HQ2" i="5" a="1"/>
  <c r="HQ2" i="5" s="1"/>
  <c r="HP2" i="5" a="1"/>
  <c r="HP2" i="5" s="1"/>
  <c r="IO2" i="5" s="1"/>
  <c r="HL2" i="5"/>
  <c r="HJ2" i="5"/>
  <c r="HH2" i="5"/>
  <c r="HI2" i="5" s="1"/>
  <c r="HB2" i="5"/>
  <c r="HA2" i="5"/>
  <c r="GZ2" i="5"/>
  <c r="GY2" i="5"/>
  <c r="GX2" i="5"/>
  <c r="GW2" i="5"/>
  <c r="GV2" i="5"/>
  <c r="GU2" i="5"/>
  <c r="GT2" i="5"/>
  <c r="HC2" i="5" s="1"/>
  <c r="GP2" i="5"/>
  <c r="GL2" i="5"/>
  <c r="GI2" i="5"/>
  <c r="GH2" i="5"/>
  <c r="GG2" i="5"/>
  <c r="GF2" i="5"/>
  <c r="GE2" i="5"/>
  <c r="GD2" i="5"/>
  <c r="GC2" i="5"/>
  <c r="GB2" i="5"/>
  <c r="GA2" i="5"/>
  <c r="FZ2" i="5"/>
  <c r="FY2" i="5"/>
  <c r="FX2" i="5"/>
  <c r="FW2" i="5"/>
  <c r="FV2" i="5"/>
  <c r="FU2" i="5"/>
  <c r="FT2" i="5"/>
  <c r="FS2" i="5"/>
  <c r="FR2" i="5"/>
  <c r="FQ2" i="5"/>
  <c r="FN2" i="5"/>
  <c r="FJ2" i="5"/>
  <c r="FI2" i="5"/>
  <c r="FH2" i="5"/>
  <c r="FG2" i="5"/>
  <c r="FF2" i="5"/>
  <c r="FP2" i="5" s="1"/>
  <c r="FE2" i="5"/>
  <c r="FO2" i="5" s="1"/>
  <c r="FD2" i="5"/>
  <c r="FC2" i="5"/>
  <c r="FB2" i="5"/>
  <c r="FA2" i="5"/>
  <c r="EZ2" i="5"/>
  <c r="EY2" i="5"/>
  <c r="EX2" i="5"/>
  <c r="EW2" i="5"/>
  <c r="EV2" i="5"/>
  <c r="EU2" i="5"/>
  <c r="ET2" i="5"/>
  <c r="ES2" i="5"/>
  <c r="ER2" i="5"/>
  <c r="EQ2" i="5"/>
  <c r="EP2" i="5"/>
  <c r="EO2" i="5"/>
  <c r="EN2" i="5"/>
  <c r="EM2" i="5"/>
  <c r="EL2" i="5"/>
  <c r="EK2" i="5"/>
  <c r="EJ2" i="5"/>
  <c r="EI2" i="5"/>
  <c r="EH2" i="5"/>
  <c r="EG2" i="5"/>
  <c r="EF2" i="5"/>
  <c r="EE2" i="5"/>
  <c r="ED2" i="5"/>
  <c r="EC2" i="5"/>
  <c r="EB2" i="5"/>
  <c r="EA2" i="5"/>
  <c r="DZ2" i="5"/>
  <c r="DV2" i="5"/>
  <c r="DU2" i="5"/>
  <c r="DT2" i="5"/>
  <c r="DS2" i="5"/>
  <c r="DR2" i="5"/>
  <c r="DQ2" i="5"/>
  <c r="DP2" i="5"/>
  <c r="DO2" i="5"/>
  <c r="DN2" i="5"/>
  <c r="DK2" i="5"/>
  <c r="DJ2" i="5"/>
  <c r="DI2" i="5"/>
  <c r="DH2" i="5"/>
  <c r="DG2" i="5"/>
  <c r="DF2" i="5"/>
  <c r="DE2" i="5"/>
  <c r="DD2" i="5"/>
  <c r="DC2" i="5"/>
  <c r="DB2" i="5"/>
  <c r="DA2" i="5"/>
  <c r="CV2" i="5"/>
  <c r="CU2" i="5"/>
  <c r="CT2" i="5"/>
  <c r="CS2" i="5"/>
  <c r="GN2" i="5" s="1"/>
  <c r="CR2" i="5"/>
  <c r="GM2" i="5" s="1"/>
  <c r="CQ2" i="5"/>
  <c r="CP2" i="5"/>
  <c r="GJ2" i="5" s="1"/>
  <c r="GK2" i="5" s="1"/>
  <c r="CO2" i="5"/>
  <c r="CN2" i="5"/>
  <c r="DY2" i="5" s="1"/>
  <c r="CM2" i="5"/>
  <c r="DX2" i="5" s="1"/>
  <c r="CL2" i="5"/>
  <c r="DW2" i="5" s="1"/>
  <c r="CG2" i="5" a="1"/>
  <c r="CG2" i="5" s="1"/>
  <c r="AW2" i="5"/>
  <c r="AV2" i="5"/>
  <c r="J2" i="5"/>
  <c r="G2" i="5"/>
  <c r="IR2" i="4"/>
  <c r="IQ2" i="4"/>
  <c r="IP2" i="4"/>
  <c r="IL2" i="4"/>
  <c r="HX2" i="4"/>
  <c r="IW2" i="4" s="1"/>
  <c r="HX2" i="4" a="1"/>
  <c r="HW2" i="4" a="1"/>
  <c r="HW2" i="4" s="1"/>
  <c r="IV2" i="4" s="1"/>
  <c r="HV2" i="4" a="1"/>
  <c r="HV2" i="4" s="1"/>
  <c r="IU2" i="4" s="1"/>
  <c r="HU2" i="4" a="1"/>
  <c r="HU2" i="4" s="1"/>
  <c r="IT2" i="4" s="1"/>
  <c r="HT2" i="4" a="1"/>
  <c r="HT2" i="4" s="1"/>
  <c r="IS2" i="4" s="1"/>
  <c r="HS2" i="4"/>
  <c r="HS2" i="4" a="1"/>
  <c r="HR2" i="4"/>
  <c r="HR2" i="4" a="1"/>
  <c r="HQ2" i="4" a="1"/>
  <c r="HQ2" i="4" s="1"/>
  <c r="HP2" i="4" a="1"/>
  <c r="HP2" i="4" s="1"/>
  <c r="IO2" i="4" s="1"/>
  <c r="HL2" i="4"/>
  <c r="HJ2" i="4"/>
  <c r="HI2" i="4"/>
  <c r="HH2" i="4"/>
  <c r="HB2" i="4"/>
  <c r="HA2" i="4"/>
  <c r="GZ2" i="4"/>
  <c r="GY2" i="4"/>
  <c r="GX2" i="4"/>
  <c r="GW2" i="4"/>
  <c r="GV2" i="4"/>
  <c r="GU2" i="4"/>
  <c r="GT2" i="4"/>
  <c r="HC2" i="4" s="1"/>
  <c r="GP2" i="4"/>
  <c r="GM2" i="4"/>
  <c r="GL2" i="4"/>
  <c r="GI2" i="4"/>
  <c r="GH2" i="4"/>
  <c r="GG2" i="4"/>
  <c r="GF2" i="4"/>
  <c r="GE2" i="4"/>
  <c r="GD2" i="4"/>
  <c r="GC2" i="4"/>
  <c r="GB2" i="4"/>
  <c r="GA2" i="4"/>
  <c r="FZ2" i="4"/>
  <c r="FY2" i="4"/>
  <c r="FX2" i="4"/>
  <c r="FW2" i="4"/>
  <c r="FV2" i="4"/>
  <c r="FU2" i="4"/>
  <c r="FT2" i="4"/>
  <c r="FS2" i="4"/>
  <c r="FR2" i="4"/>
  <c r="FQ2" i="4"/>
  <c r="FJ2" i="4"/>
  <c r="FI2" i="4"/>
  <c r="FL2" i="4" s="1"/>
  <c r="FH2" i="4"/>
  <c r="FK2" i="4" s="1"/>
  <c r="FG2" i="4"/>
  <c r="FO2" i="4" s="1"/>
  <c r="FF2" i="4"/>
  <c r="FP2" i="4" s="1"/>
  <c r="FE2" i="4"/>
  <c r="FD2" i="4"/>
  <c r="FC2" i="4"/>
  <c r="FB2" i="4"/>
  <c r="FA2" i="4"/>
  <c r="EZ2" i="4"/>
  <c r="EY2" i="4"/>
  <c r="EX2" i="4"/>
  <c r="EW2" i="4"/>
  <c r="EV2" i="4"/>
  <c r="EU2" i="4"/>
  <c r="ET2" i="4"/>
  <c r="ES2" i="4"/>
  <c r="ER2" i="4"/>
  <c r="EQ2" i="4"/>
  <c r="EP2" i="4"/>
  <c r="EO2" i="4"/>
  <c r="EN2" i="4"/>
  <c r="EM2" i="4"/>
  <c r="EL2" i="4"/>
  <c r="EK2" i="4"/>
  <c r="EJ2" i="4"/>
  <c r="EI2" i="4"/>
  <c r="EH2" i="4"/>
  <c r="EG2" i="4"/>
  <c r="EF2" i="4"/>
  <c r="EE2" i="4"/>
  <c r="ED2" i="4"/>
  <c r="EC2" i="4"/>
  <c r="EB2" i="4"/>
  <c r="EA2" i="4"/>
  <c r="DW2" i="4"/>
  <c r="DV2" i="4"/>
  <c r="DU2" i="4"/>
  <c r="DT2" i="4"/>
  <c r="DS2" i="4"/>
  <c r="DR2" i="4"/>
  <c r="DQ2" i="4"/>
  <c r="DP2" i="4"/>
  <c r="DO2" i="4"/>
  <c r="DN2" i="4"/>
  <c r="DM2" i="4" a="1"/>
  <c r="DM2" i="4" s="1"/>
  <c r="DL2" i="4"/>
  <c r="DK2" i="4"/>
  <c r="DJ2" i="4"/>
  <c r="DI2" i="4"/>
  <c r="DH2" i="4"/>
  <c r="DG2" i="4"/>
  <c r="DF2" i="4"/>
  <c r="DE2" i="4"/>
  <c r="DD2" i="4"/>
  <c r="DC2" i="4"/>
  <c r="DB2" i="4"/>
  <c r="DA2" i="4"/>
  <c r="CZ2" i="4"/>
  <c r="CV2" i="4"/>
  <c r="CU2" i="4"/>
  <c r="CT2" i="4"/>
  <c r="CS2" i="4"/>
  <c r="GN2" i="4" s="1"/>
  <c r="CR2" i="4"/>
  <c r="CQ2" i="4"/>
  <c r="CP2" i="4"/>
  <c r="GJ2" i="4" s="1"/>
  <c r="GK2" i="4" s="1"/>
  <c r="CO2" i="4"/>
  <c r="DZ2" i="4" s="1"/>
  <c r="CN2" i="4"/>
  <c r="DY2" i="4" s="1"/>
  <c r="CM2" i="4"/>
  <c r="DX2" i="4" s="1"/>
  <c r="CL2" i="4"/>
  <c r="CJ2" i="4"/>
  <c r="CY2" i="4" s="1"/>
  <c r="CI2" i="4"/>
  <c r="CX2" i="4" s="1"/>
  <c r="CH2" i="4"/>
  <c r="CW2" i="4" s="1"/>
  <c r="CG2" i="4"/>
  <c r="CK2" i="4" s="1"/>
  <c r="CG2" i="4" a="1"/>
  <c r="AW2" i="4"/>
  <c r="AV2" i="4"/>
  <c r="J2" i="4"/>
  <c r="G2" i="4"/>
  <c r="IS2" i="3"/>
  <c r="IR2" i="3"/>
  <c r="IQ2" i="3"/>
  <c r="IL2" i="3"/>
  <c r="HX2" i="3" a="1"/>
  <c r="HX2" i="3" s="1"/>
  <c r="IW2" i="3" s="1"/>
  <c r="HW2" i="3" a="1"/>
  <c r="HW2" i="3" s="1"/>
  <c r="IV2" i="3" s="1"/>
  <c r="HV2" i="3" a="1"/>
  <c r="HV2" i="3" s="1"/>
  <c r="IU2" i="3" s="1"/>
  <c r="HU2" i="3" a="1"/>
  <c r="HU2" i="3" s="1"/>
  <c r="IT2" i="3" s="1"/>
  <c r="HT2" i="3"/>
  <c r="HT2" i="3" a="1"/>
  <c r="HS2" i="3"/>
  <c r="HS2" i="3" a="1"/>
  <c r="HR2" i="3" a="1"/>
  <c r="HR2" i="3" s="1"/>
  <c r="HQ2" i="3" a="1"/>
  <c r="HQ2" i="3" s="1"/>
  <c r="IP2" i="3" s="1"/>
  <c r="HP2" i="3" a="1"/>
  <c r="HP2" i="3" s="1"/>
  <c r="IO2" i="3" s="1"/>
  <c r="HL2" i="3"/>
  <c r="HJ2" i="3"/>
  <c r="HH2" i="3"/>
  <c r="HB2" i="3"/>
  <c r="HA2" i="3"/>
  <c r="GZ2" i="3"/>
  <c r="GY2" i="3"/>
  <c r="GX2" i="3"/>
  <c r="GW2" i="3"/>
  <c r="GV2" i="3"/>
  <c r="GU2" i="3"/>
  <c r="GT2" i="3"/>
  <c r="HC2" i="3" s="1"/>
  <c r="GP2" i="3"/>
  <c r="GN2" i="3"/>
  <c r="GM2" i="3"/>
  <c r="GI2" i="3"/>
  <c r="GH2" i="3"/>
  <c r="GG2" i="3"/>
  <c r="GF2" i="3"/>
  <c r="GE2" i="3"/>
  <c r="GD2" i="3"/>
  <c r="GC2" i="3"/>
  <c r="GB2" i="3"/>
  <c r="GA2" i="3"/>
  <c r="FZ2" i="3"/>
  <c r="FY2" i="3"/>
  <c r="FX2" i="3"/>
  <c r="FW2" i="3"/>
  <c r="FV2" i="3"/>
  <c r="FU2" i="3"/>
  <c r="FT2" i="3"/>
  <c r="FS2" i="3"/>
  <c r="FR2" i="3"/>
  <c r="FQ2" i="3"/>
  <c r="FP2" i="3"/>
  <c r="FN2" i="3"/>
  <c r="FJ2" i="3"/>
  <c r="FM2" i="3" s="1"/>
  <c r="FI2" i="3"/>
  <c r="FL2" i="3" s="1"/>
  <c r="FH2" i="3"/>
  <c r="FK2" i="3" s="1"/>
  <c r="FG2" i="3"/>
  <c r="FO2" i="3" s="1"/>
  <c r="FF2" i="3"/>
  <c r="FE2" i="3"/>
  <c r="FD2" i="3"/>
  <c r="FC2" i="3"/>
  <c r="FB2" i="3"/>
  <c r="FA2" i="3"/>
  <c r="EZ2" i="3"/>
  <c r="EY2" i="3"/>
  <c r="EX2" i="3"/>
  <c r="EW2" i="3"/>
  <c r="EV2" i="3"/>
  <c r="EU2" i="3"/>
  <c r="ET2" i="3"/>
  <c r="ES2" i="3"/>
  <c r="ER2" i="3"/>
  <c r="EQ2" i="3"/>
  <c r="EP2" i="3"/>
  <c r="EO2" i="3"/>
  <c r="EN2" i="3"/>
  <c r="EM2" i="3"/>
  <c r="EL2" i="3"/>
  <c r="EK2" i="3"/>
  <c r="EJ2" i="3"/>
  <c r="EI2" i="3"/>
  <c r="EH2" i="3"/>
  <c r="EG2" i="3"/>
  <c r="EF2" i="3"/>
  <c r="EE2" i="3"/>
  <c r="ED2" i="3"/>
  <c r="EC2" i="3"/>
  <c r="EB2" i="3"/>
  <c r="EA2" i="3"/>
  <c r="DX2" i="3"/>
  <c r="DW2" i="3"/>
  <c r="DV2" i="3"/>
  <c r="DU2" i="3"/>
  <c r="DT2" i="3"/>
  <c r="DS2" i="3"/>
  <c r="DR2" i="3"/>
  <c r="DQ2" i="3"/>
  <c r="DP2" i="3"/>
  <c r="DO2" i="3"/>
  <c r="DN2" i="3"/>
  <c r="DK2" i="3"/>
  <c r="DJ2" i="3"/>
  <c r="DI2" i="3"/>
  <c r="DH2" i="3"/>
  <c r="DG2" i="3"/>
  <c r="DF2" i="3"/>
  <c r="DE2" i="3"/>
  <c r="DD2" i="3"/>
  <c r="DC2" i="3"/>
  <c r="DB2" i="3"/>
  <c r="DA2" i="3"/>
  <c r="CV2" i="3"/>
  <c r="CU2" i="3"/>
  <c r="CT2" i="3"/>
  <c r="CS2" i="3"/>
  <c r="CR2" i="3"/>
  <c r="CQ2" i="3"/>
  <c r="GL2" i="3" s="1"/>
  <c r="CP2" i="3"/>
  <c r="GJ2" i="3" s="1"/>
  <c r="GK2" i="3" s="1"/>
  <c r="CO2" i="3"/>
  <c r="DZ2" i="3" s="1"/>
  <c r="CN2" i="3"/>
  <c r="DY2" i="3" s="1"/>
  <c r="CM2" i="3"/>
  <c r="CL2" i="3"/>
  <c r="CG2" i="3" a="1"/>
  <c r="CG2" i="3" s="1"/>
  <c r="AW2" i="3"/>
  <c r="AV2" i="3"/>
  <c r="J2" i="3"/>
  <c r="HI2" i="3" s="1"/>
  <c r="G2" i="3"/>
  <c r="IQ2" i="2"/>
  <c r="IP2" i="2"/>
  <c r="IL2" i="2"/>
  <c r="HX2" i="2"/>
  <c r="IW2" i="2" s="1"/>
  <c r="HX2" i="2" a="1"/>
  <c r="HW2" i="2"/>
  <c r="IV2" i="2" s="1"/>
  <c r="HW2" i="2" a="1"/>
  <c r="HV2" i="2" a="1"/>
  <c r="HV2" i="2" s="1"/>
  <c r="IU2" i="2" s="1"/>
  <c r="HU2" i="2" a="1"/>
  <c r="HU2" i="2" s="1"/>
  <c r="IT2" i="2" s="1"/>
  <c r="HT2" i="2"/>
  <c r="IS2" i="2" s="1"/>
  <c r="HT2" i="2" a="1"/>
  <c r="HS2" i="2" a="1"/>
  <c r="HS2" i="2" s="1"/>
  <c r="IR2" i="2" s="1"/>
  <c r="HR2" i="2"/>
  <c r="HR2" i="2" a="1"/>
  <c r="HQ2" i="2"/>
  <c r="HQ2" i="2" a="1"/>
  <c r="HP2" i="2" a="1"/>
  <c r="HP2" i="2" s="1"/>
  <c r="IO2" i="2" s="1"/>
  <c r="HL2" i="2"/>
  <c r="HJ2" i="2"/>
  <c r="HH2" i="2"/>
  <c r="HB2" i="2"/>
  <c r="HA2" i="2"/>
  <c r="GZ2" i="2"/>
  <c r="GY2" i="2"/>
  <c r="GX2" i="2"/>
  <c r="GW2" i="2"/>
  <c r="GV2" i="2"/>
  <c r="GU2" i="2"/>
  <c r="GT2" i="2"/>
  <c r="HC2" i="2" s="1"/>
  <c r="GP2" i="2"/>
  <c r="GJ2" i="2"/>
  <c r="GK2" i="2" s="1"/>
  <c r="GI2" i="2"/>
  <c r="GH2" i="2"/>
  <c r="GG2" i="2"/>
  <c r="GF2" i="2"/>
  <c r="GE2" i="2"/>
  <c r="GD2" i="2"/>
  <c r="GC2" i="2"/>
  <c r="GB2" i="2"/>
  <c r="GA2" i="2"/>
  <c r="FZ2" i="2"/>
  <c r="FY2" i="2"/>
  <c r="FX2" i="2"/>
  <c r="FW2" i="2"/>
  <c r="FV2" i="2"/>
  <c r="FU2" i="2"/>
  <c r="FT2" i="2"/>
  <c r="FS2" i="2"/>
  <c r="FR2" i="2"/>
  <c r="FQ2" i="2"/>
  <c r="FJ2" i="2"/>
  <c r="FM2" i="2" s="1"/>
  <c r="FI2" i="2"/>
  <c r="FH2" i="2"/>
  <c r="FG2" i="2"/>
  <c r="FF2" i="2"/>
  <c r="FP2" i="2" s="1"/>
  <c r="FE2" i="2"/>
  <c r="FO2" i="2" s="1"/>
  <c r="FD2" i="2"/>
  <c r="FC2" i="2"/>
  <c r="FB2" i="2"/>
  <c r="FA2" i="2"/>
  <c r="EZ2" i="2"/>
  <c r="EY2" i="2"/>
  <c r="EX2" i="2"/>
  <c r="EW2" i="2"/>
  <c r="EV2" i="2"/>
  <c r="EU2" i="2"/>
  <c r="ET2" i="2"/>
  <c r="ES2" i="2"/>
  <c r="ER2" i="2"/>
  <c r="EQ2" i="2"/>
  <c r="EP2" i="2"/>
  <c r="EO2" i="2"/>
  <c r="EN2" i="2"/>
  <c r="EM2" i="2"/>
  <c r="EL2" i="2"/>
  <c r="EK2" i="2"/>
  <c r="EJ2" i="2"/>
  <c r="EI2" i="2"/>
  <c r="EH2" i="2"/>
  <c r="EG2" i="2"/>
  <c r="EF2" i="2"/>
  <c r="EE2" i="2"/>
  <c r="ED2" i="2"/>
  <c r="EC2" i="2"/>
  <c r="EB2" i="2"/>
  <c r="EA2" i="2"/>
  <c r="DZ2" i="2"/>
  <c r="DV2" i="2"/>
  <c r="DU2" i="2"/>
  <c r="DT2" i="2"/>
  <c r="DS2" i="2"/>
  <c r="DR2" i="2"/>
  <c r="DQ2" i="2"/>
  <c r="DP2" i="2"/>
  <c r="DO2" i="2"/>
  <c r="DN2" i="2"/>
  <c r="DL2" i="2"/>
  <c r="DK2" i="2"/>
  <c r="DJ2" i="2"/>
  <c r="DI2" i="2"/>
  <c r="DH2" i="2"/>
  <c r="DG2" i="2"/>
  <c r="DF2" i="2"/>
  <c r="DE2" i="2"/>
  <c r="DD2" i="2"/>
  <c r="DC2" i="2"/>
  <c r="DB2" i="2"/>
  <c r="DA2" i="2"/>
  <c r="CW2" i="2"/>
  <c r="CV2" i="2"/>
  <c r="CU2" i="2"/>
  <c r="CT2" i="2"/>
  <c r="CS2" i="2"/>
  <c r="GN2" i="2" s="1"/>
  <c r="CR2" i="2"/>
  <c r="GM2" i="2" s="1"/>
  <c r="CQ2" i="2"/>
  <c r="GL2" i="2" s="1"/>
  <c r="CP2" i="2"/>
  <c r="CO2" i="2"/>
  <c r="CN2" i="2"/>
  <c r="DY2" i="2" s="1"/>
  <c r="CM2" i="2"/>
  <c r="DX2" i="2" s="1"/>
  <c r="CL2" i="2"/>
  <c r="DW2" i="2" s="1"/>
  <c r="CK2" i="2"/>
  <c r="CZ2" i="2" s="1"/>
  <c r="CJ2" i="2"/>
  <c r="CY2" i="2" s="1"/>
  <c r="CI2" i="2"/>
  <c r="CX2" i="2" s="1"/>
  <c r="CH2" i="2"/>
  <c r="CG2" i="2"/>
  <c r="CG2" i="2" a="1"/>
  <c r="AW2" i="2"/>
  <c r="AV2" i="2"/>
  <c r="J2" i="2"/>
  <c r="G2" i="2"/>
  <c r="CK2" i="5" l="1"/>
  <c r="CZ2" i="5" s="1"/>
  <c r="CJ2" i="5"/>
  <c r="CY2" i="5" s="1"/>
  <c r="IM2" i="5"/>
  <c r="CI2" i="5"/>
  <c r="CX2" i="5" s="1"/>
  <c r="DL2" i="5"/>
  <c r="DM2" i="5" a="1"/>
  <c r="DM2" i="5" s="1"/>
  <c r="CH2" i="5"/>
  <c r="CW2" i="5" s="1"/>
  <c r="IN2" i="5"/>
  <c r="IX2" i="5" s="1"/>
  <c r="DM2" i="10" a="1"/>
  <c r="DM2" i="10" s="1"/>
  <c r="CK2" i="10"/>
  <c r="CZ2" i="10" s="1"/>
  <c r="IN2" i="10"/>
  <c r="IX2" i="10" s="1"/>
  <c r="IM2" i="10"/>
  <c r="CJ2" i="10"/>
  <c r="CY2" i="10" s="1"/>
  <c r="DL2" i="10"/>
  <c r="CI2" i="10"/>
  <c r="CX2" i="10" s="1"/>
  <c r="CH2" i="10"/>
  <c r="CW2" i="10" s="1"/>
  <c r="CI3" i="2"/>
  <c r="CX3" i="2" s="1"/>
  <c r="CH3" i="2"/>
  <c r="CW3" i="2" s="1"/>
  <c r="IM3" i="2"/>
  <c r="IN3" i="2"/>
  <c r="IX3" i="2" s="1"/>
  <c r="DM3" i="2" a="1"/>
  <c r="DM3" i="2" s="1"/>
  <c r="DL3" i="2"/>
  <c r="CK3" i="2"/>
  <c r="CZ3" i="2" s="1"/>
  <c r="CJ3" i="2"/>
  <c r="CY3" i="2" s="1"/>
  <c r="DM2" i="7" a="1"/>
  <c r="DM2" i="7" s="1"/>
  <c r="CI18" i="2"/>
  <c r="CX18" i="2" s="1"/>
  <c r="DL18" i="2"/>
  <c r="IM18" i="2"/>
  <c r="DM18" i="2" a="1"/>
  <c r="DM18" i="2" s="1"/>
  <c r="CK18" i="2"/>
  <c r="CZ18" i="2" s="1"/>
  <c r="CJ18" i="2"/>
  <c r="CY18" i="2" s="1"/>
  <c r="CH18" i="2"/>
  <c r="CW18" i="2" s="1"/>
  <c r="GS18" i="2" s="1"/>
  <c r="HG18" i="2" s="1"/>
  <c r="IN18" i="2"/>
  <c r="IX18" i="2" s="1"/>
  <c r="CK2" i="3"/>
  <c r="CZ2" i="3" s="1"/>
  <c r="CJ2" i="3"/>
  <c r="CY2" i="3" s="1"/>
  <c r="IN2" i="3"/>
  <c r="IX2" i="3" s="1"/>
  <c r="CI2" i="3"/>
  <c r="CX2" i="3" s="1"/>
  <c r="IM2" i="3"/>
  <c r="CH2" i="3"/>
  <c r="CW2" i="3" s="1"/>
  <c r="DM2" i="3" a="1"/>
  <c r="DM2" i="3" s="1"/>
  <c r="DL2" i="3"/>
  <c r="DM2" i="11" a="1"/>
  <c r="DM2" i="11" s="1"/>
  <c r="DL12" i="2"/>
  <c r="IN12" i="2"/>
  <c r="IX12" i="2" s="1"/>
  <c r="CI12" i="2"/>
  <c r="CX12" i="2" s="1"/>
  <c r="CJ12" i="2"/>
  <c r="CY12" i="2" s="1"/>
  <c r="CH12" i="2"/>
  <c r="CW12" i="2" s="1"/>
  <c r="IM12" i="2"/>
  <c r="DM12" i="2" a="1"/>
  <c r="DM12" i="2" s="1"/>
  <c r="CK12" i="2"/>
  <c r="CZ12" i="2" s="1"/>
  <c r="CI5" i="4"/>
  <c r="CX5" i="4" s="1"/>
  <c r="IM5" i="4"/>
  <c r="CK5" i="4"/>
  <c r="CZ5" i="4" s="1"/>
  <c r="CJ5" i="4"/>
  <c r="CY5" i="4" s="1"/>
  <c r="CH5" i="4"/>
  <c r="CW5" i="4" s="1"/>
  <c r="DM5" i="4" a="1"/>
  <c r="DM5" i="4" s="1"/>
  <c r="DL5" i="4"/>
  <c r="IN5" i="4"/>
  <c r="IX5" i="4" s="1"/>
  <c r="DL16" i="2"/>
  <c r="IN16" i="2"/>
  <c r="IX16" i="2" s="1"/>
  <c r="CI16" i="2"/>
  <c r="CX16" i="2" s="1"/>
  <c r="IM16" i="2"/>
  <c r="DM16" i="2" a="1"/>
  <c r="DM16" i="2" s="1"/>
  <c r="CK16" i="2"/>
  <c r="CZ16" i="2" s="1"/>
  <c r="CI19" i="2"/>
  <c r="CX19" i="2" s="1"/>
  <c r="FO21" i="2"/>
  <c r="FN21" i="2"/>
  <c r="CI7" i="4"/>
  <c r="CX7" i="4" s="1"/>
  <c r="DM7" i="4" a="1"/>
  <c r="DM7" i="4" s="1"/>
  <c r="DL7" i="4"/>
  <c r="CK7" i="4"/>
  <c r="CZ7" i="4" s="1"/>
  <c r="CJ7" i="4"/>
  <c r="CY7" i="4" s="1"/>
  <c r="CH7" i="4"/>
  <c r="CW7" i="4" s="1"/>
  <c r="CK15" i="4"/>
  <c r="CZ15" i="4" s="1"/>
  <c r="CH15" i="4"/>
  <c r="CW15" i="4" s="1"/>
  <c r="GS15" i="4" s="1"/>
  <c r="HF15" i="4" s="1"/>
  <c r="CI15" i="4"/>
  <c r="CX15" i="4" s="1"/>
  <c r="CJ15" i="4"/>
  <c r="CY15" i="4" s="1"/>
  <c r="IN15" i="4"/>
  <c r="IX15" i="4" s="1"/>
  <c r="IM15" i="4"/>
  <c r="DL15" i="4"/>
  <c r="FK14" i="4"/>
  <c r="DL4" i="7"/>
  <c r="CJ16" i="2"/>
  <c r="CY16" i="2" s="1"/>
  <c r="FN8" i="5"/>
  <c r="FO8" i="5"/>
  <c r="IO5" i="2"/>
  <c r="DL5" i="2"/>
  <c r="FP6" i="2"/>
  <c r="FM6" i="2"/>
  <c r="FL6" i="2"/>
  <c r="FK6" i="2"/>
  <c r="FN9" i="2"/>
  <c r="FO9" i="2"/>
  <c r="IM19" i="2"/>
  <c r="CH19" i="2"/>
  <c r="CW19" i="2" s="1"/>
  <c r="DL19" i="2"/>
  <c r="CK19" i="2"/>
  <c r="CZ19" i="2" s="1"/>
  <c r="IN19" i="2"/>
  <c r="IX19" i="2" s="1"/>
  <c r="FK9" i="4"/>
  <c r="FP9" i="4"/>
  <c r="FN9" i="4"/>
  <c r="FM9" i="4"/>
  <c r="FL9" i="4"/>
  <c r="FN14" i="4"/>
  <c r="FP14" i="4"/>
  <c r="FL14" i="4"/>
  <c r="FN2" i="14"/>
  <c r="FO2" i="14"/>
  <c r="CH16" i="2"/>
  <c r="CW16" i="2" s="1"/>
  <c r="CJ19" i="2"/>
  <c r="CY19" i="2" s="1"/>
  <c r="FP21" i="2"/>
  <c r="FM21" i="2"/>
  <c r="FK21" i="2"/>
  <c r="DM15" i="4" a="1"/>
  <c r="DM15" i="4" s="1"/>
  <c r="FM2" i="6"/>
  <c r="IM2" i="12"/>
  <c r="CI2" i="12"/>
  <c r="CX2" i="12" s="1"/>
  <c r="DM2" i="12" a="1"/>
  <c r="DM2" i="12" s="1"/>
  <c r="DL2" i="12"/>
  <c r="FN4" i="12"/>
  <c r="FP4" i="12"/>
  <c r="FL4" i="12"/>
  <c r="CH2" i="12"/>
  <c r="CW2" i="12" s="1"/>
  <c r="FK2" i="14"/>
  <c r="CI2" i="15"/>
  <c r="CX2" i="15" s="1"/>
  <c r="DL11" i="2"/>
  <c r="CJ11" i="2"/>
  <c r="CY11" i="2" s="1"/>
  <c r="CI11" i="2"/>
  <c r="CX11" i="2" s="1"/>
  <c r="CH11" i="2"/>
  <c r="CW11" i="2" s="1"/>
  <c r="GS11" i="2" s="1"/>
  <c r="HF11" i="2" s="1"/>
  <c r="CK11" i="2"/>
  <c r="CZ11" i="2" s="1"/>
  <c r="CK17" i="2"/>
  <c r="CZ17" i="2" s="1"/>
  <c r="IN17" i="2"/>
  <c r="IX17" i="2" s="1"/>
  <c r="HI2" i="2"/>
  <c r="FL2" i="2"/>
  <c r="FN2" i="6"/>
  <c r="GS2" i="6" s="1"/>
  <c r="CJ2" i="7"/>
  <c r="CY2" i="7" s="1"/>
  <c r="DM2" i="8" a="1"/>
  <c r="DM2" i="8" s="1"/>
  <c r="GS2" i="8" s="1"/>
  <c r="IO2" i="11"/>
  <c r="CJ2" i="12"/>
  <c r="CY2" i="12" s="1"/>
  <c r="IO2" i="13"/>
  <c r="IN11" i="2"/>
  <c r="IX11" i="2" s="1"/>
  <c r="DM13" i="2" a="1"/>
  <c r="DM13" i="2" s="1"/>
  <c r="DL13" i="2"/>
  <c r="CK13" i="2"/>
  <c r="CZ13" i="2" s="1"/>
  <c r="CJ13" i="2"/>
  <c r="CY13" i="2" s="1"/>
  <c r="IN13" i="2"/>
  <c r="IX13" i="2" s="1"/>
  <c r="CI13" i="2"/>
  <c r="CX13" i="2" s="1"/>
  <c r="IM13" i="2"/>
  <c r="CH13" i="2"/>
  <c r="CW13" i="2" s="1"/>
  <c r="DL14" i="2"/>
  <c r="IN14" i="2"/>
  <c r="IX14" i="2" s="1"/>
  <c r="CI14" i="2"/>
  <c r="CX14" i="2" s="1"/>
  <c r="CK14" i="2"/>
  <c r="CZ14" i="2" s="1"/>
  <c r="CJ14" i="2"/>
  <c r="CY14" i="2" s="1"/>
  <c r="IM14" i="2"/>
  <c r="DM14" i="2" a="1"/>
  <c r="DM14" i="2" s="1"/>
  <c r="CH14" i="2"/>
  <c r="CW14" i="2" s="1"/>
  <c r="FP14" i="2"/>
  <c r="FN14" i="2"/>
  <c r="FM14" i="2"/>
  <c r="FL14" i="2"/>
  <c r="FK14" i="2"/>
  <c r="CH17" i="2"/>
  <c r="CW17" i="2" s="1"/>
  <c r="IN7" i="4"/>
  <c r="IX7" i="4" s="1"/>
  <c r="FO10" i="4"/>
  <c r="FK4" i="12"/>
  <c r="HF18" i="2"/>
  <c r="FO3" i="2"/>
  <c r="FN3" i="2"/>
  <c r="FM9" i="2"/>
  <c r="FP9" i="2"/>
  <c r="FK9" i="2"/>
  <c r="FM3" i="2"/>
  <c r="FP3" i="2"/>
  <c r="FK3" i="2"/>
  <c r="HN18" i="2"/>
  <c r="DM3" i="3" a="1"/>
  <c r="DM3" i="3" s="1"/>
  <c r="FP6" i="4"/>
  <c r="FN6" i="4"/>
  <c r="FM6" i="4"/>
  <c r="FL6" i="4"/>
  <c r="FK6" i="4"/>
  <c r="FL2" i="6"/>
  <c r="CK2" i="15"/>
  <c r="CZ2" i="15" s="1"/>
  <c r="CJ2" i="15"/>
  <c r="CY2" i="15" s="1"/>
  <c r="IN2" i="15"/>
  <c r="IX2" i="15" s="1"/>
  <c r="IM2" i="15"/>
  <c r="CH2" i="15"/>
  <c r="CW2" i="15" s="1"/>
  <c r="CI11" i="4"/>
  <c r="CX11" i="4" s="1"/>
  <c r="IM11" i="4"/>
  <c r="CH11" i="4"/>
  <c r="CW11" i="4" s="1"/>
  <c r="IN11" i="4"/>
  <c r="IX11" i="4" s="1"/>
  <c r="DM11" i="4" a="1"/>
  <c r="DM11" i="4" s="1"/>
  <c r="DL11" i="4"/>
  <c r="CK11" i="4"/>
  <c r="CZ11" i="4" s="1"/>
  <c r="CJ11" i="4"/>
  <c r="CY11" i="4" s="1"/>
  <c r="FP8" i="5"/>
  <c r="FM8" i="5"/>
  <c r="FK2" i="2"/>
  <c r="CI2" i="7"/>
  <c r="CX2" i="7" s="1"/>
  <c r="DM11" i="2" a="1"/>
  <c r="DM11" i="2" s="1"/>
  <c r="IM11" i="2"/>
  <c r="IM15" i="2"/>
  <c r="DM15" i="2" a="1"/>
  <c r="DM15" i="2" s="1"/>
  <c r="DL15" i="2"/>
  <c r="CK15" i="2"/>
  <c r="CZ15" i="2" s="1"/>
  <c r="IM7" i="4"/>
  <c r="FO3" i="15"/>
  <c r="FN3" i="15"/>
  <c r="CK2" i="7"/>
  <c r="CZ2" i="7" s="1"/>
  <c r="IM2" i="7"/>
  <c r="FL2" i="8"/>
  <c r="FN2" i="9"/>
  <c r="CK2" i="12"/>
  <c r="CZ2" i="12" s="1"/>
  <c r="IN2" i="12"/>
  <c r="IX2" i="12" s="1"/>
  <c r="CH2" i="13"/>
  <c r="CW2" i="13" s="1"/>
  <c r="DM2" i="15" a="1"/>
  <c r="DM2" i="15" s="1"/>
  <c r="DL6" i="2"/>
  <c r="CJ6" i="2"/>
  <c r="CY6" i="2" s="1"/>
  <c r="DM6" i="2" a="1"/>
  <c r="DM6" i="2" s="1"/>
  <c r="IN6" i="2"/>
  <c r="IX6" i="2" s="1"/>
  <c r="IM6" i="2"/>
  <c r="CK6" i="2"/>
  <c r="CZ6" i="2" s="1"/>
  <c r="CI6" i="2"/>
  <c r="CX6" i="2" s="1"/>
  <c r="CH6" i="2"/>
  <c r="CW6" i="2" s="1"/>
  <c r="CI9" i="2"/>
  <c r="CX9" i="2" s="1"/>
  <c r="DM9" i="2" a="1"/>
  <c r="DM9" i="2" s="1"/>
  <c r="GS9" i="2" s="1"/>
  <c r="IN9" i="2"/>
  <c r="IX9" i="2" s="1"/>
  <c r="DL9" i="2"/>
  <c r="CI15" i="2"/>
  <c r="CX15" i="2" s="1"/>
  <c r="GS15" i="2" s="1"/>
  <c r="CI17" i="2"/>
  <c r="CX17" i="2" s="1"/>
  <c r="HC17" i="2"/>
  <c r="DM13" i="4" a="1"/>
  <c r="DM13" i="4" s="1"/>
  <c r="DL13" i="4"/>
  <c r="CK13" i="4"/>
  <c r="CZ13" i="4" s="1"/>
  <c r="CJ13" i="4"/>
  <c r="CY13" i="4" s="1"/>
  <c r="CI13" i="4"/>
  <c r="CX13" i="4" s="1"/>
  <c r="CH13" i="4"/>
  <c r="CW13" i="4" s="1"/>
  <c r="FN2" i="2"/>
  <c r="IN2" i="7"/>
  <c r="IX2" i="7" s="1"/>
  <c r="FM2" i="8"/>
  <c r="FK2" i="10"/>
  <c r="FN2" i="12"/>
  <c r="FL2" i="14"/>
  <c r="HI8" i="2"/>
  <c r="CJ15" i="2"/>
  <c r="CY15" i="2" s="1"/>
  <c r="CJ17" i="2"/>
  <c r="CY17" i="2" s="1"/>
  <c r="DL17" i="2"/>
  <c r="IM17" i="2"/>
  <c r="FP5" i="5"/>
  <c r="FN5" i="5"/>
  <c r="FL5" i="5"/>
  <c r="FK5" i="5"/>
  <c r="HC5" i="7"/>
  <c r="CH2" i="7"/>
  <c r="CW2" i="7" s="1"/>
  <c r="GS2" i="7" s="1"/>
  <c r="HF2" i="7" s="1"/>
  <c r="FM2" i="4"/>
  <c r="GS2" i="4" s="1"/>
  <c r="FK2" i="5"/>
  <c r="FN2" i="8"/>
  <c r="FL2" i="10"/>
  <c r="FM2" i="14"/>
  <c r="HC2" i="15"/>
  <c r="FO15" i="2"/>
  <c r="FN15" i="2"/>
  <c r="DM17" i="2" a="1"/>
  <c r="DM17" i="2" s="1"/>
  <c r="HC19" i="2"/>
  <c r="CK21" i="2"/>
  <c r="CZ21" i="2" s="1"/>
  <c r="DM21" i="2" a="1"/>
  <c r="DM21" i="2" s="1"/>
  <c r="IN21" i="2"/>
  <c r="IX21" i="2" s="1"/>
  <c r="CI21" i="2"/>
  <c r="CX21" i="2" s="1"/>
  <c r="CH21" i="2"/>
  <c r="CW21" i="2" s="1"/>
  <c r="GS21" i="2" s="1"/>
  <c r="HN21" i="2" s="1"/>
  <c r="DL21" i="2"/>
  <c r="CJ21" i="2"/>
  <c r="CY21" i="2" s="1"/>
  <c r="IN2" i="2"/>
  <c r="IX2" i="2" s="1"/>
  <c r="IM2" i="2"/>
  <c r="DM2" i="2" a="1"/>
  <c r="DM2" i="2" s="1"/>
  <c r="GS2" i="2" s="1"/>
  <c r="FN2" i="4"/>
  <c r="IM2" i="4"/>
  <c r="FL2" i="5"/>
  <c r="DL2" i="7"/>
  <c r="IM2" i="9"/>
  <c r="DM2" i="9" a="1"/>
  <c r="DM2" i="9" s="1"/>
  <c r="DL2" i="9"/>
  <c r="GS2" i="9" s="1"/>
  <c r="IM10" i="2"/>
  <c r="CH10" i="2"/>
  <c r="CW10" i="2" s="1"/>
  <c r="DM10" i="2" a="1"/>
  <c r="DM10" i="2" s="1"/>
  <c r="DL10" i="2"/>
  <c r="CK10" i="2"/>
  <c r="CZ10" i="2" s="1"/>
  <c r="IN10" i="2"/>
  <c r="IX10" i="2" s="1"/>
  <c r="CJ10" i="2"/>
  <c r="CY10" i="2" s="1"/>
  <c r="CI10" i="2"/>
  <c r="CX10" i="2" s="1"/>
  <c r="FP15" i="2"/>
  <c r="FM15" i="2"/>
  <c r="FL15" i="2"/>
  <c r="HC16" i="2"/>
  <c r="HC3" i="10"/>
  <c r="IN2" i="4"/>
  <c r="IX2" i="4" s="1"/>
  <c r="FM2" i="5"/>
  <c r="HC2" i="13"/>
  <c r="FO6" i="2"/>
  <c r="FN6" i="2"/>
  <c r="HC12" i="2"/>
  <c r="HI4" i="4"/>
  <c r="DM27" i="4" a="1"/>
  <c r="DM27" i="4" s="1"/>
  <c r="IP27" i="4"/>
  <c r="IM5" i="2"/>
  <c r="DM5" i="2" a="1"/>
  <c r="DM5" i="2" s="1"/>
  <c r="CK5" i="2"/>
  <c r="CZ5" i="2" s="1"/>
  <c r="IN5" i="2"/>
  <c r="IX5" i="2" s="1"/>
  <c r="CH8" i="2"/>
  <c r="CW8" i="2" s="1"/>
  <c r="GS8" i="2" s="1"/>
  <c r="HN8" i="2" s="1"/>
  <c r="DL8" i="2"/>
  <c r="IN8" i="2"/>
  <c r="IX8" i="2" s="1"/>
  <c r="CI8" i="2"/>
  <c r="CX8" i="2" s="1"/>
  <c r="FM16" i="2"/>
  <c r="FL16" i="2"/>
  <c r="FN11" i="4"/>
  <c r="FP11" i="4"/>
  <c r="FM11" i="4"/>
  <c r="FL11" i="4"/>
  <c r="DL28" i="4"/>
  <c r="CJ28" i="4"/>
  <c r="CY28" i="4" s="1"/>
  <c r="IN28" i="4"/>
  <c r="IX28" i="4" s="1"/>
  <c r="IM28" i="4"/>
  <c r="DM28" i="4" a="1"/>
  <c r="DM28" i="4" s="1"/>
  <c r="CK28" i="4"/>
  <c r="CZ28" i="4" s="1"/>
  <c r="CI28" i="4"/>
  <c r="CX28" i="4" s="1"/>
  <c r="FK3" i="15"/>
  <c r="FP3" i="15"/>
  <c r="CI16" i="15"/>
  <c r="CX16" i="15" s="1"/>
  <c r="CK16" i="15"/>
  <c r="CZ16" i="15" s="1"/>
  <c r="CJ16" i="15"/>
  <c r="CY16" i="15" s="1"/>
  <c r="CH16" i="15"/>
  <c r="CW16" i="15" s="1"/>
  <c r="IN16" i="15"/>
  <c r="IX16" i="15" s="1"/>
  <c r="IM16" i="15"/>
  <c r="DM16" i="15" a="1"/>
  <c r="DM16" i="15" s="1"/>
  <c r="DL16" i="15"/>
  <c r="CH2" i="11"/>
  <c r="CW2" i="11" s="1"/>
  <c r="IM2" i="14"/>
  <c r="FL3" i="2"/>
  <c r="IN4" i="2"/>
  <c r="IX4" i="2" s="1"/>
  <c r="DL4" i="2"/>
  <c r="CH5" i="2"/>
  <c r="CW5" i="2" s="1"/>
  <c r="FO5" i="2"/>
  <c r="FN5" i="2"/>
  <c r="CJ8" i="2"/>
  <c r="CY8" i="2" s="1"/>
  <c r="FL9" i="2"/>
  <c r="FO18" i="2"/>
  <c r="FP19" i="2"/>
  <c r="FK19" i="2"/>
  <c r="IN4" i="4"/>
  <c r="IX4" i="4" s="1"/>
  <c r="DM4" i="4" a="1"/>
  <c r="DM4" i="4" s="1"/>
  <c r="CK4" i="4"/>
  <c r="CZ4" i="4" s="1"/>
  <c r="CJ4" i="4"/>
  <c r="CY4" i="4" s="1"/>
  <c r="DL4" i="4"/>
  <c r="CI4" i="4"/>
  <c r="CX4" i="4" s="1"/>
  <c r="CH4" i="4"/>
  <c r="CW4" i="4" s="1"/>
  <c r="FN8" i="4"/>
  <c r="FL8" i="4"/>
  <c r="FK19" i="4"/>
  <c r="FN19" i="4"/>
  <c r="FM19" i="4"/>
  <c r="FP19" i="4"/>
  <c r="CH28" i="4"/>
  <c r="CW28" i="4" s="1"/>
  <c r="FO9" i="5"/>
  <c r="FN9" i="5"/>
  <c r="FO18" i="15"/>
  <c r="FN18" i="15"/>
  <c r="IN2" i="14"/>
  <c r="IX2" i="14" s="1"/>
  <c r="HF4" i="2"/>
  <c r="HG4" i="2"/>
  <c r="CI7" i="2"/>
  <c r="CX7" i="2" s="1"/>
  <c r="DM7" i="2" a="1"/>
  <c r="DM7" i="2" s="1"/>
  <c r="DL7" i="2"/>
  <c r="IN7" i="2"/>
  <c r="IX7" i="2" s="1"/>
  <c r="HG7" i="2"/>
  <c r="HN7" i="2"/>
  <c r="HM7" i="2"/>
  <c r="IM7" i="2"/>
  <c r="DA9" i="2"/>
  <c r="FO17" i="2"/>
  <c r="CK3" i="4"/>
  <c r="CZ3" i="4" s="1"/>
  <c r="CJ3" i="4"/>
  <c r="CY3" i="4" s="1"/>
  <c r="IN3" i="4"/>
  <c r="IX3" i="4" s="1"/>
  <c r="IM3" i="4"/>
  <c r="DM3" i="4" a="1"/>
  <c r="DM3" i="4" s="1"/>
  <c r="HC11" i="4"/>
  <c r="CJ16" i="4"/>
  <c r="CY16" i="4" s="1"/>
  <c r="CH16" i="4"/>
  <c r="CW16" i="4" s="1"/>
  <c r="GS16" i="4" s="1"/>
  <c r="HM16" i="4" s="1"/>
  <c r="IN16" i="4"/>
  <c r="IX16" i="4" s="1"/>
  <c r="IM16" i="4"/>
  <c r="CH2" i="14"/>
  <c r="CW2" i="14" s="1"/>
  <c r="CH7" i="2"/>
  <c r="CW7" i="2" s="1"/>
  <c r="GS7" i="2" s="1"/>
  <c r="HF7" i="2" s="1"/>
  <c r="HI9" i="2"/>
  <c r="DB9" i="2"/>
  <c r="FO10" i="2"/>
  <c r="FN10" i="2"/>
  <c r="CH3" i="4"/>
  <c r="CW3" i="4" s="1"/>
  <c r="DL3" i="4"/>
  <c r="HC3" i="4"/>
  <c r="FN4" i="4"/>
  <c r="HC6" i="4"/>
  <c r="IM9" i="4"/>
  <c r="DM9" i="4" a="1"/>
  <c r="DM9" i="4" s="1"/>
  <c r="CK9" i="4"/>
  <c r="CZ9" i="4" s="1"/>
  <c r="IN9" i="4"/>
  <c r="IX9" i="4" s="1"/>
  <c r="DL9" i="4"/>
  <c r="CJ9" i="4"/>
  <c r="CY9" i="4" s="1"/>
  <c r="CI9" i="4"/>
  <c r="CX9" i="4" s="1"/>
  <c r="GS9" i="4" s="1"/>
  <c r="HF9" i="4" s="1"/>
  <c r="CK14" i="4"/>
  <c r="CZ14" i="4" s="1"/>
  <c r="CH14" i="4"/>
  <c r="CW14" i="4" s="1"/>
  <c r="GS14" i="4" s="1"/>
  <c r="DL14" i="4"/>
  <c r="IM14" i="4"/>
  <c r="IN14" i="4"/>
  <c r="IX14" i="4" s="1"/>
  <c r="DM14" i="4" a="1"/>
  <c r="DM14" i="4" s="1"/>
  <c r="CJ14" i="4"/>
  <c r="CY14" i="4" s="1"/>
  <c r="CI16" i="4"/>
  <c r="CX16" i="4" s="1"/>
  <c r="FO21" i="4"/>
  <c r="GS21" i="4" s="1"/>
  <c r="FN21" i="4"/>
  <c r="FN28" i="4"/>
  <c r="FO28" i="4"/>
  <c r="IN7" i="14"/>
  <c r="IX7" i="14" s="1"/>
  <c r="DM7" i="14" a="1"/>
  <c r="DM7" i="14" s="1"/>
  <c r="DL7" i="14"/>
  <c r="IM7" i="14"/>
  <c r="CK7" i="14"/>
  <c r="CZ7" i="14" s="1"/>
  <c r="CJ7" i="14"/>
  <c r="CY7" i="14" s="1"/>
  <c r="CH7" i="14"/>
  <c r="CW7" i="14" s="1"/>
  <c r="CI7" i="14"/>
  <c r="CX7" i="14" s="1"/>
  <c r="FN20" i="2"/>
  <c r="HC21" i="2"/>
  <c r="FN3" i="3"/>
  <c r="FP3" i="3"/>
  <c r="FM4" i="4"/>
  <c r="FL4" i="4"/>
  <c r="FK4" i="4"/>
  <c r="HC5" i="4"/>
  <c r="HC9" i="4"/>
  <c r="CJ21" i="4"/>
  <c r="CY21" i="4" s="1"/>
  <c r="CI21" i="4"/>
  <c r="CX21" i="4" s="1"/>
  <c r="IN21" i="4"/>
  <c r="IX21" i="4" s="1"/>
  <c r="IM21" i="4"/>
  <c r="DM21" i="4" a="1"/>
  <c r="DM21" i="4" s="1"/>
  <c r="HM22" i="4"/>
  <c r="IM7" i="5"/>
  <c r="DM7" i="5" a="1"/>
  <c r="DM7" i="5" s="1"/>
  <c r="CJ7" i="5"/>
  <c r="CY7" i="5" s="1"/>
  <c r="IN7" i="5"/>
  <c r="IX7" i="5" s="1"/>
  <c r="CI7" i="5"/>
  <c r="CX7" i="5" s="1"/>
  <c r="CH7" i="5"/>
  <c r="CW7" i="5" s="1"/>
  <c r="FP7" i="5"/>
  <c r="FN7" i="5"/>
  <c r="DL12" i="5"/>
  <c r="CJ12" i="5"/>
  <c r="CY12" i="5" s="1"/>
  <c r="CK12" i="5"/>
  <c r="CZ12" i="5" s="1"/>
  <c r="DM12" i="5" a="1"/>
  <c r="DM12" i="5" s="1"/>
  <c r="CI12" i="5"/>
  <c r="CX12" i="5" s="1"/>
  <c r="CH12" i="5"/>
  <c r="CW12" i="5" s="1"/>
  <c r="IN12" i="5"/>
  <c r="IX12" i="5" s="1"/>
  <c r="IM12" i="5"/>
  <c r="GS4" i="2"/>
  <c r="HM4" i="2" s="1"/>
  <c r="FO13" i="2"/>
  <c r="FN13" i="2"/>
  <c r="IN6" i="4"/>
  <c r="IX6" i="4" s="1"/>
  <c r="CI6" i="4"/>
  <c r="CX6" i="4" s="1"/>
  <c r="CK6" i="4"/>
  <c r="CZ6" i="4" s="1"/>
  <c r="DM6" i="4" a="1"/>
  <c r="DM6" i="4" s="1"/>
  <c r="DL6" i="4"/>
  <c r="CJ6" i="4"/>
  <c r="CY6" i="4" s="1"/>
  <c r="CH6" i="4"/>
  <c r="CW6" i="4" s="1"/>
  <c r="IM6" i="4"/>
  <c r="HC12" i="4"/>
  <c r="HF12" i="4" s="1"/>
  <c r="IM19" i="4"/>
  <c r="DM19" i="4" a="1"/>
  <c r="DM19" i="4" s="1"/>
  <c r="CK19" i="4"/>
  <c r="CZ19" i="4" s="1"/>
  <c r="IN19" i="4"/>
  <c r="IX19" i="4" s="1"/>
  <c r="DL19" i="4"/>
  <c r="CJ19" i="4"/>
  <c r="CY19" i="4" s="1"/>
  <c r="GS19" i="4" s="1"/>
  <c r="HC3" i="5"/>
  <c r="HF8" i="2"/>
  <c r="HC10" i="2"/>
  <c r="FN7" i="4"/>
  <c r="FL7" i="4"/>
  <c r="HF17" i="4"/>
  <c r="HC21" i="4"/>
  <c r="HN26" i="4"/>
  <c r="HC5" i="5"/>
  <c r="FK8" i="5"/>
  <c r="FO24" i="15"/>
  <c r="FN24" i="15"/>
  <c r="FO2" i="11"/>
  <c r="FM2" i="13"/>
  <c r="HC5" i="2"/>
  <c r="HI14" i="2"/>
  <c r="DM20" i="2" a="1"/>
  <c r="DM20" i="2" s="1"/>
  <c r="DL20" i="2"/>
  <c r="GS20" i="2" s="1"/>
  <c r="HF20" i="2" s="1"/>
  <c r="CK20" i="2"/>
  <c r="CZ20" i="2" s="1"/>
  <c r="HC20" i="2"/>
  <c r="CK12" i="4"/>
  <c r="CZ12" i="4" s="1"/>
  <c r="IM12" i="4"/>
  <c r="CH12" i="4"/>
  <c r="CW12" i="4" s="1"/>
  <c r="GS12" i="4" s="1"/>
  <c r="FM14" i="4"/>
  <c r="HI28" i="4"/>
  <c r="IM13" i="5"/>
  <c r="DM13" i="5" a="1"/>
  <c r="DM13" i="5" s="1"/>
  <c r="DL13" i="5"/>
  <c r="IN13" i="5"/>
  <c r="IX13" i="5" s="1"/>
  <c r="CK13" i="5"/>
  <c r="CZ13" i="5" s="1"/>
  <c r="CJ13" i="5"/>
  <c r="CY13" i="5" s="1"/>
  <c r="GS13" i="5" s="1"/>
  <c r="FP3" i="7"/>
  <c r="FN3" i="7"/>
  <c r="FM3" i="7"/>
  <c r="FK3" i="7"/>
  <c r="DM5" i="14" a="1"/>
  <c r="DM5" i="14" s="1"/>
  <c r="CK5" i="14"/>
  <c r="CZ5" i="14" s="1"/>
  <c r="CJ5" i="14"/>
  <c r="CY5" i="14" s="1"/>
  <c r="CI5" i="14"/>
  <c r="CX5" i="14" s="1"/>
  <c r="IM5" i="14"/>
  <c r="DL5" i="14"/>
  <c r="CH5" i="14"/>
  <c r="CW5" i="14" s="1"/>
  <c r="IN5" i="14"/>
  <c r="IX5" i="14" s="1"/>
  <c r="FM3" i="15"/>
  <c r="FO13" i="4"/>
  <c r="FN13" i="4"/>
  <c r="HC15" i="4"/>
  <c r="HM15" i="4" s="1"/>
  <c r="CJ18" i="4"/>
  <c r="CY18" i="4" s="1"/>
  <c r="IM18" i="4"/>
  <c r="CK18" i="4"/>
  <c r="CZ18" i="4" s="1"/>
  <c r="DM18" i="4" a="1"/>
  <c r="DM18" i="4" s="1"/>
  <c r="DL18" i="4"/>
  <c r="CI18" i="4"/>
  <c r="CX18" i="4" s="1"/>
  <c r="CH18" i="4"/>
  <c r="CW18" i="4" s="1"/>
  <c r="FO18" i="4"/>
  <c r="FN18" i="4"/>
  <c r="HI24" i="4"/>
  <c r="FL29" i="4"/>
  <c r="FP29" i="4"/>
  <c r="IO5" i="5"/>
  <c r="DL5" i="5"/>
  <c r="IN8" i="5"/>
  <c r="IX8" i="5" s="1"/>
  <c r="DL8" i="5"/>
  <c r="IM8" i="5"/>
  <c r="DM8" i="5" a="1"/>
  <c r="DM8" i="5" s="1"/>
  <c r="CK8" i="5"/>
  <c r="CZ8" i="5" s="1"/>
  <c r="CH3" i="3"/>
  <c r="CW3" i="3" s="1"/>
  <c r="IN3" i="3"/>
  <c r="IX3" i="3" s="1"/>
  <c r="CJ3" i="3"/>
  <c r="CY3" i="3" s="1"/>
  <c r="IM3" i="3"/>
  <c r="CI3" i="3"/>
  <c r="CX3" i="3" s="1"/>
  <c r="HC8" i="4"/>
  <c r="IM29" i="4"/>
  <c r="DM29" i="4" a="1"/>
  <c r="DM29" i="4" s="1"/>
  <c r="DL29" i="4"/>
  <c r="GS29" i="4" s="1"/>
  <c r="AX3" i="5"/>
  <c r="CH8" i="5"/>
  <c r="CW8" i="5" s="1"/>
  <c r="HC8" i="5"/>
  <c r="HC14" i="4"/>
  <c r="HC23" i="4"/>
  <c r="FN25" i="4"/>
  <c r="FO25" i="4"/>
  <c r="GS25" i="4" s="1"/>
  <c r="HM25" i="4" s="1"/>
  <c r="HF29" i="4"/>
  <c r="HC3" i="9"/>
  <c r="HC13" i="4"/>
  <c r="HG16" i="4"/>
  <c r="HF16" i="4"/>
  <c r="CK23" i="4"/>
  <c r="CZ23" i="4" s="1"/>
  <c r="CH23" i="4"/>
  <c r="CW23" i="4" s="1"/>
  <c r="DL23" i="4"/>
  <c r="IN23" i="4"/>
  <c r="IX23" i="4" s="1"/>
  <c r="IM23" i="4"/>
  <c r="DM23" i="4" a="1"/>
  <c r="DM23" i="4" s="1"/>
  <c r="CJ23" i="4"/>
  <c r="CY23" i="4" s="1"/>
  <c r="CI23" i="4"/>
  <c r="CX23" i="4" s="1"/>
  <c r="HC11" i="5"/>
  <c r="IN3" i="7"/>
  <c r="IX3" i="7" s="1"/>
  <c r="DM3" i="7" a="1"/>
  <c r="DM3" i="7" s="1"/>
  <c r="IM3" i="7"/>
  <c r="DL3" i="7"/>
  <c r="CK3" i="7"/>
  <c r="CZ3" i="7" s="1"/>
  <c r="FM25" i="4"/>
  <c r="CH26" i="4"/>
  <c r="CW26" i="4" s="1"/>
  <c r="GS26" i="4" s="1"/>
  <c r="DM26" i="4" a="1"/>
  <c r="DM26" i="4" s="1"/>
  <c r="HC28" i="4"/>
  <c r="CJ3" i="5"/>
  <c r="CY3" i="5" s="1"/>
  <c r="DM3" i="5" a="1"/>
  <c r="DM3" i="5" s="1"/>
  <c r="FN3" i="14"/>
  <c r="FO3" i="14"/>
  <c r="FM24" i="15"/>
  <c r="FL24" i="15"/>
  <c r="FP24" i="15"/>
  <c r="IN8" i="4"/>
  <c r="IX8" i="4" s="1"/>
  <c r="CI8" i="4"/>
  <c r="CX8" i="4" s="1"/>
  <c r="CK8" i="4"/>
  <c r="CZ8" i="4" s="1"/>
  <c r="FK8" i="4"/>
  <c r="HC18" i="4"/>
  <c r="FP22" i="4"/>
  <c r="GS22" i="4" s="1"/>
  <c r="CJ24" i="4"/>
  <c r="CY24" i="4" s="1"/>
  <c r="DM24" i="4" a="1"/>
  <c r="DM24" i="4" s="1"/>
  <c r="CK24" i="4"/>
  <c r="CZ24" i="4" s="1"/>
  <c r="CI26" i="4"/>
  <c r="CX26" i="4" s="1"/>
  <c r="CH3" i="5"/>
  <c r="CW3" i="5" s="1"/>
  <c r="FL8" i="5"/>
  <c r="DL3" i="6"/>
  <c r="IM3" i="6"/>
  <c r="CJ3" i="6"/>
  <c r="CY3" i="6" s="1"/>
  <c r="CI3" i="6"/>
  <c r="CX3" i="6" s="1"/>
  <c r="IN3" i="6"/>
  <c r="IX3" i="6" s="1"/>
  <c r="FL3" i="14"/>
  <c r="FP3" i="14"/>
  <c r="CK10" i="15"/>
  <c r="CZ10" i="15" s="1"/>
  <c r="DL10" i="15"/>
  <c r="CJ10" i="15"/>
  <c r="CY10" i="15" s="1"/>
  <c r="CI10" i="15"/>
  <c r="CX10" i="15" s="1"/>
  <c r="IN10" i="15"/>
  <c r="IX10" i="15" s="1"/>
  <c r="CH10" i="15"/>
  <c r="CW10" i="15" s="1"/>
  <c r="IM10" i="15"/>
  <c r="DM10" i="15" a="1"/>
  <c r="DM10" i="15" s="1"/>
  <c r="FN11" i="15"/>
  <c r="FO11" i="15"/>
  <c r="FL21" i="2"/>
  <c r="FK5" i="4"/>
  <c r="CH8" i="4"/>
  <c r="CW8" i="4" s="1"/>
  <c r="GS8" i="4" s="1"/>
  <c r="FK11" i="4"/>
  <c r="HN15" i="4"/>
  <c r="HC20" i="4"/>
  <c r="CH24" i="4"/>
  <c r="CW24" i="4" s="1"/>
  <c r="CJ26" i="4"/>
  <c r="CY26" i="4" s="1"/>
  <c r="FK26" i="4"/>
  <c r="IM27" i="4"/>
  <c r="DL27" i="4"/>
  <c r="CK27" i="4"/>
  <c r="CZ27" i="4" s="1"/>
  <c r="CJ27" i="4"/>
  <c r="CY27" i="4" s="1"/>
  <c r="GS27" i="4" s="1"/>
  <c r="HM27" i="4" s="1"/>
  <c r="CI27" i="4"/>
  <c r="CX27" i="4" s="1"/>
  <c r="CI3" i="5"/>
  <c r="CX3" i="5" s="1"/>
  <c r="IN6" i="5"/>
  <c r="IX6" i="5" s="1"/>
  <c r="DM6" i="5" a="1"/>
  <c r="DM6" i="5" s="1"/>
  <c r="DL6" i="5"/>
  <c r="GS6" i="5" s="1"/>
  <c r="HI7" i="5"/>
  <c r="IM11" i="5"/>
  <c r="CH3" i="6"/>
  <c r="CW3" i="6" s="1"/>
  <c r="DL3" i="10"/>
  <c r="CJ3" i="10"/>
  <c r="CY3" i="10" s="1"/>
  <c r="DM3" i="10" a="1"/>
  <c r="DM3" i="10" s="1"/>
  <c r="CK3" i="10"/>
  <c r="CZ3" i="10" s="1"/>
  <c r="CI3" i="10"/>
  <c r="CX3" i="10" s="1"/>
  <c r="IN3" i="10"/>
  <c r="IX3" i="10" s="1"/>
  <c r="IM3" i="10"/>
  <c r="CH3" i="10"/>
  <c r="CW3" i="10" s="1"/>
  <c r="FO14" i="15"/>
  <c r="FN14" i="15"/>
  <c r="DL10" i="4"/>
  <c r="CK10" i="4"/>
  <c r="CZ10" i="4" s="1"/>
  <c r="CJ10" i="4"/>
  <c r="CY10" i="4" s="1"/>
  <c r="GS10" i="4" s="1"/>
  <c r="IN10" i="4"/>
  <c r="IX10" i="4" s="1"/>
  <c r="CK26" i="4"/>
  <c r="CZ26" i="4" s="1"/>
  <c r="HC27" i="4"/>
  <c r="CK3" i="5"/>
  <c r="CZ3" i="5" s="1"/>
  <c r="FM5" i="5"/>
  <c r="HC7" i="5"/>
  <c r="IN11" i="5"/>
  <c r="IX11" i="5" s="1"/>
  <c r="FK3" i="14"/>
  <c r="HI19" i="4"/>
  <c r="HC25" i="4"/>
  <c r="IM26" i="4"/>
  <c r="HN4" i="5"/>
  <c r="FM6" i="5"/>
  <c r="CK5" i="7"/>
  <c r="CZ5" i="7" s="1"/>
  <c r="CH5" i="7"/>
  <c r="CW5" i="7" s="1"/>
  <c r="IN5" i="7"/>
  <c r="IX5" i="7" s="1"/>
  <c r="IM5" i="7"/>
  <c r="IM22" i="2"/>
  <c r="DM22" i="2" a="1"/>
  <c r="DM22" i="2" s="1"/>
  <c r="IN22" i="2"/>
  <c r="IX22" i="2" s="1"/>
  <c r="DL22" i="2"/>
  <c r="CJ22" i="2"/>
  <c r="CY22" i="2" s="1"/>
  <c r="CI22" i="2"/>
  <c r="CX22" i="2" s="1"/>
  <c r="CH22" i="2"/>
  <c r="CW22" i="2" s="1"/>
  <c r="CK22" i="2"/>
  <c r="CZ22" i="2" s="1"/>
  <c r="IN26" i="4"/>
  <c r="IX26" i="4" s="1"/>
  <c r="FN29" i="4"/>
  <c r="IM3" i="5"/>
  <c r="CI4" i="5"/>
  <c r="CX4" i="5" s="1"/>
  <c r="GS4" i="5" s="1"/>
  <c r="DM4" i="5" a="1"/>
  <c r="DM4" i="5" s="1"/>
  <c r="CK4" i="5"/>
  <c r="CZ4" i="5" s="1"/>
  <c r="HM11" i="5"/>
  <c r="FP11" i="5"/>
  <c r="FN11" i="5"/>
  <c r="GS11" i="5" s="1"/>
  <c r="HC3" i="7"/>
  <c r="HC7" i="15"/>
  <c r="FO27" i="4"/>
  <c r="HI29" i="4"/>
  <c r="FK13" i="5"/>
  <c r="CK3" i="12"/>
  <c r="CZ3" i="12" s="1"/>
  <c r="IN3" i="12"/>
  <c r="IX3" i="12" s="1"/>
  <c r="DM3" i="12" a="1"/>
  <c r="DM3" i="12" s="1"/>
  <c r="DL3" i="12"/>
  <c r="CI3" i="12"/>
  <c r="CX3" i="12" s="1"/>
  <c r="DL20" i="4"/>
  <c r="CK20" i="4"/>
  <c r="CZ20" i="4" s="1"/>
  <c r="FO24" i="4"/>
  <c r="FM26" i="4"/>
  <c r="FL3" i="5"/>
  <c r="FN4" i="5"/>
  <c r="FL6" i="5"/>
  <c r="DL10" i="5"/>
  <c r="CJ10" i="5"/>
  <c r="CY10" i="5" s="1"/>
  <c r="CH10" i="5"/>
  <c r="CW10" i="5" s="1"/>
  <c r="HC12" i="5"/>
  <c r="IM4" i="6"/>
  <c r="DM4" i="6" a="1"/>
  <c r="DM4" i="6" s="1"/>
  <c r="HC4" i="12"/>
  <c r="FO6" i="14"/>
  <c r="FN6" i="14"/>
  <c r="FL23" i="15"/>
  <c r="FK23" i="15"/>
  <c r="FP23" i="15"/>
  <c r="HC9" i="5"/>
  <c r="CI10" i="5"/>
  <c r="CX10" i="5" s="1"/>
  <c r="FM13" i="5"/>
  <c r="FO6" i="7"/>
  <c r="FN6" i="7"/>
  <c r="CI3" i="14"/>
  <c r="CX3" i="14" s="1"/>
  <c r="CH3" i="14"/>
  <c r="CW3" i="14" s="1"/>
  <c r="IN3" i="14"/>
  <c r="IX3" i="14" s="1"/>
  <c r="CJ3" i="14"/>
  <c r="CY3" i="14" s="1"/>
  <c r="IM3" i="14"/>
  <c r="DM3" i="14" a="1"/>
  <c r="DM3" i="14" s="1"/>
  <c r="DL3" i="14"/>
  <c r="FP6" i="14"/>
  <c r="FM6" i="14"/>
  <c r="FL6" i="14"/>
  <c r="CK9" i="15"/>
  <c r="CZ9" i="15" s="1"/>
  <c r="DM9" i="15" a="1"/>
  <c r="DM9" i="15" s="1"/>
  <c r="DL9" i="15"/>
  <c r="CJ9" i="15"/>
  <c r="CY9" i="15" s="1"/>
  <c r="IN9" i="15"/>
  <c r="IX9" i="15" s="1"/>
  <c r="IM9" i="15"/>
  <c r="CI9" i="15"/>
  <c r="CX9" i="15" s="1"/>
  <c r="IN13" i="15"/>
  <c r="IX13" i="15" s="1"/>
  <c r="CH13" i="15"/>
  <c r="CW13" i="15" s="1"/>
  <c r="IM13" i="15"/>
  <c r="CK13" i="15"/>
  <c r="CZ13" i="15" s="1"/>
  <c r="CJ13" i="15"/>
  <c r="CY13" i="15" s="1"/>
  <c r="CI13" i="15"/>
  <c r="CX13" i="15" s="1"/>
  <c r="DM13" i="15" a="1"/>
  <c r="DM13" i="15" s="1"/>
  <c r="DL13" i="15"/>
  <c r="HI9" i="4"/>
  <c r="FO16" i="4"/>
  <c r="CJ17" i="4"/>
  <c r="CY17" i="4" s="1"/>
  <c r="GS17" i="4" s="1"/>
  <c r="FL17" i="4"/>
  <c r="CJ20" i="4"/>
  <c r="CY20" i="4" s="1"/>
  <c r="GS20" i="4" s="1"/>
  <c r="HN20" i="4" s="1"/>
  <c r="FM23" i="4"/>
  <c r="CK25" i="4"/>
  <c r="CZ25" i="4" s="1"/>
  <c r="FL27" i="4"/>
  <c r="FK4" i="5"/>
  <c r="CK5" i="5"/>
  <c r="CZ5" i="5" s="1"/>
  <c r="GS5" i="5" s="1"/>
  <c r="HG5" i="5" s="1"/>
  <c r="IM5" i="5"/>
  <c r="DL9" i="5"/>
  <c r="CK9" i="5"/>
  <c r="CZ9" i="5" s="1"/>
  <c r="CI9" i="5"/>
  <c r="CX9" i="5" s="1"/>
  <c r="IN9" i="5"/>
  <c r="IX9" i="5" s="1"/>
  <c r="DM10" i="5" a="1"/>
  <c r="DM10" i="5" s="1"/>
  <c r="FO12" i="5"/>
  <c r="CJ4" i="6"/>
  <c r="CY4" i="6" s="1"/>
  <c r="GS4" i="6" s="1"/>
  <c r="HG4" i="6" s="1"/>
  <c r="FN3" i="9"/>
  <c r="FP3" i="9"/>
  <c r="CH9" i="15"/>
  <c r="CW9" i="15" s="1"/>
  <c r="CJ4" i="12"/>
  <c r="CY4" i="12" s="1"/>
  <c r="IN4" i="12"/>
  <c r="IX4" i="12" s="1"/>
  <c r="DL4" i="12"/>
  <c r="IM4" i="12"/>
  <c r="CK4" i="12"/>
  <c r="CZ4" i="12" s="1"/>
  <c r="DL4" i="15"/>
  <c r="CK4" i="15"/>
  <c r="CZ4" i="15" s="1"/>
  <c r="CJ4" i="15"/>
  <c r="CY4" i="15" s="1"/>
  <c r="CI4" i="15"/>
  <c r="CX4" i="15" s="1"/>
  <c r="DM4" i="15" a="1"/>
  <c r="DM4" i="15" s="1"/>
  <c r="CH4" i="15"/>
  <c r="CW4" i="15" s="1"/>
  <c r="IM4" i="15"/>
  <c r="CK8" i="15"/>
  <c r="CZ8" i="15" s="1"/>
  <c r="IN8" i="15"/>
  <c r="IX8" i="15" s="1"/>
  <c r="CI8" i="15"/>
  <c r="CX8" i="15" s="1"/>
  <c r="IM8" i="15"/>
  <c r="CH8" i="15"/>
  <c r="CW8" i="15" s="1"/>
  <c r="DM8" i="15" a="1"/>
  <c r="DM8" i="15" s="1"/>
  <c r="DL8" i="15"/>
  <c r="CJ8" i="15"/>
  <c r="CY8" i="15" s="1"/>
  <c r="HC9" i="15"/>
  <c r="FO23" i="15"/>
  <c r="FN23" i="15"/>
  <c r="FO11" i="5"/>
  <c r="HI13" i="5"/>
  <c r="HI4" i="6"/>
  <c r="IM6" i="7"/>
  <c r="HC6" i="14"/>
  <c r="HI8" i="14"/>
  <c r="HC8" i="14"/>
  <c r="IM3" i="15"/>
  <c r="DM3" i="15" a="1"/>
  <c r="DM3" i="15" s="1"/>
  <c r="DL3" i="15"/>
  <c r="GS3" i="15" s="1"/>
  <c r="IN3" i="15"/>
  <c r="IX3" i="15" s="1"/>
  <c r="CK3" i="15"/>
  <c r="CZ3" i="15" s="1"/>
  <c r="CI3" i="15"/>
  <c r="CX3" i="15" s="1"/>
  <c r="HC3" i="15"/>
  <c r="FN7" i="15"/>
  <c r="FM7" i="15"/>
  <c r="FP7" i="15"/>
  <c r="GS7" i="15" s="1"/>
  <c r="CK3" i="11"/>
  <c r="CZ3" i="11" s="1"/>
  <c r="CJ3" i="11"/>
  <c r="CY3" i="11" s="1"/>
  <c r="CI3" i="11"/>
  <c r="CX3" i="11" s="1"/>
  <c r="CH3" i="11"/>
  <c r="CW3" i="11" s="1"/>
  <c r="DL3" i="11"/>
  <c r="CJ6" i="7"/>
  <c r="CY6" i="7" s="1"/>
  <c r="CK6" i="7"/>
  <c r="CZ6" i="7" s="1"/>
  <c r="IN3" i="9"/>
  <c r="IX3" i="9" s="1"/>
  <c r="CI3" i="9"/>
  <c r="CX3" i="9" s="1"/>
  <c r="CK4" i="11"/>
  <c r="CZ4" i="11" s="1"/>
  <c r="DM4" i="11" a="1"/>
  <c r="DM4" i="11" s="1"/>
  <c r="IM4" i="11"/>
  <c r="DL4" i="11"/>
  <c r="CJ4" i="11"/>
  <c r="CY4" i="11" s="1"/>
  <c r="CH4" i="11"/>
  <c r="CW4" i="11" s="1"/>
  <c r="HC4" i="11"/>
  <c r="FP22" i="15"/>
  <c r="FL22" i="15"/>
  <c r="CH6" i="7"/>
  <c r="CW6" i="7" s="1"/>
  <c r="CH3" i="9"/>
  <c r="CW3" i="9" s="1"/>
  <c r="CI4" i="11"/>
  <c r="CX4" i="11" s="1"/>
  <c r="CJ6" i="14"/>
  <c r="CY6" i="14" s="1"/>
  <c r="CI6" i="14"/>
  <c r="CX6" i="14" s="1"/>
  <c r="CH6" i="14"/>
  <c r="CW6" i="14" s="1"/>
  <c r="IM6" i="14"/>
  <c r="DM6" i="14" a="1"/>
  <c r="DM6" i="14" s="1"/>
  <c r="DL6" i="14"/>
  <c r="CK6" i="14"/>
  <c r="CZ6" i="14" s="1"/>
  <c r="IN4" i="15"/>
  <c r="IX4" i="15" s="1"/>
  <c r="HC21" i="15"/>
  <c r="FL3" i="15"/>
  <c r="FM11" i="15"/>
  <c r="FO22" i="15"/>
  <c r="FN22" i="15"/>
  <c r="FK7" i="15"/>
  <c r="FL10" i="15"/>
  <c r="FM10" i="15"/>
  <c r="FN31" i="4"/>
  <c r="FO31" i="4"/>
  <c r="FL7" i="15"/>
  <c r="CK11" i="15"/>
  <c r="CZ11" i="15" s="1"/>
  <c r="IN11" i="15"/>
  <c r="IX11" i="15" s="1"/>
  <c r="CJ11" i="15"/>
  <c r="CY11" i="15" s="1"/>
  <c r="CI11" i="15"/>
  <c r="CX11" i="15" s="1"/>
  <c r="CH11" i="15"/>
  <c r="CW11" i="15" s="1"/>
  <c r="DM11" i="15" a="1"/>
  <c r="DM11" i="15" s="1"/>
  <c r="FO12" i="15"/>
  <c r="FN12" i="15"/>
  <c r="DM25" i="15" a="1"/>
  <c r="DM25" i="15" s="1"/>
  <c r="CK25" i="15"/>
  <c r="CZ25" i="15" s="1"/>
  <c r="CJ25" i="15"/>
  <c r="CY25" i="15" s="1"/>
  <c r="CI25" i="15"/>
  <c r="CX25" i="15" s="1"/>
  <c r="IN25" i="15"/>
  <c r="IX25" i="15" s="1"/>
  <c r="CH25" i="15"/>
  <c r="CW25" i="15" s="1"/>
  <c r="GS25" i="15" s="1"/>
  <c r="HN25" i="15" s="1"/>
  <c r="DL25" i="15"/>
  <c r="FO3" i="8"/>
  <c r="FN3" i="8"/>
  <c r="FN4" i="7"/>
  <c r="GS4" i="7" s="1"/>
  <c r="FM4" i="12"/>
  <c r="HC5" i="15"/>
  <c r="FK10" i="15"/>
  <c r="IN15" i="5"/>
  <c r="IX15" i="5" s="1"/>
  <c r="IM15" i="5"/>
  <c r="DM15" i="5" a="1"/>
  <c r="DM15" i="5" s="1"/>
  <c r="CK15" i="5"/>
  <c r="CZ15" i="5" s="1"/>
  <c r="DL15" i="5"/>
  <c r="CJ15" i="5"/>
  <c r="CY15" i="5" s="1"/>
  <c r="CI15" i="5"/>
  <c r="CX15" i="5" s="1"/>
  <c r="CH15" i="5"/>
  <c r="CW15" i="5" s="1"/>
  <c r="FP4" i="11"/>
  <c r="FL4" i="11"/>
  <c r="FK4" i="11"/>
  <c r="FN4" i="14"/>
  <c r="FO4" i="14"/>
  <c r="HC16" i="15"/>
  <c r="DL19" i="15"/>
  <c r="CJ19" i="15"/>
  <c r="CY19" i="15" s="1"/>
  <c r="IN19" i="15"/>
  <c r="IX19" i="15" s="1"/>
  <c r="DM19" i="15" a="1"/>
  <c r="DM19" i="15" s="1"/>
  <c r="IM19" i="15"/>
  <c r="CK19" i="15"/>
  <c r="CZ19" i="15" s="1"/>
  <c r="CI19" i="15"/>
  <c r="CX19" i="15" s="1"/>
  <c r="CH19" i="15"/>
  <c r="CW19" i="15" s="1"/>
  <c r="GS21" i="15"/>
  <c r="HN21" i="15" s="1"/>
  <c r="FO8" i="15"/>
  <c r="FN8" i="15"/>
  <c r="FL14" i="15"/>
  <c r="DL18" i="15"/>
  <c r="IM18" i="15"/>
  <c r="DM18" i="15" a="1"/>
  <c r="DM18" i="15" s="1"/>
  <c r="CK18" i="15"/>
  <c r="CZ18" i="15" s="1"/>
  <c r="CJ18" i="15"/>
  <c r="CY18" i="15" s="1"/>
  <c r="FK22" i="15"/>
  <c r="FK3" i="12"/>
  <c r="FM3" i="14"/>
  <c r="HC4" i="14"/>
  <c r="FK6" i="14"/>
  <c r="DL6" i="15"/>
  <c r="IN6" i="15"/>
  <c r="IX6" i="15" s="1"/>
  <c r="IM6" i="15"/>
  <c r="FO6" i="15"/>
  <c r="FN6" i="15"/>
  <c r="FM14" i="15"/>
  <c r="FK24" i="15"/>
  <c r="FO22" i="2"/>
  <c r="FN22" i="2"/>
  <c r="CJ14" i="15"/>
  <c r="CY14" i="15" s="1"/>
  <c r="DM14" i="15" a="1"/>
  <c r="DM14" i="15" s="1"/>
  <c r="DL14" i="15"/>
  <c r="IN15" i="15"/>
  <c r="IX15" i="15" s="1"/>
  <c r="CI15" i="15"/>
  <c r="CX15" i="15" s="1"/>
  <c r="CJ15" i="15"/>
  <c r="CY15" i="15" s="1"/>
  <c r="CH15" i="15"/>
  <c r="CW15" i="15" s="1"/>
  <c r="GS15" i="15" s="1"/>
  <c r="IM15" i="15"/>
  <c r="HC17" i="15"/>
  <c r="HC18" i="15"/>
  <c r="IM26" i="15"/>
  <c r="DM26" i="15" a="1"/>
  <c r="DM26" i="15" s="1"/>
  <c r="CJ26" i="15"/>
  <c r="CY26" i="15" s="1"/>
  <c r="CI26" i="15"/>
  <c r="CX26" i="15" s="1"/>
  <c r="CK26" i="15"/>
  <c r="CZ26" i="15" s="1"/>
  <c r="CH26" i="15"/>
  <c r="CW26" i="15" s="1"/>
  <c r="FK22" i="2"/>
  <c r="FP22" i="2"/>
  <c r="FM22" i="2"/>
  <c r="FL22" i="2"/>
  <c r="DM4" i="3" a="1"/>
  <c r="DM4" i="3" s="1"/>
  <c r="DL4" i="3"/>
  <c r="IN4" i="3"/>
  <c r="IX4" i="3" s="1"/>
  <c r="IM4" i="3"/>
  <c r="CK4" i="3"/>
  <c r="CZ4" i="3" s="1"/>
  <c r="CJ4" i="3"/>
  <c r="CY4" i="3" s="1"/>
  <c r="FM3" i="12"/>
  <c r="CI4" i="14"/>
  <c r="CX4" i="14" s="1"/>
  <c r="GS4" i="14" s="1"/>
  <c r="CI6" i="15"/>
  <c r="CX6" i="15" s="1"/>
  <c r="GS6" i="15" s="1"/>
  <c r="HG6" i="15" s="1"/>
  <c r="CH14" i="15"/>
  <c r="CW14" i="15" s="1"/>
  <c r="CK15" i="15"/>
  <c r="CZ15" i="15" s="1"/>
  <c r="DL23" i="15"/>
  <c r="GS23" i="15" s="1"/>
  <c r="CK23" i="15"/>
  <c r="CZ23" i="15" s="1"/>
  <c r="CJ23" i="15"/>
  <c r="CY23" i="15" s="1"/>
  <c r="IN23" i="15"/>
  <c r="IX23" i="15" s="1"/>
  <c r="CI23" i="15"/>
  <c r="CX23" i="15" s="1"/>
  <c r="DM23" i="15" a="1"/>
  <c r="DM23" i="15" s="1"/>
  <c r="HC25" i="15"/>
  <c r="HG25" i="15" s="1"/>
  <c r="DL26" i="15"/>
  <c r="CH4" i="3"/>
  <c r="CW4" i="3" s="1"/>
  <c r="GS4" i="3" s="1"/>
  <c r="FM4" i="14"/>
  <c r="HI6" i="15"/>
  <c r="FM22" i="15"/>
  <c r="HM4" i="3"/>
  <c r="FO30" i="4"/>
  <c r="FN30" i="4"/>
  <c r="FK31" i="4"/>
  <c r="FP31" i="4"/>
  <c r="FL5" i="6"/>
  <c r="FP5" i="6"/>
  <c r="FN5" i="6"/>
  <c r="FM5" i="6"/>
  <c r="IN8" i="14"/>
  <c r="IX8" i="14" s="1"/>
  <c r="IM8" i="14"/>
  <c r="DM8" i="14" a="1"/>
  <c r="DM8" i="14" s="1"/>
  <c r="HC8" i="15"/>
  <c r="HC10" i="15"/>
  <c r="FK11" i="15"/>
  <c r="DL22" i="15"/>
  <c r="CJ22" i="15"/>
  <c r="CY22" i="15" s="1"/>
  <c r="CH22" i="15"/>
  <c r="CW22" i="15" s="1"/>
  <c r="HI23" i="15"/>
  <c r="HC23" i="15"/>
  <c r="FK5" i="14"/>
  <c r="CH8" i="14"/>
  <c r="CW8" i="14" s="1"/>
  <c r="GS8" i="14" s="1"/>
  <c r="HM8" i="14" s="1"/>
  <c r="CH5" i="15"/>
  <c r="CW5" i="15" s="1"/>
  <c r="GS5" i="15" s="1"/>
  <c r="FK9" i="15"/>
  <c r="FL11" i="15"/>
  <c r="HC11" i="15"/>
  <c r="FK18" i="15"/>
  <c r="CI22" i="15"/>
  <c r="CX22" i="15" s="1"/>
  <c r="DL24" i="15"/>
  <c r="DM24" i="15" a="1"/>
  <c r="DM24" i="15" s="1"/>
  <c r="IM24" i="15"/>
  <c r="CH24" i="15"/>
  <c r="CW24" i="15" s="1"/>
  <c r="CJ24" i="15"/>
  <c r="CY24" i="15" s="1"/>
  <c r="CI24" i="15"/>
  <c r="CX24" i="15" s="1"/>
  <c r="IN17" i="15"/>
  <c r="IX17" i="15" s="1"/>
  <c r="CI17" i="15"/>
  <c r="CX17" i="15" s="1"/>
  <c r="GS17" i="15" s="1"/>
  <c r="HG17" i="15" s="1"/>
  <c r="CK17" i="15"/>
  <c r="CZ17" i="15" s="1"/>
  <c r="IM17" i="15"/>
  <c r="FM19" i="15"/>
  <c r="FL19" i="15"/>
  <c r="FO21" i="15"/>
  <c r="FN21" i="15"/>
  <c r="HI21" i="15"/>
  <c r="HM25" i="15"/>
  <c r="CK33" i="4"/>
  <c r="CZ33" i="4" s="1"/>
  <c r="CJ33" i="4"/>
  <c r="CY33" i="4" s="1"/>
  <c r="IN33" i="4"/>
  <c r="IX33" i="4" s="1"/>
  <c r="DM33" i="4" a="1"/>
  <c r="DM33" i="4" s="1"/>
  <c r="IM33" i="4"/>
  <c r="DL33" i="4"/>
  <c r="CI33" i="4"/>
  <c r="CX33" i="4" s="1"/>
  <c r="CH33" i="4"/>
  <c r="CW33" i="4" s="1"/>
  <c r="GS33" i="4" s="1"/>
  <c r="HN33" i="4" s="1"/>
  <c r="FO13" i="15"/>
  <c r="HN15" i="15"/>
  <c r="FK16" i="15"/>
  <c r="CK12" i="15"/>
  <c r="CZ12" i="15" s="1"/>
  <c r="DL12" i="15"/>
  <c r="HC22" i="2"/>
  <c r="FO15" i="5"/>
  <c r="FN15" i="5"/>
  <c r="HI17" i="15"/>
  <c r="DL20" i="15"/>
  <c r="CH20" i="15"/>
  <c r="CW20" i="15" s="1"/>
  <c r="IM20" i="15"/>
  <c r="FM23" i="15"/>
  <c r="HC24" i="15"/>
  <c r="FP15" i="5"/>
  <c r="FM15" i="5"/>
  <c r="FL15" i="5"/>
  <c r="FK15" i="5"/>
  <c r="HC14" i="5"/>
  <c r="HC33" i="4"/>
  <c r="HG33" i="4" s="1"/>
  <c r="FK14" i="15"/>
  <c r="GS32" i="4"/>
  <c r="HF32" i="4" s="1"/>
  <c r="AX22" i="2"/>
  <c r="CJ30" i="4"/>
  <c r="CY30" i="4" s="1"/>
  <c r="CI30" i="4"/>
  <c r="CX30" i="4" s="1"/>
  <c r="CH30" i="4"/>
  <c r="CW30" i="4" s="1"/>
  <c r="CK30" i="4"/>
  <c r="CZ30" i="4" s="1"/>
  <c r="IN30" i="4"/>
  <c r="IX30" i="4" s="1"/>
  <c r="DM30" i="4" a="1"/>
  <c r="DM30" i="4" s="1"/>
  <c r="DL30" i="4"/>
  <c r="DL3" i="8"/>
  <c r="DM3" i="8" a="1"/>
  <c r="DM3" i="8" s="1"/>
  <c r="CI3" i="8"/>
  <c r="CX3" i="8" s="1"/>
  <c r="IN3" i="8"/>
  <c r="IX3" i="8" s="1"/>
  <c r="IM3" i="8"/>
  <c r="CK3" i="8"/>
  <c r="CZ3" i="8" s="1"/>
  <c r="GS3" i="8" s="1"/>
  <c r="HC4" i="3"/>
  <c r="FK5" i="6"/>
  <c r="IO31" i="4"/>
  <c r="DM31" i="4" a="1"/>
  <c r="DM31" i="4" s="1"/>
  <c r="HI22" i="2"/>
  <c r="FL31" i="4"/>
  <c r="HC15" i="5"/>
  <c r="FM31" i="4"/>
  <c r="IN14" i="5"/>
  <c r="IX14" i="5" s="1"/>
  <c r="DM14" i="5" a="1"/>
  <c r="DM14" i="5" s="1"/>
  <c r="GS14" i="5" s="1"/>
  <c r="HM14" i="5" s="1"/>
  <c r="FM14" i="5"/>
  <c r="FL14" i="5"/>
  <c r="DM5" i="6" a="1"/>
  <c r="DM5" i="6" s="1"/>
  <c r="CK5" i="6"/>
  <c r="CZ5" i="6" s="1"/>
  <c r="DL5" i="6"/>
  <c r="CJ5" i="6"/>
  <c r="CY5" i="6" s="1"/>
  <c r="CI5" i="6"/>
  <c r="CX5" i="6" s="1"/>
  <c r="CH5" i="6"/>
  <c r="CW5" i="6" s="1"/>
  <c r="IN5" i="6"/>
  <c r="IX5" i="6" s="1"/>
  <c r="CI31" i="4"/>
  <c r="CX31" i="4" s="1"/>
  <c r="CH31" i="4"/>
  <c r="CW31" i="4" s="1"/>
  <c r="CJ31" i="4"/>
  <c r="CY31" i="4" s="1"/>
  <c r="FO9" i="14"/>
  <c r="FN9" i="14"/>
  <c r="DL3" i="13"/>
  <c r="CK3" i="13"/>
  <c r="CZ3" i="13" s="1"/>
  <c r="CJ3" i="13"/>
  <c r="CY3" i="13" s="1"/>
  <c r="CI3" i="13"/>
  <c r="CX3" i="13" s="1"/>
  <c r="DM3" i="13" a="1"/>
  <c r="DM3" i="13" s="1"/>
  <c r="CH3" i="13"/>
  <c r="CW3" i="13" s="1"/>
  <c r="IN3" i="13"/>
  <c r="IX3" i="13" s="1"/>
  <c r="IM3" i="13"/>
  <c r="FK3" i="8"/>
  <c r="DL9" i="14"/>
  <c r="CK9" i="14"/>
  <c r="CZ9" i="14" s="1"/>
  <c r="CJ9" i="14"/>
  <c r="CY9" i="14" s="1"/>
  <c r="IN9" i="14"/>
  <c r="IX9" i="14" s="1"/>
  <c r="CH9" i="14"/>
  <c r="CW9" i="14" s="1"/>
  <c r="DM9" i="14" a="1"/>
  <c r="DM9" i="14" s="1"/>
  <c r="CI9" i="14"/>
  <c r="CX9" i="14" s="1"/>
  <c r="HC9" i="14"/>
  <c r="HG3" i="15" l="1"/>
  <c r="HM3" i="15"/>
  <c r="HN7" i="15"/>
  <c r="HM7" i="15"/>
  <c r="HF7" i="15"/>
  <c r="HG7" i="15"/>
  <c r="HF3" i="8"/>
  <c r="HN3" i="8"/>
  <c r="HG3" i="8"/>
  <c r="HM3" i="8"/>
  <c r="HG23" i="15"/>
  <c r="HF23" i="15"/>
  <c r="HG4" i="14"/>
  <c r="HF4" i="14"/>
  <c r="HM4" i="14"/>
  <c r="HF9" i="2"/>
  <c r="HM9" i="2"/>
  <c r="HN9" i="2"/>
  <c r="HG9" i="2"/>
  <c r="GS30" i="4"/>
  <c r="GS18" i="15"/>
  <c r="HG18" i="15" s="1"/>
  <c r="HF3" i="5"/>
  <c r="HF2" i="6"/>
  <c r="HN2" i="6"/>
  <c r="HG2" i="6"/>
  <c r="HM2" i="6"/>
  <c r="HM29" i="4"/>
  <c r="HN29" i="4"/>
  <c r="HG29" i="4"/>
  <c r="HM33" i="4"/>
  <c r="HG14" i="5"/>
  <c r="HF14" i="5"/>
  <c r="GS12" i="15"/>
  <c r="GS4" i="12"/>
  <c r="HG4" i="12" s="1"/>
  <c r="HN17" i="4"/>
  <c r="HM17" i="4"/>
  <c r="HG17" i="4"/>
  <c r="HN3" i="7"/>
  <c r="HM4" i="5"/>
  <c r="HF4" i="5"/>
  <c r="HG4" i="5"/>
  <c r="HN19" i="4"/>
  <c r="HM19" i="4"/>
  <c r="HG19" i="4"/>
  <c r="HF19" i="4"/>
  <c r="HN12" i="2"/>
  <c r="HF2" i="2"/>
  <c r="HN2" i="2"/>
  <c r="HM2" i="2"/>
  <c r="HG2" i="2"/>
  <c r="GS9" i="14"/>
  <c r="HG9" i="14" s="1"/>
  <c r="HF33" i="4"/>
  <c r="HM21" i="15"/>
  <c r="HF25" i="15"/>
  <c r="GS9" i="5"/>
  <c r="HN9" i="5" s="1"/>
  <c r="GS3" i="7"/>
  <c r="HM3" i="7" s="1"/>
  <c r="HF5" i="2"/>
  <c r="GS19" i="15"/>
  <c r="HG22" i="4"/>
  <c r="HF22" i="4"/>
  <c r="HN22" i="4"/>
  <c r="HF8" i="4"/>
  <c r="GS15" i="5"/>
  <c r="HG10" i="4"/>
  <c r="HF10" i="4"/>
  <c r="HM10" i="4"/>
  <c r="HN10" i="4"/>
  <c r="GS5" i="6"/>
  <c r="HG11" i="15"/>
  <c r="HF18" i="15"/>
  <c r="HN18" i="15"/>
  <c r="HG32" i="4"/>
  <c r="HF21" i="15"/>
  <c r="HM13" i="5"/>
  <c r="HN13" i="5"/>
  <c r="HF13" i="5"/>
  <c r="HG13" i="5"/>
  <c r="HM9" i="4"/>
  <c r="HG2" i="9"/>
  <c r="HM2" i="9"/>
  <c r="HN2" i="9"/>
  <c r="HF2" i="9"/>
  <c r="HF4" i="6"/>
  <c r="HN4" i="6"/>
  <c r="HM4" i="6"/>
  <c r="HM24" i="15"/>
  <c r="HG24" i="15"/>
  <c r="HF24" i="15"/>
  <c r="HN23" i="15"/>
  <c r="HN17" i="15"/>
  <c r="HM17" i="15"/>
  <c r="HF17" i="15"/>
  <c r="HN4" i="14"/>
  <c r="HG11" i="5"/>
  <c r="HN11" i="5"/>
  <c r="HF11" i="5"/>
  <c r="GS3" i="13"/>
  <c r="HN14" i="5"/>
  <c r="HM32" i="4"/>
  <c r="HM18" i="15"/>
  <c r="HN3" i="15"/>
  <c r="HN12" i="4"/>
  <c r="HM12" i="4"/>
  <c r="HG12" i="4"/>
  <c r="HN19" i="2"/>
  <c r="HG4" i="3"/>
  <c r="HF4" i="3"/>
  <c r="HN4" i="3"/>
  <c r="GS22" i="15"/>
  <c r="HM15" i="15"/>
  <c r="HG15" i="15"/>
  <c r="HF15" i="15"/>
  <c r="HN5" i="15"/>
  <c r="GS8" i="15"/>
  <c r="HF6" i="5"/>
  <c r="HG6" i="5"/>
  <c r="HN6" i="5"/>
  <c r="HM6" i="5"/>
  <c r="HM20" i="4"/>
  <c r="GS7" i="14"/>
  <c r="HG15" i="2"/>
  <c r="HN15" i="2"/>
  <c r="HM15" i="2"/>
  <c r="HF15" i="2"/>
  <c r="HM5" i="15"/>
  <c r="HF5" i="15"/>
  <c r="HG2" i="4"/>
  <c r="HN2" i="4"/>
  <c r="HM2" i="4"/>
  <c r="HF2" i="4"/>
  <c r="HG14" i="4"/>
  <c r="HF6" i="15"/>
  <c r="HM6" i="15"/>
  <c r="HN6" i="15"/>
  <c r="HM4" i="7"/>
  <c r="HG4" i="7"/>
  <c r="HF4" i="7"/>
  <c r="HN4" i="7"/>
  <c r="HM9" i="15"/>
  <c r="HN9" i="15"/>
  <c r="HN32" i="4"/>
  <c r="GS31" i="4"/>
  <c r="HG21" i="15"/>
  <c r="HG5" i="15"/>
  <c r="GS10" i="5"/>
  <c r="GS3" i="12"/>
  <c r="HG26" i="4"/>
  <c r="HF26" i="4"/>
  <c r="HM26" i="4"/>
  <c r="HF2" i="8"/>
  <c r="HG2" i="8"/>
  <c r="HN2" i="8"/>
  <c r="HM2" i="8"/>
  <c r="HM2" i="7"/>
  <c r="HG11" i="2"/>
  <c r="HN2" i="7"/>
  <c r="GS14" i="15"/>
  <c r="GS5" i="7"/>
  <c r="GS3" i="5"/>
  <c r="HM5" i="5"/>
  <c r="HM21" i="2"/>
  <c r="HG18" i="4"/>
  <c r="HF5" i="5"/>
  <c r="GS2" i="13"/>
  <c r="HF2" i="13" s="1"/>
  <c r="GS19" i="2"/>
  <c r="HG8" i="14"/>
  <c r="GS10" i="15"/>
  <c r="GS23" i="4"/>
  <c r="HF23" i="4" s="1"/>
  <c r="GS18" i="4"/>
  <c r="HN18" i="4" s="1"/>
  <c r="HN16" i="4"/>
  <c r="GS5" i="2"/>
  <c r="GS16" i="15"/>
  <c r="HN16" i="15" s="1"/>
  <c r="GS6" i="2"/>
  <c r="GS2" i="15"/>
  <c r="HM2" i="15" s="1"/>
  <c r="GS14" i="2"/>
  <c r="GS7" i="4"/>
  <c r="HM12" i="2"/>
  <c r="GS2" i="10"/>
  <c r="GS4" i="11"/>
  <c r="HN4" i="11" s="1"/>
  <c r="GS13" i="15"/>
  <c r="GS3" i="3"/>
  <c r="HG20" i="2"/>
  <c r="HN20" i="2"/>
  <c r="HG9" i="4"/>
  <c r="HF12" i="2"/>
  <c r="GS10" i="2"/>
  <c r="HF10" i="2" s="1"/>
  <c r="GS13" i="4"/>
  <c r="HN13" i="4" s="1"/>
  <c r="HN9" i="4"/>
  <c r="GS2" i="12"/>
  <c r="GS3" i="2"/>
  <c r="HM16" i="2"/>
  <c r="HF21" i="2"/>
  <c r="GS3" i="14"/>
  <c r="HN27" i="4"/>
  <c r="GS3" i="6"/>
  <c r="HF3" i="15"/>
  <c r="HM21" i="4"/>
  <c r="GS28" i="4"/>
  <c r="HM20" i="2"/>
  <c r="HG21" i="2"/>
  <c r="GS2" i="5"/>
  <c r="HG10" i="15"/>
  <c r="GS11" i="15"/>
  <c r="HN11" i="15" s="1"/>
  <c r="GS3" i="11"/>
  <c r="GS22" i="2"/>
  <c r="HN22" i="2" s="1"/>
  <c r="HN25" i="4"/>
  <c r="HG25" i="4"/>
  <c r="HM12" i="5"/>
  <c r="HF3" i="7"/>
  <c r="HM23" i="15"/>
  <c r="GS7" i="5"/>
  <c r="HM7" i="5" s="1"/>
  <c r="HN21" i="4"/>
  <c r="HN8" i="14"/>
  <c r="GS4" i="4"/>
  <c r="HG2" i="7"/>
  <c r="HG17" i="2"/>
  <c r="HN10" i="2"/>
  <c r="HM18" i="2"/>
  <c r="GS17" i="2"/>
  <c r="HN17" i="2" s="1"/>
  <c r="GS16" i="2"/>
  <c r="HG16" i="2" s="1"/>
  <c r="GS12" i="2"/>
  <c r="HG12" i="2" s="1"/>
  <c r="GS20" i="15"/>
  <c r="HM22" i="2"/>
  <c r="GS24" i="15"/>
  <c r="HN24" i="15" s="1"/>
  <c r="GS3" i="9"/>
  <c r="GS9" i="15"/>
  <c r="HG9" i="15" s="1"/>
  <c r="HF25" i="4"/>
  <c r="GS3" i="10"/>
  <c r="HN3" i="10" s="1"/>
  <c r="HG3" i="7"/>
  <c r="GS6" i="4"/>
  <c r="HF21" i="4"/>
  <c r="HM14" i="4"/>
  <c r="HM11" i="2"/>
  <c r="GS2" i="11"/>
  <c r="HM8" i="4"/>
  <c r="HN2" i="15"/>
  <c r="HF16" i="2"/>
  <c r="HF2" i="15"/>
  <c r="HG2" i="13"/>
  <c r="GS2" i="3"/>
  <c r="HG8" i="2"/>
  <c r="GS26" i="15"/>
  <c r="GS6" i="7"/>
  <c r="HF14" i="4"/>
  <c r="HF27" i="4"/>
  <c r="HM8" i="5"/>
  <c r="HG15" i="4"/>
  <c r="GS5" i="14"/>
  <c r="HN16" i="2"/>
  <c r="HG21" i="4"/>
  <c r="HN14" i="4"/>
  <c r="HN11" i="2"/>
  <c r="HN8" i="4"/>
  <c r="HN5" i="7"/>
  <c r="HG10" i="2"/>
  <c r="HM8" i="2"/>
  <c r="HF8" i="14"/>
  <c r="HM8" i="15"/>
  <c r="GS6" i="14"/>
  <c r="HM6" i="14" s="1"/>
  <c r="GS4" i="15"/>
  <c r="GS24" i="4"/>
  <c r="HG27" i="4"/>
  <c r="GS8" i="5"/>
  <c r="HF8" i="5" s="1"/>
  <c r="HN4" i="2"/>
  <c r="HN11" i="4"/>
  <c r="HM11" i="4"/>
  <c r="HF18" i="4"/>
  <c r="HG8" i="4"/>
  <c r="HM2" i="13"/>
  <c r="GS11" i="4"/>
  <c r="HM10" i="2"/>
  <c r="GS13" i="2"/>
  <c r="GS5" i="4"/>
  <c r="HF5" i="4" s="1"/>
  <c r="HG20" i="4"/>
  <c r="HF20" i="4"/>
  <c r="GS12" i="5"/>
  <c r="HG12" i="5" s="1"/>
  <c r="GS3" i="4"/>
  <c r="GS2" i="14"/>
  <c r="HM3" i="10"/>
  <c r="HN5" i="5"/>
  <c r="HF13" i="4" l="1"/>
  <c r="HM6" i="4"/>
  <c r="HG6" i="4"/>
  <c r="HN6" i="4"/>
  <c r="HF22" i="2"/>
  <c r="HN3" i="11"/>
  <c r="HG3" i="11"/>
  <c r="HF3" i="11"/>
  <c r="HM3" i="11"/>
  <c r="HG28" i="4"/>
  <c r="HM28" i="4"/>
  <c r="HN28" i="4"/>
  <c r="HF28" i="4"/>
  <c r="HF3" i="14"/>
  <c r="HM3" i="14"/>
  <c r="HG3" i="14"/>
  <c r="HN3" i="14"/>
  <c r="HM11" i="15"/>
  <c r="HN3" i="12"/>
  <c r="HM3" i="12"/>
  <c r="HG3" i="12"/>
  <c r="HF3" i="12"/>
  <c r="HF9" i="5"/>
  <c r="HM20" i="15"/>
  <c r="HF20" i="15"/>
  <c r="HG20" i="15"/>
  <c r="HN20" i="15"/>
  <c r="HM16" i="15"/>
  <c r="HN13" i="15"/>
  <c r="HM13" i="15"/>
  <c r="HF13" i="15"/>
  <c r="HG13" i="15"/>
  <c r="HN10" i="5"/>
  <c r="HG10" i="5"/>
  <c r="HF10" i="5"/>
  <c r="HM10" i="5"/>
  <c r="HN12" i="5"/>
  <c r="HG9" i="5"/>
  <c r="HG2" i="15"/>
  <c r="HG5" i="14"/>
  <c r="HF5" i="14"/>
  <c r="HN5" i="14"/>
  <c r="HM5" i="14"/>
  <c r="HG31" i="4"/>
  <c r="HN31" i="4"/>
  <c r="HF31" i="4"/>
  <c r="HM31" i="4"/>
  <c r="HG8" i="15"/>
  <c r="HF8" i="15"/>
  <c r="HG13" i="4"/>
  <c r="HG6" i="14"/>
  <c r="HG22" i="2"/>
  <c r="HM15" i="5"/>
  <c r="HG15" i="5"/>
  <c r="HF15" i="5"/>
  <c r="HN15" i="5"/>
  <c r="HM14" i="15"/>
  <c r="HG14" i="15"/>
  <c r="HF14" i="15"/>
  <c r="HN14" i="15"/>
  <c r="HF7" i="5"/>
  <c r="HF5" i="6"/>
  <c r="HG5" i="6"/>
  <c r="HN5" i="6"/>
  <c r="HM5" i="6"/>
  <c r="HF6" i="14"/>
  <c r="HF3" i="4"/>
  <c r="HN3" i="4"/>
  <c r="HG3" i="4"/>
  <c r="HM3" i="4"/>
  <c r="HF16" i="15"/>
  <c r="HN2" i="11"/>
  <c r="HF2" i="11"/>
  <c r="HG2" i="11"/>
  <c r="HM2" i="11"/>
  <c r="HG2" i="5"/>
  <c r="HF2" i="5"/>
  <c r="HN2" i="5"/>
  <c r="HM2" i="5"/>
  <c r="HN7" i="4"/>
  <c r="HM7" i="4"/>
  <c r="HG7" i="4"/>
  <c r="HF7" i="4"/>
  <c r="HF11" i="15"/>
  <c r="HN7" i="5"/>
  <c r="HM18" i="4"/>
  <c r="HM4" i="12"/>
  <c r="HF9" i="15"/>
  <c r="HG4" i="15"/>
  <c r="HN4" i="15"/>
  <c r="HF4" i="15"/>
  <c r="HM4" i="15"/>
  <c r="HM13" i="4"/>
  <c r="HG13" i="2"/>
  <c r="HM13" i="2"/>
  <c r="HF13" i="2"/>
  <c r="HN13" i="2"/>
  <c r="HN2" i="10"/>
  <c r="HF2" i="10"/>
  <c r="HG2" i="10"/>
  <c r="HM2" i="10"/>
  <c r="HG5" i="2"/>
  <c r="HM5" i="2"/>
  <c r="HN6" i="14"/>
  <c r="HM30" i="4"/>
  <c r="HG30" i="4"/>
  <c r="HN30" i="4"/>
  <c r="HF30" i="4"/>
  <c r="HN3" i="6"/>
  <c r="HM3" i="6"/>
  <c r="HF3" i="6"/>
  <c r="HG3" i="6"/>
  <c r="HM3" i="2"/>
  <c r="HN3" i="2"/>
  <c r="HG3" i="2"/>
  <c r="HF3" i="2"/>
  <c r="HF3" i="3"/>
  <c r="HN3" i="3"/>
  <c r="HM3" i="3"/>
  <c r="HG3" i="3"/>
  <c r="HM5" i="4"/>
  <c r="HN3" i="5"/>
  <c r="HG3" i="5"/>
  <c r="HM3" i="5"/>
  <c r="HG7" i="5"/>
  <c r="HN5" i="4"/>
  <c r="HN4" i="12"/>
  <c r="HG3" i="10"/>
  <c r="HN10" i="15"/>
  <c r="HM10" i="15"/>
  <c r="HG5" i="4"/>
  <c r="HN5" i="2"/>
  <c r="HM6" i="7"/>
  <c r="HN6" i="7"/>
  <c r="HG6" i="7"/>
  <c r="HF6" i="7"/>
  <c r="HN8" i="15"/>
  <c r="HM4" i="4"/>
  <c r="HN4" i="4"/>
  <c r="HG4" i="4"/>
  <c r="HF4" i="4"/>
  <c r="HF12" i="5"/>
  <c r="HN14" i="2"/>
  <c r="HM14" i="2"/>
  <c r="HG14" i="2"/>
  <c r="HF14" i="2"/>
  <c r="HG4" i="11"/>
  <c r="HF22" i="15"/>
  <c r="HG22" i="15"/>
  <c r="HN22" i="15"/>
  <c r="HM22" i="15"/>
  <c r="HN3" i="13"/>
  <c r="HM3" i="13"/>
  <c r="HG3" i="13"/>
  <c r="HF3" i="13"/>
  <c r="HM19" i="15"/>
  <c r="HN19" i="15"/>
  <c r="HF19" i="15"/>
  <c r="HG19" i="15"/>
  <c r="HF4" i="12"/>
  <c r="HM9" i="14"/>
  <c r="HM2" i="14"/>
  <c r="HF2" i="14"/>
  <c r="HN2" i="14"/>
  <c r="HG2" i="14"/>
  <c r="HN8" i="5"/>
  <c r="HG8" i="5"/>
  <c r="HM26" i="15"/>
  <c r="HN26" i="15"/>
  <c r="HG26" i="15"/>
  <c r="HF26" i="15"/>
  <c r="HG2" i="3"/>
  <c r="HF2" i="3"/>
  <c r="HN2" i="3"/>
  <c r="HM2" i="3"/>
  <c r="HF10" i="15"/>
  <c r="HG5" i="7"/>
  <c r="HF5" i="7"/>
  <c r="HM5" i="7"/>
  <c r="HM7" i="14"/>
  <c r="HG7" i="14"/>
  <c r="HF7" i="14"/>
  <c r="HN7" i="14"/>
  <c r="HM9" i="5"/>
  <c r="HN9" i="14"/>
  <c r="HM4" i="11"/>
  <c r="HG12" i="15"/>
  <c r="HF12" i="15"/>
  <c r="HN12" i="15"/>
  <c r="HM12" i="15"/>
  <c r="HF3" i="10"/>
  <c r="HF9" i="14"/>
  <c r="HF11" i="4"/>
  <c r="HG11" i="4"/>
  <c r="HF3" i="9"/>
  <c r="HM3" i="9"/>
  <c r="HN3" i="9"/>
  <c r="HG3" i="9"/>
  <c r="HN24" i="4"/>
  <c r="HF24" i="4"/>
  <c r="HG24" i="4"/>
  <c r="HM24" i="4"/>
  <c r="HM17" i="2"/>
  <c r="HF17" i="2"/>
  <c r="HF6" i="4"/>
  <c r="HF4" i="11"/>
  <c r="HG2" i="12"/>
  <c r="HN2" i="12"/>
  <c r="HF2" i="12"/>
  <c r="HM2" i="12"/>
  <c r="HM6" i="2"/>
  <c r="HF6" i="2"/>
  <c r="HN6" i="2"/>
  <c r="HG6" i="2"/>
  <c r="HN23" i="4"/>
  <c r="HM23" i="4"/>
  <c r="HG23" i="4"/>
  <c r="HM19" i="2"/>
  <c r="HF19" i="2"/>
  <c r="HG19" i="2"/>
  <c r="HN2" i="13"/>
  <c r="HG16" i="1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2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futureMetadata>
  <cellMetadata count="1">
    <bk>
      <rc t="1" v="0"/>
    </bk>
  </cellMetadata>
  <valueMetadata count="12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valueMetadata>
</metadata>
</file>

<file path=xl/sharedStrings.xml><?xml version="1.0" encoding="utf-8"?>
<sst xmlns="http://schemas.openxmlformats.org/spreadsheetml/2006/main" count="9118" uniqueCount="885">
  <si>
    <t>Country</t>
  </si>
  <si>
    <t>LEVEL</t>
  </si>
  <si>
    <t xml:space="preserve"> </t>
  </si>
  <si>
    <t>Subtype</t>
  </si>
  <si>
    <t>Population 2023</t>
  </si>
  <si>
    <t>Tourists 2023</t>
  </si>
  <si>
    <t>Regional</t>
  </si>
  <si>
    <t>Avg</t>
  </si>
  <si>
    <t>Flag Date</t>
  </si>
  <si>
    <t>Description</t>
  </si>
  <si>
    <t>Word count</t>
  </si>
  <si>
    <t>Bands</t>
  </si>
  <si>
    <t>Diagon</t>
  </si>
  <si>
    <t>Crosse</t>
  </si>
  <si>
    <t>Horizo</t>
  </si>
  <si>
    <t>Vertic</t>
  </si>
  <si>
    <t>Circle</t>
  </si>
  <si>
    <t>Animal</t>
  </si>
  <si>
    <t>Bird</t>
  </si>
  <si>
    <t>Plants</t>
  </si>
  <si>
    <t>Texted</t>
  </si>
  <si>
    <t>Weapon</t>
  </si>
  <si>
    <t>HasSun</t>
  </si>
  <si>
    <t>IsMoon</t>
  </si>
  <si>
    <t>Trside</t>
  </si>
  <si>
    <t>Unequa</t>
  </si>
  <si>
    <t>Center</t>
  </si>
  <si>
    <t>Canton</t>
  </si>
  <si>
    <t>Nordic</t>
  </si>
  <si>
    <t>OnlyBa</t>
  </si>
  <si>
    <t>Wavess</t>
  </si>
  <si>
    <t>Geogrh</t>
  </si>
  <si>
    <t>Humans</t>
  </si>
  <si>
    <t>Builds</t>
  </si>
  <si>
    <t>Ships!</t>
  </si>
  <si>
    <t>Crowns</t>
  </si>
  <si>
    <t>Rotate</t>
  </si>
  <si>
    <t>Waters</t>
  </si>
  <si>
    <t>Stars</t>
  </si>
  <si>
    <t>Region1</t>
  </si>
  <si>
    <t>Region2</t>
  </si>
  <si>
    <t>Region3</t>
  </si>
  <si>
    <t>Island</t>
  </si>
  <si>
    <t>StarCL</t>
  </si>
  <si>
    <t>Myr</t>
  </si>
  <si>
    <t>BANDA</t>
  </si>
  <si>
    <t>BANDM</t>
  </si>
  <si>
    <t>BANDF</t>
  </si>
  <si>
    <t>OTHER0</t>
  </si>
  <si>
    <t>OTHER1</t>
  </si>
  <si>
    <t>Colors</t>
  </si>
  <si>
    <t>UNION</t>
  </si>
  <si>
    <t>ntWHYE</t>
  </si>
  <si>
    <t>ntREWH</t>
  </si>
  <si>
    <t>diagoband</t>
  </si>
  <si>
    <t>Landlocked</t>
  </si>
  <si>
    <t>EU</t>
  </si>
  <si>
    <t>Arabic Official</t>
  </si>
  <si>
    <t>Post Soviet</t>
  </si>
  <si>
    <t>Southern Cross</t>
  </si>
  <si>
    <t>Maps</t>
  </si>
  <si>
    <t>Monarchy</t>
  </si>
  <si>
    <t>2Color</t>
  </si>
  <si>
    <t>3Color</t>
  </si>
  <si>
    <t>4Color</t>
  </si>
  <si>
    <t>5+Colo</t>
  </si>
  <si>
    <t>NoBand</t>
  </si>
  <si>
    <t>2Bands</t>
  </si>
  <si>
    <t>3Bands</t>
  </si>
  <si>
    <t>4+Band</t>
  </si>
  <si>
    <t>NoStar</t>
  </si>
  <si>
    <t>1Stars</t>
  </si>
  <si>
    <t>2Stars</t>
  </si>
  <si>
    <t>3+Star</t>
  </si>
  <si>
    <t>Name</t>
  </si>
  <si>
    <t>Flag</t>
  </si>
  <si>
    <t>2 Colors</t>
  </si>
  <si>
    <t>3 Colors</t>
  </si>
  <si>
    <t>5+ Colors</t>
  </si>
  <si>
    <t>words2</t>
  </si>
  <si>
    <t>words3</t>
  </si>
  <si>
    <t>exact2</t>
  </si>
  <si>
    <t>letter</t>
  </si>
  <si>
    <t>starts</t>
  </si>
  <si>
    <t>contains tan</t>
  </si>
  <si>
    <t>contains q</t>
  </si>
  <si>
    <t>contains V</t>
  </si>
  <si>
    <t>contains W</t>
  </si>
  <si>
    <t>contains Y</t>
  </si>
  <si>
    <t>contains Z</t>
  </si>
  <si>
    <t>color2only</t>
  </si>
  <si>
    <t>color3only</t>
  </si>
  <si>
    <t>year18</t>
  </si>
  <si>
    <t>year19</t>
  </si>
  <si>
    <t>year00</t>
  </si>
  <si>
    <t>post soviet</t>
  </si>
  <si>
    <t>only vertical</t>
  </si>
  <si>
    <t>only horizontal</t>
  </si>
  <si>
    <t>only diagonal</t>
  </si>
  <si>
    <t>Lcross</t>
  </si>
  <si>
    <t>No Bands</t>
  </si>
  <si>
    <t>2 Bands</t>
  </si>
  <si>
    <t>3 Bands</t>
  </si>
  <si>
    <t>4+ Bands</t>
  </si>
  <si>
    <t>Diagonal</t>
  </si>
  <si>
    <t>Cross</t>
  </si>
  <si>
    <t>Horizontal</t>
  </si>
  <si>
    <t>Vertical</t>
  </si>
  <si>
    <t>Text</t>
  </si>
  <si>
    <t>Has Sun</t>
  </si>
  <si>
    <t>Moon</t>
  </si>
  <si>
    <t>Nordics</t>
  </si>
  <si>
    <t>Mounts</t>
  </si>
  <si>
    <t>Ships</t>
  </si>
  <si>
    <t>Star01</t>
  </si>
  <si>
    <t>Star02</t>
  </si>
  <si>
    <t>Star03</t>
  </si>
  <si>
    <t>NO_BLU</t>
  </si>
  <si>
    <t>NO_WHI</t>
  </si>
  <si>
    <t>NO_RED</t>
  </si>
  <si>
    <t>NO_GRE</t>
  </si>
  <si>
    <t>NO_YEL</t>
  </si>
  <si>
    <t>NO_BLA</t>
  </si>
  <si>
    <t>WHGRNO</t>
  </si>
  <si>
    <t>WHYENO</t>
  </si>
  <si>
    <t>BAWHNO</t>
  </si>
  <si>
    <t>BLWHINO</t>
  </si>
  <si>
    <t>BLRENO</t>
  </si>
  <si>
    <t>WHRENO</t>
  </si>
  <si>
    <t>Band01</t>
  </si>
  <si>
    <t>Band02</t>
  </si>
  <si>
    <t>Band03</t>
  </si>
  <si>
    <t>myr</t>
  </si>
  <si>
    <t>Landlock</t>
  </si>
  <si>
    <t>NOT EU</t>
  </si>
  <si>
    <t>Arabic</t>
  </si>
  <si>
    <t>English</t>
  </si>
  <si>
    <t>French</t>
  </si>
  <si>
    <t>Spanish</t>
  </si>
  <si>
    <t>Portuguese</t>
  </si>
  <si>
    <t>German</t>
  </si>
  <si>
    <t>Dutch</t>
  </si>
  <si>
    <t>Histor</t>
  </si>
  <si>
    <t>Canton Jack</t>
  </si>
  <si>
    <t>No Star</t>
  </si>
  <si>
    <t>HasSta</t>
  </si>
  <si>
    <t>1 Star</t>
  </si>
  <si>
    <t>2 Stars</t>
  </si>
  <si>
    <t>3+Stars</t>
  </si>
  <si>
    <t>Type</t>
  </si>
  <si>
    <t>Day</t>
  </si>
  <si>
    <t>BLA</t>
  </si>
  <si>
    <t>BLU</t>
  </si>
  <si>
    <t>GRE</t>
  </si>
  <si>
    <t>RED</t>
  </si>
  <si>
    <t>YEL</t>
  </si>
  <si>
    <t>ORA</t>
  </si>
  <si>
    <t>BRO</t>
  </si>
  <si>
    <t>PUR</t>
  </si>
  <si>
    <t>WHI</t>
  </si>
  <si>
    <t>Large Cross</t>
  </si>
  <si>
    <t>Small Cross</t>
  </si>
  <si>
    <t>ID</t>
  </si>
  <si>
    <t>Argentina</t>
  </si>
  <si>
    <t>https://upload.wikimedia.org/wikipedia/commons/thumb/1/1a/Flag_of_Argentina.svg/320px-Flag_of_Argentina.svg.png</t>
  </si>
  <si>
    <t>https://upload.wikimedia.org/wikipedia/commons/thumb/1/1a/Flag_of_Argentina.svg/2560px-Flag_of_Argentina.svg.png</t>
  </si>
  <si>
    <t>.</t>
  </si>
  <si>
    <t>https://en.wikipedia.org/wiki/Flag_of_Argentina</t>
  </si>
  <si>
    <t>[ARG]</t>
  </si>
  <si>
    <t>South America</t>
  </si>
  <si>
    <t xml:space="preserve">1818, 1861, 2010 </t>
  </si>
  <si>
    <t>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t>
  </si>
  <si>
    <t>n</t>
  </si>
  <si>
    <t>y</t>
  </si>
  <si>
    <t/>
  </si>
  <si>
    <t>Bolivia</t>
  </si>
  <si>
    <t>https://i.ibb.co/DG7Drzn/Bolivia-Flag.png</t>
  </si>
  <si>
    <t>https://upload.wikimedia.org/wikipedia/commons/thumb/4/48/Flag_of_Bolivia.svg/2560px-Flag_of_Bolivia.svg.png</t>
  </si>
  <si>
    <t>https://en.wikipedia.org/wiki/Flag_of_Bolivia</t>
  </si>
  <si>
    <t>[BOL]</t>
  </si>
  <si>
    <t xml:space="preserve">1851 </t>
  </si>
  <si>
    <t xml:space="preserve">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t>
  </si>
  <si>
    <t>Brazil</t>
  </si>
  <si>
    <t>https://i.ibb.co/M5577xy/Brazil-Flag.png</t>
  </si>
  <si>
    <t>https://upload.wikimedia.org/wikipedia/en/thumb/0/05/Flag_of_Brazil.svg/2560px-Flag_of_Brazil.svg.png</t>
  </si>
  <si>
    <t>https://en.wikipedia.org/wiki/Flag_of_Brazil</t>
  </si>
  <si>
    <t>[BRA]</t>
  </si>
  <si>
    <t xml:space="preserve">1889, 1992 </t>
  </si>
  <si>
    <t>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t>
  </si>
  <si>
    <t>Chile</t>
  </si>
  <si>
    <t>https://i.ibb.co/YWTPJTk/Chile-Flag.png</t>
  </si>
  <si>
    <t>https://upload.wikimedia.org/wikipedia/commons/thumb/7/78/Flag_of_Chile.svg/2560px-Flag_of_Chile.svg.png</t>
  </si>
  <si>
    <t>https://en.wikipedia.org/wiki/Flag_of_Chile</t>
  </si>
  <si>
    <t>[CHL]</t>
  </si>
  <si>
    <t xml:space="preserve">1817 </t>
  </si>
  <si>
    <t xml:space="preserve">The blue square represents the sky and the Pacific Ocean, the white stripe symbolizes the snow-covered Andes mountains, and the red stripe stands for the bloodshed during the fight for independence from Spain. The white star represents Venus and it is a symbol of guidance and honor​ </t>
  </si>
  <si>
    <t>Colombia</t>
  </si>
  <si>
    <t>https://i.ibb.co/xj0RpQG/Colombia-Flag.png</t>
  </si>
  <si>
    <t>https://upload.wikimedia.org/wikipedia/commons/thumb/2/21/Flag_of_Colombia.svg/2560px-Flag_of_Colombia.svg.png</t>
  </si>
  <si>
    <t>https://en.wikipedia.org/wiki/Flag_of_Colombia</t>
  </si>
  <si>
    <t>[COL]</t>
  </si>
  <si>
    <t xml:space="preserve">1861 </t>
  </si>
  <si>
    <t>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t>
  </si>
  <si>
    <t>Ecuador</t>
  </si>
  <si>
    <t>https://i.ibb.co/TbYwmWF/Ecuador-Flag.png</t>
  </si>
  <si>
    <t>https://upload.wikimedia.org/wikipedia/commons/thumb/e/e8/Flag_of_Ecuador.svg/2560px-Flag_of_Ecuador.svg.png</t>
  </si>
  <si>
    <t>https://en.wikipedia.org/wiki/Flag_of_Ecuador</t>
  </si>
  <si>
    <t>[ECU]</t>
  </si>
  <si>
    <t xml:space="preserve">1860, 1900, 2009 </t>
  </si>
  <si>
    <t>\n • Yellow: The crops and the fertile soil.\n\n • Blue: The ocean and the clear skies\n\n • Red: The blood spilled by the heroes who died in the name of their countrymen's Fatherland and Freedom.</t>
  </si>
  <si>
    <t>Falkland Islands</t>
  </si>
  <si>
    <t>https://upload.wikimedia.org/wikipedia/commons/thumb/8/83/Flag_of_the_Falkland_Islands.svg/383px-Flag_of_the_Falkland_Islands.svg.png</t>
  </si>
  <si>
    <t>https://upload.wikimedia.org/wikipedia/commons/thumb/8/83/Flag_of_the_Falkland_Islands.svg/2560px-Flag_of_the_Falkland_Islands.svg.png</t>
  </si>
  <si>
    <t>https://en.wikipedia.org/wiki/Flag_of_the_Falkland_Islands</t>
  </si>
  <si>
    <t>[FLK]</t>
  </si>
  <si>
    <t xml:space="preserve">1999 </t>
  </si>
  <si>
    <t>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t>
  </si>
  <si>
    <t>EQ</t>
  </si>
  <si>
    <t>French Guiana</t>
  </si>
  <si>
    <t>https://upload.wikimedia.org/wikipedia/commons/thumb/2/29/Flag_of_French_Guiana.svg/375px-Flag_of_French_Guiana.svg.png</t>
  </si>
  <si>
    <t>https://upload.wikimedia.org/wikipedia/commons/thumb/2/29/Flag_of_French_Guiana.svg/2560px-Flag_of_French_Guiana.svg.png</t>
  </si>
  <si>
    <t>https://en.wikipedia.org/wiki/Flag_of_French_Guiana</t>
  </si>
  <si>
    <t>[GUF]</t>
  </si>
  <si>
    <t xml:space="preserve">2010 </t>
  </si>
  <si>
    <t>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t>
  </si>
  <si>
    <t>Guyana</t>
  </si>
  <si>
    <t>https://i.ibb.co/XY6jnk1/Guyana-Flag.png</t>
  </si>
  <si>
    <t>https://upload.wikimedia.org/wikipedia/commons/thumb/9/99/Flag_of_Guyana.svg/2560px-Flag_of_Guyana.svg.png</t>
  </si>
  <si>
    <t>https://en.wikipedia.org/wiki/Flag_of_Guyana</t>
  </si>
  <si>
    <t>[GUY]</t>
  </si>
  <si>
    <t xml:space="preserve">1966 </t>
  </si>
  <si>
    <t>Red for zeal and dynamism, gold for mineral wealth, green for agriculture and forests, black for endurance, white for rivers and water.</t>
  </si>
  <si>
    <t>Paraguay</t>
  </si>
  <si>
    <t>https://i.ibb.co/fvh22wm/Paraguay-Flag.png</t>
  </si>
  <si>
    <t>https://upload.wikimedia.org/wikipedia/commons/thumb/2/27/Flag_of_Paraguay.svg/2560px-Flag_of_Paraguay.svg.png</t>
  </si>
  <si>
    <t>https://en.wikipedia.org/wiki/Flag_of_Paraguay</t>
  </si>
  <si>
    <t>[PRY]</t>
  </si>
  <si>
    <t xml:space="preserve">1842, 2013 </t>
  </si>
  <si>
    <t>The colours of the flag are believed to be inspired from the flag of France to show independence and liberty, and the coat of arms represents the independence of Paraguay.</t>
  </si>
  <si>
    <t>Peru</t>
  </si>
  <si>
    <t>https://i.ibb.co/YNcYq42/Peru-Flag.png</t>
  </si>
  <si>
    <t>https://upload.wikimedia.org/wikipedia/commons/thumb/c/cf/Flag_of_Peru.svg/2560px-Flag_of_Peru.svg.png</t>
  </si>
  <si>
    <t>https://en.wikipedia.org/wiki/Flag_of_Peru</t>
  </si>
  <si>
    <t>[PER]</t>
  </si>
  <si>
    <t xml:space="preserve">1825, 1950 </t>
  </si>
  <si>
    <t>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t>
  </si>
  <si>
    <t>English, Chinese, Malay</t>
  </si>
  <si>
    <t>Suriname</t>
  </si>
  <si>
    <t>https://i.ibb.co/5Ks9qPr/Suriname-Flag.png</t>
  </si>
  <si>
    <t>https://upload.wikimedia.org/wikipedia/commons/thumb/6/60/Flag_of_Suriname.svg/2560px-Flag_of_Suriname.svg.png</t>
  </si>
  <si>
    <t>https://en.wikipedia.org/wiki/Flag_of_Suriname</t>
  </si>
  <si>
    <t>[SUR]</t>
  </si>
  <si>
    <t xml:space="preserve">1975 </t>
  </si>
  <si>
    <t>The color red represents progress, white represents freedom and justice and the green represents the fertility of the land. The yellow star represents unity and a golden future.</t>
  </si>
  <si>
    <t>Uruguay</t>
  </si>
  <si>
    <t>https://i.ibb.co/cLPFZhg/Uruguay-Flag.png</t>
  </si>
  <si>
    <t>https://upload.wikimedia.org/wikipedia/commons/thumb/f/fe/Flag_of_Uruguay.svg/2560px-Flag_of_Uruguay.svg.png</t>
  </si>
  <si>
    <t>https://en.wikipedia.org/wiki/Flag_of_Uruguay</t>
  </si>
  <si>
    <t>[URU]</t>
  </si>
  <si>
    <t xml:space="preserve">1828, 1830 </t>
  </si>
  <si>
    <t>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t>
  </si>
  <si>
    <t>yy</t>
  </si>
  <si>
    <t>English, Chamorro</t>
  </si>
  <si>
    <t>Venezuela</t>
  </si>
  <si>
    <t>https://i.ibb.co/FnjCzQh/Venezuela-Flag.png</t>
  </si>
  <si>
    <t>https://upload.wikimedia.org/wikipedia/commons/thumb/0/06/Flag_of_Venezuela.svg/2560px-Flag_of_Venezuela.svg.png</t>
  </si>
  <si>
    <t>https://en.wikipedia.org/wiki/Flag_of_Venezuela</t>
  </si>
  <si>
    <t>[VEN]</t>
  </si>
  <si>
    <t xml:space="preserve">2006 </t>
  </si>
  <si>
    <t>\n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t>
  </si>
  <si>
    <t>nn</t>
  </si>
  <si>
    <t>English, Gilbertese</t>
  </si>
  <si>
    <t>[ARG] Buenos Aires Province</t>
  </si>
  <si>
    <t>https://upload.wikimedia.org/wikipedia/commons/thumb/1/15/Bandera_de_la_Provincia_de_Buenos_Aires.svg/320px-Bandera_de_la_Provincia_de_Buenos_Aires.svg.png</t>
  </si>
  <si>
    <t>https://upload.wikimedia.org/wikipedia/commons/thumb/1/15/Bandera_de_la_Provincia_de_Buenos_Aires.svg/800px-Bandera_de_la_Provincia_de_Buenos_Aires.svg.png</t>
  </si>
  <si>
    <t>https://en.wikipedia.org/wiki/Flag_of_Buenos_Aires_Province</t>
  </si>
  <si>
    <t>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t>
  </si>
  <si>
    <t>Province</t>
  </si>
  <si>
    <t>nc</t>
  </si>
  <si>
    <t>[ARG] Catamarca</t>
  </si>
  <si>
    <t>https://upload.wikimedia.org/wikipedia/commons/thumb/7/7b/Bandera_de_la_Provincia_de_Catamarca.svg/320px-Bandera_de_la_Provincia_de_Catamarca.svg.png</t>
  </si>
  <si>
    <t>https://upload.wikimedia.org/wikipedia/commons/thumb/7/7b/Bandera_de_la_Provincia_de_Catamarca.svg/640px-Bandera_de_la_Provincia_de_Catamarca.svg.png</t>
  </si>
  <si>
    <t>https://en.wikipedia.org/wiki/Flag_of_Catamarca</t>
  </si>
  <si>
    <t>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t>
  </si>
  <si>
    <t>[ARG] Chaco</t>
  </si>
  <si>
    <t>https://upload.wikimedia.org/wikipedia/commons/thumb/3/33/Bandera_de_la_Provincia_del_Chaco.svg/640px-Bandera_de_la_Provincia_del_Chaco.svg.png</t>
  </si>
  <si>
    <t>https://upload.wikimedia.org/wikipedia/commons/thumb/3/33/Bandera_de_la_Provincia_del_Chaco.svg/2560px-Bandera_de_la_Provincia_del_Chaco.svg.png</t>
  </si>
  <si>
    <t>https://es.wikipedia.org/wiki/Bandera_de_la_provincia_del_Chaco</t>
  </si>
  <si>
    <t xml:space="preserve">2007 </t>
  </si>
  <si>
    <t>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t>
  </si>
  <si>
    <t>[ARG] Chubut</t>
  </si>
  <si>
    <t>https://upload.wikimedia.org/wikipedia/commons/thumb/8/88/Bandera_de_la_Provincia_del_Chubut.svg/320px-Bandera_de_la_Provincia_del_Chubut.svg.png</t>
  </si>
  <si>
    <t>https://upload.wikimedia.org/wikipedia/commons/thumb/8/88/Bandera_de_la_Provincia_del_Chubut.svg/800px-Bandera_de_la_Provincia_del_Chubut.svg.png</t>
  </si>
  <si>
    <t>https://www.crwflags.com/fotw/flags/ar-u.html</t>
  </si>
  <si>
    <t>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t>
  </si>
  <si>
    <t>[ARG] Cordoba</t>
  </si>
  <si>
    <t>https://upload.wikimedia.org/wikipedia/commons/thumb/f/f6/Bandera_de_la_Provincia_de_C%C3%B3rdoba_2014.svg/640px-Bandera_de_la_Provincia_de_C%C3%B3rdoba_2014.svg.png</t>
  </si>
  <si>
    <t>https://upload.wikimedia.org/wikipedia/commons/thumb/f/f6/Bandera_de_la_Provincia_de_C%C3%B3rdoba_2014.svg/2560px-Bandera_de_la_Provincia_de_C%C3%B3rdoba_2014.svg.png</t>
  </si>
  <si>
    <t>https://es.wikipedia.org/wiki/Bandera_de_la_provincia_de_Córdoba_(Argentina)</t>
  </si>
  <si>
    <t>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t>
  </si>
  <si>
    <t>[ARG] Corrientes</t>
  </si>
  <si>
    <t>https://upload.wikimedia.org/wikipedia/commons/thumb/4/46/Bandera_de_la_Provincia_de_Corrientes.svg/320px-Bandera_de_la_Provincia_de_Corrientes.svg.png</t>
  </si>
  <si>
    <t>https://upload.wikimedia.org/wikipedia/commons/thumb/4/46/Bandera_de_la_Provincia_de_Corrientes.svg/800px-Bandera_de_la_Provincia_de_Corrientes.svg.png</t>
  </si>
  <si>
    <t>https://www.crwflags.com/fotw/flags/ar-w.html#1823</t>
  </si>
  <si>
    <t>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t>
  </si>
  <si>
    <t>[ARG] Formosa</t>
  </si>
  <si>
    <t>https://upload.wikimedia.org/wikipedia/commons/thumb/4/42/Bandera_de_la_Provincia_de_Formosa.svg/320px-Bandera_de_la_Provincia_de_Formosa.svg.png</t>
  </si>
  <si>
    <t>https://upload.wikimedia.org/wikipedia/commons/thumb/4/42/Bandera_de_la_Provincia_de_Formosa.svg/640px-Bandera_de_la_Provincia_de_Formosa.svg.png</t>
  </si>
  <si>
    <t>https://www.crwflags.com/fotw/flags/ar-p.html</t>
  </si>
  <si>
    <t>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t>
  </si>
  <si>
    <t>English, Marshallese</t>
  </si>
  <si>
    <t>[ARG] La Pampa</t>
  </si>
  <si>
    <t>https://upload.wikimedia.org/wikipedia/commons/thumb/8/81/Bandera_de_la_Provincia_de_La_Pampa.svg/320px-Bandera_de_la_Provincia_de_La_Pampa.svg.png</t>
  </si>
  <si>
    <t>https://upload.wikimedia.org/wikipedia/commons/thumb/8/81/Bandera_de_la_Provincia_de_La_Pampa.svg/800px-Bandera_de_la_Provincia_de_La_Pampa.svg.png</t>
  </si>
  <si>
    <t>https://www.crwflags.com/fotw/flags/ar-l.html</t>
  </si>
  <si>
    <t>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t>
  </si>
  <si>
    <t>[ARG] La Rioja</t>
  </si>
  <si>
    <t>https://upload.wikimedia.org/wikipedia/commons/thumb/6/60/Bandera_de_la_Provincia_de_La_Rioja.svg/320px-Bandera_de_la_Provincia_de_La_Rioja.svg.png</t>
  </si>
  <si>
    <t>https://upload.wikimedia.org/wikipedia/commons/thumb/6/60/Bandera_de_la_Provincia_de_La_Rioja.svg/700px-Bandera_de_la_Provincia_de_La_Rioja.svg.png</t>
  </si>
  <si>
    <t>https://www.crwflags.com/fotw/flags/ar-f.html</t>
  </si>
  <si>
    <t>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t>
  </si>
  <si>
    <t>[ARG] Misiones</t>
  </si>
  <si>
    <t>https://upload.wikimedia.org/wikipedia/commons/thumb/c/ce/Bandera_de_la_Provincia_de_Misiones.svg/640px-Bandera_de_la_Provincia_de_Misiones.svg.png</t>
  </si>
  <si>
    <t>https://upload.wikimedia.org/wikipedia/commons/thumb/c/ce/Bandera_de_la_Provincia_de_Misiones.svg/2560px-Bandera_de_la_Provincia_de_Misiones.svg.png</t>
  </si>
  <si>
    <t>https://es.wikipedia.org/wiki/Bandera_de_Misiones</t>
  </si>
  <si>
    <t xml:space="preserve">1992 </t>
  </si>
  <si>
    <t>According to José Artigas himself, the meaning of the flag is as follows:\n\n • Red: for the blood spilled to sustain our freedom and independence.\n\n • Blue: of our decision for the Republic.\n\n • White: of our distinction and greatness.</t>
  </si>
  <si>
    <t>[ARG] Neuquén</t>
  </si>
  <si>
    <t>https://upload.wikimedia.org/wikipedia/commons/thumb/b/bc/Bandera_de_la_Provincia_de_Neuqu%C3%A9n.svg/301px-Bandera_de_la_Provincia_de_Neuqu%C3%A9n.svg.png</t>
  </si>
  <si>
    <t>https://upload.wikimedia.org/wikipedia/commons/thumb/b/bc/Bandera_de_la_Provincia_de_Neuqu%C3%A9n.svg/664px-Bandera_de_la_Provincia_de_Neuqu%C3%A9n.svg.png</t>
  </si>
  <si>
    <t>https://www.crwflags.com/fotw/flags/ar-q.html</t>
  </si>
  <si>
    <t>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t>
  </si>
  <si>
    <t>[ARG] Rio Negro</t>
  </si>
  <si>
    <t>https://upload.wikimedia.org/wikipedia/commons/thumb/5/5d/Bandera_de_la_Provincia_del_R%C3%ADo_Negro.svg/320px-Bandera_de_la_Provincia_del_R%C3%ADo_Negro.svg.png</t>
  </si>
  <si>
    <t>https://upload.wikimedia.org/wikipedia/commons/thumb/5/5d/Bandera_de_la_Provincia_del_R%C3%ADo_Negro.svg/2560px-Bandera_de_la_Provincia_del_R%C3%ADo_Negro.svg.png</t>
  </si>
  <si>
    <t>https://es.wikipedia.org/wiki/Bandera_de_la_provincia_del_Río_Negro</t>
  </si>
  <si>
    <t xml:space="preserve">2009 </t>
  </si>
  <si>
    <t>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t>
  </si>
  <si>
    <t>[ARG] Salta</t>
  </si>
  <si>
    <t>https://upload.wikimedia.org/wikipedia/commons/thumb/6/6a/Bandera_de_la_Provincia_de_Salta.svg/320px-Bandera_de_la_Provincia_de_Salta.svg.png</t>
  </si>
  <si>
    <t>https://upload.wikimedia.org/wikipedia/commons/thumb/6/6a/Bandera_de_la_Provincia_de_Salta.svg/640px-Bandera_de_la_Provincia_de_Salta.svg.png</t>
  </si>
  <si>
    <t>https://en.wikipedia.org/wiki/Flag_of_Salta</t>
  </si>
  <si>
    <t>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t>
  </si>
  <si>
    <t>[ARG] San Luis</t>
  </si>
  <si>
    <t>https://upload.wikimedia.org/wikipedia/commons/thumb/0/0e/Bandera_de_la_Provincia_de_San_Luis.svg/320px-Bandera_de_la_Provincia_de_San_Luis.svg.png</t>
  </si>
  <si>
    <t>https://upload.wikimedia.org/wikipedia/commons/thumb/0/0e/Bandera_de_la_Provincia_de_San_Luis.svg/640px-Bandera_de_la_Provincia_de_San_Luis.svg.png</t>
  </si>
  <si>
    <t>https://www.crwflags.com/fotw/flags/ar-d.html</t>
  </si>
  <si>
    <t>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t>
  </si>
  <si>
    <t>[ARG] Santa Cruz</t>
  </si>
  <si>
    <t>https://upload.wikimedia.org/wikipedia/commons/thumb/4/45/Bandera_de_la_Provincia_de_Santa_Cruz.svg/320px-Bandera_de_la_Provincia_de_Santa_Cruz.svg.png</t>
  </si>
  <si>
    <t>https://upload.wikimedia.org/wikipedia/commons/thumb/4/45/Bandera_de_la_Provincia_de_Santa_Cruz.svg/765px-Bandera_de_la_Provincia_de_Santa_Cruz.svg.png</t>
  </si>
  <si>
    <t>https://www.crwflags.com/fotw/flags/ar-z.html</t>
  </si>
  <si>
    <t>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t>
  </si>
  <si>
    <t>[ARG] Santa Fe</t>
  </si>
  <si>
    <t>https://upload.wikimedia.org/wikipedia/commons/thumb/8/84/Bandera_de_la_Provincia_de_Santa_Fe.svg/320px-Bandera_de_la_Provincia_de_Santa_Fe.svg.png</t>
  </si>
  <si>
    <t>https://upload.wikimedia.org/wikipedia/commons/thumb/8/84/Bandera_de_la_Provincia_de_Santa_Fe.svg/2560px-Bandera_de_la_Provincia_de_Santa_Fe.svg.png</t>
  </si>
  <si>
    <t>https://en.wikipedia.org/wiki/Flag_of_Santa_Fe_Province</t>
  </si>
  <si>
    <t>1822, 1986</t>
  </si>
  <si>
    <t>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t>
  </si>
  <si>
    <t>GRA</t>
  </si>
  <si>
    <t>English, Chamorro, Carolinian</t>
  </si>
  <si>
    <t>[ARG] Santiago del Estero</t>
  </si>
  <si>
    <t>https://upload.wikimedia.org/wikipedia/commons/thumb/0/07/Bandera_de_la_Provincia_de_Santiago_del_Estero.svg/320px-Bandera_de_la_Provincia_de_Santiago_del_Estero.svg.png</t>
  </si>
  <si>
    <t>https://upload.wikimedia.org/wikipedia/commons/thumb/0/07/Bandera_de_la_Provincia_de_Santiago_del_Estero.svg/2560px-Bandera_de_la_Provincia_de_Santiago_del_Estero.svg.png</t>
  </si>
  <si>
    <t>https://en.wikipedia.org/wiki/Flag_of_Santiago_del_Estero_Province</t>
  </si>
  <si>
    <t>Light blue and white are the Argentine national colors, while red represents the Federalist Party to which the province owes its autonomy. The sun refers to the Sun of May present on the national flag. The cross represents the Catholic and Spanish heritage of the region.</t>
  </si>
  <si>
    <t>[ARG] [ANT] Tierra del Fuego</t>
  </si>
  <si>
    <t>https://upload.wikimedia.org/wikipedia/commons/thumb/9/94/Bandera_de_la_Provincia_de_Tierra_del_Fuego.svg/640px-Bandera_de_la_Provincia_de_Tierra_del_Fuego.svg.png</t>
  </si>
  <si>
    <t>https://upload.wikimedia.org/wikipedia/commons/thumb/9/94/Bandera_de_la_Provincia_de_Tierra_del_Fuego.svg/2560px-Bandera_de_la_Provincia_de_Tierra_del_Fuego.svg.png</t>
  </si>
  <si>
    <t>[·] Antarctica</t>
  </si>
  <si>
    <t>https://en.wikipedia.org/wiki/Flag_of_the_Tierra_del_Fuego_Province,_Argentina</t>
  </si>
  <si>
    <t>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t>
  </si>
  <si>
    <t>Antarctica, rgn_South America</t>
  </si>
  <si>
    <t>[ARG] Tucumán</t>
  </si>
  <si>
    <t>https://upload.wikimedia.org/wikipedia/commons/thumb/c/ce/Bandera_de_la_Provincia_de_Tucum%C3%A1n.svg/320px-Bandera_de_la_Provincia_de_Tucum%C3%A1n.svg.png</t>
  </si>
  <si>
    <t>https://upload.wikimedia.org/wikipedia/commons/thumb/c/ce/Bandera_de_la_Provincia_de_Tucum%C3%A1n.svg/2560px-Bandera_de_la_Provincia_de_Tucum%C3%A1n.svg.png</t>
  </si>
  <si>
    <t>https://en.wikipedia.org/wiki/Flag_of_Tucum%C3%A1n</t>
  </si>
  <si>
    <t>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t>
  </si>
  <si>
    <t>[BOL] Bolivia (State Flag)</t>
  </si>
  <si>
    <t>https://upload.wikimedia.org/wikipedia/commons/thumb/b/b3/Bandera_de_Bolivia_%28Estado%29.svg/640px-Bandera_de_Bolivia_%28Estado%29.svg.png</t>
  </si>
  <si>
    <t>https://upload.wikimedia.org/wikipedia/commons/thumb/b/b3/Bandera_de_Bolivia_%28Estado%29.svg/2560px-Bandera_de_Bolivia_%28Estado%29.svg.png</t>
  </si>
  <si>
    <t>1851</t>
  </si>
  <si>
    <t>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t>
  </si>
  <si>
    <t>State</t>
  </si>
  <si>
    <t>English, Nauruan</t>
  </si>
  <si>
    <t>[BRA] Acre</t>
  </si>
  <si>
    <t>https://upload.wikimedia.org/wikipedia/commons/thumb/4/4c/Bandeira_do_Acre.svg/640px-Bandeira_do_Acre.svg.png</t>
  </si>
  <si>
    <t>https://upload.wikimedia.org/wikipedia/commons/thumb/4/4c/Bandeira_do_Acre.svg/2560px-Bandeira_do_Acre.svg.png</t>
  </si>
  <si>
    <t>https://en.wikipedia.org/wiki/Flag_of_Acre</t>
  </si>
  <si>
    <t xml:space="preserve">1995 </t>
  </si>
  <si>
    <t xml:space="preserve">The yellow represents the riches of the earth, the green represents hope, the red star in the upper left, called the Altaneira Star, represents the blood of those who fought for the annexation of the current state of Acre to Brazil. </t>
  </si>
  <si>
    <t>[BRA] Alagoas</t>
  </si>
  <si>
    <t>https://upload.wikimedia.org/wikipedia/commons/thumb/8/88/Bandeira_de_Alagoas.svg/640px-Bandeira_de_Alagoas.svg.png</t>
  </si>
  <si>
    <t>https://upload.wikimedia.org/wikipedia/commons/thumb/8/88/Bandeira_de_Alagoas.svg/2560px-Bandeira_de_Alagoas.svg.png</t>
  </si>
  <si>
    <t>https://en.wikipedia.org/wiki/Flag_of_Alagoas</t>
  </si>
  <si>
    <t xml:space="preserve">1963 </t>
  </si>
  <si>
    <t>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t>
  </si>
  <si>
    <t>3 Fishes</t>
  </si>
  <si>
    <t>English, Maori</t>
  </si>
  <si>
    <t>[BRA] Amapá</t>
  </si>
  <si>
    <t>https://upload.wikimedia.org/wikipedia/commons/thumb/0/0c/Bandeira_do_Amap%C3%A1.svg/640px-Bandeira_do_Amap%C3%A1.svg.png</t>
  </si>
  <si>
    <t>https://upload.wikimedia.org/wikipedia/commons/thumb/0/0c/Bandeira_do_Amap%C3%A1.svg/2560px-Bandeira_do_Amap%C3%A1.svg.png</t>
  </si>
  <si>
    <t>https://en.wikipedia.org/wiki/Flag_of_Amapá</t>
  </si>
  <si>
    <t xml:space="preserve">1984 </t>
  </si>
  <si>
    <t>The green represents the forests; the yellow represents mineral wealth; the blue represents the sky; the white represents peace; black symbolizes the respect for those who died fighting for the state.</t>
  </si>
  <si>
    <t>[BRA] Amazonas</t>
  </si>
  <si>
    <t>https://upload.wikimedia.org/wikipedia/commons/thumb/6/6b/Bandeira_do_Amazonas.svg/640px-Bandeira_do_Amazonas.svg.png</t>
  </si>
  <si>
    <t>https://upload.wikimedia.org/wikipedia/commons/thumb/6/6b/Bandeira_do_Amazonas.svg/2560px-Bandeira_do_Amazonas.svg.png</t>
  </si>
  <si>
    <t>https://en.wikipedia.org/wiki/Flag_of_Amazonas_(Brazilian_state)</t>
  </si>
  <si>
    <t xml:space="preserve">1982 </t>
  </si>
  <si>
    <t>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t>
  </si>
  <si>
    <t>[BRA] Bahia</t>
  </si>
  <si>
    <t>https://upload.wikimedia.org/wikipedia/commons/thumb/2/28/Bandeira_da_Bahia.svg/640px-Bandeira_da_Bahia.svg.png</t>
  </si>
  <si>
    <t>https://upload.wikimedia.org/wikipedia/commons/thumb/2/28/Bandeira_da_Bahia.svg/2560px-Bandeira_da_Bahia.svg.png</t>
  </si>
  <si>
    <t>https://en.wikipedia.org/wiki/Flag_of_Bahia</t>
  </si>
  <si>
    <t xml:space="preserve">1960 </t>
  </si>
  <si>
    <t>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t>
  </si>
  <si>
    <t>[BRA] Ceará</t>
  </si>
  <si>
    <t>https://upload.wikimedia.org/wikipedia/commons/thumb/2/2e/Bandeira_do_Cear%C3%A1.svg/640px-Bandeira_do_Cear%C3%A1.svg.png</t>
  </si>
  <si>
    <t>https://upload.wikimedia.org/wikipedia/commons/thumb/2/2e/Bandeira_do_Cear%C3%A1.svg/2560px-Bandeira_do_Cear%C3%A1.svg.png</t>
  </si>
  <si>
    <t>https://en.wikipedia.org/wiki/Flag_of_Ceará</t>
  </si>
  <si>
    <t xml:space="preserve">1922 </t>
  </si>
  <si>
    <t>Bottom-right: The Carnaúba tree is the state tree of Ceará and represents earth.\nBottom-left: The jangada boat represents water.\nTop-right: The dove and mountains represent air.\nTop-left: The sun represents fire.</t>
  </si>
  <si>
    <t>1 Seagull</t>
  </si>
  <si>
    <t>[BRA] Espirito Santo</t>
  </si>
  <si>
    <t>https://upload.wikimedia.org/wikipedia/commons/thumb/4/43/Bandeira_do_Esp%C3%ADrito_Santo.svg/640px-Bandeira_do_Esp%C3%ADrito_Santo.svg.png</t>
  </si>
  <si>
    <t>https://upload.wikimedia.org/wikipedia/commons/thumb/4/43/Bandeira_do_Esp%C3%ADrito_Santo.svg/2560px-Bandeira_do_Esp%C3%ADrito_Santo.svg.png</t>
  </si>
  <si>
    <t>https://en.wikipedia.org/wiki/Flag_of_Espírito_Santo</t>
  </si>
  <si>
    <t xml:space="preserve">1947 </t>
  </si>
  <si>
    <t>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t>
  </si>
  <si>
    <t>[BRA] Federal District</t>
  </si>
  <si>
    <t>https://upload.wikimedia.org/wikipedia/commons/thumb/3/3c/Bandeira_do_Distrito_Federal_%28Brasil%29.svg/640px-Bandeira_do_Distrito_Federal_%28Brasil%29.svg.png</t>
  </si>
  <si>
    <t>https://upload.wikimedia.org/wikipedia/commons/thumb/3/3c/Bandeira_do_Distrito_Federal_%28Brasil%29.svg/2560px-Bandeira_do_Distrito_Federal_%28Brasil%29.svg.png</t>
  </si>
  <si>
    <t>https://en.wikipedia.org/wiki/Flag_of_the_Federal_District_(Brazil)</t>
  </si>
  <si>
    <t xml:space="preserve">1969 </t>
  </si>
  <si>
    <t xml:space="preserve">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t>
  </si>
  <si>
    <t>[BRA] Goias</t>
  </si>
  <si>
    <t>https://upload.wikimedia.org/wikipedia/commons/thumb/b/be/Flag_of_Goi%C3%A1s.svg/640px-Flag_of_Goi%C3%A1s.svg.png</t>
  </si>
  <si>
    <t>https://upload.wikimedia.org/wikipedia/commons/thumb/b/be/Flag_of_Goi%C3%A1s.svg/2560px-Flag_of_Goi%C3%A1s.svg.png</t>
  </si>
  <si>
    <t>https://en.wikipedia.org/wiki/Flag_of_Goiás</t>
  </si>
  <si>
    <t xml:space="preserve">1919 </t>
  </si>
  <si>
    <t>The yellow represents the gold, the green represents the forests, and the five white stars in the upper left hoist represent the Southern Cross. The Southern Cross was the constellation that gave Brazil its primitive names, Ilha de Vera Cruz and Terra de Santa Cruz.</t>
  </si>
  <si>
    <t>[BRA] Maranhao</t>
  </si>
  <si>
    <t>https://upload.wikimedia.org/wikipedia/commons/thumb/4/45/Bandeira_do_Maranh%C3%A3o.svg/640px-Bandeira_do_Maranh%C3%A3o.svg.png</t>
  </si>
  <si>
    <t>https://upload.wikimedia.org/wikipedia/commons/thumb/4/45/Bandeira_do_Maranh%C3%A3o.svg/2560px-Bandeira_do_Maranh%C3%A3o.svg.png</t>
  </si>
  <si>
    <t>https://en.wikipedia.org/wiki/Flag_of_Maranhão</t>
  </si>
  <si>
    <t xml:space="preserve">1889 </t>
  </si>
  <si>
    <t>The three colors of the stripes represent the ethnic composition of the population of Maranhão (Indigenous, black, and white people), while the star represents Beta Scorpii, which inturn represents the state of Maranhão on the Flag of Brazil.</t>
  </si>
  <si>
    <t>[BRA] Matto Grosso</t>
  </si>
  <si>
    <t>https://upload.wikimedia.org/wikipedia/commons/thumb/0/0b/Bandeira_de_Mato_Grosso.svg/640px-Bandeira_de_Mato_Grosso.svg.png</t>
  </si>
  <si>
    <t>https://upload.wikimedia.org/wikipedia/commons/thumb/0/0b/Bandeira_de_Mato_Grosso.svg/2560px-Bandeira_de_Mato_Grosso.svg.png</t>
  </si>
  <si>
    <t>https://en.wikipedia.org/wiki/Flag_of_Mato_Grosso</t>
  </si>
  <si>
    <t xml:space="preserve">1890 </t>
  </si>
  <si>
    <t>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t>
  </si>
  <si>
    <t>[BRA] Matto Grosso do Sul</t>
  </si>
  <si>
    <t>https://upload.wikimedia.org/wikipedia/commons/thumb/6/64/Bandeira_de_Mato_Grosso_do_Sul.svg/640px-Bandeira_de_Mato_Grosso_do_Sul.svg.png</t>
  </si>
  <si>
    <t>https://upload.wikimedia.org/wikipedia/commons/thumb/6/64/Bandeira_de_Mato_Grosso_do_Sul.svg/2560px-Bandeira_de_Mato_Grosso_do_Sul.svg.png</t>
  </si>
  <si>
    <t>https://en.wikipedia.org/wiki/Flag_of_Mato_Grosso_do_Sul</t>
  </si>
  <si>
    <t xml:space="preserve">1979 </t>
  </si>
  <si>
    <t>Green represents the richness of the forests and fields; White symbolizes peace and friendship; Blue represents the sky of the state of Mato Grosso and the hope of the people; Yellow symbolizes the wealth acquired through the people's work.</t>
  </si>
  <si>
    <t>[BRA] Minas Gerais</t>
  </si>
  <si>
    <t>https://upload.wikimedia.org/wikipedia/commons/thumb/f/f4/Bandeira_de_Minas_Gerais.svg/640px-Bandeira_de_Minas_Gerais.svg.png</t>
  </si>
  <si>
    <t>https://upload.wikimedia.org/wikipedia/commons/thumb/f/f4/Bandeira_de_Minas_Gerais.svg/2560px-Bandeira_de_Minas_Gerais.svg.png</t>
  </si>
  <si>
    <t>https://en.wikipedia.org/wiki/Flag_of_Minas_Gerais</t>
  </si>
  <si>
    <t>The flag is based on the flag of the separatist Inconfidência Mineira movement, which sought to make the captaincy of Minas Gerais independent from then colonial Brazil. The equilateral triangle symbolizes the Holy Trinity and its color represents revolution.</t>
  </si>
  <si>
    <t>[BRA] Pará</t>
  </si>
  <si>
    <t>https://upload.wikimedia.org/wikipedia/commons/thumb/4/44/Bandeira_do_par%C3%A1.png/640px-Bandeira_do_par%C3%A1.png</t>
  </si>
  <si>
    <t>https://upload.wikimedia.org/wikipedia/commons/4/44/Bandeira_do_par%C3%A1.png</t>
  </si>
  <si>
    <t>https://en.wikipedia.org/wiki/Flag_of_Pará</t>
  </si>
  <si>
    <t>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t>
  </si>
  <si>
    <t>[BRA] Paraiba</t>
  </si>
  <si>
    <t>https://upload.wikimedia.org/wikipedia/commons/thumb/b/bb/Bandeira_da_Para%C3%ADba.svg/640px-Bandeira_da_Para%C3%ADba.svg.png</t>
  </si>
  <si>
    <t>https://upload.wikimedia.org/wikipedia/commons/thumb/b/bb/Bandeira_da_Para%C3%ADba.svg/2560px-Bandeira_da_Para%C3%ADba.svg.png</t>
  </si>
  <si>
    <t>https://en.wikipedia.org/wiki/Paraíba</t>
  </si>
  <si>
    <t xml:space="preserve">1965 </t>
  </si>
  <si>
    <t>The word nego on the state flag is Portuguese for I deny or I refuse, referring to the events that led to the Brazilian Revolution of 1930. The red color stands for the blood of João Pessoa after his assassination, while the black color represents mourning.</t>
  </si>
  <si>
    <t>[BRA] Paraná</t>
  </si>
  <si>
    <t>https://upload.wikimedia.org/wikipedia/commons/thumb/9/93/Bandeira_do_Paran%C3%A1.svg/640px-Bandeira_do_Paran%C3%A1.svg.png</t>
  </si>
  <si>
    <t>https://upload.wikimedia.org/wikipedia/commons/thumb/9/93/Bandeira_do_Paran%C3%A1.svg/2560px-Bandeira_do_Paran%C3%A1.svg.png</t>
  </si>
  <si>
    <t>https://en.wikipedia.org/wiki/Flag_of_Paraná_(state)</t>
  </si>
  <si>
    <t xml:space="preserve">1892 </t>
  </si>
  <si>
    <t>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t>
  </si>
  <si>
    <t>[BRA] Pernambuco</t>
  </si>
  <si>
    <t>https://upload.wikimedia.org/wikipedia/commons/thumb/5/59/Bandeira_de_Pernambuco.svg/640px-Bandeira_de_Pernambuco.svg.png</t>
  </si>
  <si>
    <t>https://upload.wikimedia.org/wikipedia/commons/thumb/5/59/Bandeira_de_Pernambuco.svg/2560px-Bandeira_de_Pernambuco.svg.png</t>
  </si>
  <si>
    <t>https://en.wikipedia.org/wiki/Flag_of_Pernambuco</t>
  </si>
  <si>
    <t xml:space="preserve">1917 </t>
  </si>
  <si>
    <t>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t>
  </si>
  <si>
    <t>English, Palauan</t>
  </si>
  <si>
    <t>[BRA] Piauí</t>
  </si>
  <si>
    <t>https://upload.wikimedia.org/wikipedia/commons/thumb/3/33/Bandeira_do_Piau%C3%AD.svg/640px-Bandeira_do_Piau%C3%AD.svg.png</t>
  </si>
  <si>
    <t>https://upload.wikimedia.org/wikipedia/commons/thumb/3/33/Bandeira_do_Piau%C3%AD.svg/2560px-Bandeira_do_Piau%C3%AD.svg.png</t>
  </si>
  <si>
    <t>https://en.wikipedia.org/wiki/Flag_of_Piauí</t>
  </si>
  <si>
    <t>Yellow represents the mineral wealth, green represents hope. The star represents Antares, which in the Brazilian flag symbolizes the state of Piauí. The inscription inside the blue rectangle: 13 DE MARÇO DE 1823, was the day of the Battle of Jenipapo, in the state's territory.</t>
  </si>
  <si>
    <t>[BRA] Rio de Janeiro (State)</t>
  </si>
  <si>
    <t>https://upload.wikimedia.org/wikipedia/commons/thumb/7/73/Bandeira_do_estado_do_Rio_de_Janeiro.svg/640px-Bandeira_do_estado_do_Rio_de_Janeiro.svg.png</t>
  </si>
  <si>
    <t>https://upload.wikimedia.org/wikipedia/commons/thumb/7/73/Bandeira_do_estado_do_Rio_de_Janeiro.svg/2560px-Bandeira_do_estado_do_Rio_de_Janeiro.svg.png</t>
  </si>
  <si>
    <t>https://www.fotw.info/flags/br-rj.html</t>
  </si>
  <si>
    <t>Not available</t>
  </si>
  <si>
    <t>1 Eagle</t>
  </si>
  <si>
    <t>[BRA] Rio Grande do Norte</t>
  </si>
  <si>
    <t>https://upload.wikimedia.org/wikipedia/commons/thumb/3/30/Bandeira_do_Rio_Grande_do_Norte.svg/640px-Bandeira_do_Rio_Grande_do_Norte.svg.png</t>
  </si>
  <si>
    <t>https://upload.wikimedia.org/wikipedia/commons/thumb/3/30/Bandeira_do_Rio_Grande_do_Norte.svg/2560px-Bandeira_do_Rio_Grande_do_Norte.svg.png</t>
  </si>
  <si>
    <t>https://en.wikipedia.org/wiki/Flag_of_Rio_Grande_do_Norte</t>
  </si>
  <si>
    <t xml:space="preserve">1957 </t>
  </si>
  <si>
    <t>The arms features the basic elements that best represents Rio Grande do Norte: the coconut tree on the left, the Copernicia prunifera on the right, the sugarcane and the cotton, represents the flora. The sea with the jangada stands for the fishing and the salt extraction.</t>
  </si>
  <si>
    <t>[BRA] Rio Grande do Sul</t>
  </si>
  <si>
    <t>https://upload.wikimedia.org/wikipedia/commons/thumb/6/63/Bandeira_do_Rio_Grande_do_Sul.svg/640px-Bandeira_do_Rio_Grande_do_Sul.svg.png</t>
  </si>
  <si>
    <t>https://upload.wikimedia.org/wikipedia/commons/thumb/6/63/Bandeira_do_Rio_Grande_do_Sul.svg/2560px-Bandeira_do_Rio_Grande_do_Sul.svg.png</t>
  </si>
  <si>
    <t>https://pt.wikipedia.org/wiki/Bandeira_do_Rio_Grande_do_Sul</t>
  </si>
  <si>
    <t>Mansueto Bernardi said: Is identified with the green of our landscapes, the gold of the ground we walk on, and the red of the modesty that makes us honorable and always prepared to defend our land.</t>
  </si>
  <si>
    <t>[BRA] Rondonia</t>
  </si>
  <si>
    <t>https://upload.wikimedia.org/wikipedia/commons/thumb/f/fa/Bandeira_de_Rond%C3%B4nia.svg/640px-Bandeira_de_Rond%C3%B4nia.svg.png</t>
  </si>
  <si>
    <t>https://upload.wikimedia.org/wikipedia/commons/thumb/f/fa/Bandeira_de_Rond%C3%B4nia.svg/2560px-Bandeira_de_Rond%C3%B4nia.svg.png</t>
  </si>
  <si>
    <t>https://en.wikipedia.org/wiki/Flag_of_Rondônia</t>
  </si>
  <si>
    <t xml:space="preserve">1981 </t>
  </si>
  <si>
    <t>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t>
  </si>
  <si>
    <t>[BRA] Roraima</t>
  </si>
  <si>
    <t>https://upload.wikimedia.org/wikipedia/commons/thumb/9/98/Bandeira_de_Roraima.svg/640px-Bandeira_de_Roraima.svg.png</t>
  </si>
  <si>
    <t>https://upload.wikimedia.org/wikipedia/commons/thumb/9/98/Bandeira_de_Roraima.svg/2560px-Bandeira_de_Roraima.svg.png</t>
  </si>
  <si>
    <t>https://en.wikipedia.org/wiki/Flag_of_Roraima</t>
  </si>
  <si>
    <t xml:space="preserve">1996 </t>
  </si>
  <si>
    <t>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t>
  </si>
  <si>
    <t>[BRA] Santa Catarina</t>
  </si>
  <si>
    <t>https://upload.wikimedia.org/wikipedia/commons/thumb/1/1a/Bandeira_de_Santa_Catarina.svg/640px-Bandeira_de_Santa_Catarina.svg.png</t>
  </si>
  <si>
    <t>https://upload.wikimedia.org/wikipedia/commons/thumb/1/1a/Bandeira_de_Santa_Catarina.svg/2560px-Bandeira_de_Santa_Catarina.svg.png</t>
  </si>
  <si>
    <t>https://vexillology.fandom.com/wiki/Santa_Catarina</t>
  </si>
  <si>
    <t xml:space="preserve">1953 </t>
  </si>
  <si>
    <t>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t>
  </si>
  <si>
    <t>[BRA] Sao Paulo</t>
  </si>
  <si>
    <t>https://upload.wikimedia.org/wikipedia/commons/thumb/2/2b/Bandeira_do_estado_de_S%C3%A3o_Paulo.svg/640px-Bandeira_do_estado_de_S%C3%A3o_Paulo.svg.png</t>
  </si>
  <si>
    <t>https://upload.wikimedia.org/wikipedia/commons/thumb/2/2b/Bandeira_do_estado_de_S%C3%A3o_Paulo.svg/2560px-Bandeira_do_estado_de_S%C3%A3o_Paulo.svg.png</t>
  </si>
  <si>
    <t>https://en.wikipedia.org/wiki/Flag_of_São_Paulo_(state)</t>
  </si>
  <si>
    <t xml:space="preserve">1946 </t>
  </si>
  <si>
    <t>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t>
  </si>
  <si>
    <t>[BRA] Sergipe</t>
  </si>
  <si>
    <t>https://upload.wikimedia.org/wikipedia/commons/thumb/b/be/Bandeira_de_Sergipe.svg/640px-Bandeira_de_Sergipe.svg.png</t>
  </si>
  <si>
    <t>https://upload.wikimedia.org/wikipedia/commons/thumb/b/be/Bandeira_de_Sergipe.svg/2560px-Bandeira_de_Sergipe.svg.png</t>
  </si>
  <si>
    <t>https://en.wikipedia.org/wiki/Sergipe</t>
  </si>
  <si>
    <t xml:space="preserve">1952 </t>
  </si>
  <si>
    <t>The stars on the flag of Sergipe represent the number of river estuaries in the state, and the green and yellow stripes represent Sergipe's union with the rest of Brazil.</t>
  </si>
  <si>
    <t>[BRA] Tocantins</t>
  </si>
  <si>
    <t>https://upload.wikimedia.org/wikipedia/commons/thumb/f/ff/Bandeira_do_Tocantins.svg/640px-Bandeira_do_Tocantins.svg.png</t>
  </si>
  <si>
    <t>https://upload.wikimedia.org/wikipedia/commons/thumb/f/ff/Bandeira_do_Tocantins.svg/2560px-Bandeira_do_Tocantins.svg.png</t>
  </si>
  <si>
    <t>https://en.wikipedia.org/wiki/Flag_of_Tocantins</t>
  </si>
  <si>
    <t xml:space="preserve">1989 </t>
  </si>
  <si>
    <t>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t>
  </si>
  <si>
    <t>Pitkern, English</t>
  </si>
  <si>
    <t>[CHL] Atacama Region</t>
  </si>
  <si>
    <t>https://upload.wikimedia.org/wikipedia/commons/thumb/3/38/Flag_of_Atacama%2C_Chile.svg/640px-Flag_of_Atacama%2C_Chile.svg.png</t>
  </si>
  <si>
    <t>https://upload.wikimedia.org/wikipedia/commons/thumb/3/38/Flag_of_Atacama%2C_Chile.svg/2560px-Flag_of_Atacama%2C_Chile.svg.png</t>
  </si>
  <si>
    <t xml:space="preserve">https://www.crwflags.com/fotw/flags/cl-03.html#about </t>
  </si>
  <si>
    <t>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t>
  </si>
  <si>
    <t>Region</t>
  </si>
  <si>
    <t>[CHL] Aysén Region</t>
  </si>
  <si>
    <t>https://www.crwflags.com/fotw/images/c/cl-11.gif</t>
  </si>
  <si>
    <t xml:space="preserve">https://www.crwflags.com/fotw/flags/cl-11.html </t>
  </si>
  <si>
    <t>???</t>
  </si>
  <si>
    <t>XI Region Aysén does not appear to have an official flag. The de facto flag consists of the regional coat of arms on a white field. It is similar to the previous flag, which was also unofficial.</t>
  </si>
  <si>
    <t>[CHL] Biobío Region</t>
  </si>
  <si>
    <t>https://www.crwflags.com/fotw/images/c/cl-08t.gif</t>
  </si>
  <si>
    <t>https://www.crwflags.com/fotw/flags/cl-08.html</t>
  </si>
  <si>
    <t>It is white with coat of arms.\n</t>
  </si>
  <si>
    <t>[CHL] Coquimbo Region</t>
  </si>
  <si>
    <t>https://www.crwflags.com/fotw/images/c/cl-04.gif</t>
  </si>
  <si>
    <t>https://www.crwflags.com/fotw/flags/cl-04.html</t>
  </si>
  <si>
    <t>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t>
  </si>
  <si>
    <t>[CHL] Easter Island</t>
  </si>
  <si>
    <t>https://upload.wikimedia.org/wikipedia/commons/thumb/d/d8/Flag_of_Rapa_Nui%2C_Chile.svg/383px-Flag_of_Rapa_Nui%2C_Chile.svg.png</t>
  </si>
  <si>
    <t>https://upload.wikimedia.org/wikipedia/commons/thumb/d/d8/Flag_of_Rapa_Nui%2C_Chile.svg/2560px-Flag_of_Rapa_Nui%2C_Chile.svg.png</t>
  </si>
  <si>
    <t>https://en.wikipedia.org/wiki/Flag_of_Easter_Island</t>
  </si>
  <si>
    <t>It is a white flag featuring in center a reimiro (a wooden pectoral ornament once worn by the people of Rapa Nui) painted in red (mana), a symbol of power, with two anthropomorphic figures at its edges, representing the Ariki ('chiefs, nobles')</t>
  </si>
  <si>
    <t>South America, rgn_Oceania</t>
  </si>
  <si>
    <t>Special Territory</t>
  </si>
  <si>
    <t>[CHL] Libertador General Bernardo O'Higgins Region</t>
  </si>
  <si>
    <t>https://www.crwflags.com/fotw/images/c/cl-06.gif</t>
  </si>
  <si>
    <t>https://www.crwflags.com/fotw/flags/cl-06.html#about</t>
  </si>
  <si>
    <t>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t>
  </si>
  <si>
    <t xml:space="preserve">[CHL] Los Lagos Region </t>
  </si>
  <si>
    <t>https://upload.wikimedia.org/wikipedia/commons/thumb/1/16/Flag_of_Los_Lagos_Region%2C_Chile.svg/640px-Flag_of_Los_Lagos_Region%2C_Chile.svg.png</t>
  </si>
  <si>
    <t>https://upload.wikimedia.org/wikipedia/commons/thumb/1/16/Flag_of_Los_Lagos_Region%2C_Chile.svg/2560px-Flag_of_Los_Lagos_Region%2C_Chile.svg.png</t>
  </si>
  <si>
    <t>https://www.crwflags.com/fotw/flags/cl-10.html</t>
  </si>
  <si>
    <t>The flag is divided per fess (two horizontal stripes) of green over blue; in canton are four stars representing the Southern Cross constellation. The new flag was adopted on 23 October 2013 to coincide with the anniversary of the regional government system in Chile.</t>
  </si>
  <si>
    <t>English, Hiri Motu</t>
  </si>
  <si>
    <t>[CHL] Maule Region</t>
  </si>
  <si>
    <t>https://www.crwflags.com/fotw/images/c/cl-07a.gif</t>
  </si>
  <si>
    <t>https://www.crwflags.com/fotw/flags/cl-07.html</t>
  </si>
  <si>
    <t>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t>
  </si>
  <si>
    <t>[CHL] Santiago Metropolitan Region</t>
  </si>
  <si>
    <t>https://upload.wikimedia.org/wikipedia/commons/thumb/8/8d/Flag_of_the_Metropolitan_Region%2C_Chile.svg/640px-Flag_of_the_Metropolitan_Region%2C_Chile.svg.png</t>
  </si>
  <si>
    <t>https://upload.wikimedia.org/wikipedia/commons/thumb/8/8d/Flag_of_the_Metropolitan_Region%2C_Chile.svg/2560px-Flag_of_the_Metropolitan_Region%2C_Chile.svg.png</t>
  </si>
  <si>
    <t>https://www.crwflags.com/fotw/flags/cl-13.html</t>
  </si>
  <si>
    <t>The flag appears to feature the logo of the Santiago Metropolitan Regional Government on a dark grey field.\nRandy Young, 23 August 2018</t>
  </si>
  <si>
    <t>[CHL] Tarapacá Region</t>
  </si>
  <si>
    <t>https://www.crwflags.com/fotw/images/c/cl-01.gif</t>
  </si>
  <si>
    <t xml:space="preserve">https://www.crwflags.com/fotw/flags/cl-01.html </t>
  </si>
  <si>
    <t>The flag of Tarapacá region is the coat of arms on a white field.</t>
  </si>
  <si>
    <t>[CHL] Valparaíso Region</t>
  </si>
  <si>
    <t>https://www.crwflags.com/fotw/images/c/cl-05.gif</t>
  </si>
  <si>
    <t>https://www.crwflags.com/fotw/flags/cl-05.html</t>
  </si>
  <si>
    <t>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t>
  </si>
  <si>
    <t>English, Pidgin</t>
  </si>
  <si>
    <t>[COL] Quindío</t>
  </si>
  <si>
    <t>https://upload.wikimedia.org/wikipedia/commons/thumb/2/29/Flag_of_Quindío.svg/640px-Flag_of_Quindío.svg.png</t>
  </si>
  <si>
    <t>https://upload.wikimedia.org/wikipedia/commons/thumb/2/29/Flag_of_Quindío.svg/1280px-Flag_of_Quindío.svg.png</t>
  </si>
  <si>
    <t>https://en.wikipedia.org/wiki/Flag_of_Quindío_Department</t>
  </si>
  <si>
    <t>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t>
  </si>
  <si>
    <t>Department</t>
  </si>
  <si>
    <t>[COL] San Andres and Providencia</t>
  </si>
  <si>
    <t>https://upload.wikimedia.org/wikipedia/commons/thumb/3/36/Flag_of_San_Andr%C3%A9s_y_Providencia.svg/300px-Flag_of_San_Andr%C3%A9s_y_Providencia.svg.png</t>
  </si>
  <si>
    <t>https://upload.wikimedia.org/wikipedia/commons/thumb/3/36/Flag_of_San_Andr%C3%A9s_y_Providencia.svg/2560px-Flag_of_San_Andr%C3%A9s_y_Providencia.svg.png</t>
  </si>
  <si>
    <t>https://en.wikipedia.org/wiki/Archipelago_of_San_Andrés,_Providencia_and_Santa_Catalina</t>
  </si>
  <si>
    <t>English, Samoan</t>
  </si>
  <si>
    <t>[ECU] Azuay</t>
  </si>
  <si>
    <t>https://upload.wikimedia.org/wikipedia/commons/thumb/a/aa/Bandera_Provincia_Azuay.svg/300px-Bandera_Provincia_Azuay.svg.png</t>
  </si>
  <si>
    <t>https://upload.wikimedia.org/wikipedia/commons/thumb/a/aa/Bandera_Provincia_Azuay.svg/2560px-Bandera_Provincia_Azuay.svg.png</t>
  </si>
  <si>
    <t>https://www.crwflags.com/fotw/flags/ec-a-cue.html?utm_source=chatgpt.com</t>
  </si>
  <si>
    <t>The flag is from the capital city of the province, Cuenca. The colors are from the flag of Spain, reflecting its historical ties to Spain. The red symbolizes the bloodshed for independence and the yellow represents the region's wealth and abundance.</t>
  </si>
  <si>
    <t>English, Tongan</t>
  </si>
  <si>
    <t>[ECU] Bolívar</t>
  </si>
  <si>
    <t>https://upload.wikimedia.org/wikipedia/commons/thumb/5/5e/Bandera_Provincia_Bol%C3%ADvar.svg/320px-Bandera_Provincia_Bol%C3%ADvar.svg.png</t>
  </si>
  <si>
    <t>https://upload.wikimedia.org/wikipedia/commons/thumb/5/5e/Bandera_Provincia_Bol%C3%ADvar.svg/2560px-Bandera_Provincia_Bol%C3%ADvar.svg.png</t>
  </si>
  <si>
    <t>https://flags.fandom.com/wiki/Bol%C3%ADvar,_Ecuador?utm_source=chatgpt.com</t>
  </si>
  <si>
    <t>The red symbolizes the blood of those who fought for independence, while the green represents the province's fertile lands and agricultural productivity.</t>
  </si>
  <si>
    <t>[ECU] Cañar</t>
  </si>
  <si>
    <t>https://upload.wikimedia.org/wikipedia/commons/thumb/8/85/Bandera_Provincia_Ca%C3%B1ar.svg/320px-Bandera_Provincia_Ca%C3%B1ar.svg.png</t>
  </si>
  <si>
    <t>https://upload.wikimedia.org/wikipedia/commons/thumb/8/85/Bandera_Provincia_Ca%C3%B1ar.svg/2560px-Bandera_Provincia_Ca%C3%B1ar.svg.png</t>
  </si>
  <si>
    <t>https://www.crwflags.com/fotw/flags/ec-f.html</t>
  </si>
  <si>
    <t>The flag was adopted in 1954. The blue symbolizes the region's high ideals, the yellow represents the agricultural and mineral resources inside the land, and the red represents the inhabitants' hearts full of enthusiasm and faith in a glorious future.</t>
  </si>
  <si>
    <t>Tuvaluan, Englsih</t>
  </si>
  <si>
    <t>[ECU] Galapagos Islands</t>
  </si>
  <si>
    <t>https://upload.wikimedia.org/wikipedia/commons/thumb/0/0f/Flag_of_the_Galapagos_Islands.svg/640px-Flag_of_the_Galapagos_Islands.svg.png</t>
  </si>
  <si>
    <t>https://upload.wikimedia.org/wikipedia/commons/thumb/0/0f/Flag_of_the_Galapagos_Islands.svg/2560px-Flag_of_the_Galapagos_Islands.svg.png</t>
  </si>
  <si>
    <t>https://www.crwflags.com/fotw/flags/ec-w.html</t>
  </si>
  <si>
    <t>The flag of Galápagos islands is green over white over blue tricolor.</t>
  </si>
  <si>
    <t>[GUF] Territorial Collectivity of French Guiana</t>
  </si>
  <si>
    <t>https://upload.wikimedia.org/wikipedia/commons/thumb/6/65/Flag_of_French_Guiana_%28Local%29.svg/640px-Flag_of_French_Guiana_%28Local%29.svg.png</t>
  </si>
  <si>
    <t>https://upload.wikimedia.org/wikipedia/commons/thumb/6/65/Flag_of_French_Guiana_%28Local%29.svg/2560px-Flag_of_French_Guiana_%28Local%29.svg.png</t>
  </si>
  <si>
    <t>www</t>
  </si>
  <si>
    <t>2015</t>
  </si>
  <si>
    <t>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t>
  </si>
  <si>
    <t>Government</t>
  </si>
  <si>
    <t>[GUY] Cuyuni-Mazaruni</t>
  </si>
  <si>
    <t>https://upload.wikimedia.org/wikipedia/commons/thumb/7/7f/Yellow%2C_white%2C_green_flag.svg/800px-Yellow%2C_white%2C_green_flag.svg.png</t>
  </si>
  <si>
    <t>https://upload.wikimedia.org/wikipedia/commons/thumb/7/7f/Yellow%2C_white%2C_green_flag.svg/1500px-Yellow%2C_white%2C_green_flag.svg.png</t>
  </si>
  <si>
    <t>https://en.wikipedia.org/wiki/Cuyuni-Mazaruni</t>
  </si>
  <si>
    <t>N/A</t>
  </si>
  <si>
    <t>[PER] Cusco</t>
  </si>
  <si>
    <t>https://upload.wikimedia.org/wikipedia/commons/thumb/f/ff/Flag_of_Cusco_%282021%29.svg/640px-Flag_of_Cusco_%282021%29.svg.png</t>
  </si>
  <si>
    <t>https://upload.wikimedia.org/wikipedia/commons/thumb/f/ff/Flag_of_Cusco_%282021%29.svg/2560px-Flag_of_Cusco_%282021%29.svg.png</t>
  </si>
  <si>
    <t>https://en.wikipedia.org/wiki/Flag_of_Cusco</t>
  </si>
  <si>
    <t>It's a rainbow flag formed by 7 horizontal stripes. It was first introduced in 1973 and officially adopted in 1978. Since 2021, the flag has also featured the golden Echenique's sun.</t>
  </si>
  <si>
    <t>[PER] Lima</t>
  </si>
  <si>
    <t>https://upload.wikimedia.org/wikipedia/commons/thumb/c/c2/Flag_of_Lima.svg/255px-Flag_of_Lima.svg.png</t>
  </si>
  <si>
    <t>https://upload.wikimedia.org/wikipedia/commons/thumb/c/c2/Flag_of_Lima.svg/2560px-Flag_of_Lima.svg.png</t>
  </si>
  <si>
    <t>https://en.wikipedia.org/wiki/Flag_of_Lima</t>
  </si>
  <si>
    <t>It consists of a gold background with the coat of arms in the center. The coat of arms consists of a blue shield with tree crowns and a star, surrounded by a red border with the motto Hoc signum vere regum est, loosely translated from Latin as Truly this is the sign of the king.</t>
  </si>
  <si>
    <t>City</t>
  </si>
  <si>
    <t>[PRY] Asunción</t>
  </si>
  <si>
    <t>https://upload.wikimedia.org/wikipedia/commons/thumb/d/d5/Flag_of_Asunci%C3%B3n.svg/320px-Flag_of_Asunci%C3%B3n.svg.png</t>
  </si>
  <si>
    <t>https://upload.wikimedia.org/wikipedia/commons/thumb/d/d5/Flag_of_Asunci%C3%B3n.svg/640px-Flag_of_Asunci%C3%B3n.svg.png</t>
  </si>
  <si>
    <t>https://www.crwflags.com/fotw/flags/py-as.html</t>
  </si>
  <si>
    <t>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t>
  </si>
  <si>
    <t>Capital City</t>
  </si>
  <si>
    <t>[PRY] Paraguay (Reverse)</t>
  </si>
  <si>
    <t>https://upload.wikimedia.org/wikipedia/commons/thumb/f/f1/Flag_of_Paraguay_%28reverse%29.svg/2560px-Flag_of_Paraguay_%28reverse%29.svg.png</t>
  </si>
  <si>
    <t>The emblem on the reverse side is the seal of the treasury: a yellow lion below a red Phrygian cap on the top of a pole (symbolising courage) and the words Paz y Justicia ('Peace and Justice').</t>
  </si>
  <si>
    <t>Other</t>
  </si>
  <si>
    <t>[URU] Artigas</t>
  </si>
  <si>
    <t>https://upload.wikimedia.org/wikipedia/commons/thumb/d/d1/Flag_of_Artigas.svg/640px-Flag_of_Artigas.svg.png</t>
  </si>
  <si>
    <t>https://upload.wikimedia.org/wikipedia/commons/thumb/d/d1/Flag_of_Artigas.svg/2560px-Flag_of_Artigas.svg.png</t>
  </si>
  <si>
    <t>https://en.wikipedia.org/wiki/Flag_of_Artigas</t>
  </si>
  <si>
    <t>It has three horizontal stripes inspired by the Belgrano's flag, the top and bottom being blue, and the central one white. On top of them, it is crossed by a diagonal red stripe, a symbol of federalism.</t>
  </si>
  <si>
    <t>National Symbol</t>
  </si>
  <si>
    <t>[URU] Canelones</t>
  </si>
  <si>
    <t>https://upload.wikimedia.org/wikipedia/commons/thumb/6/6f/Flag_of_Canelones_Department.svg/640px-Flag_of_Canelones_Department.svg.png</t>
  </si>
  <si>
    <t>https://vexillology.fandom.com/wiki/Canelones_Department</t>
  </si>
  <si>
    <t>Has a white field with nine blue stripes representing the first flag and a red stripe running through the banner, just like the band that crosses the Artigas flag, for would therefore be a combination of the first flag with the flag of Artigas.</t>
  </si>
  <si>
    <t>[URU] Cerro Largo</t>
  </si>
  <si>
    <t>https://upload.wikimedia.org/wikipedia/commons/thumb/2/2f/Flag_of_Cerro_Largo_Department.svg/640px-Flag_of_Cerro_Largo_Department.svg.png</t>
  </si>
  <si>
    <t>https://upload.wikimedia.org/wikipedia/commons/thumb/2/2f/Flag_of_Cerro_Largo_Department.svg/2560px-Flag_of_Cerro_Largo_Department.svg.png</t>
  </si>
  <si>
    <t>https://vexillology.fandom.com/wiki/Cerro_Largo_Department</t>
  </si>
  <si>
    <t>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t>
  </si>
  <si>
    <t>[URU] Durazno</t>
  </si>
  <si>
    <t>https://upload.wikimedia.org/wikipedia/commons/thumb/5/5c/Flag_of_Durazno_Department.svg/1024px-Flag_of_Durazno_Department.svg.png</t>
  </si>
  <si>
    <t>https://upload.wikimedia.org/wikipedia/commons/thumb/5/5c/Flag_of_Durazno_Department.svg/2560px-Flag_of_Durazno_Department.svg.png</t>
  </si>
  <si>
    <t>https://www.crwflags.com/fotw/flags/uy-du.html</t>
  </si>
  <si>
    <t>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t>
  </si>
  <si>
    <t>[URU] Maldonado</t>
  </si>
  <si>
    <t>https://upload.wikimedia.org/wikipedia/commons/5/52/Flag_of_Maldonado_Department.png</t>
  </si>
  <si>
    <t>https://vexillology.fandom.com/wiki/Maldonado_Department</t>
  </si>
  <si>
    <t>The flag of the department is white with the historical coat of arms of the town of Maldonado in the middle.</t>
  </si>
  <si>
    <t>[URU] Treinta y Tres</t>
  </si>
  <si>
    <t>https://upload.wikimedia.org/wikipedia/commons/thumb/f/ff/Flag_of_the_Treinta_y_Tres.svg/640px-Flag_of_the_Treinta_y_Tres.svg.png</t>
  </si>
  <si>
    <t>https://upload.wikimedia.org/wikipedia/commons/thumb/f/ff/Flag_of_the_Treinta_y_Tres.svg/2560px-Flag_of_the_Treinta_y_Tres.svg.png</t>
  </si>
  <si>
    <t>https://en.wikipedia.org/wiki/Flag_of_the_Treinta_y_Tres</t>
  </si>
  <si>
    <t>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t>
  </si>
  <si>
    <t>[VEN] Amazonas</t>
  </si>
  <si>
    <t>https://upload.wikimedia.org/wikipedia/commons/thumb/7/7f/Flag_of_Amazonas_Indigenous_State.svg/320px-Flag_of_Amazonas_Indigenous_State.svg.png</t>
  </si>
  <si>
    <t>https://upload.wikimedia.org/wikipedia/commons/thumb/7/7f/Flag_of_Amazonas_Indigenous_State.svg/800px-Flag_of_Amazonas_Indigenous_State.svg.png</t>
  </si>
  <si>
    <t>https://www.crwflags.com/fotw/flags/ve-z.html</t>
  </si>
  <si>
    <t>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t>
  </si>
  <si>
    <t>[VEN] Anzoátegui</t>
  </si>
  <si>
    <t>https://upload.wikimedia.org/wikipedia/commons/thumb/0/03/Flag_of_Anzo%C3%A1tegui_State_%28original_version%29.svg/320px-Flag_of_Anzo%C3%A1tegui_State_%28original_version%29.svg.png</t>
  </si>
  <si>
    <t>https://upload.wikimedia.org/wikipedia/commons/thumb/0/03/Flag_of_Anzo%C3%A1tegui_State_%28original_version%29.svg/800px-Flag_of_Anzo%C3%A1tegui_State_%28original_version%29.svg.png</t>
  </si>
  <si>
    <t>https://en.wikipedia.org/wiki/Flag_of_Anzo%C3%A1tegui</t>
  </si>
  <si>
    <t>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t>
  </si>
  <si>
    <t>[VEN] Apure</t>
  </si>
  <si>
    <t>https://upload.wikimedia.org/wikipedia/commons/thumb/1/1a/Flag_of_Apure_State.svg/320px-Flag_of_Apure_State.svg.png</t>
  </si>
  <si>
    <t>https://upload.wikimedia.org/wikipedia/commons/thumb/1/1a/Flag_of_Apure_State.svg/847px-Flag_of_Apure_State.svg.png</t>
  </si>
  <si>
    <t>https://www.crwflags.com/fotw/flags/ve-c.html</t>
  </si>
  <si>
    <t>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t>
  </si>
  <si>
    <t>[VEN] Aragua</t>
  </si>
  <si>
    <t>https://upload.wikimedia.org/wikipedia/commons/thumb/4/4f/Flag_of_Aragua_State.svg/320px-Flag_of_Aragua_State.svg.png</t>
  </si>
  <si>
    <t>https://upload.wikimedia.org/wikipedia/commons/thumb/4/4f/Flag_of_Aragua_State.svg/800px-Flag_of_Aragua_State.svg.png</t>
  </si>
  <si>
    <t>https://en.wikipedia.org/wiki/Flag_of_Aragua</t>
  </si>
  <si>
    <t>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t>
  </si>
  <si>
    <t>[VEN] Barinas</t>
  </si>
  <si>
    <t>https://upload.wikimedia.org/wikipedia/commons/thumb/5/5e/Flag_of_Barinas_State.svg/320px-Flag_of_Barinas_State.svg.png</t>
  </si>
  <si>
    <t>https://upload.wikimedia.org/wikipedia/commons/thumb/5/5e/Flag_of_Barinas_State.svg/800px-Flag_of_Barinas_State.svg.png</t>
  </si>
  <si>
    <t>https://www.crwflags.com/fotw/flags/ve-e.html</t>
  </si>
  <si>
    <t>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t>
  </si>
  <si>
    <t>[VEN] Bolívar</t>
  </si>
  <si>
    <t>https://upload.wikimedia.org/wikipedia/commons/thumb/0/06/Flag_of_Bol%C3%ADvar_State.svg/320px-Flag_of_Bol%C3%ADvar_State.svg.png</t>
  </si>
  <si>
    <t>https://upload.wikimedia.org/wikipedia/commons/thumb/0/06/Flag_of_Bol%C3%ADvar_State.svg/800px-Flag_of_Bol%C3%ADvar_State.svg.png</t>
  </si>
  <si>
    <t>https://en.wikipedia.org/wiki/Flag_of_Bol%C3%ADvar_State</t>
  </si>
  <si>
    <t>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t>
  </si>
  <si>
    <t>[VEN] Capital District (Caracas)</t>
  </si>
  <si>
    <t>https://upload.wikimedia.org/wikipedia/commons/thumb/0/08/Flag_of_Caracas_%282022%29.svg/320px-Flag_of_Caracas_%282022%29.svg.png</t>
  </si>
  <si>
    <t>https://upload.wikimedia.org/wikipedia/commons/thumb/0/08/Flag_of_Caracas_%282022%29.svg/800px-Flag_of_Caracas_%282022%29.svg.png</t>
  </si>
  <si>
    <t>https://en.wikipedia.org/wiki/List_of_flags_of_Venezuela#Administrative_divisions_flags</t>
  </si>
  <si>
    <t>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t>
  </si>
  <si>
    <t>[VEN] Carabobo</t>
  </si>
  <si>
    <t>https://upload.wikimedia.org/wikipedia/commons/thumb/5/52/Flag_of_Carabobo_State.svg/320px-Flag_of_Carabobo_State.svg.png</t>
  </si>
  <si>
    <t>https://upload.wikimedia.org/wikipedia/commons/thumb/5/52/Flag_of_Carabobo_State.svg/640px-Flag_of_Carabobo_State.svg.png</t>
  </si>
  <si>
    <t>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t>
  </si>
  <si>
    <t>[VEN] Cojedes</t>
  </si>
  <si>
    <t>https://upload.wikimedia.org/wikipedia/commons/thumb/7/7d/Flag_of_Cojedes_State.svg/320px-Flag_of_Cojedes_State.svg.png</t>
  </si>
  <si>
    <t>https://upload.wikimedia.org/wikipedia/commons/thumb/7/7d/Flag_of_Cojedes_State.svg/800px-Flag_of_Cojedes_State.svg.png</t>
  </si>
  <si>
    <t>https://www.crwflags.com/fotw/flags/ve-h.html</t>
  </si>
  <si>
    <t>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t>
  </si>
  <si>
    <t>[VEN] Delta Amacuro</t>
  </si>
  <si>
    <t>https://upload.wikimedia.org/wikipedia/commons/thumb/2/20/Flag_of_Delta_Amacuro_State.svg/320px-Flag_of_Delta_Amacuro_State.svg.png</t>
  </si>
  <si>
    <t>https://upload.wikimedia.org/wikipedia/commons/thumb/2/20/Flag_of_Delta_Amacuro_State.svg/640px-Flag_of_Delta_Amacuro_State.svg.png</t>
  </si>
  <si>
    <t>https://www.crwflags.com/fotw/flags/ve-y.html</t>
  </si>
  <si>
    <t xml:space="preserve">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t>
  </si>
  <si>
    <t>[VEN] Falcón</t>
  </si>
  <si>
    <t>https://upload.wikimedia.org/wikipedia/commons/thumb/0/0e/Flag_of_Falc%C3%B3n.svg/320px-Flag_of_Falc%C3%B3n.svg.png</t>
  </si>
  <si>
    <t>https://upload.wikimedia.org/wikipedia/commons/thumb/0/0e/Flag_of_Falc%C3%B3n.svg/800px-Flag_of_Falc%C3%B3n.svg.png</t>
  </si>
  <si>
    <t>https://en.wikipedia.org/wiki/Flag_of_Falc%C3%B3n</t>
  </si>
  <si>
    <t>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t>
  </si>
  <si>
    <t>[VEN] Guárico</t>
  </si>
  <si>
    <t>https://upload.wikimedia.org/wikipedia/commons/thumb/a/a2/Flag_of_Gu%C3%A1rico_State.svg/320px-Flag_of_Gu%C3%A1rico_State.svg.png</t>
  </si>
  <si>
    <t>https://upload.wikimedia.org/wikipedia/commons/thumb/a/a2/Flag_of_Gu%C3%A1rico_State.svg/800px-Flag_of_Gu%C3%A1rico_State.svg.png</t>
  </si>
  <si>
    <t>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t>
  </si>
  <si>
    <t>[VEN] La Guaira</t>
  </si>
  <si>
    <t>https://upload.wikimedia.org/wikipedia/commons/thumb/a/a9/Flag_of_Vargas_State.svg/320px-Flag_of_Vargas_State.svg.png</t>
  </si>
  <si>
    <t>https://upload.wikimedia.org/wikipedia/commons/thumb/a/a9/Flag_of_Vargas_State.svg/800px-Flag_of_Vargas_State.svg.png</t>
  </si>
  <si>
    <t>https://en.wikipedia.org/wiki/Flag_of_La_Guaira</t>
  </si>
  <si>
    <t>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t>
  </si>
  <si>
    <t>[VEN] Lara</t>
  </si>
  <si>
    <t>https://upload.wikimedia.org/wikipedia/commons/thumb/4/4b/Flag_of_Lara_State.svg/320px-Flag_of_Lara_State.svg.png</t>
  </si>
  <si>
    <t>https://upload.wikimedia.org/wikipedia/commons/thumb/4/4b/Flag_of_Lara_State.svg/800px-Flag_of_Lara_State.svg.png</t>
  </si>
  <si>
    <t>https://www.crwflags.com/fotw/flags/ve-k.html#:~:text=Urdaneta%20(Siquisique)-,Overview,-Flag%20of%20the</t>
  </si>
  <si>
    <t>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t>
  </si>
  <si>
    <t>[VEN] Mérida</t>
  </si>
  <si>
    <t>https://upload.wikimedia.org/wikipedia/commons/thumb/9/9f/Flag_of_M%C3%A9rida_State.svg/320px-Flag_of_M%C3%A9rida_State.svg.png</t>
  </si>
  <si>
    <t>https://upload.wikimedia.org/wikipedia/commons/thumb/9/9f/Flag_of_M%C3%A9rida_State.svg/800px-Flag_of_M%C3%A9rida_State.svg.png</t>
  </si>
  <si>
    <t>https://www.crwflags.com/fotw/flags/ve-l.html#:~:text=(in%20Spanish)-,Overview,-The%20M%C3%A9rida%20flag</t>
  </si>
  <si>
    <t>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t>
  </si>
  <si>
    <t>[VEN] Miranda</t>
  </si>
  <si>
    <t>https://upload.wikimedia.org/wikipedia/commons/thumb/9/92/Flag_of_Miranda_state.svg/320px-Flag_of_Miranda_state.svg.png</t>
  </si>
  <si>
    <t>https://upload.wikimedia.org/wikipedia/commons/thumb/9/92/Flag_of_Miranda_state.svg/800px-Flag_of_Miranda_state.svg.png</t>
  </si>
  <si>
    <t>https://www.crwflags.com/fotw/flags/ve-m.html#:~:text=(previous%20symbols)-,Overview,-According%20to%20report</t>
  </si>
  <si>
    <t>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t>
  </si>
  <si>
    <t>[VEN] Monagas</t>
  </si>
  <si>
    <t>https://upload.wikimedia.org/wikipedia/commons/thumb/3/31/Flag_of_Monagas_State.svg/320px-Flag_of_Monagas_State.svg.png</t>
  </si>
  <si>
    <t>https://upload.wikimedia.org/wikipedia/commons/thumb/3/31/Flag_of_Monagas_State.svg/800px-Flag_of_Monagas_State.svg.png</t>
  </si>
  <si>
    <t>https://venezuela.justia.com/estatales/monagas/leyes/reforma-de-la-ley-de-simbolos-y-sellos-del-estado-monagas/gdoc/</t>
  </si>
  <si>
    <t>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t>
  </si>
  <si>
    <t>[VEN] Nueva Esparta</t>
  </si>
  <si>
    <t>https://upload.wikimedia.org/wikipedia/commons/thumb/6/6a/Flag_of_Nueva_Esparta.svg/320px-Flag_of_Nueva_Esparta.svg.png</t>
  </si>
  <si>
    <t>https://upload.wikimedia.org/wikipedia/commons/thumb/6/6a/Flag_of_Nueva_Esparta.svg/800px-Flag_of_Nueva_Esparta.svg.png</t>
  </si>
  <si>
    <t>https://www.crwflags.com/fotw/flags/ve-o.html</t>
  </si>
  <si>
    <t>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t>
  </si>
  <si>
    <t>[VEN] Portuguesa</t>
  </si>
  <si>
    <t>https://upload.wikimedia.org/wikipedia/commons/thumb/8/81/Flag_of_Portuguesa.svg/320px-Flag_of_Portuguesa.svg.png</t>
  </si>
  <si>
    <t>https://upload.wikimedia.org/wikipedia/commons/thumb/8/81/Flag_of_Portuguesa.svg/800px-Flag_of_Portuguesa.svg.png</t>
  </si>
  <si>
    <t>https://www.crwflags.com/fotw/flags/ve-p.html</t>
  </si>
  <si>
    <t>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t>
  </si>
  <si>
    <t>[VEN] Sucre</t>
  </si>
  <si>
    <t>https://upload.wikimedia.org/wikipedia/commons/thumb/c/c1/Flag_of_Sucre_State.svg/320px-Flag_of_Sucre_State.svg.png</t>
  </si>
  <si>
    <t>https://upload.wikimedia.org/wikipedia/commons/thumb/c/c1/Flag_of_Sucre_State.svg/800px-Flag_of_Sucre_State.svg.png</t>
  </si>
  <si>
    <t>https://www.crwflags.com/fotw/flags/ve-r.html</t>
  </si>
  <si>
    <t>1996, 2002</t>
  </si>
  <si>
    <t>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t>
  </si>
  <si>
    <t>[VEN] Táchira</t>
  </si>
  <si>
    <t>https://upload.wikimedia.org/wikipedia/commons/thumb/0/01/Flag_of_T%C3%A1chira.svg/320px-Flag_of_T%C3%A1chira.svg.png</t>
  </si>
  <si>
    <t>https://upload.wikimedia.org/wikipedia/commons/thumb/0/01/Flag_of_T%C3%A1chira.svg/640px-Flag_of_T%C3%A1chira.svg.png</t>
  </si>
  <si>
    <t>https://www.crwflags.com/fotw/flags/ve-s.html</t>
  </si>
  <si>
    <t>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t>
  </si>
  <si>
    <t>[VEN] Trujillo</t>
  </si>
  <si>
    <t>https://upload.wikimedia.org/wikipedia/commons/thumb/b/b0/Flag_of_Trujillo_State.svg/320px-Flag_of_Trujillo_State.svg.png</t>
  </si>
  <si>
    <t>https://upload.wikimedia.org/wikipedia/commons/thumb/b/b0/Flag_of_Trujillo_State.svg/800px-Flag_of_Trujillo_State.svg.png</t>
  </si>
  <si>
    <t>https://www.crwflags.com/fotw/flags/ve-t.html</t>
  </si>
  <si>
    <t>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t>
  </si>
  <si>
    <t>[VEN] Yaracuy</t>
  </si>
  <si>
    <t>https://upload.wikimedia.org/wikipedia/commons/thumb/1/15/Flag_of_Yaracuy_State.svg/320px-Flag_of_Yaracuy_State.svg.png</t>
  </si>
  <si>
    <t>https://upload.wikimedia.org/wikipedia/commons/thumb/1/15/Flag_of_Yaracuy_State.svg/640px-Flag_of_Yaracuy_State.svg.png</t>
  </si>
  <si>
    <t>https://www.crwflags.com/fotw/flags/ve-u.html</t>
  </si>
  <si>
    <t>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t>
  </si>
  <si>
    <t>[VEN] Zulia</t>
  </si>
  <si>
    <t>https://upload.wikimedia.org/wikipedia/commons/thumb/c/c6/Flag_of_Zulia_State.svg/640px-Flag_of_Zulia_State.svg.png</t>
  </si>
  <si>
    <t>https://upload.wikimedia.org/wikipedia/commons/thumb/c/c6/Flag_of_Zulia_State.svg/2560px-Flag_of_Zulia_State.svg.png</t>
  </si>
  <si>
    <t>https://en.wikipedia.org/wiki/Zulia</t>
  </si>
  <si>
    <t>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t>
  </si>
  <si>
    <t>[ARG] Mapuche-Tehuelche</t>
  </si>
  <si>
    <t>https://upload.wikimedia.org/wikipedia/commons/thumb/2/25/Tehuelche_flag.svg/320px-Tehuelche_flag.svg.png</t>
  </si>
  <si>
    <t>https://upload.wikimedia.org/wikipedia/commons/thumb/2/25/Tehuelche_flag.svg/800px-Tehuelche_flag.svg.png</t>
  </si>
  <si>
    <t>[ARG] Other</t>
  </si>
  <si>
    <t>https://en.wikipedia.org/wiki/Flag_of_the_Mapuches#In_Argentina</t>
  </si>
  <si>
    <t>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t>
  </si>
  <si>
    <t>People</t>
  </si>
  <si>
    <t>[BOL] Patujú Florette</t>
  </si>
  <si>
    <t>https://upload.wikimedia.org/wikipedia/commons/a/ac/Flag_of_the_Patuj%C3%BA_flower.svg</t>
  </si>
  <si>
    <t>https://en.wikipedia.org/wiki/Flag_of_the_patuj%C3%BA_flower</t>
  </si>
  <si>
    <t>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t>
  </si>
  <si>
    <t>Civil flag</t>
  </si>
  <si>
    <t>[BRA] Empire of Brazil (1853-1889)</t>
  </si>
  <si>
    <t>https://upload.wikimedia.org/wikipedia/commons/thumb/e/ea/Bandeira_do_Imp%C3%A9rio_do_Brasil_com_n%C3%B3_e_cores_corretos.png/320px-Bandeira_do_Imp%C3%A9rio_do_Brasil_com_n%C3%B3_e_cores_corretos.png</t>
  </si>
  <si>
    <t>https://upload.wikimedia.org/wikipedia/commons/thumb/e/ea/Bandeira_do_Imp%C3%A9rio_do_Brasil_com_n%C3%B3_e_cores_corretos.png/800px-Bandeira_do_Imp%C3%A9rio_do_Brasil_com_n%C3%B3_e_cores_corretos.png</t>
  </si>
  <si>
    <t>[BRA] Other</t>
  </si>
  <si>
    <t>https://en.wikipedia.org/wiki/Flag_of_Brazil#Empire_of_Brazil_(1822%E2%80%931889)</t>
  </si>
  <si>
    <t>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t>
  </si>
  <si>
    <t>Historical</t>
  </si>
  <si>
    <t>[BRA] Joao Pessoa</t>
  </si>
  <si>
    <t>https://upload.wikimedia.org/wikipedia/commons/thumb/d/d9/Bandeira_de_Jo%C3%A3o_Pessoa.svg/640px-Bandeira_de_Jo%C3%A3o_Pessoa.svg.png</t>
  </si>
  <si>
    <t>https://upload.wikimedia.org/wikipedia/commons/thumb/d/d9/Bandeira_de_Jo%C3%A3o_Pessoa.svg/1280px-Bandeira_de_Jo%C3%A3o_Pessoa.svg.png</t>
  </si>
  <si>
    <t>https://en.m.wikipedia.org/wiki/Jo%C3%A3o_Pessoa,_Para%C3%ADba</t>
  </si>
  <si>
    <t>Seven horizontal bands alternating white and red with black bands between each white and red band. In the center a vertical black band with three castles.</t>
  </si>
  <si>
    <t>City, State Capital</t>
  </si>
  <si>
    <t>[BRA] Rio de Janeiro (City)</t>
  </si>
  <si>
    <t>https://upload.wikimedia.org/wikipedia/commons/thumb/a/a9/Bandeira_da_cidade_do_Rio_de_Janeiro.svg/640px-Bandeira_da_cidade_do_Rio_de_Janeiro.svg.png</t>
  </si>
  <si>
    <t>https://upload.wikimedia.org/wikipedia/commons/thumb/a/a9/Bandeira_da_cidade_do_Rio_de_Janeiro.svg/1280px-Bandeira_da_cidade_do_Rio_de_Janeiro.svg.png</t>
  </si>
  <si>
    <t>https://en.m.wikipedia.org/wiki/Flag_of_Rio_de_Janeiro</t>
  </si>
  <si>
    <t>A white rectangle with a blue saltire behind the city's coat of arms displayed red in the center</t>
  </si>
  <si>
    <t>[BRA] Sao Paulo (City)</t>
  </si>
  <si>
    <t>https://upload.wikimedia.org/wikipedia/commons/thumb/4/4b/Bandeira_da_cidade_de_S%C3%A3o_Paulo.svg/640px-Bandeira_da_cidade_de_S%C3%A3o_Paulo.svg.png</t>
  </si>
  <si>
    <t>https://upload.wikimedia.org/wikipedia/commons/thumb/4/4b/Bandeira_da_cidade_de_S%C3%A3o_Paulo.svg/1280px-Bandeira_da_cidade_de_S%C3%A3o_Paulo.svg.png</t>
  </si>
  <si>
    <t>https://simple.m.wikipedia.org/wiki/Flag_of_S%C3%A3o_Paulo_City</t>
  </si>
  <si>
    <t>A red nordic cross on a white field with the city's coat of arms over the cross section of the cross.</t>
  </si>
  <si>
    <t>[CHL] Chile (1812-1814)</t>
  </si>
  <si>
    <t>https://upload.wikimedia.org/wikipedia/commons/thumb/3/35/Flag_of_Chile_%281812-1814%29.svg/1024px-Flag_of_Chile_%281812-1814%29.svg.png</t>
  </si>
  <si>
    <t>[CHL] Other</t>
  </si>
  <si>
    <t>https://www.crwflags.com/fotw/flags/cl_hist.html</t>
  </si>
  <si>
    <t>Chile’s first national flag was a tricolor of blue, white and yellow. According to Camilo Henríquez, who is considered the founding father of the Republic of Chile, the flag “represented the three values of the State: majesty, law and force.'</t>
  </si>
  <si>
    <t>[CHL] Wenufoye</t>
  </si>
  <si>
    <t>https://upload.wikimedia.org/wikipedia/commons/thumb/2/20/Flag_of_the_Mapuches_%281992%29.svg/320px-Flag_of_the_Mapuches_%281992%29.svg.png</t>
  </si>
  <si>
    <t>https://upload.wikimedia.org/wikipedia/commons/thumb/2/20/Flag_of_the_Mapuches_%281992%29.svg/800px-Flag_of_the_Mapuches_%281992%29.svg.png</t>
  </si>
  <si>
    <t>https://en.wikipedia.org/wiki/Flag_of_the_Mapuches</t>
  </si>
  <si>
    <t>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t>
  </si>
  <si>
    <t>[COL] Andalucia</t>
  </si>
  <si>
    <t>https://upload.wikimedia.org/wikipedia/en/thumb/2/2f/Flag_of_Andaluc%C3%ADa_%28Col%C3%B3mbia%29.svg/640px-Flag_of_Andaluc%C3%ADa_%28Col%C3%B3mbia%29.svg.png</t>
  </si>
  <si>
    <t>https://upload.wikimedia.org/wikipedia/en/thumb/2/2f/Flag_of_Andaluc%C3%ADa_%28Col%C3%B3mbia%29.svg/2560px-Flag_of_Andaluc%C3%ADa_%28Col%C3%B3mbia%29.svg.png</t>
  </si>
  <si>
    <t>[COL] Valle del Cauca</t>
  </si>
  <si>
    <t>https://en.wikipedia.org/wiki/Andalucía,_Valle_del_Cauca</t>
  </si>
  <si>
    <t>Municipality</t>
  </si>
  <si>
    <t>[FLK] British Forces South Atlantic Islands</t>
  </si>
  <si>
    <t>https://www.fotw.info/images/g/gb%5Ejs-fk.gif</t>
  </si>
  <si>
    <t>https://www.fotw.info/flags/fk.html#malv</t>
  </si>
  <si>
    <t>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t>
  </si>
  <si>
    <t>Army</t>
  </si>
  <si>
    <t>[SUR] People's Armed Forces of Suriname</t>
  </si>
  <si>
    <t>https://upload.wikimedia.org/wikipedia/commons/thumb/7/78/People%27s_Armed_Forces_of_Suriname_flag.png/640px-People%27s_Armed_Forces_of_Suriname_flag.png</t>
  </si>
  <si>
    <t>https://upload.wikimedia.org/wikipedia/commons/7/78/People%27s_Armed_Forces_of_Suriname_flag.png</t>
  </si>
  <si>
    <t>https://en.wikipedia.org/wiki/List_of_Surinamese_flags</t>
  </si>
  <si>
    <t>1975</t>
  </si>
  <si>
    <t>A horizontal tricolour of blue, red and blue with the large yellow five-pointed star centered on the red band.</t>
  </si>
  <si>
    <t>[URU] Uruguay Naval Jack</t>
  </si>
  <si>
    <t>https://upload.wikimedia.org/wikipedia/commons/thumb/1/14/Naval_Jack_of_Uruguay.svg/640px-Naval_Jack_of_Uruguay.svg.png</t>
  </si>
  <si>
    <t>https://upload.wikimedia.org/wikipedia/commons/thumb/1/14/Naval_Jack_of_Uruguay.svg/1280px-Naval_Jack_of_Uruguay.svg.png</t>
  </si>
  <si>
    <t>[URU] Other</t>
  </si>
  <si>
    <t>https://en.m.wikipedia.org/wiki/List_of_Uruguayan_flags</t>
  </si>
  <si>
    <t>A White Field with a blue saltire that extends to the corners of the flag and the Sun of May in the center.</t>
  </si>
  <si>
    <t>Naval Jack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</si>
</sst>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5" x14ac:knownFonts="1">
    <font>
      <sz val="11"/>
      <color theme="1"/>
      <name val="Aptos Narrow"/>
      <family val="2"/>
      <scheme val="minor"/>
    </font>
    <font>
      <sz val="11"/>
      <color theme="1"/>
      <name val="Aptos Narrow"/>
      <family val="2"/>
      <scheme val="minor"/>
    </font>
    <font>
      <b/>
      <sz val="10"/>
      <color rgb="FF990000"/>
      <name val="Aptos Narrow"/>
      <family val="2"/>
      <scheme val="minor"/>
    </font>
    <font>
      <sz val="10"/>
      <color theme="1"/>
      <name val="Aptos Narrow"/>
      <family val="2"/>
      <scheme val="minor"/>
    </font>
    <font>
      <b/>
      <sz val="10"/>
      <color theme="1" tint="0.34998626667073579"/>
      <name val="Aptos Narrow"/>
      <family val="2"/>
      <scheme val="minor"/>
    </font>
    <font>
      <sz val="10"/>
      <color theme="0"/>
      <name val="Aptos Narrow"/>
      <family val="2"/>
      <scheme val="minor"/>
    </font>
    <font>
      <b/>
      <sz val="10"/>
      <color theme="0"/>
      <name val="Aptos Narrow"/>
      <family val="2"/>
      <scheme val="minor"/>
    </font>
    <font>
      <sz val="10"/>
      <name val="Aptos Narrow"/>
      <family val="2"/>
      <scheme val="minor"/>
    </font>
    <font>
      <b/>
      <sz val="10"/>
      <color theme="1"/>
      <name val="Aptos Narrow"/>
      <family val="2"/>
      <scheme val="minor"/>
    </font>
    <font>
      <sz val="11"/>
      <name val="Aptos Narrow"/>
      <family val="2"/>
      <scheme val="minor"/>
    </font>
    <font>
      <u/>
      <sz val="11"/>
      <color theme="10"/>
      <name val="Aptos Narrow"/>
      <family val="2"/>
      <scheme val="minor"/>
    </font>
    <font>
      <u/>
      <sz val="10"/>
      <color theme="10"/>
      <name val="Noto Sans"/>
      <family val="2"/>
    </font>
    <font>
      <u/>
      <sz val="10"/>
      <color theme="10"/>
      <name val="Aptos Narrow"/>
      <family val="2"/>
      <scheme val="minor"/>
    </font>
    <font>
      <sz val="10"/>
      <color theme="1" tint="0.34998626667073579"/>
      <name val="Aptos Narrow"/>
      <family val="2"/>
      <scheme val="minor"/>
    </font>
    <font>
      <b/>
      <sz val="11"/>
      <color theme="0" tint="-0.499984740745262"/>
      <name val="Aptos Narrow"/>
      <family val="2"/>
      <scheme val="minor"/>
    </font>
  </fonts>
  <fills count="29">
    <fill>
      <patternFill patternType="none"/>
    </fill>
    <fill>
      <patternFill patternType="gray125"/>
    </fill>
    <fill>
      <patternFill patternType="solid">
        <fgColor rgb="FFFFCCCC"/>
        <bgColor indexed="64"/>
      </patternFill>
    </fill>
    <fill>
      <patternFill patternType="solid">
        <fgColor theme="0" tint="-4.9989318521683403E-2"/>
        <bgColor indexed="64"/>
      </patternFill>
    </fill>
    <fill>
      <patternFill patternType="solid">
        <fgColor rgb="FF879D03"/>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5" tint="0.39997558519241921"/>
        <bgColor indexed="64"/>
      </patternFill>
    </fill>
    <fill>
      <patternFill patternType="solid">
        <fgColor rgb="FFC00000"/>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3" tint="0.89999084444715716"/>
        <bgColor indexed="64"/>
      </patternFill>
    </fill>
    <fill>
      <patternFill patternType="solid">
        <fgColor theme="8" tint="0.79998168889431442"/>
        <bgColor indexed="64"/>
      </patternFill>
    </fill>
    <fill>
      <patternFill patternType="solid">
        <fgColor rgb="FFF1F4E0"/>
        <bgColor indexed="64"/>
      </patternFill>
    </fill>
    <fill>
      <patternFill patternType="solid">
        <fgColor rgb="FFD8ECD8"/>
        <bgColor indexed="64"/>
      </patternFill>
    </fill>
    <fill>
      <patternFill patternType="solid">
        <fgColor theme="0"/>
        <bgColor indexed="64"/>
      </patternFill>
    </fill>
    <fill>
      <patternFill patternType="solid">
        <fgColor theme="1"/>
        <bgColor indexed="64"/>
      </patternFill>
    </fill>
    <fill>
      <patternFill patternType="solid">
        <fgColor rgb="FFFFFFCC"/>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s>
  <borders count="20">
    <border>
      <left/>
      <right/>
      <top/>
      <bottom/>
      <diagonal/>
    </border>
    <border>
      <left/>
      <right style="medium">
        <color rgb="FF747678"/>
      </right>
      <top style="medium">
        <color rgb="FF747678"/>
      </top>
      <bottom style="medium">
        <color rgb="FF747678"/>
      </bottom>
      <diagonal/>
    </border>
    <border>
      <left/>
      <right style="medium">
        <color indexed="64"/>
      </right>
      <top/>
      <bottom/>
      <diagonal/>
    </border>
    <border>
      <left style="thin">
        <color indexed="64"/>
      </left>
      <right style="medium">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medium">
        <color rgb="FF747678"/>
      </right>
      <top/>
      <bottom style="medium">
        <color rgb="FFDDDDDD"/>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82">
    <xf numFmtId="0" fontId="0" fillId="0" borderId="0" xfId="0"/>
    <xf numFmtId="0" fontId="2" fillId="0" borderId="1" xfId="0" applyFont="1" applyBorder="1" applyAlignment="1">
      <alignment horizontal="center" vertical="center"/>
    </xf>
    <xf numFmtId="0" fontId="2" fillId="0" borderId="0" xfId="0" applyFont="1" applyAlignment="1">
      <alignment horizontal="center" vertical="center"/>
    </xf>
    <xf numFmtId="0" fontId="3" fillId="0" borderId="0" xfId="0" applyFont="1" applyAlignment="1">
      <alignment horizontal="center"/>
    </xf>
    <xf numFmtId="0" fontId="3" fillId="0" borderId="0" xfId="0" applyFont="1" applyAlignment="1">
      <alignment horizontal="left"/>
    </xf>
    <xf numFmtId="0" fontId="3" fillId="2" borderId="0" xfId="0" applyFont="1" applyFill="1" applyAlignment="1">
      <alignment horizontal="left" vertical="center"/>
    </xf>
    <xf numFmtId="0" fontId="3" fillId="0" borderId="0" xfId="0" applyFont="1"/>
    <xf numFmtId="0" fontId="4" fillId="3" borderId="0" xfId="0" applyFont="1" applyFill="1"/>
    <xf numFmtId="3" fontId="5" fillId="4" borderId="0" xfId="1" applyNumberFormat="1" applyFont="1" applyFill="1" applyBorder="1" applyAlignment="1">
      <alignment horizontal="left"/>
    </xf>
    <xf numFmtId="3" fontId="5" fillId="5" borderId="0" xfId="1" applyNumberFormat="1" applyFont="1" applyFill="1" applyBorder="1" applyAlignment="1">
      <alignment horizontal="left"/>
    </xf>
    <xf numFmtId="3" fontId="5" fillId="6" borderId="0" xfId="1" applyNumberFormat="1" applyFont="1" applyFill="1" applyBorder="1" applyAlignment="1">
      <alignment horizontal="left"/>
    </xf>
    <xf numFmtId="49" fontId="6" fillId="7" borderId="0" xfId="1" applyNumberFormat="1" applyFont="1" applyFill="1" applyBorder="1" applyAlignment="1">
      <alignment horizontal="left"/>
    </xf>
    <xf numFmtId="3" fontId="7" fillId="8" borderId="0" xfId="1" applyNumberFormat="1" applyFont="1" applyFill="1" applyBorder="1" applyAlignment="1">
      <alignment horizontal="left"/>
    </xf>
    <xf numFmtId="0" fontId="8" fillId="0" borderId="2" xfId="0" applyFont="1" applyBorder="1" applyAlignment="1">
      <alignment horizontal="center"/>
    </xf>
    <xf numFmtId="0" fontId="6" fillId="9" borderId="3" xfId="0" applyFont="1" applyFill="1" applyBorder="1" applyAlignment="1">
      <alignment horizontal="center"/>
    </xf>
    <xf numFmtId="0" fontId="8" fillId="0" borderId="4" xfId="0" applyFont="1" applyBorder="1"/>
    <xf numFmtId="0" fontId="3" fillId="0" borderId="4" xfId="0" applyFont="1" applyBorder="1"/>
    <xf numFmtId="0" fontId="8" fillId="0" borderId="5" xfId="0" applyFont="1" applyBorder="1"/>
    <xf numFmtId="0" fontId="8" fillId="0" borderId="3" xfId="0" applyFont="1" applyBorder="1" applyAlignment="1">
      <alignment horizontal="center"/>
    </xf>
    <xf numFmtId="0" fontId="8" fillId="10" borderId="3" xfId="0" applyFont="1" applyFill="1" applyBorder="1"/>
    <xf numFmtId="0" fontId="8" fillId="10" borderId="6" xfId="0" applyFont="1" applyFill="1" applyBorder="1"/>
    <xf numFmtId="0" fontId="8" fillId="11" borderId="3" xfId="0" applyFont="1" applyFill="1" applyBorder="1"/>
    <xf numFmtId="0" fontId="8" fillId="0" borderId="6" xfId="0" applyFont="1" applyBorder="1"/>
    <xf numFmtId="0" fontId="8" fillId="12" borderId="6" xfId="0" applyFont="1" applyFill="1" applyBorder="1"/>
    <xf numFmtId="0" fontId="8" fillId="12" borderId="0" xfId="0" applyFont="1" applyFill="1"/>
    <xf numFmtId="0" fontId="6" fillId="9" borderId="5" xfId="0" applyFont="1" applyFill="1" applyBorder="1" applyAlignment="1">
      <alignment horizontal="center"/>
    </xf>
    <xf numFmtId="0" fontId="8" fillId="0" borderId="2" xfId="0" applyFont="1" applyBorder="1"/>
    <xf numFmtId="0" fontId="8" fillId="0" borderId="3" xfId="0" applyFont="1" applyBorder="1"/>
    <xf numFmtId="0" fontId="8" fillId="13" borderId="7" xfId="0" applyFont="1" applyFill="1" applyBorder="1"/>
    <xf numFmtId="0" fontId="8" fillId="13" borderId="6" xfId="0" applyFont="1" applyFill="1" applyBorder="1"/>
    <xf numFmtId="0" fontId="8" fillId="13" borderId="0" xfId="0" applyFont="1" applyFill="1"/>
    <xf numFmtId="16" fontId="5" fillId="14" borderId="0" xfId="1" applyNumberFormat="1" applyFont="1" applyFill="1" applyBorder="1" applyAlignment="1">
      <alignment horizontal="center"/>
    </xf>
    <xf numFmtId="0" fontId="8" fillId="0" borderId="8" xfId="0" applyFont="1" applyBorder="1"/>
    <xf numFmtId="0" fontId="8" fillId="0" borderId="0" xfId="0" applyFont="1"/>
    <xf numFmtId="9" fontId="0" fillId="15" borderId="9" xfId="2" applyFont="1" applyFill="1" applyBorder="1" applyAlignment="1">
      <alignment horizontal="center" vertical="center"/>
    </xf>
    <xf numFmtId="9" fontId="0" fillId="16" borderId="9" xfId="2" applyFont="1" applyFill="1" applyBorder="1" applyAlignment="1">
      <alignment horizontal="center" vertical="center"/>
    </xf>
    <xf numFmtId="0" fontId="8" fillId="0" borderId="10" xfId="0" applyFont="1" applyBorder="1"/>
    <xf numFmtId="9" fontId="9" fillId="15" borderId="9" xfId="2" applyFont="1" applyFill="1" applyBorder="1" applyAlignment="1">
      <alignment horizontal="center" vertical="center"/>
    </xf>
    <xf numFmtId="9" fontId="9" fillId="16" borderId="9" xfId="2" applyFont="1" applyFill="1" applyBorder="1" applyAlignment="1">
      <alignment horizontal="center" vertical="center"/>
    </xf>
    <xf numFmtId="0" fontId="12" fillId="17" borderId="11" xfId="4" applyFont="1" applyFill="1" applyBorder="1" applyAlignment="1">
      <alignment horizontal="left" vertical="center"/>
    </xf>
    <xf numFmtId="0" fontId="12" fillId="0" borderId="12" xfId="4" applyFont="1" applyFill="1" applyBorder="1" applyAlignment="1">
      <alignment horizontal="left" vertical="center"/>
    </xf>
    <xf numFmtId="0" fontId="3" fillId="0" borderId="0" xfId="0" applyFont="1" applyAlignment="1">
      <alignment horizontal="center" vertical="center"/>
    </xf>
    <xf numFmtId="0" fontId="12" fillId="18" borderId="9" xfId="3" applyFont="1" applyFill="1" applyBorder="1" applyAlignment="1">
      <alignment horizontal="left" vertical="center"/>
    </xf>
    <xf numFmtId="0" fontId="12" fillId="19" borderId="9" xfId="3" applyFont="1" applyFill="1" applyBorder="1" applyAlignment="1">
      <alignment horizontal="left" vertical="center"/>
    </xf>
    <xf numFmtId="0" fontId="3" fillId="2" borderId="9" xfId="0" applyFont="1" applyFill="1" applyBorder="1" applyAlignment="1">
      <alignment horizontal="left" vertical="center"/>
    </xf>
    <xf numFmtId="1" fontId="3" fillId="0" borderId="0" xfId="0" applyNumberFormat="1" applyFont="1" applyAlignment="1">
      <alignment horizontal="center" vertical="center"/>
    </xf>
    <xf numFmtId="0" fontId="13" fillId="3" borderId="9" xfId="0" applyFont="1" applyFill="1" applyBorder="1" applyAlignment="1">
      <alignment vertical="center"/>
    </xf>
    <xf numFmtId="0" fontId="3" fillId="0" borderId="9" xfId="0" applyFont="1" applyBorder="1" applyAlignment="1">
      <alignment vertical="center"/>
    </xf>
    <xf numFmtId="0" fontId="3" fillId="0" borderId="0" xfId="0" applyFont="1" applyAlignment="1">
      <alignment vertical="center"/>
    </xf>
    <xf numFmtId="3" fontId="3" fillId="20" borderId="9" xfId="1" applyNumberFormat="1" applyFont="1" applyFill="1" applyBorder="1" applyAlignment="1">
      <alignment horizontal="left" vertical="center"/>
    </xf>
    <xf numFmtId="3" fontId="3" fillId="21" borderId="13" xfId="1" applyNumberFormat="1" applyFont="1" applyFill="1" applyBorder="1" applyAlignment="1">
      <alignment horizontal="left" vertical="center"/>
    </xf>
    <xf numFmtId="3" fontId="3" fillId="16" borderId="13" xfId="1" applyNumberFormat="1" applyFont="1" applyFill="1" applyBorder="1" applyAlignment="1">
      <alignment horizontal="left" vertical="center"/>
    </xf>
    <xf numFmtId="49" fontId="8" fillId="18" borderId="13" xfId="1" applyNumberFormat="1" applyFont="1" applyFill="1" applyBorder="1" applyAlignment="1">
      <alignment horizontal="left" vertical="center"/>
    </xf>
    <xf numFmtId="3" fontId="3" fillId="22" borderId="13" xfId="1" applyNumberFormat="1" applyFont="1" applyFill="1" applyBorder="1" applyAlignment="1">
      <alignment horizontal="left"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22" borderId="15" xfId="0" applyFont="1" applyFill="1" applyBorder="1" applyAlignment="1">
      <alignment horizontal="center" vertical="center"/>
    </xf>
    <xf numFmtId="0" fontId="3" fillId="0" borderId="16" xfId="0" applyFont="1" applyBorder="1" applyAlignment="1">
      <alignment vertical="center"/>
    </xf>
    <xf numFmtId="0" fontId="3" fillId="0" borderId="17" xfId="0" applyFont="1" applyBorder="1" applyAlignment="1">
      <alignment vertical="center"/>
    </xf>
    <xf numFmtId="0" fontId="3" fillId="0" borderId="18" xfId="0" applyFont="1" applyBorder="1" applyAlignment="1">
      <alignment vertical="center"/>
    </xf>
    <xf numFmtId="0" fontId="3" fillId="19" borderId="15" xfId="0" applyFont="1" applyFill="1" applyBorder="1" applyAlignment="1">
      <alignment horizontal="center" vertical="center"/>
    </xf>
    <xf numFmtId="0" fontId="3" fillId="0" borderId="19" xfId="0" applyFont="1" applyBorder="1" applyAlignment="1">
      <alignment vertical="center"/>
    </xf>
    <xf numFmtId="0" fontId="3" fillId="3" borderId="9" xfId="0" applyFont="1" applyFill="1" applyBorder="1" applyAlignment="1">
      <alignment vertical="center"/>
    </xf>
    <xf numFmtId="0" fontId="3" fillId="23" borderId="9" xfId="0" applyFont="1" applyFill="1" applyBorder="1" applyAlignment="1">
      <alignment vertical="center"/>
    </xf>
    <xf numFmtId="0" fontId="3" fillId="15" borderId="9" xfId="0" applyFont="1" applyFill="1" applyBorder="1" applyAlignment="1">
      <alignment vertical="center"/>
    </xf>
    <xf numFmtId="0" fontId="3" fillId="13" borderId="9" xfId="0" applyFont="1" applyFill="1" applyBorder="1" applyAlignment="1">
      <alignment vertical="center"/>
    </xf>
    <xf numFmtId="0" fontId="3" fillId="24" borderId="9" xfId="0" applyFont="1" applyFill="1" applyBorder="1" applyAlignment="1">
      <alignment vertical="center"/>
    </xf>
    <xf numFmtId="0" fontId="3" fillId="25" borderId="13" xfId="0" applyFont="1" applyFill="1" applyBorder="1" applyAlignment="1">
      <alignment vertical="center"/>
    </xf>
    <xf numFmtId="0" fontId="3" fillId="15" borderId="0" xfId="0" applyFont="1" applyFill="1" applyAlignment="1">
      <alignment horizontal="center" vertical="center"/>
    </xf>
    <xf numFmtId="0" fontId="12" fillId="0" borderId="11" xfId="4" applyFont="1" applyFill="1" applyBorder="1" applyAlignment="1">
      <alignment horizontal="left" vertical="center"/>
    </xf>
    <xf numFmtId="0" fontId="3" fillId="0" borderId="14" xfId="0" applyFont="1" applyBorder="1" applyAlignment="1">
      <alignment vertical="center"/>
    </xf>
    <xf numFmtId="16" fontId="3" fillId="3" borderId="9" xfId="1" applyNumberFormat="1" applyFont="1" applyFill="1" applyBorder="1" applyAlignment="1">
      <alignment horizontal="center" vertical="center"/>
    </xf>
    <xf numFmtId="0" fontId="3" fillId="26" borderId="9" xfId="0" applyFont="1" applyFill="1" applyBorder="1" applyAlignment="1">
      <alignment vertical="center"/>
    </xf>
    <xf numFmtId="0" fontId="3" fillId="27" borderId="9" xfId="0" applyFont="1" applyFill="1" applyBorder="1" applyAlignment="1">
      <alignment vertical="center"/>
    </xf>
    <xf numFmtId="0" fontId="3" fillId="28" borderId="9" xfId="0" applyFont="1" applyFill="1" applyBorder="1" applyAlignment="1">
      <alignment vertical="center" wrapText="1"/>
    </xf>
    <xf numFmtId="14" fontId="3" fillId="0" borderId="19" xfId="0" applyNumberFormat="1" applyFont="1" applyBorder="1" applyAlignment="1">
      <alignment vertical="center"/>
    </xf>
    <xf numFmtId="14" fontId="3" fillId="0" borderId="0" xfId="0" applyNumberFormat="1" applyFont="1" applyAlignment="1">
      <alignment vertical="center"/>
    </xf>
    <xf numFmtId="9" fontId="14" fillId="0" borderId="9" xfId="2" applyFont="1" applyBorder="1" applyAlignment="1">
      <alignment horizontal="center" vertical="center"/>
    </xf>
    <xf numFmtId="0" fontId="10" fillId="0" borderId="0" xfId="3" applyAlignment="1">
      <alignment vertical="center"/>
    </xf>
    <xf numFmtId="0" fontId="12" fillId="18" borderId="11" xfId="4" applyFont="1" applyFill="1" applyBorder="1" applyAlignment="1">
      <alignment horizontal="left" vertical="center"/>
    </xf>
    <xf numFmtId="0" fontId="3" fillId="0" borderId="12" xfId="0" applyFont="1" applyBorder="1" applyAlignment="1">
      <alignment horizontal="center" vertical="center"/>
    </xf>
    <xf numFmtId="0" fontId="12" fillId="19" borderId="11" xfId="4" applyFont="1" applyFill="1" applyBorder="1" applyAlignment="1">
      <alignment horizontal="left" vertical="center"/>
    </xf>
  </cellXfs>
  <cellStyles count="5">
    <cellStyle name="Comma" xfId="1" builtinId="3"/>
    <cellStyle name="Hyperlink" xfId="3" builtinId="8"/>
    <cellStyle name="Hyperlink 2" xfId="4" xr:uid="{26014DC4-7044-4E52-8CF1-D7804B9019B7}"/>
    <cellStyle name="Normal" xfId="0" builtinId="0"/>
    <cellStyle name="Percent" xfId="2" builtinId="5"/>
  </cellStyles>
  <dxfs count="4578">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ill>
        <patternFill>
          <bgColor theme="0" tint="-0.499984740745262"/>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ill>
        <patternFill>
          <bgColor theme="0" tint="-0.499984740745262"/>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ill>
        <patternFill>
          <bgColor theme="0" tint="-0.499984740745262"/>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ill>
        <patternFill>
          <bgColor theme="0" tint="-0.499984740745262"/>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gif"/><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gif"/><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80" Type="http://schemas.openxmlformats.org/officeDocument/2006/relationships/image" Target="../media/image80.gif"/><Relationship Id="rId85" Type="http://schemas.openxmlformats.org/officeDocument/2006/relationships/image" Target="../media/image85.png"/><Relationship Id="rId12" Type="http://schemas.openxmlformats.org/officeDocument/2006/relationships/image" Target="../media/image12.png"/><Relationship Id="rId17" Type="http://schemas.openxmlformats.org/officeDocument/2006/relationships/image" Target="../media/image17.png"/><Relationship Id="rId33" Type="http://schemas.openxmlformats.org/officeDocument/2006/relationships/image" Target="../media/image33.png"/><Relationship Id="rId38" Type="http://schemas.openxmlformats.org/officeDocument/2006/relationships/image" Target="../media/image38.png"/><Relationship Id="rId59" Type="http://schemas.openxmlformats.org/officeDocument/2006/relationships/image" Target="../media/image59.gif"/><Relationship Id="rId103" Type="http://schemas.openxmlformats.org/officeDocument/2006/relationships/image" Target="../media/image103.png"/><Relationship Id="rId108" Type="http://schemas.openxmlformats.org/officeDocument/2006/relationships/image" Target="../media/image108.png"/><Relationship Id="rId124" Type="http://schemas.openxmlformats.org/officeDocument/2006/relationships/image" Target="../media/image124.png"/><Relationship Id="rId54" Type="http://schemas.openxmlformats.org/officeDocument/2006/relationships/image" Target="../media/image54.png"/><Relationship Id="rId70" Type="http://schemas.openxmlformats.org/officeDocument/2006/relationships/image" Target="../media/image70.png"/><Relationship Id="rId75" Type="http://schemas.openxmlformats.org/officeDocument/2006/relationships/image" Target="../media/image75.png"/><Relationship Id="rId91" Type="http://schemas.openxmlformats.org/officeDocument/2006/relationships/image" Target="../media/image91.png"/><Relationship Id="rId96" Type="http://schemas.openxmlformats.org/officeDocument/2006/relationships/image" Target="../media/image96.png"/><Relationship Id="rId1" Type="http://schemas.openxmlformats.org/officeDocument/2006/relationships/image" Target="../media/image1.png"/><Relationship Id="rId6" Type="http://schemas.openxmlformats.org/officeDocument/2006/relationships/image" Target="../media/image6.png"/><Relationship Id="rId23" Type="http://schemas.openxmlformats.org/officeDocument/2006/relationships/image" Target="../media/image23.png"/><Relationship Id="rId28" Type="http://schemas.openxmlformats.org/officeDocument/2006/relationships/image" Target="../media/image28.png"/><Relationship Id="rId49" Type="http://schemas.openxmlformats.org/officeDocument/2006/relationships/image" Target="../media/image49.png"/><Relationship Id="rId114" Type="http://schemas.openxmlformats.org/officeDocument/2006/relationships/image" Target="../media/image114.png"/><Relationship Id="rId119" Type="http://schemas.openxmlformats.org/officeDocument/2006/relationships/image" Target="../media/image119.png"/><Relationship Id="rId44" Type="http://schemas.openxmlformats.org/officeDocument/2006/relationships/image" Target="../media/image44.png"/><Relationship Id="rId60" Type="http://schemas.openxmlformats.org/officeDocument/2006/relationships/image" Target="../media/image60.gif"/><Relationship Id="rId65" Type="http://schemas.openxmlformats.org/officeDocument/2006/relationships/image" Target="../media/image65.png"/><Relationship Id="rId81" Type="http://schemas.openxmlformats.org/officeDocument/2006/relationships/image" Target="../media/image81.png"/><Relationship Id="rId86" Type="http://schemas.openxmlformats.org/officeDocument/2006/relationships/image" Target="../media/image86.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gif"/><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25" Type="http://schemas.openxmlformats.org/officeDocument/2006/relationships/image" Target="../media/image25.png"/><Relationship Id="rId46" Type="http://schemas.openxmlformats.org/officeDocument/2006/relationships/image" Target="../media/image46.png"/><Relationship Id="rId67" Type="http://schemas.openxmlformats.org/officeDocument/2006/relationships/image" Target="../media/image67.gif"/><Relationship Id="rId116" Type="http://schemas.openxmlformats.org/officeDocument/2006/relationships/image" Target="../media/image116.png"/><Relationship Id="rId20" Type="http://schemas.openxmlformats.org/officeDocument/2006/relationships/image" Target="../media/image20.png"/><Relationship Id="rId41" Type="http://schemas.openxmlformats.org/officeDocument/2006/relationships/image" Target="../media/image41.png"/><Relationship Id="rId62" Type="http://schemas.openxmlformats.org/officeDocument/2006/relationships/image" Target="../media/image62.gif"/><Relationship Id="rId83" Type="http://schemas.openxmlformats.org/officeDocument/2006/relationships/image" Target="../media/image83.png"/><Relationship Id="rId88" Type="http://schemas.openxmlformats.org/officeDocument/2006/relationships/image" Target="../media/image88.png"/><Relationship Id="rId111" Type="http://schemas.openxmlformats.org/officeDocument/2006/relationships/image" Target="../media/image111.png"/><Relationship Id="rId15" Type="http://schemas.openxmlformats.org/officeDocument/2006/relationships/image" Target="../media/image15.png"/><Relationship Id="rId36" Type="http://schemas.openxmlformats.org/officeDocument/2006/relationships/image" Target="../media/image36.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52" Type="http://schemas.openxmlformats.org/officeDocument/2006/relationships/image" Target="../media/image52.png"/><Relationship Id="rId73" Type="http://schemas.openxmlformats.org/officeDocument/2006/relationships/image" Target="../media/image73.png"/><Relationship Id="rId78" Type="http://schemas.openxmlformats.org/officeDocument/2006/relationships/image" Target="../media/image78.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4" Type="http://schemas.openxmlformats.org/officeDocument/2006/relationships/image" Target="../media/image4.png"/><Relationship Id="rId9" Type="http://schemas.openxmlformats.org/officeDocument/2006/relationships/image" Target="../media/image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25">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 s="0">
    <v>65</v>
    <v>5</v>
  </rv>
  <rv s="0">
    <v>66</v>
    <v>5</v>
  </rv>
  <rv s="0">
    <v>67</v>
    <v>5</v>
  </rv>
  <rv s="0">
    <v>68</v>
    <v>5</v>
  </rv>
  <rv s="0">
    <v>69</v>
    <v>5</v>
  </rv>
  <rv s="0">
    <v>70</v>
    <v>5</v>
  </rv>
  <rv s="0">
    <v>71</v>
    <v>5</v>
  </rv>
  <rv s="0">
    <v>72</v>
    <v>5</v>
  </rv>
  <rv s="0">
    <v>73</v>
    <v>5</v>
  </rv>
  <rv s="0">
    <v>74</v>
    <v>5</v>
  </rv>
  <rv s="0">
    <v>75</v>
    <v>5</v>
  </rv>
  <rv s="0">
    <v>76</v>
    <v>5</v>
  </rv>
  <rv s="0">
    <v>77</v>
    <v>5</v>
  </rv>
  <rv s="0">
    <v>78</v>
    <v>5</v>
  </rv>
  <rv s="0">
    <v>79</v>
    <v>5</v>
  </rv>
  <rv s="0">
    <v>80</v>
    <v>5</v>
  </rv>
  <rv s="0">
    <v>81</v>
    <v>5</v>
  </rv>
  <rv s="0">
    <v>82</v>
    <v>5</v>
  </rv>
  <rv s="0">
    <v>83</v>
    <v>5</v>
  </rv>
  <rv s="0">
    <v>84</v>
    <v>5</v>
  </rv>
  <rv s="0">
    <v>85</v>
    <v>5</v>
  </rv>
  <rv s="0">
    <v>86</v>
    <v>5</v>
  </rv>
  <rv s="0">
    <v>87</v>
    <v>5</v>
  </rv>
  <rv s="0">
    <v>88</v>
    <v>5</v>
  </rv>
  <rv s="0">
    <v>89</v>
    <v>5</v>
  </rv>
  <rv s="0">
    <v>90</v>
    <v>5</v>
  </rv>
  <rv s="0">
    <v>91</v>
    <v>5</v>
  </rv>
  <rv s="0">
    <v>92</v>
    <v>5</v>
  </rv>
  <rv s="0">
    <v>93</v>
    <v>5</v>
  </rv>
  <rv s="0">
    <v>94</v>
    <v>5</v>
  </rv>
  <rv s="0">
    <v>95</v>
    <v>5</v>
  </rv>
  <rv s="0">
    <v>96</v>
    <v>5</v>
  </rv>
  <rv s="0">
    <v>97</v>
    <v>5</v>
  </rv>
  <rv s="0">
    <v>98</v>
    <v>5</v>
  </rv>
  <rv s="0">
    <v>99</v>
    <v>5</v>
  </rv>
  <rv s="0">
    <v>100</v>
    <v>5</v>
  </rv>
  <rv s="0">
    <v>101</v>
    <v>5</v>
  </rv>
  <rv s="0">
    <v>102</v>
    <v>5</v>
  </rv>
  <rv s="0">
    <v>103</v>
    <v>5</v>
  </rv>
  <rv s="0">
    <v>104</v>
    <v>5</v>
  </rv>
  <rv s="0">
    <v>105</v>
    <v>5</v>
  </rv>
  <rv s="0">
    <v>106</v>
    <v>5</v>
  </rv>
  <rv s="0">
    <v>107</v>
    <v>5</v>
  </rv>
  <rv s="0">
    <v>108</v>
    <v>5</v>
  </rv>
  <rv s="0">
    <v>109</v>
    <v>5</v>
  </rv>
  <rv s="0">
    <v>110</v>
    <v>5</v>
  </rv>
  <rv s="0">
    <v>111</v>
    <v>5</v>
  </rv>
  <rv s="0">
    <v>112</v>
    <v>5</v>
  </rv>
  <rv s="0">
    <v>113</v>
    <v>5</v>
  </rv>
  <rv s="0">
    <v>114</v>
    <v>5</v>
  </rv>
  <rv s="0">
    <v>115</v>
    <v>5</v>
  </rv>
  <rv s="0">
    <v>116</v>
    <v>5</v>
  </rv>
  <rv s="0">
    <v>117</v>
    <v>5</v>
  </rv>
  <rv s="0">
    <v>118</v>
    <v>5</v>
  </rv>
  <rv s="0">
    <v>119</v>
    <v>5</v>
  </rv>
  <rv s="0">
    <v>120</v>
    <v>5</v>
  </rv>
  <rv s="0">
    <v>121</v>
    <v>5</v>
  </rv>
  <rv s="0">
    <v>122</v>
    <v>5</v>
  </rv>
  <rv s="0">
    <v>123</v>
    <v>5</v>
  </rv>
  <rv s="0">
    <v>124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el r:id="rId76"/>
  <rel r:id="rId77"/>
  <rel r:id="rId78"/>
  <rel r:id="rId79"/>
  <rel r:id="rId80"/>
  <rel r:id="rId81"/>
  <rel r:id="rId82"/>
  <rel r:id="rId83"/>
  <rel r:id="rId84"/>
  <rel r:id="rId85"/>
  <rel r:id="rId86"/>
  <rel r:id="rId87"/>
  <rel r:id="rId88"/>
  <rel r:id="rId89"/>
  <rel r:id="rId90"/>
  <rel r:id="rId91"/>
  <rel r:id="rId92"/>
  <rel r:id="rId93"/>
  <rel r:id="rId94"/>
  <rel r:id="rId95"/>
  <rel r:id="rId96"/>
  <rel r:id="rId97"/>
  <rel r:id="rId98"/>
  <rel r:id="rId99"/>
  <rel r:id="rId100"/>
  <rel r:id="rId101"/>
  <rel r:id="rId102"/>
  <rel r:id="rId103"/>
  <rel r:id="rId104"/>
  <rel r:id="rId105"/>
  <rel r:id="rId106"/>
  <rel r:id="rId107"/>
  <rel r:id="rId108"/>
  <rel r:id="rId109"/>
  <rel r:id="rId110"/>
  <rel r:id="rId111"/>
  <rel r:id="rId112"/>
  <rel r:id="rId113"/>
  <rel r:id="rId114"/>
  <rel r:id="rId115"/>
  <rel r:id="rId116"/>
  <rel r:id="rId117"/>
  <rel r:id="rId118"/>
  <rel r:id="rId119"/>
  <rel r:id="rId120"/>
  <rel r:id="rId121"/>
  <rel r:id="rId122"/>
  <rel r:id="rId123"/>
  <rel r:id="rId124"/>
  <rel r:id="rId125"/>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hyperlink" Target="https://upload.wikimedia.org/wikipedia/commons/thumb/1/1a/Flag_of_Argentina.svg/2560px-Flag_of_Argentina.svg.png" TargetMode="External"/><Relationship Id="rId1" Type="http://schemas.openxmlformats.org/officeDocument/2006/relationships/hyperlink" Target="https://fbref.com/en/country/ARG/Argentina-Football"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en.wikipedia.org/wiki/Flag_of_Bolivia" TargetMode="External"/><Relationship Id="rId1" Type="http://schemas.openxmlformats.org/officeDocument/2006/relationships/hyperlink" Target="https://fbref.com/en/country/BOL/Bolivia-Football"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n.wikipedia.org/wiki/Flag_of_Goi&#225;s" TargetMode="External"/><Relationship Id="rId21" Type="http://schemas.openxmlformats.org/officeDocument/2006/relationships/hyperlink" Target="https://upload.wikimedia.org/wikipedia/commons/thumb/4/43/Bandeira_do_Esp%C3%ADrito_Santo.svg/2560px-Bandeira_do_Esp%C3%ADrito_Santo.svg.png" TargetMode="External"/><Relationship Id="rId42" Type="http://schemas.openxmlformats.org/officeDocument/2006/relationships/hyperlink" Target="https://upload.wikimedia.org/wikipedia/commons/thumb/4/44/Bandeira_do_par%C3%A1.png/640px-Bandeira_do_par%C3%A1.png" TargetMode="External"/><Relationship Id="rId47" Type="http://schemas.openxmlformats.org/officeDocument/2006/relationships/hyperlink" Target="https://upload.wikimedia.org/wikipedia/commons/thumb/9/93/Bandeira_do_Paran%C3%A1.svg/2560px-Bandeira_do_Paran%C3%A1.svg.png" TargetMode="External"/><Relationship Id="rId63" Type="http://schemas.openxmlformats.org/officeDocument/2006/relationships/hyperlink" Target="https://en.wikipedia.org/wiki/Flag_of_Rond&#244;nia" TargetMode="External"/><Relationship Id="rId68" Type="http://schemas.openxmlformats.org/officeDocument/2006/relationships/hyperlink" Target="https://upload.wikimedia.org/wikipedia/commons/thumb/9/98/Bandeira_de_Roraima.svg/640px-Bandeira_de_Roraima.svg.png" TargetMode="External"/><Relationship Id="rId16" Type="http://schemas.openxmlformats.org/officeDocument/2006/relationships/hyperlink" Target="https://en.wikipedia.org/wiki/Flag_of_Bahia" TargetMode="External"/><Relationship Id="rId11" Type="http://schemas.openxmlformats.org/officeDocument/2006/relationships/hyperlink" Target="https://en.wikipedia.org/wiki/Flag_of_Amazonas_(Brazilian_state)" TargetMode="External"/><Relationship Id="rId24" Type="http://schemas.openxmlformats.org/officeDocument/2006/relationships/hyperlink" Target="https://upload.wikimedia.org/wikipedia/commons/thumb/3/3c/Bandeira_do_Distrito_Federal_%28Brasil%29.svg/2560px-Bandeira_do_Distrito_Federal_%28Brasil%29.svg.png" TargetMode="External"/><Relationship Id="rId32" Type="http://schemas.openxmlformats.org/officeDocument/2006/relationships/hyperlink" Target="https://en.wikipedia.org/wiki/Flag_of_Mato_Grosso" TargetMode="External"/><Relationship Id="rId37" Type="http://schemas.openxmlformats.org/officeDocument/2006/relationships/hyperlink" Target="https://en.wikipedia.org/wiki/Flag_of_Mato_Grosso_do_Sul" TargetMode="External"/><Relationship Id="rId40" Type="http://schemas.openxmlformats.org/officeDocument/2006/relationships/hyperlink" Target="https://en.wikipedia.org/wiki/Flag_of_Par&#225;" TargetMode="External"/><Relationship Id="rId45" Type="http://schemas.openxmlformats.org/officeDocument/2006/relationships/hyperlink" Target="https://upload.wikimedia.org/wikipedia/commons/thumb/b/bb/Bandeira_da_Para%C3%ADba.svg/640px-Bandeira_da_Para%C3%ADba.svg.png" TargetMode="External"/><Relationship Id="rId53" Type="http://schemas.openxmlformats.org/officeDocument/2006/relationships/hyperlink" Target="https://upload.wikimedia.org/wikipedia/commons/thumb/3/33/Bandeira_do_Piau%C3%AD.svg/640px-Bandeira_do_Piau%C3%AD.svg.png" TargetMode="External"/><Relationship Id="rId58" Type="http://schemas.openxmlformats.org/officeDocument/2006/relationships/hyperlink" Target="https://upload.wikimedia.org/wikipedia/commons/thumb/3/30/Bandeira_do_Rio_Grande_do_Norte.svg/2560px-Bandeira_do_Rio_Grande_do_Norte.svg.png" TargetMode="External"/><Relationship Id="rId66" Type="http://schemas.openxmlformats.org/officeDocument/2006/relationships/hyperlink" Target="https://en.wikipedia.org/wiki/Flag_of_Roraima" TargetMode="External"/><Relationship Id="rId74" Type="http://schemas.openxmlformats.org/officeDocument/2006/relationships/hyperlink" Target="https://upload.wikimedia.org/wikipedia/commons/thumb/2/2b/Bandeira_do_estado_de_S%C3%A3o_Paulo.svg/640px-Bandeira_do_estado_de_S%C3%A3o_Paulo.svg.png" TargetMode="External"/><Relationship Id="rId79" Type="http://schemas.openxmlformats.org/officeDocument/2006/relationships/hyperlink" Target="https://upload.wikimedia.org/wikipedia/commons/thumb/f/ff/Bandeira_do_Tocantins.svg/2560px-Bandeira_do_Tocantins.svg.png" TargetMode="External"/><Relationship Id="rId5" Type="http://schemas.openxmlformats.org/officeDocument/2006/relationships/hyperlink" Target="https://en.wikipedia.org/wiki/Flag_of_Alagoas" TargetMode="External"/><Relationship Id="rId61" Type="http://schemas.openxmlformats.org/officeDocument/2006/relationships/hyperlink" Target="https://upload.wikimedia.org/wikipedia/commons/thumb/6/63/Bandeira_do_Rio_Grande_do_Sul.svg/640px-Bandeira_do_Rio_Grande_do_Sul.svg.png" TargetMode="External"/><Relationship Id="rId19" Type="http://schemas.openxmlformats.org/officeDocument/2006/relationships/hyperlink" Target="https://en.wikipedia.org/wiki/Flag_of_Cear&#225;" TargetMode="External"/><Relationship Id="rId14" Type="http://schemas.openxmlformats.org/officeDocument/2006/relationships/hyperlink" Target="https://upload.wikimedia.org/wikipedia/commons/thumb/2/28/Bandeira_da_Bahia.svg/2560px-Bandeira_da_Bahia.svg.png" TargetMode="External"/><Relationship Id="rId22" Type="http://schemas.openxmlformats.org/officeDocument/2006/relationships/hyperlink" Target="https://upload.wikimedia.org/wikipedia/commons/thumb/4/43/Bandeira_do_Esp%C3%ADrito_Santo.svg/640px-Bandeira_do_Esp%C3%ADrito_Santo.svg.png" TargetMode="External"/><Relationship Id="rId27" Type="http://schemas.openxmlformats.org/officeDocument/2006/relationships/hyperlink" Target="https://upload.wikimedia.org/wikipedia/commons/thumb/b/be/Flag_of_Goi%C3%A1s.svg/2560px-Flag_of_Goi%C3%A1s.svg.png" TargetMode="External"/><Relationship Id="rId30" Type="http://schemas.openxmlformats.org/officeDocument/2006/relationships/hyperlink" Target="https://upload.wikimedia.org/wikipedia/commons/thumb/4/45/Bandeira_do_Maranh%C3%A3o.svg/2560px-Bandeira_do_Maranh%C3%A3o.svg.png" TargetMode="External"/><Relationship Id="rId35" Type="http://schemas.openxmlformats.org/officeDocument/2006/relationships/hyperlink" Target="https://upload.wikimedia.org/wikipedia/commons/thumb/6/64/Bandeira_de_Mato_Grosso_do_Sul.svg/2560px-Bandeira_de_Mato_Grosso_do_Sul.svg.png" TargetMode="External"/><Relationship Id="rId43" Type="http://schemas.openxmlformats.org/officeDocument/2006/relationships/hyperlink" Target="https://en.wikipedia.org/wiki/Para&#237;ba" TargetMode="External"/><Relationship Id="rId48" Type="http://schemas.openxmlformats.org/officeDocument/2006/relationships/hyperlink" Target="https://upload.wikimedia.org/wikipedia/commons/thumb/9/93/Bandeira_do_Paran%C3%A1.svg/640px-Bandeira_do_Paran%C3%A1.svg.png" TargetMode="External"/><Relationship Id="rId56" Type="http://schemas.openxmlformats.org/officeDocument/2006/relationships/hyperlink" Target="https://www.fotw.info/flags/br-rj.html" TargetMode="External"/><Relationship Id="rId64" Type="http://schemas.openxmlformats.org/officeDocument/2006/relationships/hyperlink" Target="https://upload.wikimedia.org/wikipedia/commons/thumb/f/fa/Bandeira_de_Rond%C3%B4nia.svg/2560px-Bandeira_de_Rond%C3%B4nia.svg.png" TargetMode="External"/><Relationship Id="rId69" Type="http://schemas.openxmlformats.org/officeDocument/2006/relationships/hyperlink" Target="https://vexillology.fandom.com/wiki/Santa_Catarina" TargetMode="External"/><Relationship Id="rId77" Type="http://schemas.openxmlformats.org/officeDocument/2006/relationships/hyperlink" Target="https://upload.wikimedia.org/wikipedia/commons/thumb/b/be/Bandeira_de_Sergipe.svg/640px-Bandeira_de_Sergipe.svg.png" TargetMode="External"/><Relationship Id="rId8" Type="http://schemas.openxmlformats.org/officeDocument/2006/relationships/hyperlink" Target="https://en.wikipedia.org/wiki/Flag_of_Amap&#225;" TargetMode="External"/><Relationship Id="rId51" Type="http://schemas.openxmlformats.org/officeDocument/2006/relationships/hyperlink" Target="https://upload.wikimedia.org/wikipedia/commons/thumb/5/59/Bandeira_de_Pernambuco.svg/640px-Bandeira_de_Pernambuco.svg.png" TargetMode="External"/><Relationship Id="rId72" Type="http://schemas.openxmlformats.org/officeDocument/2006/relationships/hyperlink" Target="https://en.wikipedia.org/wiki/Flag_of_S&#227;o_Paulo_(state)" TargetMode="External"/><Relationship Id="rId80" Type="http://schemas.openxmlformats.org/officeDocument/2006/relationships/hyperlink" Target="https://upload.wikimedia.org/wikipedia/commons/thumb/f/ff/Bandeira_do_Tocantins.svg/640px-Bandeira_do_Tocantins.svg.png" TargetMode="External"/><Relationship Id="rId3" Type="http://schemas.openxmlformats.org/officeDocument/2006/relationships/hyperlink" Target="https://en.wikipedia.org/wiki/Flag_of_Brazil" TargetMode="External"/><Relationship Id="rId12" Type="http://schemas.openxmlformats.org/officeDocument/2006/relationships/hyperlink" Target="https://upload.wikimedia.org/wikipedia/commons/thumb/6/6b/Bandeira_do_Amazonas.svg/2560px-Bandeira_do_Amazonas.svg.png" TargetMode="External"/><Relationship Id="rId17" Type="http://schemas.openxmlformats.org/officeDocument/2006/relationships/hyperlink" Target="https://upload.wikimedia.org/wikipedia/commons/thumb/2/2e/Bandeira_do_Cear%C3%A1.svg/2560px-Bandeira_do_Cear%C3%A1.svg.png" TargetMode="External"/><Relationship Id="rId25" Type="http://schemas.openxmlformats.org/officeDocument/2006/relationships/hyperlink" Target="https://upload.wikimedia.org/wikipedia/commons/thumb/3/3c/Bandeira_do_Distrito_Federal_%28Brasil%29.svg/640px-Bandeira_do_Distrito_Federal_%28Brasil%29.svg.png" TargetMode="External"/><Relationship Id="rId33" Type="http://schemas.openxmlformats.org/officeDocument/2006/relationships/hyperlink" Target="https://upload.wikimedia.org/wikipedia/commons/thumb/0/0b/Bandeira_de_Mato_Grosso.svg/2560px-Bandeira_de_Mato_Grosso.svg.png" TargetMode="External"/><Relationship Id="rId38" Type="http://schemas.openxmlformats.org/officeDocument/2006/relationships/hyperlink" Target="https://en.wikipedia.org/wiki/Flag_of_Minas_Gerais" TargetMode="External"/><Relationship Id="rId46" Type="http://schemas.openxmlformats.org/officeDocument/2006/relationships/hyperlink" Target="https://en.wikipedia.org/wiki/Flag_of_Paran&#225;_(state)" TargetMode="External"/><Relationship Id="rId59" Type="http://schemas.openxmlformats.org/officeDocument/2006/relationships/hyperlink" Target="https://upload.wikimedia.org/wikipedia/commons/thumb/3/30/Bandeira_do_Rio_Grande_do_Norte.svg/640px-Bandeira_do_Rio_Grande_do_Norte.svg.png" TargetMode="External"/><Relationship Id="rId67" Type="http://schemas.openxmlformats.org/officeDocument/2006/relationships/hyperlink" Target="https://upload.wikimedia.org/wikipedia/commons/thumb/9/98/Bandeira_de_Roraima.svg/2560px-Bandeira_de_Roraima.svg.png" TargetMode="External"/><Relationship Id="rId20" Type="http://schemas.openxmlformats.org/officeDocument/2006/relationships/hyperlink" Target="https://en.wikipedia.org/wiki/Flag_of_Esp&#237;rito_Santo" TargetMode="External"/><Relationship Id="rId41" Type="http://schemas.openxmlformats.org/officeDocument/2006/relationships/hyperlink" Target="https://upload.wikimedia.org/wikipedia/commons/4/44/Bandeira_do_par%C3%A1.png" TargetMode="External"/><Relationship Id="rId54" Type="http://schemas.openxmlformats.org/officeDocument/2006/relationships/hyperlink" Target="https://upload.wikimedia.org/wikipedia/commons/thumb/7/73/Bandeira_do_estado_do_Rio_de_Janeiro.svg/2560px-Bandeira_do_estado_do_Rio_de_Janeiro.svg.png" TargetMode="External"/><Relationship Id="rId62" Type="http://schemas.openxmlformats.org/officeDocument/2006/relationships/hyperlink" Target="https://pt.wikipedia.org/wiki/Bandeira_do_Rio_Grande_do_Sul" TargetMode="External"/><Relationship Id="rId70" Type="http://schemas.openxmlformats.org/officeDocument/2006/relationships/hyperlink" Target="https://upload.wikimedia.org/wikipedia/commons/thumb/1/1a/Bandeira_de_Santa_Catarina.svg/2560px-Bandeira_de_Santa_Catarina.svg.png" TargetMode="External"/><Relationship Id="rId75" Type="http://schemas.openxmlformats.org/officeDocument/2006/relationships/hyperlink" Target="https://en.wikipedia.org/wiki/Sergipe" TargetMode="External"/><Relationship Id="rId1" Type="http://schemas.openxmlformats.org/officeDocument/2006/relationships/hyperlink" Target="https://fbref.com/en/country/BRA/Brazil-Football" TargetMode="External"/><Relationship Id="rId6" Type="http://schemas.openxmlformats.org/officeDocument/2006/relationships/hyperlink" Target="https://upload.wikimedia.org/wikipedia/commons/thumb/8/88/Bandeira_de_Alagoas.svg/2560px-Bandeira_de_Alagoas.svg.png" TargetMode="External"/><Relationship Id="rId15" Type="http://schemas.openxmlformats.org/officeDocument/2006/relationships/hyperlink" Target="https://upload.wikimedia.org/wikipedia/commons/thumb/2/28/Bandeira_da_Bahia.svg/640px-Bandeira_da_Bahia.svg.png" TargetMode="External"/><Relationship Id="rId23" Type="http://schemas.openxmlformats.org/officeDocument/2006/relationships/hyperlink" Target="https://en.wikipedia.org/wiki/Flag_of_the_Federal_District_(Brazil)" TargetMode="External"/><Relationship Id="rId28" Type="http://schemas.openxmlformats.org/officeDocument/2006/relationships/hyperlink" Target="https://upload.wikimedia.org/wikipedia/commons/thumb/b/be/Flag_of_Goi%C3%A1s.svg/640px-Flag_of_Goi%C3%A1s.svg.png" TargetMode="External"/><Relationship Id="rId36" Type="http://schemas.openxmlformats.org/officeDocument/2006/relationships/hyperlink" Target="https://upload.wikimedia.org/wikipedia/commons/thumb/6/64/Bandeira_de_Mato_Grosso_do_Sul.svg/640px-Bandeira_de_Mato_Grosso_do_Sul.svg.png" TargetMode="External"/><Relationship Id="rId49" Type="http://schemas.openxmlformats.org/officeDocument/2006/relationships/hyperlink" Target="https://en.wikipedia.org/wiki/Flag_of_Pernambuco" TargetMode="External"/><Relationship Id="rId57" Type="http://schemas.openxmlformats.org/officeDocument/2006/relationships/hyperlink" Target="https://en.wikipedia.org/wiki/Flag_of_Rio_Grande_do_Norte" TargetMode="External"/><Relationship Id="rId10" Type="http://schemas.openxmlformats.org/officeDocument/2006/relationships/hyperlink" Target="https://upload.wikimedia.org/wikipedia/commons/thumb/0/0c/Bandeira_do_Amap%C3%A1.svg/640px-Bandeira_do_Amap%C3%A1.svg.png" TargetMode="External"/><Relationship Id="rId31" Type="http://schemas.openxmlformats.org/officeDocument/2006/relationships/hyperlink" Target="https://upload.wikimedia.org/wikipedia/commons/thumb/4/45/Bandeira_do_Maranh%C3%A3o.svg/640px-Bandeira_do_Maranh%C3%A3o.svg.png" TargetMode="External"/><Relationship Id="rId44" Type="http://schemas.openxmlformats.org/officeDocument/2006/relationships/hyperlink" Target="https://upload.wikimedia.org/wikipedia/commons/thumb/b/bb/Bandeira_da_Para%C3%ADba.svg/2560px-Bandeira_da_Para%C3%ADba.svg.png" TargetMode="External"/><Relationship Id="rId52" Type="http://schemas.openxmlformats.org/officeDocument/2006/relationships/hyperlink" Target="https://upload.wikimedia.org/wikipedia/commons/thumb/3/33/Bandeira_do_Piau%C3%AD.svg/2560px-Bandeira_do_Piau%C3%AD.svg.png" TargetMode="External"/><Relationship Id="rId60" Type="http://schemas.openxmlformats.org/officeDocument/2006/relationships/hyperlink" Target="https://upload.wikimedia.org/wikipedia/commons/thumb/6/63/Bandeira_do_Rio_Grande_do_Sul.svg/2560px-Bandeira_do_Rio_Grande_do_Sul.svg.png" TargetMode="External"/><Relationship Id="rId65" Type="http://schemas.openxmlformats.org/officeDocument/2006/relationships/hyperlink" Target="https://upload.wikimedia.org/wikipedia/commons/thumb/f/fa/Bandeira_de_Rond%C3%B4nia.svg/640px-Bandeira_de_Rond%C3%B4nia.svg.png" TargetMode="External"/><Relationship Id="rId73" Type="http://schemas.openxmlformats.org/officeDocument/2006/relationships/hyperlink" Target="https://upload.wikimedia.org/wikipedia/commons/thumb/2/2b/Bandeira_do_estado_de_S%C3%A3o_Paulo.svg/2560px-Bandeira_do_estado_de_S%C3%A3o_Paulo.svg.png" TargetMode="External"/><Relationship Id="rId78" Type="http://schemas.openxmlformats.org/officeDocument/2006/relationships/hyperlink" Target="https://en.wikipedia.org/wiki/Flag_of_Tocantins" TargetMode="External"/><Relationship Id="rId4" Type="http://schemas.openxmlformats.org/officeDocument/2006/relationships/hyperlink" Target="https://upload.wikimedia.org/wikipedia/commons/thumb/4/4c/Bandeira_do_Acre.svg/2560px-Bandeira_do_Acre.svg.png" TargetMode="External"/><Relationship Id="rId9" Type="http://schemas.openxmlformats.org/officeDocument/2006/relationships/hyperlink" Target="https://upload.wikimedia.org/wikipedia/commons/thumb/0/0c/Bandeira_do_Amap%C3%A1.svg/2560px-Bandeira_do_Amap%C3%A1.svg.png" TargetMode="External"/><Relationship Id="rId13" Type="http://schemas.openxmlformats.org/officeDocument/2006/relationships/hyperlink" Target="https://upload.wikimedia.org/wikipedia/commons/thumb/6/6b/Bandeira_do_Amazonas.svg/640px-Bandeira_do_Amazonas.svg.png" TargetMode="External"/><Relationship Id="rId18" Type="http://schemas.openxmlformats.org/officeDocument/2006/relationships/hyperlink" Target="https://upload.wikimedia.org/wikipedia/commons/thumb/2/2e/Bandeira_do_Cear%C3%A1.svg/640px-Bandeira_do_Cear%C3%A1.svg.png" TargetMode="External"/><Relationship Id="rId39" Type="http://schemas.openxmlformats.org/officeDocument/2006/relationships/hyperlink" Target="https://upload.wikimedia.org/wikipedia/commons/thumb/f/f4/Bandeira_de_Minas_Gerais.svg/2560px-Bandeira_de_Minas_Gerais.svg.png" TargetMode="External"/><Relationship Id="rId34" Type="http://schemas.openxmlformats.org/officeDocument/2006/relationships/hyperlink" Target="https://upload.wikimedia.org/wikipedia/commons/thumb/0/0b/Bandeira_de_Mato_Grosso.svg/640px-Bandeira_de_Mato_Grosso.svg.png" TargetMode="External"/><Relationship Id="rId50" Type="http://schemas.openxmlformats.org/officeDocument/2006/relationships/hyperlink" Target="https://upload.wikimedia.org/wikipedia/commons/thumb/5/59/Bandeira_de_Pernambuco.svg/2560px-Bandeira_de_Pernambuco.svg.png" TargetMode="External"/><Relationship Id="rId55" Type="http://schemas.openxmlformats.org/officeDocument/2006/relationships/hyperlink" Target="https://upload.wikimedia.org/wikipedia/commons/thumb/7/73/Bandeira_do_estado_do_Rio_de_Janeiro.svg/640px-Bandeira_do_estado_do_Rio_de_Janeiro.svg.png" TargetMode="External"/><Relationship Id="rId76" Type="http://schemas.openxmlformats.org/officeDocument/2006/relationships/hyperlink" Target="https://upload.wikimedia.org/wikipedia/commons/thumb/b/be/Bandeira_de_Sergipe.svg/2560px-Bandeira_de_Sergipe.svg.png" TargetMode="External"/><Relationship Id="rId7" Type="http://schemas.openxmlformats.org/officeDocument/2006/relationships/hyperlink" Target="https://upload.wikimedia.org/wikipedia/commons/thumb/8/88/Bandeira_de_Alagoas.svg/640px-Bandeira_de_Alagoas.svg.png" TargetMode="External"/><Relationship Id="rId71" Type="http://schemas.openxmlformats.org/officeDocument/2006/relationships/hyperlink" Target="https://upload.wikimedia.org/wikipedia/commons/thumb/1/1a/Bandeira_de_Santa_Catarina.svg/640px-Bandeira_de_Santa_Catarina.svg.png" TargetMode="External"/><Relationship Id="rId2" Type="http://schemas.openxmlformats.org/officeDocument/2006/relationships/hyperlink" Target="https://upload.wikimedia.org/wikipedia/en/thumb/0/05/Flag_of_Brazil.svg/2560px-Flag_of_Brazil.svg.png" TargetMode="External"/><Relationship Id="rId29" Type="http://schemas.openxmlformats.org/officeDocument/2006/relationships/hyperlink" Target="https://en.wikipedia.org/wiki/Flag_of_Maranh&#227;o"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www.crwflags.com/fotw/flags/cl-11.html" TargetMode="External"/><Relationship Id="rId2" Type="http://schemas.openxmlformats.org/officeDocument/2006/relationships/hyperlink" Target="https://www.crwflags.com/fotw/flags/cl-03.html" TargetMode="External"/><Relationship Id="rId1" Type="http://schemas.openxmlformats.org/officeDocument/2006/relationships/hyperlink" Target="https://fbref.com/en/country/CHI/Chile-Football" TargetMode="External"/><Relationship Id="rId5" Type="http://schemas.openxmlformats.org/officeDocument/2006/relationships/hyperlink" Target="https://www.crwflags.com/fotw/flags/cl-01.html" TargetMode="External"/><Relationship Id="rId4" Type="http://schemas.openxmlformats.org/officeDocument/2006/relationships/hyperlink" Target="https://www.crwflags.com/fotw/images/c/cl-07a.gif"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fbref.com/en/country/SCO/Scotland-Football" TargetMode="External"/><Relationship Id="rId2" Type="http://schemas.openxmlformats.org/officeDocument/2006/relationships/hyperlink" Target="https://upload.wikimedia.org/wikipedia/commons/thumb/2/21/Flag_of_Colombia.svg/2560px-Flag_of_Colombia.svg.png" TargetMode="External"/><Relationship Id="rId1" Type="http://schemas.openxmlformats.org/officeDocument/2006/relationships/hyperlink" Target="https://fbref.com/en/country/COL/Colombia-Football" TargetMode="External"/><Relationship Id="rId5" Type="http://schemas.openxmlformats.org/officeDocument/2006/relationships/hyperlink" Target="https://upload.wikimedia.org/wikipedia/en/thumb/2/2f/Flag_of_Andaluc%C3%ADa_%28Col%C3%B3mbia%29.svg/640px-Flag_of_Andaluc%C3%ADa_%28Col%C3%B3mbia%29.svg.png" TargetMode="External"/><Relationship Id="rId4" Type="http://schemas.openxmlformats.org/officeDocument/2006/relationships/hyperlink" Target="https://upload.wikimedia.org/wikipedia/en/thumb/2/2f/Flag_of_Andaluc%C3%ADa_%28Col%C3%B3mbia%29.svg/2560px-Flag_of_Andaluc%C3%ADa_%28Col%C3%B3mbia%29.svg.png"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upload.wikimedia.org/wikipedia/commons/thumb/e/e8/Flag_of_Ecuador.svg/2560px-Flag_of_Ecuador.svg.png" TargetMode="External"/><Relationship Id="rId1" Type="http://schemas.openxmlformats.org/officeDocument/2006/relationships/hyperlink" Target="https://fbref.com/en/country/ECU/Ecuador-Football"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upload.wikimedia.org/wikipedia/commons/thumb/8/83/Flag_of_the_Falkland_Islands.svg/383px-Flag_of_the_Falkland_Islands.svg.png"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fbref.com/en/country/ZIM/Zimbabwe-Footbal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en.wikipedia.org/wiki/Cuyuni-Mazaruni" TargetMode="External"/><Relationship Id="rId2" Type="http://schemas.openxmlformats.org/officeDocument/2006/relationships/hyperlink" Target="https://fbref.com/en/country/GUY/Guyana-Football" TargetMode="External"/><Relationship Id="rId1" Type="http://schemas.openxmlformats.org/officeDocument/2006/relationships/hyperlink" Target="https://upload.wikimedia.org/wikipedia/commons/thumb/9/99/Flag_of_Guyana.svg/2560px-Flag_of_Guyana.svg.png"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upload.wikimedia.org/wikipedia/commons/thumb/f/f1/Flag_of_Paraguay_%28reverse%29.svg/2560px-Flag_of_Paraguay_%28reverse%29.svg.png" TargetMode="External"/><Relationship Id="rId2" Type="http://schemas.openxmlformats.org/officeDocument/2006/relationships/hyperlink" Target="https://en.wikipedia.org/wiki/Flag_of_Paraguay" TargetMode="External"/><Relationship Id="rId1" Type="http://schemas.openxmlformats.org/officeDocument/2006/relationships/hyperlink" Target="https://fbref.com/en/country/PAR/Paraguay-Football" TargetMode="External"/></Relationships>
</file>

<file path=xl/worksheets/_rels/sheet12.xml.rels><?xml version="1.0" encoding="UTF-8" standalone="yes"?>
<Relationships xmlns="http://schemas.openxmlformats.org/package/2006/relationships"><Relationship Id="rId1" Type="http://schemas.openxmlformats.org/officeDocument/2006/relationships/hyperlink" Target="https://fbref.com/en/country/PER/Peru-Football"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s://fbref.com/en/country/SUR/Suriname-Football"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s://upload.wikimedia.org/wikipedia/commons/thumb/f/ff/Flag_of_the_Treinta_y_Tres.svg/2560px-Flag_of_the_Treinta_y_Tres.svg.png" TargetMode="External"/><Relationship Id="rId2" Type="http://schemas.openxmlformats.org/officeDocument/2006/relationships/hyperlink" Target="https://upload.wikimedia.org/wikipedia/commons/thumb/f/fe/Flag_of_Uruguay.svg/2560px-Flag_of_Uruguay.svg.png" TargetMode="External"/><Relationship Id="rId1" Type="http://schemas.openxmlformats.org/officeDocument/2006/relationships/hyperlink" Target="https://fbref.com/en/country/URU/Uruguay-Football" TargetMode="External"/></Relationships>
</file>

<file path=xl/worksheets/_rels/sheet15.xml.rels><?xml version="1.0" encoding="UTF-8" standalone="yes"?>
<Relationships xmlns="http://schemas.openxmlformats.org/package/2006/relationships"><Relationship Id="rId2" Type="http://schemas.openxmlformats.org/officeDocument/2006/relationships/hyperlink" Target="https://upload.wikimedia.org/wikipedia/commons/thumb/0/06/Flag_of_Venezuela.svg/2560px-Flag_of_Venezuela.svg.png" TargetMode="External"/><Relationship Id="rId1" Type="http://schemas.openxmlformats.org/officeDocument/2006/relationships/hyperlink" Target="https://fbref.com/en/country/VEN/Venezuela-Footbal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A271D-633E-40A2-AD61-146A447ED1A8}">
  <dimension ref="A1"/>
  <sheetViews>
    <sheetView workbookViewId="0"/>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857B6-A14C-4DF2-A689-2131D60D917C}">
  <dimension ref="A1:IY22"/>
  <sheetViews>
    <sheetView zoomScale="70" zoomScaleNormal="70" workbookViewId="0">
      <selection activeCell="A22" sqref="A22:XFD22"/>
    </sheetView>
  </sheetViews>
  <sheetFormatPr defaultRowHeight="14.4" x14ac:dyDescent="0.3"/>
  <cols>
    <col min="1" max="1" width="24.33203125" customWidth="1"/>
    <col min="2" max="2" width="10.109375" customWidth="1"/>
    <col min="3" max="3" width="9" bestFit="1" customWidth="1"/>
    <col min="7" max="7" width="9" bestFit="1" customWidth="1"/>
    <col min="11" max="11" width="9.88671875" bestFit="1" customWidth="1"/>
    <col min="12" max="12" width="9" bestFit="1" customWidth="1"/>
    <col min="17" max="17" width="9" bestFit="1" customWidth="1"/>
    <col min="19" max="19" width="9" bestFit="1"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163</v>
      </c>
      <c r="B2" s="40" t="e" vm="1">
        <v>#VALUE!</v>
      </c>
      <c r="C2" s="41">
        <v>1</v>
      </c>
      <c r="D2" s="42" t="s">
        <v>164</v>
      </c>
      <c r="E2" s="43" t="s">
        <v>165</v>
      </c>
      <c r="F2" s="44" t="s">
        <v>166</v>
      </c>
      <c r="G2" s="45">
        <f>COUNTIF($A$1:$A$8299,A2)</f>
        <v>1</v>
      </c>
      <c r="H2" s="46"/>
      <c r="I2" s="47" t="s">
        <v>167</v>
      </c>
      <c r="J2" s="48" t="str">
        <f>""</f>
        <v/>
      </c>
      <c r="K2" s="49">
        <v>45773884</v>
      </c>
      <c r="L2" s="50">
        <v>3800000</v>
      </c>
      <c r="M2" s="50" t="s">
        <v>168</v>
      </c>
      <c r="N2" s="51" t="s">
        <v>169</v>
      </c>
      <c r="O2" s="52" t="s">
        <v>170</v>
      </c>
      <c r="P2" s="53" t="s">
        <v>171</v>
      </c>
      <c r="Q2" s="54">
        <v>1</v>
      </c>
      <c r="R2" s="55" t="s">
        <v>169</v>
      </c>
      <c r="S2" s="56">
        <v>3</v>
      </c>
      <c r="T2" s="57" t="s">
        <v>172</v>
      </c>
      <c r="U2" s="58" t="s">
        <v>172</v>
      </c>
      <c r="V2" s="58" t="s">
        <v>173</v>
      </c>
      <c r="W2" s="58" t="s">
        <v>172</v>
      </c>
      <c r="X2" s="58" t="s">
        <v>173</v>
      </c>
      <c r="Y2" s="58" t="s">
        <v>172</v>
      </c>
      <c r="Z2" s="58" t="s">
        <v>172</v>
      </c>
      <c r="AA2" s="58" t="s">
        <v>172</v>
      </c>
      <c r="AB2" s="58" t="s">
        <v>172</v>
      </c>
      <c r="AC2" s="58" t="s">
        <v>172</v>
      </c>
      <c r="AD2" s="58" t="s">
        <v>173</v>
      </c>
      <c r="AE2" s="58" t="s">
        <v>172</v>
      </c>
      <c r="AF2" s="59" t="s">
        <v>172</v>
      </c>
      <c r="AG2" s="59" t="s">
        <v>172</v>
      </c>
      <c r="AH2" s="59" t="s">
        <v>173</v>
      </c>
      <c r="AI2" s="59" t="s">
        <v>172</v>
      </c>
      <c r="AJ2" s="59" t="s">
        <v>172</v>
      </c>
      <c r="AK2" s="59" t="s">
        <v>172</v>
      </c>
      <c r="AL2" s="59" t="s">
        <v>172</v>
      </c>
      <c r="AM2" s="59" t="s">
        <v>172</v>
      </c>
      <c r="AN2" s="59" t="s">
        <v>173</v>
      </c>
      <c r="AO2" s="59" t="s">
        <v>172</v>
      </c>
      <c r="AP2" s="59" t="s">
        <v>172</v>
      </c>
      <c r="AQ2" s="59" t="s">
        <v>172</v>
      </c>
      <c r="AR2" s="59" t="s">
        <v>172</v>
      </c>
      <c r="AS2" s="59" t="s">
        <v>172</v>
      </c>
      <c r="AT2" s="60">
        <v>0</v>
      </c>
      <c r="AU2" s="59"/>
      <c r="AV2" s="59" t="str">
        <f>IF(LEFT(A2,1)="[",LEFT(A2,5)&amp;AU2&amp;A2,"")</f>
        <v/>
      </c>
      <c r="AW2" s="59" t="str">
        <f>C2&amp;IFERROR(SUBSTITUTE(A2, " [ANT]",""),"")</f>
        <v>1Argentina</v>
      </c>
      <c r="AX2" s="61"/>
      <c r="AY2" s="61"/>
      <c r="AZ2" s="62" t="s">
        <v>159</v>
      </c>
      <c r="BA2" s="62"/>
      <c r="BB2" s="62"/>
      <c r="BC2" s="63"/>
      <c r="BD2" s="64" t="s">
        <v>153</v>
      </c>
      <c r="BE2" s="47"/>
      <c r="BF2" s="64" t="s">
        <v>174</v>
      </c>
      <c r="BG2" s="64" t="s">
        <v>174</v>
      </c>
      <c r="BH2" s="64" t="s">
        <v>174</v>
      </c>
      <c r="BI2" s="64"/>
      <c r="BJ2" s="64"/>
      <c r="BK2" s="47"/>
      <c r="BL2" s="64" t="s">
        <v>174</v>
      </c>
      <c r="BM2" s="64" t="s">
        <v>174</v>
      </c>
      <c r="BN2" s="64" t="s">
        <v>153</v>
      </c>
      <c r="BO2" s="64" t="s">
        <v>154</v>
      </c>
      <c r="BP2" s="64" t="s">
        <v>155</v>
      </c>
      <c r="BQ2" s="64" t="s">
        <v>174</v>
      </c>
      <c r="BR2" s="64" t="s">
        <v>174</v>
      </c>
      <c r="BS2" s="64" t="s">
        <v>174</v>
      </c>
      <c r="BT2" s="64" t="s">
        <v>159</v>
      </c>
      <c r="BU2" s="65"/>
      <c r="BV2" s="66"/>
      <c r="BW2" s="66">
        <v>0</v>
      </c>
      <c r="BX2" s="47"/>
      <c r="CB2" s="6"/>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"Argentina"</v>
      </c>
      <c r="CU2" s="70" t="str">
        <f>CHAR(34)&amp;"rgn_"&amp;R2&amp;CHAR(34)</f>
        <v>"rgn_South America"</v>
      </c>
      <c r="CV2" s="48" t="str">
        <f>CHAR(34)&amp;D2&amp;CHAR(34)</f>
        <v>"https://upload.wikimedia.org/wikipedia/commons/thumb/1/1a/Flag_of_Argentina.svg/320px-Flag_of_Argentina.svg.png"</v>
      </c>
      <c r="CW2" s="48" t="str">
        <f t="shared" ref="CW2:CZ17" si="0">IF(CH2="y",CHAR(34)&amp;CH$1&amp;CHAR(34)&amp;",","")</f>
        <v/>
      </c>
      <c r="CX2" s="48" t="str">
        <f t="shared" si="0"/>
        <v/>
      </c>
      <c r="CY2" s="48" t="str">
        <f t="shared" si="0"/>
        <v>"4Color",</v>
      </c>
      <c r="CZ2" s="48" t="str">
        <f t="shared" si="0"/>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"year18",</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 t="shared" ref="DW2:DZ17" si="1">IF(CL2="y",CHAR(34)&amp;CL$1&amp;CHAR(34)&amp;",","")</f>
        <v/>
      </c>
      <c r="DX2" s="48" t="str">
        <f t="shared" si="1"/>
        <v/>
      </c>
      <c r="DY2" s="48" t="str">
        <f t="shared" si="1"/>
        <v>"3Bands",</v>
      </c>
      <c r="DZ2" s="48" t="str">
        <f t="shared" si="1"/>
        <v/>
      </c>
      <c r="EA2" s="48" t="str">
        <f t="shared" ref="EA2:EE17" si="2">IF(T2="y",CHAR(34)&amp;T$1&amp;CHAR(34)&amp;",","")</f>
        <v/>
      </c>
      <c r="EB2" s="48" t="str">
        <f t="shared" si="2"/>
        <v/>
      </c>
      <c r="EC2" s="48" t="str">
        <f t="shared" si="2"/>
        <v>"Horizo",</v>
      </c>
      <c r="ED2" s="48" t="str">
        <f t="shared" si="2"/>
        <v/>
      </c>
      <c r="EE2" s="48" t="str">
        <f t="shared" si="2"/>
        <v>"Circle",</v>
      </c>
      <c r="EF2" s="48" t="str">
        <f>IF(AND(Y2&lt;&gt;"n",Y2&lt;&gt;""),CHAR(34)&amp;Y$1&amp;CHAR(34)&amp;",","")</f>
        <v/>
      </c>
      <c r="EG2" s="48" t="str">
        <f t="shared" ref="EG2:EZ14" si="3">IF(Z2="y",CHAR(34)&amp;Z$1&amp;CHAR(34)&amp;",","")</f>
        <v/>
      </c>
      <c r="EH2" s="48" t="str">
        <f t="shared" si="3"/>
        <v/>
      </c>
      <c r="EI2" s="48" t="str">
        <f t="shared" si="3"/>
        <v/>
      </c>
      <c r="EJ2" s="48" t="str">
        <f t="shared" si="3"/>
        <v/>
      </c>
      <c r="EK2" s="48" t="str">
        <f t="shared" si="3"/>
        <v>"HasSun",</v>
      </c>
      <c r="EL2" s="48" t="str">
        <f t="shared" si="3"/>
        <v/>
      </c>
      <c r="EM2" s="48" t="str">
        <f t="shared" si="3"/>
        <v/>
      </c>
      <c r="EN2" s="48" t="str">
        <f t="shared" si="3"/>
        <v/>
      </c>
      <c r="EO2" s="48" t="str">
        <f t="shared" si="3"/>
        <v>"Center",</v>
      </c>
      <c r="EP2" s="48" t="str">
        <f t="shared" si="3"/>
        <v/>
      </c>
      <c r="EQ2" s="48" t="str">
        <f t="shared" si="3"/>
        <v/>
      </c>
      <c r="ER2" s="48" t="str">
        <f t="shared" si="3"/>
        <v/>
      </c>
      <c r="ES2" s="48" t="str">
        <f t="shared" si="3"/>
        <v/>
      </c>
      <c r="ET2" s="48" t="str">
        <f t="shared" si="3"/>
        <v/>
      </c>
      <c r="EU2" s="48" t="str">
        <f t="shared" si="3"/>
        <v>"Humans",</v>
      </c>
      <c r="EV2" s="48" t="str">
        <f t="shared" si="3"/>
        <v/>
      </c>
      <c r="EW2" s="48" t="str">
        <f t="shared" si="3"/>
        <v/>
      </c>
      <c r="EX2" s="48" t="str">
        <f t="shared" si="3"/>
        <v/>
      </c>
      <c r="EY2" s="48" t="str">
        <f t="shared" si="3"/>
        <v/>
      </c>
      <c r="EZ2" s="48" t="str">
        <f t="shared" si="3"/>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"myrGRE",</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IFERROR(IF(SEARCH("Historical",AU2)&gt;0,CHAR(34)&amp;"histor"&amp;CHAR(34)&amp;",",""),"")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 t="shared" ref="GL2:GN17" si="4">IF(CQ2="y",CHAR(34)&amp;CQ$1&amp;CHAR(34)&amp;",","")</f>
        <v/>
      </c>
      <c r="GM2" s="48" t="str">
        <f t="shared" si="4"/>
        <v/>
      </c>
      <c r="GN2" s="48" t="str">
        <f t="shared" si="4"/>
        <v/>
      </c>
      <c r="GP2" s="48" t="str">
        <f>CHAR(34)&amp;AU2&amp;CHAR(34)</f>
        <v>""</v>
      </c>
      <c r="GS2" s="48" t="str">
        <f>SUBSTITUTE("["&amp;_xlfn.CONCAT(CW2:GN2)&amp;"]",",]","]")</f>
        <v>["4Color","lets09","startA","year18","year00","allhor","3Bands","Horizo","Circle","HasSun","Center","Humans","NO_BLU","NO_BLA","myrGRE","NoStar"]</v>
      </c>
      <c r="GT2" s="48" t="str">
        <f t="shared" ref="GT2:HB17" si="5">IF(BL2&lt;&gt;"",CHAR(34)&amp;"cl_"&amp;BL2&amp;CHAR(34)&amp;",","")</f>
        <v/>
      </c>
      <c r="GU2" s="48" t="str">
        <f t="shared" si="5"/>
        <v/>
      </c>
      <c r="GV2" s="48" t="str">
        <f t="shared" si="5"/>
        <v>"cl_GRE",</v>
      </c>
      <c r="GW2" s="48" t="str">
        <f t="shared" si="5"/>
        <v>"cl_RED",</v>
      </c>
      <c r="GX2" s="48" t="str">
        <f t="shared" si="5"/>
        <v>"cl_YEL",</v>
      </c>
      <c r="GY2" s="48" t="str">
        <f t="shared" si="5"/>
        <v/>
      </c>
      <c r="GZ2" s="48" t="str">
        <f t="shared" si="5"/>
        <v/>
      </c>
      <c r="HA2" s="48" t="str">
        <f t="shared" si="5"/>
        <v/>
      </c>
      <c r="HB2" s="48" t="str">
        <f t="shared" si="5"/>
        <v>"cl_WHI",</v>
      </c>
      <c r="HC2" s="48" t="str">
        <f>SUBSTITUTE("["&amp;_xlfn.CONCAT(GT2:HB2)&amp;"]",",]","]")</f>
        <v>["cl_GRE","cl_RED","cl_YEL","cl_WHI"]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{couname:"Argentina",year:"1818, 1861, 2010 ",region:"rgn_South America",Colors:["cl_GRE","cl_RED","cl_YEL","cl_WHI"],Items:["4Color","lets09","startA","year18","year00","allhor","3Bands","Horizo","Circle","HasSun","Center","Humans","NO_BLU","NO_BLA","myrGRE","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links: "https://en.wikipedia.org/wiki/Flag_of_Argentina"},</v>
      </c>
      <c r="HG2" s="73" t="str">
        <f>"{couname:"&amp;CT2&amp;(IF(HK2&lt;&gt;"",",subtype:"&amp;CHAR(34)&amp;HK2&amp;CHAR(34),""))&amp;",year:"&amp;HJ2&amp;",region:"&amp;CU2&amp;",Colors:"&amp;HC2&amp;",Items:"&amp;GS2&amp;",Flag:"&amp;CV2&amp;",HDFlag:"&amp;CHAR(34)&amp;E2&amp;CHAR(34)&amp;",type:"&amp;GP2&amp;", describe: "&amp;HI2&amp;", links: "&amp;HL2&amp;"},"</f>
        <v>{couname:"Argentina",year:"1818, 1861, 2010 ",region:"rgn_South America",Colors:["cl_GRE","cl_RED","cl_YEL","cl_WHI"],Items:["4Color","lets09","startA","year18","year00","allhor","3Bands","Horizo","Circle","HasSun","Center","Humans","NO_BLU","NO_BLA","myrGRE","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links: "https://en.wikipedia.org/wiki/Flag_of_Argentina"},</v>
      </c>
      <c r="HH2" s="48" t="str">
        <f>IF(P2&lt;&gt;"",CHAR(34)&amp;"\n"&amp;P2&amp;CHAR(34),CHAR(34)&amp;CHAR(34))</f>
        <v>"\nThe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v>
      </c>
      <c r="HI2" s="48" t="str">
        <f>IF(J2=0,CHAR(34)&amp;CHAR(34),HH2)</f>
        <v>"\nThe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v>
      </c>
      <c r="HJ2" s="48" t="str">
        <f>CHAR(34)&amp;O2&amp;CHAR(34)</f>
        <v>"1818, 1861, 2010 "</v>
      </c>
      <c r="HL2" s="48" t="str">
        <f>CHAR(34)&amp;I2&amp;CHAR(34)</f>
        <v>"https://en.wikipedia.org/wiki/Flag_of_Argentina"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{"couname":"Argentina","year":"1818, 1861, 2010 ","region":"rgn_South America","Colors":["cl_GRE","cl_RED","cl_YEL","cl_WHI"],"Items":["4Color","lets09","startA","year18","year00","allhor","3Bands","Horizo","Circle","HasSun","Center","Humans","NO_BLU","NO_BLA","myrGRE","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 "links": "https://en.wikipedia.org/wiki/Flag_of_Argentina"},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{"couname":"Argentina","year":"1818, 1861, 2010 ","region":"rgn_South America","Colors":["cl_GRE","cl_RED","cl_YEL","cl_WHI"],"Items":["4Color","lets09","startA","year18","year00","allhor","3Bands","Horizo","Circle","HasSun","Center","Humans","NO_BLU","NO_BLA","myrGRE","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 "links": "https://en.wikipedia.org/wiki/Flag_of_Argentina"},</v>
      </c>
      <c r="HO2" s="75">
        <v>45576</v>
      </c>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http://mkweb.bcgsc.ca/color-summarizer/?url=https://upload.wikimedia.org/wikipedia/commons/thumb/1/1a/Flag_of_Argentina.svg/320px-Flag_of_Argentina.svg.png&amp;precision=low&amp;num_clusters=4&amp;text=1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{"url":"http://mkweb.bcgsc.ca/color-summarizer/?url=https://upload.wikimedia.org/wikipedia/commons/thumb/1/1a/Flag_of_Argentina.svg/320px-Flag_of_Argentina.svg.png&amp;precision=low&amp;num_clusters=4&amp;text=1","name":"Argentina"},</v>
      </c>
      <c r="IY2" s="48">
        <v>293</v>
      </c>
    </row>
    <row r="3" spans="1:259" s="48" customFormat="1" ht="38.4" customHeight="1" thickBot="1" x14ac:dyDescent="0.35">
      <c r="A3" s="79" t="s">
        <v>272</v>
      </c>
      <c r="B3" s="40" t="e" vm="2">
        <v>#VALUE!</v>
      </c>
      <c r="C3" s="41">
        <v>2</v>
      </c>
      <c r="D3" s="42" t="s">
        <v>273</v>
      </c>
      <c r="E3" s="43" t="s">
        <v>274</v>
      </c>
      <c r="F3" s="44" t="s">
        <v>166</v>
      </c>
      <c r="G3" s="45">
        <f>COUNTIF($A$1:$A$8299,A3)</f>
        <v>1</v>
      </c>
      <c r="H3" s="46"/>
      <c r="I3" s="47" t="s">
        <v>275</v>
      </c>
      <c r="J3" s="48" t="str">
        <f>""</f>
        <v/>
      </c>
      <c r="K3" s="49"/>
      <c r="L3" s="50"/>
      <c r="M3" s="50"/>
      <c r="N3" s="51" t="s">
        <v>169</v>
      </c>
      <c r="O3" s="52">
        <v>1997</v>
      </c>
      <c r="P3" s="53" t="s">
        <v>276</v>
      </c>
      <c r="Q3" s="54">
        <v>3</v>
      </c>
      <c r="R3" s="55" t="s">
        <v>169</v>
      </c>
      <c r="S3" s="56">
        <v>3</v>
      </c>
      <c r="T3" s="57" t="s">
        <v>172</v>
      </c>
      <c r="U3" s="58" t="s">
        <v>172</v>
      </c>
      <c r="V3" s="58" t="s">
        <v>173</v>
      </c>
      <c r="W3" s="58" t="s">
        <v>172</v>
      </c>
      <c r="X3" s="58" t="s">
        <v>173</v>
      </c>
      <c r="Y3" s="58" t="s">
        <v>173</v>
      </c>
      <c r="Z3" s="58" t="s">
        <v>172</v>
      </c>
      <c r="AA3" s="58" t="s">
        <v>173</v>
      </c>
      <c r="AB3" s="58" t="s">
        <v>172</v>
      </c>
      <c r="AC3" s="58" t="s">
        <v>172</v>
      </c>
      <c r="AD3" s="58" t="s">
        <v>173</v>
      </c>
      <c r="AE3" s="58" t="s">
        <v>172</v>
      </c>
      <c r="AF3" s="59" t="s">
        <v>172</v>
      </c>
      <c r="AG3" s="59" t="s">
        <v>172</v>
      </c>
      <c r="AH3" s="59" t="s">
        <v>173</v>
      </c>
      <c r="AI3" s="59" t="s">
        <v>172</v>
      </c>
      <c r="AJ3" s="59" t="s">
        <v>172</v>
      </c>
      <c r="AK3" s="59" t="s">
        <v>172</v>
      </c>
      <c r="AL3" s="59" t="s">
        <v>172</v>
      </c>
      <c r="AM3" s="59" t="s">
        <v>172</v>
      </c>
      <c r="AN3" s="59" t="s">
        <v>172</v>
      </c>
      <c r="AO3" s="59" t="s">
        <v>172</v>
      </c>
      <c r="AP3" s="59" t="s">
        <v>172</v>
      </c>
      <c r="AQ3" s="59" t="s">
        <v>172</v>
      </c>
      <c r="AR3" s="59" t="s">
        <v>172</v>
      </c>
      <c r="AS3" s="59" t="s">
        <v>172</v>
      </c>
      <c r="AT3" s="60">
        <v>0</v>
      </c>
      <c r="AU3" s="59" t="s">
        <v>277</v>
      </c>
      <c r="AV3" s="59" t="str">
        <f>IF(LEFT(A3,1)="[",LEFT(A3,5)&amp;AU3&amp;A3,"")</f>
        <v>[ARG]Province[ARG] Buenos Aires Province</v>
      </c>
      <c r="AW3" s="59" t="str">
        <f>C3&amp;IFERROR(SUBSTITUTE(A3, " [ANT]",""),"")</f>
        <v>2[ARG] Buenos Aires Province</v>
      </c>
      <c r="AX3" s="61" t="str">
        <f>_xlfn.TEXTJOIN(";",TRUE,AU3:AW3)</f>
        <v>Province;[ARG]Province[ARG] Buenos Aires Province;2[ARG] Buenos Aires Province</v>
      </c>
      <c r="AY3" s="61" t="s">
        <v>173</v>
      </c>
      <c r="AZ3" s="62" t="s">
        <v>159</v>
      </c>
      <c r="BA3" s="62"/>
      <c r="BB3" s="62"/>
      <c r="BC3" s="63"/>
      <c r="BD3" s="64" t="s">
        <v>152</v>
      </c>
      <c r="BE3" s="47"/>
      <c r="BF3" s="64"/>
      <c r="BG3" s="64"/>
      <c r="BH3" s="64"/>
      <c r="BI3" s="64"/>
      <c r="BJ3" s="64"/>
      <c r="BK3" s="47"/>
      <c r="BL3" s="64" t="s">
        <v>152</v>
      </c>
      <c r="BM3" s="64" t="s">
        <v>159</v>
      </c>
      <c r="BN3" s="64"/>
      <c r="BO3" s="64"/>
      <c r="BP3" s="64"/>
      <c r="BQ3" s="64"/>
      <c r="BR3" s="64"/>
      <c r="BS3" s="64"/>
      <c r="BT3" s="64"/>
      <c r="BU3" s="65"/>
      <c r="BV3" s="66" t="s">
        <v>278</v>
      </c>
      <c r="BW3" s="66">
        <v>0</v>
      </c>
      <c r="BX3" s="47"/>
      <c r="CB3" s="6" t="s">
        <v>136</v>
      </c>
      <c r="CC3" s="6"/>
      <c r="CD3" s="67">
        <v>0</v>
      </c>
      <c r="CE3" s="67">
        <v>0</v>
      </c>
      <c r="CF3" s="67" t="e">
        <v>#REF!</v>
      </c>
      <c r="CG3" s="68" cm="1">
        <f t="array" ref="CG3">SUMPRODUCT(--(LEN(TRIM(BL3:BT3))&gt;0))</f>
        <v>2</v>
      </c>
      <c r="CH3" s="59" t="str">
        <f t="shared" ref="CH3:CH17" si="6">IF(CG3=2,"y","n")</f>
        <v>y</v>
      </c>
      <c r="CI3" s="59" t="str">
        <f t="shared" ref="CI3:CI17" si="7">IF(CG3=3,"y","n")</f>
        <v>n</v>
      </c>
      <c r="CJ3" s="59" t="str">
        <f t="shared" ref="CJ3:CJ17" si="8">IF(CG3=4,"y","n")</f>
        <v>n</v>
      </c>
      <c r="CK3" s="59" t="str">
        <f t="shared" ref="CK3:CK17" si="9">IF(CG3&gt;4,"y","n")</f>
        <v>n</v>
      </c>
      <c r="CL3" s="59" t="str">
        <f t="shared" ref="CL3:CL17" si="10">IF(S3=0,"y","n")</f>
        <v>n</v>
      </c>
      <c r="CM3" s="59" t="str">
        <f t="shared" ref="CM3:CM17" si="11">IF(S3=2,"y","n")</f>
        <v>n</v>
      </c>
      <c r="CN3" s="59" t="str">
        <f t="shared" ref="CN3:CN17" si="12">IF(S3=3,"y","n")</f>
        <v>y</v>
      </c>
      <c r="CO3" s="59" t="str">
        <f t="shared" ref="CO3:CO17" si="13">IF(S3&gt;=4,"y","n")</f>
        <v>n</v>
      </c>
      <c r="CP3" s="59" t="str">
        <f t="shared" ref="CP3:CP17" si="14">IF(AT3=0,"y","n")</f>
        <v>y</v>
      </c>
      <c r="CQ3" s="59" t="str">
        <f t="shared" ref="CQ3:CQ17" si="15">IF(AT3=1,"y","n")</f>
        <v>n</v>
      </c>
      <c r="CR3" s="59" t="str">
        <f t="shared" ref="CR3:CR17" si="16">IF(AT3=2,"y","n")</f>
        <v>n</v>
      </c>
      <c r="CS3" s="59" t="str">
        <f t="shared" ref="CS3:CS17" si="17">IF(AT3&gt;=3,"y","n")</f>
        <v>n</v>
      </c>
      <c r="CT3" s="69" t="str">
        <f t="shared" ref="CT3:CT17" si="18">CHAR(34)&amp;A3&amp;CHAR(34)</f>
        <v>"[ARG] Buenos Aires Province"</v>
      </c>
      <c r="CU3" s="70" t="str">
        <f t="shared" ref="CU3:CU17" si="19">CHAR(34)&amp;"rgn_"&amp;R3&amp;CHAR(34)</f>
        <v>"rgn_South America"</v>
      </c>
      <c r="CV3" s="48" t="str">
        <f t="shared" ref="CV3:CV17" si="20">CHAR(34)&amp;D3&amp;CHAR(34)</f>
        <v>"https://upload.wikimedia.org/wikipedia/commons/thumb/1/15/Bandera_de_la_Provincia_de_Buenos_Aires.svg/320px-Bandera_de_la_Provincia_de_Buenos_Aires.svg.png"</v>
      </c>
      <c r="CW3" s="48" t="str">
        <f t="shared" si="0"/>
        <v>"2Color",</v>
      </c>
      <c r="CX3" s="48" t="str">
        <f t="shared" si="0"/>
        <v/>
      </c>
      <c r="CY3" s="48" t="str">
        <f t="shared" si="0"/>
        <v/>
      </c>
      <c r="CZ3" s="48" t="str">
        <f t="shared" si="0"/>
        <v/>
      </c>
      <c r="DA3" s="48" t="str">
        <f t="shared" ref="DA3:DA17" si="21">IF(Q3&gt;1,CHAR(34)&amp;"words2"&amp;CHAR(34)&amp;",","")</f>
        <v>"words2",</v>
      </c>
      <c r="DB3" s="48" t="str">
        <f t="shared" ref="DB3:DB17" si="22">IF(Q3&gt;2,CHAR(34)&amp;"words3"&amp;CHAR(34)&amp;",","")</f>
        <v>"words3",</v>
      </c>
      <c r="DC3" s="48" t="str">
        <f t="shared" ref="DC3:DC8" si="23">IF(Q3=2,CHAR(34)&amp;"exact2"&amp;CHAR(34)&amp;",","")</f>
        <v/>
      </c>
      <c r="DD3" s="48" t="str">
        <f t="shared" ref="DD3:DD8" si="24">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"lets19",</v>
      </c>
      <c r="DE3" s="48" t="str">
        <f t="shared" ref="DE3:DE8" si="25">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"startB",</v>
      </c>
      <c r="DF3" s="48" t="str">
        <f t="shared" ref="DF3:DF17" si="26">IFERROR(IF(SEARCH("tan",A3)&gt;0,CHAR(34)&amp;"withtn"&amp;CHAR(34)&amp;",",""),"")</f>
        <v/>
      </c>
      <c r="DG3" s="48" t="str">
        <f t="shared" ref="DG3:DG17" si="27">IFERROR(IF(SEARCH("q",A3)&gt;0,CHAR(34)&amp;"with_q"&amp;CHAR(34)&amp;",",""),"")</f>
        <v/>
      </c>
      <c r="DH3" s="48" t="str">
        <f t="shared" ref="DH3:DH17" si="28">IFERROR(IF(SEARCH("v",A3)&gt;0,CHAR(34)&amp;"with_v"&amp;CHAR(34)&amp;",",""),"")</f>
        <v>"with_v",</v>
      </c>
      <c r="DI3" s="48" t="str">
        <f t="shared" ref="DI3:DI17" si="29">IFERROR(IF(SEARCH("w",A3)&gt;0,CHAR(34)&amp;"with_w"&amp;CHAR(34)&amp;",",""),"")</f>
        <v/>
      </c>
      <c r="DJ3" s="48" t="str">
        <f t="shared" ref="DJ3:DJ17" si="30">IFERROR(IF(SEARCH("y",A3)&gt;0,CHAR(34)&amp;"with_y"&amp;CHAR(34)&amp;",",""),"")</f>
        <v/>
      </c>
      <c r="DK3" s="48" t="str">
        <f t="shared" ref="DK3:DK17" si="31">IFERROR(IF(SEARCH("z",A3)&gt;0,CHAR(34)&amp;"with_z"&amp;CHAR(34)&amp;",",""),"")</f>
        <v/>
      </c>
      <c r="DL3" s="48" t="str">
        <f t="shared" ref="DL3:DL17" si="32">IF(CG3=2, CHAR(34) &amp; _xlfn.TEXTJOIN("", TRUE, _xlfn._xlws.SORT(HP3:HX3)) &amp; CHAR(34) &amp; ",", "")</f>
        <v>"BLUWHI",</v>
      </c>
      <c r="DM3" s="48" t="str" cm="1">
        <f t="array" ref="DM3">IF(CG3=3,CHAR(34) &amp; _xlfn.TEXTJOIN("", TRUE, RIGHT(HP3:HX3, 2)) &amp; CHAR(34) &amp; ",", "")</f>
        <v/>
      </c>
      <c r="DN3" s="48" t="str">
        <f t="shared" ref="DN3:DN17" si="33">IF(AND(ISNUMBER(SEARCH("18", O3)), ISERROR(SEARCH("1918", O3)), ISERROR(SEARCH("2018", O3))), CHAR(34) &amp; "year18" &amp; CHAR(34) &amp; ",", "")</f>
        <v/>
      </c>
      <c r="DO3" s="48" t="str">
        <f t="shared" ref="DO3:DO17" si="34">IF(AND(ISNUMBER(SEARCH("19", O3)), ISERROR(SEARCH("1819", O3)),  ISERROR(SEARCH("1219", O3)),ISERROR(SEARCH("1119", O3)),ISERROR(SEARCH("1190", O3)),ISERROR(SEARCH("2019", O3))), CHAR(34) &amp; "year19" &amp; CHAR(34) &amp; ",", "")</f>
        <v>"year19",</v>
      </c>
      <c r="DP3" s="6" t="str">
        <f t="shared" ref="DP3:DP17" si="35">IF(AND(ISNUMBER(SEARCH("20", O3)), ISERROR(SEARCH("1920", O3))), CHAR(34)&amp;"year00"&amp;CHAR(34)&amp;",", "")</f>
        <v/>
      </c>
      <c r="DQ3" s="6" t="str">
        <f t="shared" ref="DQ3:DQ17" si="36">IF(CC3="y",CHAR(34)&amp;"soviet"&amp;CHAR(34)&amp;",","")</f>
        <v/>
      </c>
      <c r="DR3" s="6" t="str">
        <f t="shared" ref="DR3:DR17" si="37">IF(BY3="y",CHAR(34)&amp;"dgband"&amp;CHAR(34)&amp;",","")</f>
        <v/>
      </c>
      <c r="DS3" s="6" t="str">
        <f t="shared" ref="DS3:DS17" si="38">IF(W3="y",IF(AND(V3="n",BY3&lt;&gt;"y"),CHAR(34)&amp;"allver"&amp;CHAR(34)&amp;",",""),"")</f>
        <v/>
      </c>
      <c r="DT3" s="6" t="str">
        <f t="shared" ref="DT3:DT17" si="39">IF(V3="y",IF(AND(W3="n",BY3&lt;&gt;"y"),CHAR(34)&amp;"allhor"&amp;CHAR(34)&amp;",",""),"")</f>
        <v>"allhor",</v>
      </c>
      <c r="DU3" s="6" t="str">
        <f t="shared" ref="DU3:DU17" si="40">IF(BY3="y",IF(AND(W3="n",V3="n"),CHAR(34)&amp;"alldia"&amp;CHAR(34)&amp;",",""),"")</f>
        <v/>
      </c>
      <c r="DV3" s="48" t="str">
        <f t="shared" ref="DV3:DV8" si="41">IF(IA3&lt;&gt;"",(IF(IA3="y",CHAR(34)&amp;"largec"&amp;CHAR(34)&amp;",",CHAR(34)&amp;"smallc"&amp;CHAR(34)&amp;",")),"")</f>
        <v/>
      </c>
      <c r="DW3" s="48" t="str">
        <f t="shared" si="1"/>
        <v/>
      </c>
      <c r="DX3" s="48" t="str">
        <f t="shared" si="1"/>
        <v/>
      </c>
      <c r="DY3" s="48" t="str">
        <f t="shared" si="1"/>
        <v>"3Bands",</v>
      </c>
      <c r="DZ3" s="48" t="str">
        <f t="shared" si="1"/>
        <v/>
      </c>
      <c r="EA3" s="48" t="str">
        <f t="shared" si="2"/>
        <v/>
      </c>
      <c r="EB3" s="48" t="str">
        <f t="shared" si="2"/>
        <v/>
      </c>
      <c r="EC3" s="48" t="str">
        <f t="shared" si="2"/>
        <v>"Horizo",</v>
      </c>
      <c r="ED3" s="48" t="str">
        <f t="shared" si="2"/>
        <v/>
      </c>
      <c r="EE3" s="48" t="str">
        <f t="shared" si="2"/>
        <v>"Circle",</v>
      </c>
      <c r="EF3" s="48" t="str">
        <f t="shared" ref="EF3:EF17" si="42">IF(AND(Y3&lt;&gt;"n",Y3&lt;&gt;""),CHAR(34)&amp;Y$1&amp;CHAR(34)&amp;",","")</f>
        <v>"Animal",</v>
      </c>
      <c r="EG3" s="48" t="str">
        <f t="shared" si="3"/>
        <v/>
      </c>
      <c r="EH3" s="48" t="str">
        <f t="shared" si="3"/>
        <v>"Plants",</v>
      </c>
      <c r="EI3" s="48" t="str">
        <f t="shared" si="3"/>
        <v/>
      </c>
      <c r="EJ3" s="48" t="str">
        <f t="shared" si="3"/>
        <v/>
      </c>
      <c r="EK3" s="48" t="str">
        <f t="shared" si="3"/>
        <v>"HasSun",</v>
      </c>
      <c r="EL3" s="48" t="str">
        <f t="shared" si="3"/>
        <v/>
      </c>
      <c r="EM3" s="48" t="str">
        <f t="shared" si="3"/>
        <v/>
      </c>
      <c r="EN3" s="48" t="str">
        <f t="shared" si="3"/>
        <v/>
      </c>
      <c r="EO3" s="48" t="str">
        <f t="shared" si="3"/>
        <v>"Center",</v>
      </c>
      <c r="EP3" s="48" t="str">
        <f t="shared" si="3"/>
        <v/>
      </c>
      <c r="EQ3" s="48" t="str">
        <f t="shared" si="3"/>
        <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 t="shared" ref="FA3:FA17" si="43">IF(AT3&gt;0,CHAR(34)&amp;"sta"&amp;AZ3&amp;CHAR(34)&amp;",","")</f>
        <v/>
      </c>
      <c r="FB3" s="48" t="str">
        <f t="shared" ref="FB3:FB17" si="44">IF(AND(AT3&gt;0,BA3&lt;&gt;""),CHAR(34)&amp;"sta"&amp;BA3&amp;CHAR(34)&amp;",","")</f>
        <v/>
      </c>
      <c r="FC3" s="48" t="str">
        <f t="shared" ref="FC3:FC8" si="45">IF(AND(AT3&gt;0,BB3&lt;&gt;""),CHAR(34)&amp;"sta"&amp;BB3&amp;CHAR(34)&amp;",","")</f>
        <v/>
      </c>
      <c r="FD3" s="48" t="str">
        <f t="shared" ref="FD3:FD17" si="46">IF(BV3="n",CHAR(34)&amp;"tcWHYE"&amp;CHAR(34)&amp;",",IF(BV3="y",CHAR(34)&amp;FD$1&amp;CHAR(34)&amp;",",""))</f>
        <v/>
      </c>
      <c r="FE3" s="48" t="str">
        <f t="shared" ref="FE3:FE17" si="47">IF(COUNTIF(BL3:BT3,"BLU")=0,CHAR(34)&amp;"NO_BLU"&amp;CHAR(34)&amp;",", "")</f>
        <v/>
      </c>
      <c r="FF3" s="48" t="str">
        <f t="shared" ref="FF3:FF17" si="48">IF(COUNTIF(BL3:BT3,"WHI")=0,CHAR(34)&amp;"NO_WHI"&amp;CHAR(34)&amp;",", "")</f>
        <v/>
      </c>
      <c r="FG3" s="48" t="str">
        <f t="shared" ref="FG3:FG17" si="49">IF(COUNTIF(BL3:BT3,"RED")=0,CHAR(34)&amp;"NO_RED"&amp;CHAR(34)&amp;",", "")</f>
        <v>"NO_RED",</v>
      </c>
      <c r="FH3" s="48" t="str">
        <f t="shared" ref="FH3:FH17" si="50">IF(COUNTIF(BL3:BS3,"GRE")=0,CHAR(34)&amp;"NO_GRE"&amp;CHAR(34)&amp;",", "")</f>
        <v>"NO_GRE",</v>
      </c>
      <c r="FI3" s="48" t="str">
        <f t="shared" ref="FI3:FI17" si="51">IF(COUNTIF(BL3:BT3,"YEL")=0,CHAR(34)&amp;"NO_YEL"&amp;CHAR(34)&amp;",", "")</f>
        <v>"NO_YEL",</v>
      </c>
      <c r="FJ3" s="48" t="str">
        <f t="shared" ref="FJ3:FJ17" si="52">IF(COUNTIF(BL3:BT3,"BLA")=0,CHAR(34)&amp;"NO_BLA"&amp;CHAR(34)&amp;",", "")</f>
        <v>"NO_BLA",</v>
      </c>
      <c r="FK3" s="48" t="str">
        <f t="shared" ref="FK3:FK17" si="53">IF(AND(FH3&lt;&gt;"",FF3&lt;&gt;""),CHAR(34)&amp;"WHGRNO"&amp;CHAR(34)&amp;",","")</f>
        <v/>
      </c>
      <c r="FL3" s="48" t="str">
        <f t="shared" ref="FL3:FL17" si="54">IF(AND(FI3&lt;&gt;"",FF3&lt;&gt;""),CHAR(34)&amp;"WHYENO"&amp;CHAR(34)&amp;",","")</f>
        <v/>
      </c>
      <c r="FM3" s="48" t="str">
        <f t="shared" ref="FM3:FM17" si="55">IF(AND(FJ3&lt;&gt;"",FF3&lt;&gt;""),CHAR(34)&amp;"BAWHNO"&amp;CHAR(34)&amp;",","")</f>
        <v/>
      </c>
      <c r="FN3" s="48" t="str">
        <f t="shared" ref="FN3:FN17" si="56">IF(AND(FE3&lt;&gt;"",FF3&lt;&gt;""),CHAR(34)&amp;"BLWHNO"&amp;CHAR(34)&amp;",","")</f>
        <v/>
      </c>
      <c r="FO3" s="48" t="str">
        <f t="shared" ref="FO3:FO17" si="57">IF(AND(FE3&lt;&gt;"",FG3&lt;&gt;""),CHAR(34)&amp;"BLRENO"&amp;CHAR(34)&amp;",","")</f>
        <v/>
      </c>
      <c r="FP3" s="48" t="str">
        <f t="shared" ref="FP3:FP17" si="58">IF(AND(FF3&lt;&gt;"",FF3&lt;&gt;""),CHAR(34)&amp;"WHRENO"&amp;CHAR(34)&amp;",","")</f>
        <v/>
      </c>
      <c r="FQ3" s="48" t="str">
        <f t="shared" ref="FQ3:FQ17" si="59">IF(LEN(BF3)=3,CHAR(34)&amp;"001"&amp;BF3&amp;CHAR(34)&amp;",","")</f>
        <v/>
      </c>
      <c r="FR3" s="48" t="str">
        <f t="shared" ref="FR3:FR17" si="60">IF(LEN(BG3)=3,CHAR(34)&amp;"002"&amp;BG3&amp;CHAR(34)&amp;",","")</f>
        <v/>
      </c>
      <c r="FS3" s="48" t="str">
        <f t="shared" ref="FS3:FS17" si="61">IF(LEN(BH3)=3,CHAR(34)&amp;"003"&amp;BH3&amp;CHAR(34)&amp;",","")</f>
        <v/>
      </c>
      <c r="FT3" s="48" t="str">
        <f t="shared" ref="FT3:FT17" si="62">CHAR(34)&amp;"myr"&amp;BD3&amp;CHAR(34)&amp;","</f>
        <v>"myrBLU",</v>
      </c>
      <c r="FU3" s="48" t="str">
        <f t="shared" ref="FU3:FU17" si="63">IF(AY3="y",CHAR(34)&amp;"island"&amp;CHAR(34)&amp;",","")</f>
        <v>"island",</v>
      </c>
      <c r="FV3" s="48" t="str">
        <f t="shared" ref="FV3:FV17" si="64">IF(BZ3="y",CHAR(34)&amp;"landlo"&amp;CHAR(34)&amp;",","")</f>
        <v/>
      </c>
      <c r="FW3" s="48" t="str">
        <f t="shared" ref="FW3:FW17" si="65">IF(CA3="y",CHAR(34)&amp;"eunion"&amp;CHAR(34)&amp;",","")</f>
        <v/>
      </c>
      <c r="FX3" s="48" t="str">
        <f t="shared" ref="FX3:FX8" si="66">SUBSTITUTE(IFERROR(SEARCH("[",A3),IFERROR(IF(AND(CA3&lt;&gt;"y",SEARCH("Europe",R3)&gt;0),CHAR(34)&amp;"noeuni"&amp;CHAR(34)&amp;",",""),"")),"1","")</f>
        <v/>
      </c>
      <c r="FY3" s="48" t="str">
        <f t="shared" ref="FY3:FY17" si="67">IFERROR(IF(SEARCH("Arabic",CB3)&gt;0,CHAR(34)&amp;"arabic"&amp;CHAR(34)&amp;",",""),"")</f>
        <v/>
      </c>
      <c r="FZ3" s="48" t="str">
        <f t="shared" ref="FZ3:FZ17" si="68">IFERROR(IF(SEARCH("English",CB3)&gt;0,CHAR(34)&amp;"englis"&amp;CHAR(34)&amp;",",""),"")</f>
        <v>"englis",</v>
      </c>
      <c r="GA3" s="48" t="str">
        <f t="shared" ref="GA3:GA17" si="69">IFERROR(IF(SEARCH("French",CB3)&gt;0,CHAR(34)&amp;"french"&amp;CHAR(34)&amp;",",""),"")</f>
        <v/>
      </c>
      <c r="GB3" s="48" t="str">
        <f t="shared" ref="GB3:GB17" si="70">IFERROR(IF(SEARCH("Spanish",CB3)&gt;0,CHAR(34)&amp;"spanis"&amp;CHAR(34)&amp;",",""),"")</f>
        <v/>
      </c>
      <c r="GC3" s="48" t="str">
        <f t="shared" ref="GC3:GC8" si="71">IFERROR(IF(SEARCH("Portuguese",CB3)&gt;0,CHAR(34)&amp;"portug"&amp;CHAR(34)&amp;",",""),"")</f>
        <v/>
      </c>
      <c r="GD3" s="48" t="str">
        <f t="shared" ref="GD3:GD8" si="72">IFERROR(IF(SEARCH("German",CB3)&gt;0,CHAR(34)&amp;"german"&amp;CHAR(34)&amp;",",""),"")</f>
        <v/>
      </c>
      <c r="GE3" s="48" t="str">
        <f t="shared" ref="GE3:GE17" si="73">IFERROR(IF(SEARCH("Dutch",CB3)&gt;0,CHAR(34)&amp;"dutchs"&amp;CHAR(34)&amp;",",""),"")</f>
        <v/>
      </c>
      <c r="GF3" s="48" t="str">
        <f>IFERROR(IF(SEARCH("Histor",AU3)&gt;0,CHAR(34)&amp;"histor"&amp;CHAR(34)&amp;",",""),"")</f>
        <v/>
      </c>
      <c r="GG3" s="48" t="str">
        <f t="shared" ref="GG3:GG17" si="74">IF(BU3="y",CHAR(34)&amp;"unjack"&amp;CHAR(34)&amp;",","")</f>
        <v/>
      </c>
      <c r="GH3" s="48" t="str">
        <f t="shared" ref="GH3:GH17" si="75">IF(CD3=1,CHAR(34)&amp;"southc"&amp;CHAR(34)&amp;",","")</f>
        <v/>
      </c>
      <c r="GI3" s="48" t="str">
        <f t="shared" ref="GI3:GI17" si="76">IF(CE3=1,CHAR(34)&amp;"hasmap"&amp;CHAR(34)&amp;",","")</f>
        <v/>
      </c>
      <c r="GJ3" s="48" t="str">
        <f t="shared" ref="GJ3:GJ17" si="77">IF(CP3="y",CHAR(34)&amp;CP$1&amp;CHAR(34)&amp;",","")</f>
        <v>"NoStar",</v>
      </c>
      <c r="GK3" s="48" t="str">
        <f t="shared" ref="GK3:GK17" si="78">IF(GJ3="",CHAR(34)&amp;"HasSta"&amp;CHAR(34)&amp;",","")</f>
        <v/>
      </c>
      <c r="GL3" s="48" t="str">
        <f t="shared" si="4"/>
        <v/>
      </c>
      <c r="GM3" s="48" t="str">
        <f t="shared" si="4"/>
        <v/>
      </c>
      <c r="GN3" s="48" t="str">
        <f t="shared" si="4"/>
        <v/>
      </c>
      <c r="GP3" s="48" t="str">
        <f t="shared" ref="GP3:GP17" si="79">CHAR(34)&amp;AU3&amp;CHAR(34)</f>
        <v>"Province"</v>
      </c>
      <c r="GS3" s="48" t="str">
        <f t="shared" ref="GS3:GS17" si="80">SUBSTITUTE("["&amp;_xlfn.CONCAT(CW3:GN3)&amp;"]",",]","]")</f>
        <v>["2Color","words2","words3","lets19","startB","with_v","BLUWHI","year19","allhor","3Bands","Horizo","Circle","Animal","Plants","HasSun","Center","NO_RED","NO_GRE","NO_YEL","NO_BLA","myrBLU","island","englis","NoStar"]</v>
      </c>
      <c r="GT3" s="48" t="str">
        <f t="shared" si="5"/>
        <v>"cl_BLU",</v>
      </c>
      <c r="GU3" s="48" t="str">
        <f t="shared" si="5"/>
        <v>"cl_WHI",</v>
      </c>
      <c r="GV3" s="48" t="str">
        <f t="shared" si="5"/>
        <v/>
      </c>
      <c r="GW3" s="48" t="str">
        <f t="shared" si="5"/>
        <v/>
      </c>
      <c r="GX3" s="48" t="str">
        <f t="shared" si="5"/>
        <v/>
      </c>
      <c r="GY3" s="48" t="str">
        <f t="shared" si="5"/>
        <v/>
      </c>
      <c r="GZ3" s="48" t="str">
        <f t="shared" si="5"/>
        <v/>
      </c>
      <c r="HA3" s="48" t="str">
        <f t="shared" si="5"/>
        <v/>
      </c>
      <c r="HB3" s="48" t="str">
        <f t="shared" si="5"/>
        <v/>
      </c>
      <c r="HC3" s="48" t="str">
        <f t="shared" ref="HC3:HC17" si="81">SUBSTITUTE("["&amp;_xlfn.CONCAT(GT3:HB3)&amp;"]",",]","]")</f>
        <v>["cl_BLU","cl_WHI"]</v>
      </c>
      <c r="HE3" s="71"/>
      <c r="HF3" s="72" t="str">
        <f t="shared" ref="HF3:HF17" si="82">"{couname:"&amp;CT3&amp;(IF(HK3&lt;&gt;"",",subtype:"&amp;CHAR(34)&amp;HK3&amp;CHAR(34),""))&amp;",year:"&amp;HJ3&amp;",region:"&amp;CU3&amp;",Colors:"&amp;HC3&amp;",Items:"&amp;GS3&amp;",Flag:"&amp;CV3&amp;",HDFlag:"&amp;CHAR(34)&amp;E3&amp;CHAR(34)&amp;",type:"&amp;GP3&amp;", describe: "&amp;HH3&amp;", isnew:"&amp;CHAR(34)&amp;F3&amp;CHAR(34)&amp;", links: "&amp;HL3&amp;"},"</f>
        <v>{couname:"[ARG] Buenos Aires Province",year:"1997",region:"rgn_South America",Colors:["cl_BLU","cl_WHI"],Items:["2Color","words2","words3","lets19","startB","with_v","BLUWHI","year19","allhor","3Bands","Horizo","Circle","Animal","Plants","HasSun","Center","NO_RED","NO_GRE","NO_YEL","NO_BLA","myrBLU","island","englis","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links: "https://en.wikipedia.org/wiki/Flag_of_Buenos_Aires_Province"},</v>
      </c>
      <c r="HG3" s="73" t="str">
        <f t="shared" ref="HG3:HG17" si="83">"{couname:"&amp;CT3&amp;(IF(HK3&lt;&gt;"",",subtype:"&amp;CHAR(34)&amp;HK3&amp;CHAR(34),""))&amp;",year:"&amp;HJ3&amp;",region:"&amp;CU3&amp;",Colors:"&amp;HC3&amp;",Items:"&amp;GS3&amp;",Flag:"&amp;CV3&amp;",HDFlag:"&amp;CHAR(34)&amp;E3&amp;CHAR(34)&amp;",type:"&amp;GP3&amp;", describe: "&amp;HI3&amp;", links: "&amp;HL3&amp;"},"</f>
        <v>{couname:"[ARG] Buenos Aires Province",year:"1997",region:"rgn_South America",Colors:["cl_BLU","cl_WHI"],Items:["2Color","words2","words3","lets19","startB","with_v","BLUWHI","year19","allhor","3Bands","Horizo","Circle","Animal","Plants","HasSun","Center","NO_RED","NO_GRE","NO_YEL","NO_BLA","myrBLU","island","englis","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links: "https://en.wikipedia.org/wiki/Flag_of_Buenos_Aires_Province"},</v>
      </c>
      <c r="HH3" s="48" t="str">
        <f t="shared" ref="HH3:HH17" si="84">IF(P3&lt;&gt;"",CHAR(34)&amp;"\n"&amp;P3&amp;CHAR(34),CHAR(34)&amp;CHAR(34))</f>
        <v>"\nThe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v>
      </c>
      <c r="HI3" s="48" t="str">
        <f t="shared" ref="HI3:HI17" si="85">IF(J3=0,CHAR(34)&amp;CHAR(34),HH3)</f>
        <v>"\nThe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v>
      </c>
      <c r="HJ3" s="48" t="str">
        <f t="shared" ref="HJ3:HJ17" si="86">CHAR(34)&amp;O3&amp;CHAR(34)</f>
        <v>"1997"</v>
      </c>
      <c r="HL3" s="48" t="str">
        <f t="shared" ref="HL3:HL17" si="87">CHAR(34)&amp;I3&amp;CHAR(34)</f>
        <v>"https://en.wikipedia.org/wiki/Flag_of_Buenos_Aires_Province"</v>
      </c>
      <c r="HM3" s="72" t="str">
        <f t="shared" ref="HM3:HM17" si="88">"{"&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{"couname":"[ARG] Buenos Aires Province","year":"1997","region":"rgn_South America","Colors":["cl_BLU","cl_WHI"],"Items":["2Color","words2","words3","lets19","startB","with_v","BLUWHI","year19","allhor","3Bands","Horizo","Circle","Animal","Plants","HasSun","Center","NO_RED","NO_GRE","NO_YEL","NO_BLA","myrBLU","island","englis","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 "links": "https://en.wikipedia.org/wiki/Flag_of_Buenos_Aires_Province"},</v>
      </c>
      <c r="HN3" s="74" t="str">
        <f t="shared" ref="HN3:HN17" si="89">"{"&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{"couname":"[ARG] Buenos Aires Province","year":"1997","region":"rgn_South America","Colors":["cl_BLU","cl_WHI"],"Items":["2Color","words2","words3","lets19","startB","with_v","BLUWHI","year19","allhor","3Bands","Horizo","Circle","Animal","Plants","HasSun","Center","NO_RED","NO_GRE","NO_YEL","NO_BLA","myrBLU","island","englis","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 "links": "https://en.wikipedia.org/wiki/Flag_of_Buenos_Aires_Province"},</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 t="shared" ref="IL3:IL8" si="90">SUM(IC3:IK3)</f>
        <v>0</v>
      </c>
      <c r="IM3" s="45">
        <f t="shared" ref="IM3:IM17" si="91">COUNTIF(IC3:IK3,"&gt;0")-CG3</f>
        <v>-2</v>
      </c>
      <c r="IN3" s="78" t="str">
        <f t="shared" ref="IN3:IN17" si="92">"http://mkweb.bcgsc.ca/color-summarizer/?url="&amp;D3&amp;"&amp;precision=low&amp;num_clusters="&amp;CG3&amp;"&amp;text=1"</f>
        <v>http://mkweb.bcgsc.ca/color-summarizer/?url=https://upload.wikimedia.org/wikipedia/commons/thumb/1/15/Bandera_de_la_Provincia_de_Buenos_Aires.svg/320px-Bandera_de_la_Provincia_de_Buenos_Aires.svg.png&amp;precision=low&amp;num_clusters=2&amp;text=1</v>
      </c>
      <c r="IO3" s="48" t="str">
        <f t="shared" ref="IO3:IO17" si="93">IF(HP3&lt;&gt;"",CHAR(34)&amp;"black"&amp;CHAR(34),"")</f>
        <v/>
      </c>
      <c r="IP3" s="48" t="str">
        <f t="shared" ref="IP3:IP17" si="94">IF(HQ3&lt;&gt;"",CHAR(34)&amp;"blue"&amp;CHAR(34),"")</f>
        <v>"blue"</v>
      </c>
      <c r="IQ3" s="48" t="str">
        <f t="shared" ref="IQ3:IQ17" si="95">IF(HR3&lt;&gt;"",CHAR(34)&amp;"green"&amp;CHAR(34),"")</f>
        <v/>
      </c>
      <c r="IR3" s="48" t="str">
        <f t="shared" ref="IR3:IR17" si="96">IF(HS3&lt;&gt;"",CHAR(34)&amp;"red"&amp;CHAR(34),"")</f>
        <v/>
      </c>
      <c r="IS3" s="48" t="str">
        <f t="shared" ref="IS3:IS17" si="97">IF(HT3&lt;&gt;"",CHAR(34)&amp;"yellow"&amp;CHAR(34),"")</f>
        <v/>
      </c>
      <c r="IT3" s="48" t="str">
        <f t="shared" ref="IT3:IT17" si="98">IF(HU3&lt;&gt;"",CHAR(34)&amp;"orange"&amp;CHAR(34),"")</f>
        <v/>
      </c>
      <c r="IU3" s="48" t="str">
        <f t="shared" ref="IU3:IU17" si="99">IF(HV3&lt;&gt;"",CHAR(34)&amp;"brown"&amp;CHAR(34),"")</f>
        <v/>
      </c>
      <c r="IV3" s="48" t="str">
        <f t="shared" ref="IV3:IV17" si="100">IF(HW3&lt;&gt;"",CHAR(34)&amp;"purple"&amp;CHAR(34),"")</f>
        <v/>
      </c>
      <c r="IW3" s="48" t="str">
        <f t="shared" ref="IW3:IW17" si="101">IF(HX3&lt;&gt;"",CHAR(34)&amp;"white"&amp;CHAR(34),"")</f>
        <v>"white"</v>
      </c>
      <c r="IX3" s="48" t="str">
        <f t="shared" ref="IX3:IX17" si="102">"{"&amp;CHAR(34)&amp;"url"&amp;CHAR(34)&amp;":"&amp;CHAR(34)&amp;IN3&amp;CHAR(34)&amp;","&amp;CHAR(34)&amp;"name"&amp;CHAR(34)&amp;":"&amp;CHAR(34)&amp;A3&amp;CHAR(34)&amp;"},"</f>
        <v>{"url":"http://mkweb.bcgsc.ca/color-summarizer/?url=https://upload.wikimedia.org/wikipedia/commons/thumb/1/15/Bandera_de_la_Provincia_de_Buenos_Aires.svg/320px-Bandera_de_la_Provincia_de_Buenos_Aires.svg.png&amp;precision=low&amp;num_clusters=2&amp;text=1","name":"[ARG] Buenos Aires Province"},</v>
      </c>
      <c r="IY3" s="48">
        <v>139</v>
      </c>
    </row>
    <row r="4" spans="1:259" s="48" customFormat="1" ht="38.4" customHeight="1" thickBot="1" x14ac:dyDescent="0.35">
      <c r="A4" s="79" t="s">
        <v>279</v>
      </c>
      <c r="B4" s="40" t="e" vm="3">
        <v>#VALUE!</v>
      </c>
      <c r="C4" s="41">
        <v>2</v>
      </c>
      <c r="D4" s="42" t="s">
        <v>280</v>
      </c>
      <c r="E4" s="43" t="s">
        <v>281</v>
      </c>
      <c r="F4" s="44" t="s">
        <v>166</v>
      </c>
      <c r="G4" s="45">
        <f>COUNTIF($A$1:$A$8299,A4)</f>
        <v>1</v>
      </c>
      <c r="H4" s="46"/>
      <c r="I4" s="47" t="s">
        <v>282</v>
      </c>
      <c r="J4" s="48" t="str">
        <f>""</f>
        <v/>
      </c>
      <c r="K4" s="49"/>
      <c r="L4" s="50"/>
      <c r="M4" s="50"/>
      <c r="N4" s="51" t="s">
        <v>169</v>
      </c>
      <c r="O4" s="52">
        <v>2011</v>
      </c>
      <c r="P4" s="53" t="s">
        <v>283</v>
      </c>
      <c r="Q4" s="54">
        <v>1</v>
      </c>
      <c r="R4" s="55" t="s">
        <v>169</v>
      </c>
      <c r="S4" s="56">
        <v>2</v>
      </c>
      <c r="T4" s="57" t="s">
        <v>172</v>
      </c>
      <c r="U4" s="58" t="s">
        <v>172</v>
      </c>
      <c r="V4" s="58" t="s">
        <v>173</v>
      </c>
      <c r="W4" s="58" t="s">
        <v>172</v>
      </c>
      <c r="X4" s="58" t="s">
        <v>173</v>
      </c>
      <c r="Y4" s="58" t="s">
        <v>172</v>
      </c>
      <c r="Z4" s="58" t="s">
        <v>172</v>
      </c>
      <c r="AA4" s="58" t="s">
        <v>173</v>
      </c>
      <c r="AB4" s="58" t="s">
        <v>172</v>
      </c>
      <c r="AC4" s="58" t="s">
        <v>172</v>
      </c>
      <c r="AD4" s="58" t="s">
        <v>173</v>
      </c>
      <c r="AE4" s="58" t="s">
        <v>172</v>
      </c>
      <c r="AF4" s="59" t="s">
        <v>172</v>
      </c>
      <c r="AG4" s="59" t="s">
        <v>173</v>
      </c>
      <c r="AH4" s="59" t="s">
        <v>173</v>
      </c>
      <c r="AI4" s="59" t="s">
        <v>172</v>
      </c>
      <c r="AJ4" s="59" t="s">
        <v>172</v>
      </c>
      <c r="AK4" s="59" t="s">
        <v>172</v>
      </c>
      <c r="AL4" s="59" t="s">
        <v>172</v>
      </c>
      <c r="AM4" s="59" t="s">
        <v>172</v>
      </c>
      <c r="AN4" s="59" t="s">
        <v>173</v>
      </c>
      <c r="AO4" s="59" t="s">
        <v>172</v>
      </c>
      <c r="AP4" s="59" t="s">
        <v>172</v>
      </c>
      <c r="AQ4" s="59" t="s">
        <v>172</v>
      </c>
      <c r="AR4" s="59" t="s">
        <v>172</v>
      </c>
      <c r="AS4" s="59" t="s">
        <v>172</v>
      </c>
      <c r="AT4" s="60">
        <v>0</v>
      </c>
      <c r="AU4" s="59" t="s">
        <v>277</v>
      </c>
      <c r="AV4" s="59" t="str">
        <f>IF(LEFT(A4,1)="[",LEFT(A4,5)&amp;AU4&amp;A4,"")</f>
        <v>[ARG]Province[ARG] Catamarca</v>
      </c>
      <c r="AW4" s="59" t="str">
        <f>C4&amp;IFERROR(SUBSTITUTE(A4, " [ANT]",""),"")</f>
        <v>2[ARG] Catamarca</v>
      </c>
      <c r="AX4" s="61"/>
      <c r="AY4" s="61"/>
      <c r="AZ4" s="62" t="s">
        <v>159</v>
      </c>
      <c r="BA4" s="62" t="s">
        <v>174</v>
      </c>
      <c r="BB4" s="62"/>
      <c r="BC4" s="63"/>
      <c r="BD4" s="64" t="s">
        <v>152</v>
      </c>
      <c r="BE4" s="47"/>
      <c r="BF4" s="64" t="s">
        <v>174</v>
      </c>
      <c r="BG4" s="64" t="s">
        <v>174</v>
      </c>
      <c r="BH4" s="64" t="s">
        <v>174</v>
      </c>
      <c r="BI4" s="64"/>
      <c r="BJ4" s="64"/>
      <c r="BK4" s="47"/>
      <c r="BL4" s="64" t="s">
        <v>174</v>
      </c>
      <c r="BM4" s="64" t="s">
        <v>152</v>
      </c>
      <c r="BN4" s="64" t="s">
        <v>174</v>
      </c>
      <c r="BO4" s="64" t="s">
        <v>174</v>
      </c>
      <c r="BP4" s="64" t="s">
        <v>174</v>
      </c>
      <c r="BQ4" s="64" t="s">
        <v>174</v>
      </c>
      <c r="BR4" s="64" t="s">
        <v>174</v>
      </c>
      <c r="BS4" s="64" t="s">
        <v>174</v>
      </c>
      <c r="BT4" s="64" t="s">
        <v>159</v>
      </c>
      <c r="BU4" s="65"/>
      <c r="BV4" s="66"/>
      <c r="BW4" s="66">
        <v>0</v>
      </c>
      <c r="BX4" s="47"/>
      <c r="CB4" s="6"/>
      <c r="CC4" s="6"/>
      <c r="CD4" s="67">
        <v>0</v>
      </c>
      <c r="CE4" s="67">
        <v>0</v>
      </c>
      <c r="CF4" s="67" t="e">
        <v>#REF!</v>
      </c>
      <c r="CG4" s="68" cm="1">
        <f t="array" ref="CG4">SUMPRODUCT(--(LEN(TRIM(BL4:BT4))&gt;0))</f>
        <v>2</v>
      </c>
      <c r="CH4" s="59" t="str">
        <f t="shared" si="6"/>
        <v>y</v>
      </c>
      <c r="CI4" s="59" t="str">
        <f t="shared" si="7"/>
        <v>n</v>
      </c>
      <c r="CJ4" s="59" t="str">
        <f t="shared" si="8"/>
        <v>n</v>
      </c>
      <c r="CK4" s="59" t="str">
        <f t="shared" si="9"/>
        <v>n</v>
      </c>
      <c r="CL4" s="59" t="str">
        <f t="shared" si="10"/>
        <v>n</v>
      </c>
      <c r="CM4" s="59" t="str">
        <f t="shared" si="11"/>
        <v>y</v>
      </c>
      <c r="CN4" s="59" t="str">
        <f t="shared" si="12"/>
        <v>n</v>
      </c>
      <c r="CO4" s="59" t="str">
        <f t="shared" si="13"/>
        <v>n</v>
      </c>
      <c r="CP4" s="59" t="str">
        <f t="shared" si="14"/>
        <v>y</v>
      </c>
      <c r="CQ4" s="59" t="str">
        <f t="shared" si="15"/>
        <v>n</v>
      </c>
      <c r="CR4" s="59" t="str">
        <f t="shared" si="16"/>
        <v>n</v>
      </c>
      <c r="CS4" s="59" t="str">
        <f t="shared" si="17"/>
        <v>n</v>
      </c>
      <c r="CT4" s="69" t="str">
        <f t="shared" si="18"/>
        <v>"[ARG] Catamarca"</v>
      </c>
      <c r="CU4" s="70" t="str">
        <f t="shared" si="19"/>
        <v>"rgn_South America"</v>
      </c>
      <c r="CV4" s="48" t="str">
        <f t="shared" si="20"/>
        <v>"https://upload.wikimedia.org/wikipedia/commons/thumb/7/7b/Bandera_de_la_Provincia_de_Catamarca.svg/320px-Bandera_de_la_Provincia_de_Catamarca.svg.png"</v>
      </c>
      <c r="CW4" s="48" t="str">
        <f t="shared" si="0"/>
        <v>"2Color",</v>
      </c>
      <c r="CX4" s="48" t="str">
        <f t="shared" si="0"/>
        <v/>
      </c>
      <c r="CY4" s="48" t="str">
        <f t="shared" si="0"/>
        <v/>
      </c>
      <c r="CZ4" s="48" t="str">
        <f t="shared" si="0"/>
        <v/>
      </c>
      <c r="DA4" s="48" t="str">
        <f t="shared" si="21"/>
        <v/>
      </c>
      <c r="DB4" s="48" t="str">
        <f t="shared" si="22"/>
        <v/>
      </c>
      <c r="DC4" s="48" t="str">
        <f t="shared" si="23"/>
        <v/>
      </c>
      <c r="DD4" s="48" t="str">
        <f t="shared" si="24"/>
        <v>"lets09",</v>
      </c>
      <c r="DE4" s="48" t="str">
        <f t="shared" si="25"/>
        <v>"startC",</v>
      </c>
      <c r="DF4" s="48" t="str">
        <f t="shared" si="26"/>
        <v/>
      </c>
      <c r="DG4" s="48" t="str">
        <f t="shared" si="27"/>
        <v/>
      </c>
      <c r="DH4" s="48" t="str">
        <f t="shared" si="28"/>
        <v/>
      </c>
      <c r="DI4" s="48" t="str">
        <f t="shared" si="29"/>
        <v/>
      </c>
      <c r="DJ4" s="48" t="str">
        <f t="shared" si="30"/>
        <v/>
      </c>
      <c r="DK4" s="48" t="str">
        <f t="shared" si="31"/>
        <v/>
      </c>
      <c r="DL4" s="48" t="str">
        <f t="shared" si="32"/>
        <v>"BLUWHI",</v>
      </c>
      <c r="DM4" s="48" t="str" cm="1">
        <f t="array" ref="DM4">IF(CG4=3,CHAR(34) &amp; _xlfn.TEXTJOIN("", TRUE, RIGHT(HP4:HX4, 2)) &amp; CHAR(34) &amp; ",", "")</f>
        <v/>
      </c>
      <c r="DN4" s="48" t="str">
        <f t="shared" si="33"/>
        <v/>
      </c>
      <c r="DO4" s="48" t="str">
        <f t="shared" si="34"/>
        <v/>
      </c>
      <c r="DP4" s="6" t="str">
        <f t="shared" si="35"/>
        <v>"year00",</v>
      </c>
      <c r="DQ4" s="6" t="str">
        <f t="shared" si="36"/>
        <v/>
      </c>
      <c r="DR4" s="6" t="str">
        <f t="shared" si="37"/>
        <v/>
      </c>
      <c r="DS4" s="6" t="str">
        <f t="shared" si="38"/>
        <v/>
      </c>
      <c r="DT4" s="6" t="str">
        <f t="shared" si="39"/>
        <v>"allhor",</v>
      </c>
      <c r="DU4" s="6" t="str">
        <f t="shared" si="40"/>
        <v/>
      </c>
      <c r="DV4" s="48" t="str">
        <f t="shared" si="41"/>
        <v/>
      </c>
      <c r="DW4" s="48" t="str">
        <f t="shared" si="1"/>
        <v/>
      </c>
      <c r="DX4" s="48" t="str">
        <f t="shared" si="1"/>
        <v>"2Bands",</v>
      </c>
      <c r="DY4" s="48" t="str">
        <f t="shared" si="1"/>
        <v/>
      </c>
      <c r="DZ4" s="48" t="str">
        <f t="shared" si="1"/>
        <v/>
      </c>
      <c r="EA4" s="48" t="str">
        <f t="shared" si="2"/>
        <v/>
      </c>
      <c r="EB4" s="48" t="str">
        <f t="shared" si="2"/>
        <v/>
      </c>
      <c r="EC4" s="48" t="str">
        <f t="shared" si="2"/>
        <v>"Horizo",</v>
      </c>
      <c r="ED4" s="48" t="str">
        <f t="shared" si="2"/>
        <v/>
      </c>
      <c r="EE4" s="48" t="str">
        <f t="shared" si="2"/>
        <v>"Circle",</v>
      </c>
      <c r="EF4" s="48" t="str">
        <f t="shared" si="42"/>
        <v/>
      </c>
      <c r="EG4" s="48" t="str">
        <f t="shared" si="3"/>
        <v/>
      </c>
      <c r="EH4" s="48" t="str">
        <f t="shared" si="3"/>
        <v>"Plants",</v>
      </c>
      <c r="EI4" s="48" t="str">
        <f t="shared" si="3"/>
        <v/>
      </c>
      <c r="EJ4" s="48" t="str">
        <f t="shared" si="3"/>
        <v/>
      </c>
      <c r="EK4" s="48" t="str">
        <f t="shared" si="3"/>
        <v>"HasSun",</v>
      </c>
      <c r="EL4" s="48" t="str">
        <f t="shared" si="3"/>
        <v/>
      </c>
      <c r="EM4" s="48" t="str">
        <f t="shared" si="3"/>
        <v/>
      </c>
      <c r="EN4" s="48" t="str">
        <f t="shared" si="3"/>
        <v>"Unequa",</v>
      </c>
      <c r="EO4" s="48" t="str">
        <f t="shared" si="3"/>
        <v>"Center",</v>
      </c>
      <c r="EP4" s="48" t="str">
        <f t="shared" si="3"/>
        <v/>
      </c>
      <c r="EQ4" s="48" t="str">
        <f t="shared" si="3"/>
        <v/>
      </c>
      <c r="ER4" s="48" t="str">
        <f t="shared" si="3"/>
        <v/>
      </c>
      <c r="ES4" s="48" t="str">
        <f t="shared" si="3"/>
        <v/>
      </c>
      <c r="ET4" s="48" t="str">
        <f t="shared" si="3"/>
        <v/>
      </c>
      <c r="EU4" s="48" t="str">
        <f t="shared" si="3"/>
        <v>"Humans",</v>
      </c>
      <c r="EV4" s="48" t="str">
        <f t="shared" si="3"/>
        <v/>
      </c>
      <c r="EW4" s="48" t="str">
        <f t="shared" si="3"/>
        <v/>
      </c>
      <c r="EX4" s="48" t="str">
        <f t="shared" si="3"/>
        <v/>
      </c>
      <c r="EY4" s="48" t="str">
        <f t="shared" si="3"/>
        <v/>
      </c>
      <c r="EZ4" s="48" t="str">
        <f t="shared" si="3"/>
        <v/>
      </c>
      <c r="FA4" s="48" t="str">
        <f t="shared" si="43"/>
        <v/>
      </c>
      <c r="FB4" s="48" t="str">
        <f t="shared" si="44"/>
        <v/>
      </c>
      <c r="FC4" s="48" t="str">
        <f t="shared" si="45"/>
        <v/>
      </c>
      <c r="FD4" s="48" t="str">
        <f t="shared" si="46"/>
        <v/>
      </c>
      <c r="FE4" s="48" t="str">
        <f t="shared" si="47"/>
        <v/>
      </c>
      <c r="FF4" s="48" t="str">
        <f t="shared" si="48"/>
        <v/>
      </c>
      <c r="FG4" s="48" t="str">
        <f t="shared" si="49"/>
        <v>"NO_RED",</v>
      </c>
      <c r="FH4" s="48" t="str">
        <f t="shared" si="50"/>
        <v>"NO_GRE",</v>
      </c>
      <c r="FI4" s="48" t="str">
        <f t="shared" si="51"/>
        <v>"NO_YEL",</v>
      </c>
      <c r="FJ4" s="48" t="str">
        <f t="shared" si="52"/>
        <v>"NO_BLA",</v>
      </c>
      <c r="FK4" s="48" t="str">
        <f t="shared" si="53"/>
        <v/>
      </c>
      <c r="FL4" s="48" t="str">
        <f t="shared" si="54"/>
        <v/>
      </c>
      <c r="FM4" s="48" t="str">
        <f t="shared" si="55"/>
        <v/>
      </c>
      <c r="FN4" s="48" t="str">
        <f t="shared" si="56"/>
        <v/>
      </c>
      <c r="FO4" s="48" t="str">
        <f t="shared" si="57"/>
        <v/>
      </c>
      <c r="FP4" s="48" t="str">
        <f t="shared" si="58"/>
        <v/>
      </c>
      <c r="FQ4" s="48" t="str">
        <f t="shared" si="59"/>
        <v/>
      </c>
      <c r="FR4" s="48" t="str">
        <f t="shared" si="60"/>
        <v/>
      </c>
      <c r="FS4" s="48" t="str">
        <f t="shared" si="61"/>
        <v/>
      </c>
      <c r="FT4" s="48" t="str">
        <f t="shared" si="62"/>
        <v>"myrBLU",</v>
      </c>
      <c r="FU4" s="48" t="str">
        <f t="shared" si="63"/>
        <v/>
      </c>
      <c r="FV4" s="48" t="str">
        <f t="shared" si="64"/>
        <v/>
      </c>
      <c r="FW4" s="48" t="str">
        <f t="shared" si="65"/>
        <v/>
      </c>
      <c r="FX4" s="48" t="str">
        <f t="shared" si="66"/>
        <v/>
      </c>
      <c r="FY4" s="48" t="str">
        <f t="shared" si="67"/>
        <v/>
      </c>
      <c r="FZ4" s="48" t="str">
        <f t="shared" si="68"/>
        <v/>
      </c>
      <c r="GA4" s="48" t="str">
        <f t="shared" si="69"/>
        <v/>
      </c>
      <c r="GB4" s="48" t="str">
        <f t="shared" si="70"/>
        <v/>
      </c>
      <c r="GC4" s="48" t="str">
        <f t="shared" si="71"/>
        <v/>
      </c>
      <c r="GD4" s="48" t="str">
        <f t="shared" si="72"/>
        <v/>
      </c>
      <c r="GE4" s="48" t="str">
        <f t="shared" si="73"/>
        <v/>
      </c>
      <c r="GF4" s="48" t="str">
        <f>IFERROR(IF(SEARCH("Historical",AU4)&gt;0,CHAR(34)&amp;"histor"&amp;CHAR(34)&amp;",",""),"")</f>
        <v/>
      </c>
      <c r="GG4" s="48" t="str">
        <f t="shared" si="74"/>
        <v/>
      </c>
      <c r="GH4" s="48" t="str">
        <f t="shared" si="75"/>
        <v/>
      </c>
      <c r="GI4" s="48" t="str">
        <f t="shared" si="76"/>
        <v/>
      </c>
      <c r="GJ4" s="48" t="str">
        <f t="shared" si="77"/>
        <v>"NoStar",</v>
      </c>
      <c r="GK4" s="48" t="str">
        <f t="shared" si="78"/>
        <v/>
      </c>
      <c r="GL4" s="48" t="str">
        <f t="shared" si="4"/>
        <v/>
      </c>
      <c r="GM4" s="48" t="str">
        <f t="shared" si="4"/>
        <v/>
      </c>
      <c r="GN4" s="48" t="str">
        <f t="shared" si="4"/>
        <v/>
      </c>
      <c r="GP4" s="48" t="str">
        <f t="shared" si="79"/>
        <v>"Province"</v>
      </c>
      <c r="GS4" s="48" t="str">
        <f t="shared" si="80"/>
        <v>["2Color","lets09","startC","BLUWHI","year00","allhor","2Bands","Horizo","Circle","Plants","HasSun","Unequa","Center","Humans","NO_RED","NO_GRE","NO_YEL","NO_BLA","myrBLU","NoStar"]</v>
      </c>
      <c r="GT4" s="48" t="str">
        <f t="shared" si="5"/>
        <v/>
      </c>
      <c r="GU4" s="48" t="str">
        <f t="shared" si="5"/>
        <v>"cl_BLU",</v>
      </c>
      <c r="GV4" s="48" t="str">
        <f t="shared" si="5"/>
        <v/>
      </c>
      <c r="GW4" s="48" t="str">
        <f t="shared" si="5"/>
        <v/>
      </c>
      <c r="GX4" s="48" t="str">
        <f t="shared" si="5"/>
        <v/>
      </c>
      <c r="GY4" s="48" t="str">
        <f t="shared" si="5"/>
        <v/>
      </c>
      <c r="GZ4" s="48" t="str">
        <f t="shared" si="5"/>
        <v/>
      </c>
      <c r="HA4" s="48" t="str">
        <f t="shared" si="5"/>
        <v/>
      </c>
      <c r="HB4" s="48" t="str">
        <f t="shared" si="5"/>
        <v>"cl_WHI",</v>
      </c>
      <c r="HC4" s="48" t="str">
        <f t="shared" si="81"/>
        <v>["cl_BLU","cl_WHI"]</v>
      </c>
      <c r="HE4" s="71"/>
      <c r="HF4" s="72" t="str">
        <f t="shared" si="82"/>
        <v>{couname:"[ARG] Catamarca",year:"2011",region:"rgn_South America",Colors:["cl_BLU","cl_WHI"],Items:["2Color","lets09","startC","BLUWHI","year00","allhor","2Bands","Horizo","Circle","Plants","HasSun","Unequa","Center","Humans","NO_RED","NO_GRE","NO_YEL","NO_BLA","myrBLU","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links: "https://en.wikipedia.org/wiki/Flag_of_Catamarca"},</v>
      </c>
      <c r="HG4" s="73" t="str">
        <f t="shared" si="83"/>
        <v>{couname:"[ARG] Catamarca",year:"2011",region:"rgn_South America",Colors:["cl_BLU","cl_WHI"],Items:["2Color","lets09","startC","BLUWHI","year00","allhor","2Bands","Horizo","Circle","Plants","HasSun","Unequa","Center","Humans","NO_RED","NO_GRE","NO_YEL","NO_BLA","myrBLU","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links: "https://en.wikipedia.org/wiki/Flag_of_Catamarca"},</v>
      </c>
      <c r="HH4" s="48" t="str">
        <f t="shared" si="84"/>
        <v>"\nThe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v>
      </c>
      <c r="HI4" s="48" t="str">
        <f t="shared" si="85"/>
        <v>"\nThe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v>
      </c>
      <c r="HJ4" s="48" t="str">
        <f t="shared" si="86"/>
        <v>"2011"</v>
      </c>
      <c r="HL4" s="48" t="str">
        <f t="shared" si="87"/>
        <v>"https://en.wikipedia.org/wiki/Flag_of_Catamarca"</v>
      </c>
      <c r="HM4" s="72" t="str">
        <f t="shared" si="88"/>
        <v>{"couname":"[ARG] Catamarca","year":"2011","region":"rgn_South America","Colors":["cl_BLU","cl_WHI"],"Items":["2Color","lets09","startC","BLUWHI","year00","allhor","2Bands","Horizo","Circle","Plants","HasSun","Unequa","Center","Humans","NO_RED","NO_GRE","NO_YEL","NO_BLA","myrBLU","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 "links": "https://en.wikipedia.org/wiki/Flag_of_Catamarca"},</v>
      </c>
      <c r="HN4" s="74" t="str">
        <f t="shared" si="89"/>
        <v>{"couname":"[ARG] Catamarca","year":"2011","region":"rgn_South America","Colors":["cl_BLU","cl_WHI"],"Items":["2Color","lets09","startC","BLUWHI","year00","allhor","2Bands","Horizo","Circle","Plants","HasSun","Unequa","Center","Humans","NO_RED","NO_GRE","NO_YEL","NO_BLA","myrBLU","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 "links": "https://en.wikipedia.org/wiki/Flag_of_Catamarca"},</v>
      </c>
      <c r="HO4" s="75">
        <v>45583</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L4" s="48">
        <f t="shared" si="90"/>
        <v>0</v>
      </c>
      <c r="IM4" s="45">
        <f t="shared" si="91"/>
        <v>-2</v>
      </c>
      <c r="IN4" s="78" t="str">
        <f t="shared" si="92"/>
        <v>http://mkweb.bcgsc.ca/color-summarizer/?url=https://upload.wikimedia.org/wikipedia/commons/thumb/7/7b/Bandera_de_la_Provincia_de_Catamarca.svg/320px-Bandera_de_la_Provincia_de_Catamarca.svg.png&amp;precision=low&amp;num_clusters=2&amp;text=1</v>
      </c>
      <c r="IO4" s="48" t="str">
        <f t="shared" si="93"/>
        <v/>
      </c>
      <c r="IP4" s="48" t="str">
        <f t="shared" si="94"/>
        <v>"blue"</v>
      </c>
      <c r="IQ4" s="48" t="str">
        <f t="shared" si="95"/>
        <v/>
      </c>
      <c r="IR4" s="48" t="str">
        <f t="shared" si="96"/>
        <v/>
      </c>
      <c r="IS4" s="48" t="str">
        <f t="shared" si="97"/>
        <v/>
      </c>
      <c r="IT4" s="48" t="str">
        <f t="shared" si="98"/>
        <v/>
      </c>
      <c r="IU4" s="48" t="str">
        <f t="shared" si="99"/>
        <v/>
      </c>
      <c r="IV4" s="48" t="str">
        <f t="shared" si="100"/>
        <v/>
      </c>
      <c r="IW4" s="48" t="str">
        <f t="shared" si="101"/>
        <v>"white"</v>
      </c>
      <c r="IX4" s="48" t="str">
        <f t="shared" si="102"/>
        <v>{"url":"http://mkweb.bcgsc.ca/color-summarizer/?url=https://upload.wikimedia.org/wikipedia/commons/thumb/7/7b/Bandera_de_la_Provincia_de_Catamarca.svg/320px-Bandera_de_la_Provincia_de_Catamarca.svg.png&amp;precision=low&amp;num_clusters=2&amp;text=1","name":"[ARG] Catamarca"},</v>
      </c>
      <c r="IY4" s="48">
        <v>642</v>
      </c>
    </row>
    <row r="5" spans="1:259" s="48" customFormat="1" ht="38.4" customHeight="1" thickBot="1" x14ac:dyDescent="0.35">
      <c r="A5" s="79" t="s">
        <v>284</v>
      </c>
      <c r="B5" s="40" t="e" vm="4">
        <v>#VALUE!</v>
      </c>
      <c r="C5" s="41">
        <v>2</v>
      </c>
      <c r="D5" s="42" t="s">
        <v>285</v>
      </c>
      <c r="E5" s="43" t="s">
        <v>286</v>
      </c>
      <c r="F5" s="44" t="s">
        <v>166</v>
      </c>
      <c r="G5" s="45">
        <f>COUNTIF($A$1:$A$8299,A5)</f>
        <v>1</v>
      </c>
      <c r="H5" s="46"/>
      <c r="I5" s="47" t="s">
        <v>287</v>
      </c>
      <c r="J5" s="48" t="str">
        <f>""</f>
        <v/>
      </c>
      <c r="K5" s="49"/>
      <c r="L5" s="50"/>
      <c r="M5" s="50"/>
      <c r="N5" s="51" t="s">
        <v>169</v>
      </c>
      <c r="O5" s="52" t="s">
        <v>288</v>
      </c>
      <c r="P5" s="53" t="s">
        <v>289</v>
      </c>
      <c r="Q5" s="54">
        <v>1</v>
      </c>
      <c r="R5" s="55" t="s">
        <v>169</v>
      </c>
      <c r="S5" s="56">
        <v>3</v>
      </c>
      <c r="T5" s="57" t="s">
        <v>172</v>
      </c>
      <c r="U5" s="58" t="s">
        <v>172</v>
      </c>
      <c r="V5" s="58" t="s">
        <v>172</v>
      </c>
      <c r="W5" s="58" t="s">
        <v>173</v>
      </c>
      <c r="X5" s="58" t="s">
        <v>173</v>
      </c>
      <c r="Y5" s="58" t="s">
        <v>172</v>
      </c>
      <c r="Z5" s="58" t="s">
        <v>172</v>
      </c>
      <c r="AA5" s="58" t="s">
        <v>172</v>
      </c>
      <c r="AB5" s="58" t="s">
        <v>172</v>
      </c>
      <c r="AC5" s="58" t="s">
        <v>172</v>
      </c>
      <c r="AD5" s="58" t="s">
        <v>173</v>
      </c>
      <c r="AE5" s="58" t="s">
        <v>172</v>
      </c>
      <c r="AF5" s="59" t="s">
        <v>172</v>
      </c>
      <c r="AG5" s="59" t="s">
        <v>172</v>
      </c>
      <c r="AH5" s="59" t="s">
        <v>173</v>
      </c>
      <c r="AI5" s="59" t="s">
        <v>172</v>
      </c>
      <c r="AJ5" s="59" t="s">
        <v>172</v>
      </c>
      <c r="AK5" s="59" t="s">
        <v>172</v>
      </c>
      <c r="AL5" s="59" t="s">
        <v>172</v>
      </c>
      <c r="AM5" s="59" t="s">
        <v>172</v>
      </c>
      <c r="AN5" s="59" t="s">
        <v>173</v>
      </c>
      <c r="AO5" s="59" t="s">
        <v>172</v>
      </c>
      <c r="AP5" s="59" t="s">
        <v>172</v>
      </c>
      <c r="AQ5" s="59" t="s">
        <v>172</v>
      </c>
      <c r="AR5" s="59" t="s">
        <v>172</v>
      </c>
      <c r="AS5" s="59" t="s">
        <v>172</v>
      </c>
      <c r="AT5" s="60">
        <v>25</v>
      </c>
      <c r="AU5" s="59" t="s">
        <v>277</v>
      </c>
      <c r="AV5" s="59" t="str">
        <f>IF(LEFT(A5,1)="[",LEFT(A5,5)&amp;AU5&amp;A5,"")</f>
        <v>[ARG]Province[ARG] Chaco</v>
      </c>
      <c r="AW5" s="59" t="str">
        <f>C5&amp;IFERROR(SUBSTITUTE(A5, " [ANT]",""),"")</f>
        <v>2[ARG] Chaco</v>
      </c>
      <c r="AX5" s="61"/>
      <c r="AY5" s="61"/>
      <c r="AZ5" s="62" t="s">
        <v>159</v>
      </c>
      <c r="BA5" s="62" t="s">
        <v>174</v>
      </c>
      <c r="BB5" s="62"/>
      <c r="BC5" s="63"/>
      <c r="BD5" s="64" t="s">
        <v>152</v>
      </c>
      <c r="BE5" s="47"/>
      <c r="BF5" s="64" t="s">
        <v>174</v>
      </c>
      <c r="BG5" s="64" t="s">
        <v>174</v>
      </c>
      <c r="BH5" s="64" t="s">
        <v>174</v>
      </c>
      <c r="BI5" s="64"/>
      <c r="BJ5" s="64"/>
      <c r="BK5" s="47"/>
      <c r="BL5" s="64" t="s">
        <v>174</v>
      </c>
      <c r="BM5" s="64" t="s">
        <v>152</v>
      </c>
      <c r="BN5" s="64" t="s">
        <v>174</v>
      </c>
      <c r="BO5" s="64" t="s">
        <v>174</v>
      </c>
      <c r="BP5" s="64" t="s">
        <v>174</v>
      </c>
      <c r="BQ5" s="64" t="s">
        <v>174</v>
      </c>
      <c r="BR5" s="64" t="s">
        <v>174</v>
      </c>
      <c r="BS5" s="64" t="s">
        <v>174</v>
      </c>
      <c r="BT5" s="64" t="s">
        <v>159</v>
      </c>
      <c r="BU5" s="65"/>
      <c r="BV5" s="66"/>
      <c r="BW5" s="66">
        <v>0</v>
      </c>
      <c r="BX5" s="47"/>
      <c r="CB5" s="6"/>
      <c r="CC5" s="6"/>
      <c r="CD5" s="67">
        <v>0</v>
      </c>
      <c r="CE5" s="67">
        <v>0</v>
      </c>
      <c r="CF5" s="67" t="e">
        <v>#REF!</v>
      </c>
      <c r="CG5" s="68" cm="1">
        <f t="array" ref="CG5">SUMPRODUCT(--(LEN(TRIM(BL5:BT5))&gt;0))</f>
        <v>2</v>
      </c>
      <c r="CH5" s="59" t="str">
        <f t="shared" si="6"/>
        <v>y</v>
      </c>
      <c r="CI5" s="59" t="str">
        <f t="shared" si="7"/>
        <v>n</v>
      </c>
      <c r="CJ5" s="59" t="str">
        <f t="shared" si="8"/>
        <v>n</v>
      </c>
      <c r="CK5" s="59" t="str">
        <f t="shared" si="9"/>
        <v>n</v>
      </c>
      <c r="CL5" s="59" t="str">
        <f t="shared" si="10"/>
        <v>n</v>
      </c>
      <c r="CM5" s="59" t="str">
        <f t="shared" si="11"/>
        <v>n</v>
      </c>
      <c r="CN5" s="59" t="str">
        <f t="shared" si="12"/>
        <v>y</v>
      </c>
      <c r="CO5" s="59" t="str">
        <f t="shared" si="13"/>
        <v>n</v>
      </c>
      <c r="CP5" s="59" t="str">
        <f t="shared" si="14"/>
        <v>n</v>
      </c>
      <c r="CQ5" s="59" t="str">
        <f t="shared" si="15"/>
        <v>n</v>
      </c>
      <c r="CR5" s="59" t="str">
        <f t="shared" si="16"/>
        <v>n</v>
      </c>
      <c r="CS5" s="59" t="str">
        <f t="shared" si="17"/>
        <v>y</v>
      </c>
      <c r="CT5" s="69" t="str">
        <f t="shared" si="18"/>
        <v>"[ARG] Chaco"</v>
      </c>
      <c r="CU5" s="70" t="str">
        <f t="shared" si="19"/>
        <v>"rgn_South America"</v>
      </c>
      <c r="CV5" s="48" t="str">
        <f t="shared" si="20"/>
        <v>"https://upload.wikimedia.org/wikipedia/commons/thumb/3/33/Bandera_de_la_Provincia_del_Chaco.svg/640px-Bandera_de_la_Provincia_del_Chaco.svg.png"</v>
      </c>
      <c r="CW5" s="48" t="str">
        <f t="shared" si="0"/>
        <v>"2Color",</v>
      </c>
      <c r="CX5" s="48" t="str">
        <f t="shared" si="0"/>
        <v/>
      </c>
      <c r="CY5" s="48" t="str">
        <f t="shared" si="0"/>
        <v/>
      </c>
      <c r="CZ5" s="48" t="str">
        <f t="shared" si="0"/>
        <v/>
      </c>
      <c r="DA5" s="48" t="str">
        <f t="shared" si="21"/>
        <v/>
      </c>
      <c r="DB5" s="48" t="str">
        <f t="shared" si="22"/>
        <v/>
      </c>
      <c r="DC5" s="48" t="str">
        <f t="shared" si="23"/>
        <v/>
      </c>
      <c r="DD5" s="48" t="str">
        <f t="shared" si="24"/>
        <v>"lets05",</v>
      </c>
      <c r="DE5" s="48" t="str">
        <f t="shared" si="25"/>
        <v>"startC",</v>
      </c>
      <c r="DF5" s="48" t="str">
        <f t="shared" si="26"/>
        <v/>
      </c>
      <c r="DG5" s="48" t="str">
        <f t="shared" si="27"/>
        <v/>
      </c>
      <c r="DH5" s="48" t="str">
        <f t="shared" si="28"/>
        <v/>
      </c>
      <c r="DI5" s="48" t="str">
        <f t="shared" si="29"/>
        <v/>
      </c>
      <c r="DJ5" s="48" t="str">
        <f t="shared" si="30"/>
        <v/>
      </c>
      <c r="DK5" s="48" t="str">
        <f t="shared" si="31"/>
        <v/>
      </c>
      <c r="DL5" s="48" t="str">
        <f t="shared" si="32"/>
        <v>"BLUWHI",</v>
      </c>
      <c r="DM5" s="48" t="str" cm="1">
        <f t="array" ref="DM5">IF(CG5=3,CHAR(34) &amp; _xlfn.TEXTJOIN("", TRUE, RIGHT(HP5:HX5, 2)) &amp; CHAR(34) &amp; ",", "")</f>
        <v/>
      </c>
      <c r="DN5" s="48" t="str">
        <f t="shared" si="33"/>
        <v/>
      </c>
      <c r="DO5" s="48" t="str">
        <f t="shared" si="34"/>
        <v/>
      </c>
      <c r="DP5" s="6" t="str">
        <f t="shared" si="35"/>
        <v>"year00",</v>
      </c>
      <c r="DQ5" s="6" t="str">
        <f t="shared" si="36"/>
        <v/>
      </c>
      <c r="DR5" s="6" t="str">
        <f t="shared" si="37"/>
        <v/>
      </c>
      <c r="DS5" s="6" t="str">
        <f t="shared" si="38"/>
        <v>"allver",</v>
      </c>
      <c r="DT5" s="6" t="str">
        <f t="shared" si="39"/>
        <v/>
      </c>
      <c r="DU5" s="6" t="str">
        <f t="shared" si="40"/>
        <v/>
      </c>
      <c r="DV5" s="48" t="str">
        <f t="shared" si="41"/>
        <v/>
      </c>
      <c r="DW5" s="48" t="str">
        <f t="shared" si="1"/>
        <v/>
      </c>
      <c r="DX5" s="48" t="str">
        <f t="shared" si="1"/>
        <v/>
      </c>
      <c r="DY5" s="48" t="str">
        <f t="shared" si="1"/>
        <v>"3Bands",</v>
      </c>
      <c r="DZ5" s="48" t="str">
        <f t="shared" si="1"/>
        <v/>
      </c>
      <c r="EA5" s="48" t="str">
        <f t="shared" si="2"/>
        <v/>
      </c>
      <c r="EB5" s="48" t="str">
        <f t="shared" si="2"/>
        <v/>
      </c>
      <c r="EC5" s="48" t="str">
        <f t="shared" si="2"/>
        <v/>
      </c>
      <c r="ED5" s="48" t="str">
        <f t="shared" si="2"/>
        <v>"Vertic",</v>
      </c>
      <c r="EE5" s="48" t="str">
        <f t="shared" si="2"/>
        <v>"Circle",</v>
      </c>
      <c r="EF5" s="48" t="str">
        <f t="shared" si="42"/>
        <v/>
      </c>
      <c r="EG5" s="48" t="str">
        <f t="shared" si="3"/>
        <v/>
      </c>
      <c r="EH5" s="48" t="str">
        <f t="shared" si="3"/>
        <v/>
      </c>
      <c r="EI5" s="48" t="str">
        <f t="shared" si="3"/>
        <v/>
      </c>
      <c r="EJ5" s="48" t="str">
        <f t="shared" si="3"/>
        <v/>
      </c>
      <c r="EK5" s="48" t="str">
        <f t="shared" si="3"/>
        <v>"HasSun",</v>
      </c>
      <c r="EL5" s="48" t="str">
        <f t="shared" si="3"/>
        <v/>
      </c>
      <c r="EM5" s="48" t="str">
        <f t="shared" si="3"/>
        <v/>
      </c>
      <c r="EN5" s="48" t="str">
        <f t="shared" si="3"/>
        <v/>
      </c>
      <c r="EO5" s="48" t="str">
        <f t="shared" si="3"/>
        <v>"Center",</v>
      </c>
      <c r="EP5" s="48" t="str">
        <f t="shared" si="3"/>
        <v/>
      </c>
      <c r="EQ5" s="48" t="str">
        <f t="shared" si="3"/>
        <v/>
      </c>
      <c r="ER5" s="48" t="str">
        <f t="shared" si="3"/>
        <v/>
      </c>
      <c r="ES5" s="48" t="str">
        <f t="shared" si="3"/>
        <v/>
      </c>
      <c r="ET5" s="48" t="str">
        <f t="shared" si="3"/>
        <v/>
      </c>
      <c r="EU5" s="48" t="str">
        <f t="shared" si="3"/>
        <v>"Humans",</v>
      </c>
      <c r="EV5" s="48" t="str">
        <f t="shared" si="3"/>
        <v/>
      </c>
      <c r="EW5" s="48" t="str">
        <f t="shared" si="3"/>
        <v/>
      </c>
      <c r="EX5" s="48" t="str">
        <f t="shared" si="3"/>
        <v/>
      </c>
      <c r="EY5" s="48" t="str">
        <f t="shared" si="3"/>
        <v/>
      </c>
      <c r="EZ5" s="48" t="str">
        <f t="shared" si="3"/>
        <v/>
      </c>
      <c r="FA5" s="48" t="str">
        <f t="shared" si="43"/>
        <v>"staWHI",</v>
      </c>
      <c r="FB5" s="48" t="str">
        <f t="shared" si="44"/>
        <v/>
      </c>
      <c r="FC5" s="48" t="str">
        <f t="shared" si="45"/>
        <v/>
      </c>
      <c r="FD5" s="48" t="str">
        <f t="shared" si="46"/>
        <v/>
      </c>
      <c r="FE5" s="48" t="str">
        <f t="shared" si="47"/>
        <v/>
      </c>
      <c r="FF5" s="48" t="str">
        <f t="shared" si="48"/>
        <v/>
      </c>
      <c r="FG5" s="48" t="str">
        <f t="shared" si="49"/>
        <v>"NO_RED",</v>
      </c>
      <c r="FH5" s="48" t="str">
        <f t="shared" si="50"/>
        <v>"NO_GRE",</v>
      </c>
      <c r="FI5" s="48" t="str">
        <f t="shared" si="51"/>
        <v>"NO_YEL",</v>
      </c>
      <c r="FJ5" s="48" t="str">
        <f t="shared" si="52"/>
        <v>"NO_BLA",</v>
      </c>
      <c r="FK5" s="48" t="str">
        <f t="shared" si="53"/>
        <v/>
      </c>
      <c r="FL5" s="48" t="str">
        <f t="shared" si="54"/>
        <v/>
      </c>
      <c r="FM5" s="48" t="str">
        <f t="shared" si="55"/>
        <v/>
      </c>
      <c r="FN5" s="48" t="str">
        <f t="shared" si="56"/>
        <v/>
      </c>
      <c r="FO5" s="48" t="str">
        <f t="shared" si="57"/>
        <v/>
      </c>
      <c r="FP5" s="48" t="str">
        <f t="shared" si="58"/>
        <v/>
      </c>
      <c r="FQ5" s="48" t="str">
        <f t="shared" si="59"/>
        <v/>
      </c>
      <c r="FR5" s="48" t="str">
        <f t="shared" si="60"/>
        <v/>
      </c>
      <c r="FS5" s="48" t="str">
        <f t="shared" si="61"/>
        <v/>
      </c>
      <c r="FT5" s="48" t="str">
        <f t="shared" si="62"/>
        <v>"myrBLU",</v>
      </c>
      <c r="FU5" s="48" t="str">
        <f t="shared" si="63"/>
        <v/>
      </c>
      <c r="FV5" s="48" t="str">
        <f t="shared" si="64"/>
        <v/>
      </c>
      <c r="FW5" s="48" t="str">
        <f t="shared" si="65"/>
        <v/>
      </c>
      <c r="FX5" s="48" t="str">
        <f t="shared" si="66"/>
        <v/>
      </c>
      <c r="FY5" s="48" t="str">
        <f t="shared" si="67"/>
        <v/>
      </c>
      <c r="FZ5" s="48" t="str">
        <f t="shared" si="68"/>
        <v/>
      </c>
      <c r="GA5" s="48" t="str">
        <f t="shared" si="69"/>
        <v/>
      </c>
      <c r="GB5" s="48" t="str">
        <f t="shared" si="70"/>
        <v/>
      </c>
      <c r="GC5" s="48" t="str">
        <f t="shared" si="71"/>
        <v/>
      </c>
      <c r="GD5" s="48" t="str">
        <f t="shared" si="72"/>
        <v/>
      </c>
      <c r="GE5" s="48" t="str">
        <f t="shared" si="73"/>
        <v/>
      </c>
      <c r="GF5" s="48" t="str">
        <f>IFERROR(IF(SEARCH("Historical",AU5)&gt;0,CHAR(34)&amp;"histor"&amp;CHAR(34)&amp;",",""),"")</f>
        <v/>
      </c>
      <c r="GG5" s="48" t="str">
        <f t="shared" si="74"/>
        <v/>
      </c>
      <c r="GH5" s="48" t="str">
        <f t="shared" si="75"/>
        <v/>
      </c>
      <c r="GI5" s="48" t="str">
        <f t="shared" si="76"/>
        <v/>
      </c>
      <c r="GJ5" s="48" t="str">
        <f t="shared" si="77"/>
        <v/>
      </c>
      <c r="GK5" s="48" t="str">
        <f t="shared" si="78"/>
        <v>"HasSta",</v>
      </c>
      <c r="GL5" s="48" t="str">
        <f t="shared" si="4"/>
        <v/>
      </c>
      <c r="GM5" s="48" t="str">
        <f t="shared" si="4"/>
        <v/>
      </c>
      <c r="GN5" s="48" t="str">
        <f t="shared" si="4"/>
        <v>"3+Star",</v>
      </c>
      <c r="GP5" s="48" t="str">
        <f t="shared" si="79"/>
        <v>"Province"</v>
      </c>
      <c r="GS5" s="48" t="str">
        <f t="shared" si="80"/>
        <v>["2Color","lets05","startC","BLUWHI","year00","allver","3Bands","Vertic","Circle","HasSun","Center","Humans","staWHI","NO_RED","NO_GRE","NO_YEL","NO_BLA","myrBLU","HasSta","3+Star"]</v>
      </c>
      <c r="GT5" s="48" t="str">
        <f t="shared" si="5"/>
        <v/>
      </c>
      <c r="GU5" s="48" t="str">
        <f t="shared" si="5"/>
        <v>"cl_BLU",</v>
      </c>
      <c r="GV5" s="48" t="str">
        <f t="shared" si="5"/>
        <v/>
      </c>
      <c r="GW5" s="48" t="str">
        <f t="shared" si="5"/>
        <v/>
      </c>
      <c r="GX5" s="48" t="str">
        <f t="shared" si="5"/>
        <v/>
      </c>
      <c r="GY5" s="48" t="str">
        <f t="shared" si="5"/>
        <v/>
      </c>
      <c r="GZ5" s="48" t="str">
        <f t="shared" si="5"/>
        <v/>
      </c>
      <c r="HA5" s="48" t="str">
        <f t="shared" si="5"/>
        <v/>
      </c>
      <c r="HB5" s="48" t="str">
        <f t="shared" si="5"/>
        <v>"cl_WHI",</v>
      </c>
      <c r="HC5" s="48" t="str">
        <f t="shared" si="81"/>
        <v>["cl_BLU","cl_WHI"]</v>
      </c>
      <c r="HE5" s="71"/>
      <c r="HF5" s="72" t="str">
        <f t="shared" si="82"/>
        <v>{couname:"[ARG] Chaco",year:"2007 ",region:"rgn_South America",Colors:["cl_BLU","cl_WHI"],Items:["2Color","lets05","startC","BLUWHI","year00","allver","3Bands","Vertic","Circle","HasSun","Center","Humans","staWHI","NO_RED","NO_GRE","NO_YEL","NO_BLA","myrBLU","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links: "https://es.wikipedia.org/wiki/Bandera_de_la_provincia_del_Chaco"},</v>
      </c>
      <c r="HG5" s="73" t="str">
        <f t="shared" si="83"/>
        <v>{couname:"[ARG] Chaco",year:"2007 ",region:"rgn_South America",Colors:["cl_BLU","cl_WHI"],Items:["2Color","lets05","startC","BLUWHI","year00","allver","3Bands","Vertic","Circle","HasSun","Center","Humans","staWHI","NO_RED","NO_GRE","NO_YEL","NO_BLA","myrBLU","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links: "https://es.wikipedia.org/wiki/Bandera_de_la_provincia_del_Chaco"},</v>
      </c>
      <c r="HH5" s="48" t="str">
        <f t="shared" si="84"/>
        <v>"\nIts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v>
      </c>
      <c r="HI5" s="48" t="str">
        <f t="shared" si="85"/>
        <v>"\nIts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v>
      </c>
      <c r="HJ5" s="48" t="str">
        <f t="shared" si="86"/>
        <v>"2007 "</v>
      </c>
      <c r="HL5" s="48" t="str">
        <f t="shared" si="87"/>
        <v>"https://es.wikipedia.org/wiki/Bandera_de_la_provincia_del_Chaco"</v>
      </c>
      <c r="HM5" s="72" t="str">
        <f t="shared" si="88"/>
        <v>{"couname":"[ARG] Chaco","year":"2007 ","region":"rgn_South America","Colors":["cl_BLU","cl_WHI"],"Items":["2Color","lets05","startC","BLUWHI","year00","allver","3Bands","Vertic","Circle","HasSun","Center","Humans","staWHI","NO_RED","NO_GRE","NO_YEL","NO_BLA","myrBLU","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 "links": "https://es.wikipedia.org/wiki/Bandera_de_la_provincia_del_Chaco"},</v>
      </c>
      <c r="HN5" s="74" t="str">
        <f t="shared" si="89"/>
        <v>{"couname":"[ARG] Chaco","year":"2007 ","region":"rgn_South America","Colors":["cl_BLU","cl_WHI"],"Items":["2Color","lets05","startC","BLUWHI","year00","allver","3Bands","Vertic","Circle","HasSun","Center","Humans","staWHI","NO_RED","NO_GRE","NO_YEL","NO_BLA","myrBLU","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 "links": "https://es.wikipedia.org/wiki/Bandera_de_la_provincia_del_Chaco"},</v>
      </c>
      <c r="HO5" s="75">
        <v>45583</v>
      </c>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
      </c>
      <c r="HT5" s="48" t="str" cm="1">
        <f t="array" ref="HT5">IF(_xlfn.TEXTJOIN(", ", TRUE, IF(ISNUMBER(SEARCH("YEL", BL5:BT5)), COLUMN(BL5:BT5) - COLUMN(BL5) + 1, ""))&lt;&gt;"","YEL","")</f>
        <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L5" s="48">
        <f t="shared" si="90"/>
        <v>0</v>
      </c>
      <c r="IM5" s="45">
        <f t="shared" si="91"/>
        <v>-2</v>
      </c>
      <c r="IN5" s="78" t="str">
        <f t="shared" si="92"/>
        <v>http://mkweb.bcgsc.ca/color-summarizer/?url=https://upload.wikimedia.org/wikipedia/commons/thumb/3/33/Bandera_de_la_Provincia_del_Chaco.svg/640px-Bandera_de_la_Provincia_del_Chaco.svg.png&amp;precision=low&amp;num_clusters=2&amp;text=1</v>
      </c>
      <c r="IO5" s="48" t="str">
        <f t="shared" si="93"/>
        <v/>
      </c>
      <c r="IP5" s="48" t="str">
        <f t="shared" si="94"/>
        <v>"blue"</v>
      </c>
      <c r="IQ5" s="48" t="str">
        <f t="shared" si="95"/>
        <v/>
      </c>
      <c r="IR5" s="48" t="str">
        <f t="shared" si="96"/>
        <v/>
      </c>
      <c r="IS5" s="48" t="str">
        <f t="shared" si="97"/>
        <v/>
      </c>
      <c r="IT5" s="48" t="str">
        <f t="shared" si="98"/>
        <v/>
      </c>
      <c r="IU5" s="48" t="str">
        <f t="shared" si="99"/>
        <v/>
      </c>
      <c r="IV5" s="48" t="str">
        <f t="shared" si="100"/>
        <v/>
      </c>
      <c r="IW5" s="48" t="str">
        <f t="shared" si="101"/>
        <v>"white"</v>
      </c>
      <c r="IX5" s="48" t="str">
        <f t="shared" si="102"/>
        <v>{"url":"http://mkweb.bcgsc.ca/color-summarizer/?url=https://upload.wikimedia.org/wikipedia/commons/thumb/3/33/Bandera_de_la_Provincia_del_Chaco.svg/640px-Bandera_de_la_Provincia_del_Chaco.svg.png&amp;precision=low&amp;num_clusters=2&amp;text=1","name":"[ARG] Chaco"},</v>
      </c>
      <c r="IY5" s="48">
        <v>643</v>
      </c>
    </row>
    <row r="6" spans="1:259" s="48" customFormat="1" ht="38.4" customHeight="1" thickBot="1" x14ac:dyDescent="0.35">
      <c r="A6" s="79" t="s">
        <v>290</v>
      </c>
      <c r="B6" s="40" t="e" vm="5">
        <v>#VALUE!</v>
      </c>
      <c r="C6" s="41">
        <v>2</v>
      </c>
      <c r="D6" s="42" t="s">
        <v>291</v>
      </c>
      <c r="E6" s="43" t="s">
        <v>292</v>
      </c>
      <c r="F6" s="44" t="s">
        <v>166</v>
      </c>
      <c r="G6" s="45">
        <f>COUNTIF($A$1:$A$8299,A6)</f>
        <v>1</v>
      </c>
      <c r="H6" s="46"/>
      <c r="I6" s="47" t="s">
        <v>293</v>
      </c>
      <c r="J6" s="48" t="str">
        <f>""</f>
        <v/>
      </c>
      <c r="K6" s="49"/>
      <c r="L6" s="50"/>
      <c r="M6" s="50"/>
      <c r="N6" s="51" t="s">
        <v>169</v>
      </c>
      <c r="O6" s="52">
        <v>2004</v>
      </c>
      <c r="P6" s="53" t="s">
        <v>294</v>
      </c>
      <c r="Q6" s="54">
        <v>1</v>
      </c>
      <c r="R6" s="55" t="s">
        <v>169</v>
      </c>
      <c r="S6" s="56">
        <v>7</v>
      </c>
      <c r="T6" s="57" t="s">
        <v>173</v>
      </c>
      <c r="U6" s="58" t="s">
        <v>172</v>
      </c>
      <c r="V6" s="58" t="s">
        <v>173</v>
      </c>
      <c r="W6" s="58" t="s">
        <v>172</v>
      </c>
      <c r="X6" s="58" t="s">
        <v>173</v>
      </c>
      <c r="Y6" s="58" t="s">
        <v>172</v>
      </c>
      <c r="Z6" s="58" t="s">
        <v>172</v>
      </c>
      <c r="AA6" s="58" t="s">
        <v>173</v>
      </c>
      <c r="AB6" s="58" t="s">
        <v>172</v>
      </c>
      <c r="AC6" s="58" t="s">
        <v>172</v>
      </c>
      <c r="AD6" s="58" t="s">
        <v>173</v>
      </c>
      <c r="AE6" s="58" t="s">
        <v>172</v>
      </c>
      <c r="AF6" s="59" t="s">
        <v>172</v>
      </c>
      <c r="AG6" s="59" t="s">
        <v>172</v>
      </c>
      <c r="AH6" s="59" t="s">
        <v>173</v>
      </c>
      <c r="AI6" s="59" t="s">
        <v>172</v>
      </c>
      <c r="AJ6" s="59" t="s">
        <v>172</v>
      </c>
      <c r="AK6" s="59" t="s">
        <v>172</v>
      </c>
      <c r="AL6" s="59" t="s">
        <v>172</v>
      </c>
      <c r="AM6" s="59" t="s">
        <v>173</v>
      </c>
      <c r="AN6" s="59" t="s">
        <v>172</v>
      </c>
      <c r="AO6" s="59" t="s">
        <v>173</v>
      </c>
      <c r="AP6" s="59" t="s">
        <v>172</v>
      </c>
      <c r="AQ6" s="59" t="s">
        <v>172</v>
      </c>
      <c r="AR6" s="59" t="s">
        <v>172</v>
      </c>
      <c r="AS6" s="59" t="s">
        <v>172</v>
      </c>
      <c r="AT6" s="60">
        <v>0</v>
      </c>
      <c r="AU6" s="59" t="s">
        <v>277</v>
      </c>
      <c r="AV6" s="59" t="str">
        <f>IF(LEFT(A6,1)="[",LEFT(A6,5)&amp;AU6&amp;A6,"")</f>
        <v>[ARG]Province[ARG] Chubut</v>
      </c>
      <c r="AW6" s="59" t="str">
        <f>C6&amp;IFERROR(SUBSTITUTE(A6, " [ANT]",""),"")</f>
        <v>2[ARG] Chubut</v>
      </c>
      <c r="AX6" s="61"/>
      <c r="AY6" s="61"/>
      <c r="AZ6" s="62" t="s">
        <v>159</v>
      </c>
      <c r="BA6" s="62" t="s">
        <v>174</v>
      </c>
      <c r="BB6" s="62"/>
      <c r="BC6" s="63"/>
      <c r="BD6" s="64" t="s">
        <v>152</v>
      </c>
      <c r="BE6" s="47"/>
      <c r="BF6" s="64" t="s">
        <v>174</v>
      </c>
      <c r="BG6" s="64" t="s">
        <v>174</v>
      </c>
      <c r="BH6" s="64" t="s">
        <v>174</v>
      </c>
      <c r="BI6" s="64"/>
      <c r="BJ6" s="64"/>
      <c r="BK6" s="47"/>
      <c r="BL6" s="64" t="s">
        <v>174</v>
      </c>
      <c r="BM6" s="64" t="s">
        <v>152</v>
      </c>
      <c r="BN6" s="64" t="s">
        <v>153</v>
      </c>
      <c r="BO6" s="64" t="s">
        <v>174</v>
      </c>
      <c r="BP6" s="64" t="s">
        <v>174</v>
      </c>
      <c r="BQ6" s="64" t="s">
        <v>174</v>
      </c>
      <c r="BR6" s="64" t="s">
        <v>157</v>
      </c>
      <c r="BS6" s="64" t="s">
        <v>174</v>
      </c>
      <c r="BT6" s="64" t="s">
        <v>159</v>
      </c>
      <c r="BU6" s="65"/>
      <c r="BV6" s="66"/>
      <c r="BW6" s="66">
        <v>0</v>
      </c>
      <c r="BX6" s="47"/>
      <c r="CB6" s="6"/>
      <c r="CC6" s="6"/>
      <c r="CD6" s="67">
        <v>0</v>
      </c>
      <c r="CE6" s="67">
        <v>0</v>
      </c>
      <c r="CF6" s="67" t="e">
        <v>#REF!</v>
      </c>
      <c r="CG6" s="68" cm="1">
        <f t="array" ref="CG6">SUMPRODUCT(--(LEN(TRIM(BL6:BT6))&gt;0))</f>
        <v>4</v>
      </c>
      <c r="CH6" s="59" t="str">
        <f t="shared" si="6"/>
        <v>n</v>
      </c>
      <c r="CI6" s="59" t="str">
        <f t="shared" si="7"/>
        <v>n</v>
      </c>
      <c r="CJ6" s="59" t="str">
        <f t="shared" si="8"/>
        <v>y</v>
      </c>
      <c r="CK6" s="59" t="str">
        <f t="shared" si="9"/>
        <v>n</v>
      </c>
      <c r="CL6" s="59" t="str">
        <f t="shared" si="10"/>
        <v>n</v>
      </c>
      <c r="CM6" s="59" t="str">
        <f t="shared" si="11"/>
        <v>n</v>
      </c>
      <c r="CN6" s="59" t="str">
        <f t="shared" si="12"/>
        <v>n</v>
      </c>
      <c r="CO6" s="59" t="str">
        <f t="shared" si="13"/>
        <v>y</v>
      </c>
      <c r="CP6" s="59" t="str">
        <f t="shared" si="14"/>
        <v>y</v>
      </c>
      <c r="CQ6" s="59" t="str">
        <f t="shared" si="15"/>
        <v>n</v>
      </c>
      <c r="CR6" s="59" t="str">
        <f t="shared" si="16"/>
        <v>n</v>
      </c>
      <c r="CS6" s="59" t="str">
        <f t="shared" si="17"/>
        <v>n</v>
      </c>
      <c r="CT6" s="69" t="str">
        <f t="shared" si="18"/>
        <v>"[ARG] Chubut"</v>
      </c>
      <c r="CU6" s="70" t="str">
        <f t="shared" si="19"/>
        <v>"rgn_South America"</v>
      </c>
      <c r="CV6" s="48" t="str">
        <f t="shared" si="20"/>
        <v>"https://upload.wikimedia.org/wikipedia/commons/thumb/8/88/Bandera_de_la_Provincia_del_Chubut.svg/320px-Bandera_de_la_Provincia_del_Chubut.svg.png"</v>
      </c>
      <c r="CW6" s="48" t="str">
        <f t="shared" si="0"/>
        <v/>
      </c>
      <c r="CX6" s="48" t="str">
        <f t="shared" si="0"/>
        <v/>
      </c>
      <c r="CY6" s="48" t="str">
        <f t="shared" si="0"/>
        <v>"4Color",</v>
      </c>
      <c r="CZ6" s="48" t="str">
        <f t="shared" si="0"/>
        <v/>
      </c>
      <c r="DA6" s="48" t="str">
        <f t="shared" si="21"/>
        <v/>
      </c>
      <c r="DB6" s="48" t="str">
        <f t="shared" si="22"/>
        <v/>
      </c>
      <c r="DC6" s="48" t="str">
        <f t="shared" si="23"/>
        <v/>
      </c>
      <c r="DD6" s="48" t="str">
        <f t="shared" si="24"/>
        <v>"lets06",</v>
      </c>
      <c r="DE6" s="48" t="str">
        <f t="shared" si="25"/>
        <v>"startC",</v>
      </c>
      <c r="DF6" s="48" t="str">
        <f t="shared" si="26"/>
        <v/>
      </c>
      <c r="DG6" s="48" t="str">
        <f t="shared" si="27"/>
        <v/>
      </c>
      <c r="DH6" s="48" t="str">
        <f t="shared" si="28"/>
        <v/>
      </c>
      <c r="DI6" s="48" t="str">
        <f t="shared" si="29"/>
        <v/>
      </c>
      <c r="DJ6" s="48" t="str">
        <f t="shared" si="30"/>
        <v/>
      </c>
      <c r="DK6" s="48" t="str">
        <f t="shared" si="31"/>
        <v/>
      </c>
      <c r="DL6" s="48" t="str">
        <f t="shared" si="32"/>
        <v/>
      </c>
      <c r="DM6" s="48" t="str" cm="1">
        <f t="array" ref="DM6">IF(CG6=3,CHAR(34) &amp; _xlfn.TEXTJOIN("", TRUE, RIGHT(HP6:HX6, 2)) &amp; CHAR(34) &amp; ",", "")</f>
        <v/>
      </c>
      <c r="DN6" s="48" t="str">
        <f t="shared" si="33"/>
        <v/>
      </c>
      <c r="DO6" s="48" t="str">
        <f t="shared" si="34"/>
        <v/>
      </c>
      <c r="DP6" s="6" t="str">
        <f t="shared" si="35"/>
        <v>"year00",</v>
      </c>
      <c r="DQ6" s="6" t="str">
        <f t="shared" si="36"/>
        <v/>
      </c>
      <c r="DR6" s="6" t="str">
        <f t="shared" si="37"/>
        <v/>
      </c>
      <c r="DS6" s="6" t="str">
        <f t="shared" si="38"/>
        <v/>
      </c>
      <c r="DT6" s="6" t="str">
        <f t="shared" si="39"/>
        <v>"allhor",</v>
      </c>
      <c r="DU6" s="6" t="str">
        <f t="shared" si="40"/>
        <v/>
      </c>
      <c r="DV6" s="48" t="str">
        <f t="shared" si="41"/>
        <v/>
      </c>
      <c r="DW6" s="48" t="str">
        <f t="shared" si="1"/>
        <v/>
      </c>
      <c r="DX6" s="48" t="str">
        <f t="shared" si="1"/>
        <v/>
      </c>
      <c r="DY6" s="48" t="str">
        <f t="shared" si="1"/>
        <v/>
      </c>
      <c r="DZ6" s="48" t="str">
        <f t="shared" si="1"/>
        <v>"4+Band",</v>
      </c>
      <c r="EA6" s="48" t="str">
        <f t="shared" si="2"/>
        <v>"Diagon",</v>
      </c>
      <c r="EB6" s="48" t="str">
        <f t="shared" si="2"/>
        <v/>
      </c>
      <c r="EC6" s="48" t="str">
        <f t="shared" si="2"/>
        <v>"Horizo",</v>
      </c>
      <c r="ED6" s="48" t="str">
        <f t="shared" si="2"/>
        <v/>
      </c>
      <c r="EE6" s="48" t="str">
        <f t="shared" si="2"/>
        <v>"Circle",</v>
      </c>
      <c r="EF6" s="48" t="str">
        <f t="shared" si="42"/>
        <v/>
      </c>
      <c r="EG6" s="48" t="str">
        <f t="shared" si="3"/>
        <v/>
      </c>
      <c r="EH6" s="48" t="str">
        <f t="shared" si="3"/>
        <v>"Plants",</v>
      </c>
      <c r="EI6" s="48" t="str">
        <f t="shared" si="3"/>
        <v/>
      </c>
      <c r="EJ6" s="48" t="str">
        <f t="shared" si="3"/>
        <v/>
      </c>
      <c r="EK6" s="48" t="str">
        <f t="shared" si="3"/>
        <v>"HasSun",</v>
      </c>
      <c r="EL6" s="48" t="str">
        <f t="shared" si="3"/>
        <v/>
      </c>
      <c r="EM6" s="48" t="str">
        <f t="shared" si="3"/>
        <v/>
      </c>
      <c r="EN6" s="48" t="str">
        <f t="shared" si="3"/>
        <v/>
      </c>
      <c r="EO6" s="48" t="str">
        <f t="shared" si="3"/>
        <v>"Center",</v>
      </c>
      <c r="EP6" s="48" t="str">
        <f t="shared" si="3"/>
        <v/>
      </c>
      <c r="EQ6" s="48" t="str">
        <f t="shared" si="3"/>
        <v/>
      </c>
      <c r="ER6" s="48" t="str">
        <f t="shared" si="3"/>
        <v/>
      </c>
      <c r="ES6" s="48" t="str">
        <f t="shared" si="3"/>
        <v/>
      </c>
      <c r="ET6" s="48" t="str">
        <f t="shared" si="3"/>
        <v>"Geogrh",</v>
      </c>
      <c r="EU6" s="48" t="str">
        <f t="shared" si="3"/>
        <v/>
      </c>
      <c r="EV6" s="48" t="str">
        <f t="shared" si="3"/>
        <v>"Builds",</v>
      </c>
      <c r="EW6" s="48" t="str">
        <f t="shared" si="3"/>
        <v/>
      </c>
      <c r="EX6" s="48" t="str">
        <f t="shared" si="3"/>
        <v/>
      </c>
      <c r="EY6" s="48" t="str">
        <f t="shared" si="3"/>
        <v/>
      </c>
      <c r="EZ6" s="48" t="str">
        <f t="shared" si="3"/>
        <v/>
      </c>
      <c r="FA6" s="48" t="str">
        <f t="shared" si="43"/>
        <v/>
      </c>
      <c r="FB6" s="48" t="str">
        <f t="shared" si="44"/>
        <v/>
      </c>
      <c r="FC6" s="48" t="str">
        <f t="shared" si="45"/>
        <v/>
      </c>
      <c r="FD6" s="48" t="str">
        <f t="shared" si="46"/>
        <v/>
      </c>
      <c r="FE6" s="48" t="str">
        <f t="shared" si="47"/>
        <v/>
      </c>
      <c r="FF6" s="48" t="str">
        <f t="shared" si="48"/>
        <v/>
      </c>
      <c r="FG6" s="48" t="str">
        <f t="shared" si="49"/>
        <v>"NO_RED",</v>
      </c>
      <c r="FH6" s="48" t="str">
        <f t="shared" si="50"/>
        <v/>
      </c>
      <c r="FI6" s="48" t="str">
        <f t="shared" si="51"/>
        <v>"NO_YEL",</v>
      </c>
      <c r="FJ6" s="48" t="str">
        <f t="shared" si="52"/>
        <v>"NO_BLA",</v>
      </c>
      <c r="FK6" s="48" t="str">
        <f t="shared" si="53"/>
        <v/>
      </c>
      <c r="FL6" s="48" t="str">
        <f t="shared" si="54"/>
        <v/>
      </c>
      <c r="FM6" s="48" t="str">
        <f t="shared" si="55"/>
        <v/>
      </c>
      <c r="FN6" s="48" t="str">
        <f t="shared" si="56"/>
        <v/>
      </c>
      <c r="FO6" s="48" t="str">
        <f t="shared" si="57"/>
        <v/>
      </c>
      <c r="FP6" s="48" t="str">
        <f t="shared" si="58"/>
        <v/>
      </c>
      <c r="FQ6" s="48" t="str">
        <f t="shared" si="59"/>
        <v/>
      </c>
      <c r="FR6" s="48" t="str">
        <f t="shared" si="60"/>
        <v/>
      </c>
      <c r="FS6" s="48" t="str">
        <f t="shared" si="61"/>
        <v/>
      </c>
      <c r="FT6" s="48" t="str">
        <f t="shared" si="62"/>
        <v>"myrBLU",</v>
      </c>
      <c r="FU6" s="48" t="str">
        <f t="shared" si="63"/>
        <v/>
      </c>
      <c r="FV6" s="48" t="str">
        <f t="shared" si="64"/>
        <v/>
      </c>
      <c r="FW6" s="48" t="str">
        <f t="shared" si="65"/>
        <v/>
      </c>
      <c r="FX6" s="48" t="str">
        <f t="shared" si="66"/>
        <v/>
      </c>
      <c r="FY6" s="48" t="str">
        <f t="shared" si="67"/>
        <v/>
      </c>
      <c r="FZ6" s="48" t="str">
        <f t="shared" si="68"/>
        <v/>
      </c>
      <c r="GA6" s="48" t="str">
        <f t="shared" si="69"/>
        <v/>
      </c>
      <c r="GB6" s="48" t="str">
        <f t="shared" si="70"/>
        <v/>
      </c>
      <c r="GC6" s="48" t="str">
        <f t="shared" si="71"/>
        <v/>
      </c>
      <c r="GD6" s="48" t="str">
        <f t="shared" si="72"/>
        <v/>
      </c>
      <c r="GE6" s="48" t="str">
        <f t="shared" si="73"/>
        <v/>
      </c>
      <c r="GF6" s="48" t="str">
        <f>IFERROR(IF(SEARCH("Historical",AU6)&gt;0,CHAR(34)&amp;"histor"&amp;CHAR(34)&amp;",",""),"")</f>
        <v/>
      </c>
      <c r="GG6" s="48" t="str">
        <f t="shared" si="74"/>
        <v/>
      </c>
      <c r="GH6" s="48" t="str">
        <f t="shared" si="75"/>
        <v/>
      </c>
      <c r="GI6" s="48" t="str">
        <f t="shared" si="76"/>
        <v/>
      </c>
      <c r="GJ6" s="48" t="str">
        <f t="shared" si="77"/>
        <v>"NoStar",</v>
      </c>
      <c r="GK6" s="48" t="str">
        <f t="shared" si="78"/>
        <v/>
      </c>
      <c r="GL6" s="48" t="str">
        <f t="shared" si="4"/>
        <v/>
      </c>
      <c r="GM6" s="48" t="str">
        <f t="shared" si="4"/>
        <v/>
      </c>
      <c r="GN6" s="48" t="str">
        <f t="shared" si="4"/>
        <v/>
      </c>
      <c r="GP6" s="48" t="str">
        <f t="shared" si="79"/>
        <v>"Province"</v>
      </c>
      <c r="GS6" s="48" t="str">
        <f t="shared" si="80"/>
        <v>["4Color","lets06","startC","year00","allhor","4+Band","Diagon","Horizo","Circle","Plants","HasSun","Center","Geogrh","Builds","NO_RED","NO_YEL","NO_BLA","myrBLU","NoStar"]</v>
      </c>
      <c r="GT6" s="48" t="str">
        <f t="shared" si="5"/>
        <v/>
      </c>
      <c r="GU6" s="48" t="str">
        <f t="shared" si="5"/>
        <v>"cl_BLU",</v>
      </c>
      <c r="GV6" s="48" t="str">
        <f t="shared" si="5"/>
        <v>"cl_GRE",</v>
      </c>
      <c r="GW6" s="48" t="str">
        <f t="shared" si="5"/>
        <v/>
      </c>
      <c r="GX6" s="48" t="str">
        <f t="shared" si="5"/>
        <v/>
      </c>
      <c r="GY6" s="48" t="str">
        <f t="shared" si="5"/>
        <v/>
      </c>
      <c r="GZ6" s="48" t="str">
        <f t="shared" si="5"/>
        <v>"cl_BRO",</v>
      </c>
      <c r="HA6" s="48" t="str">
        <f t="shared" si="5"/>
        <v/>
      </c>
      <c r="HB6" s="48" t="str">
        <f t="shared" si="5"/>
        <v>"cl_WHI",</v>
      </c>
      <c r="HC6" s="48" t="str">
        <f t="shared" si="81"/>
        <v>["cl_BLU","cl_GRE","cl_BRO","cl_WHI"]</v>
      </c>
      <c r="HE6" s="71"/>
      <c r="HF6" s="72" t="str">
        <f t="shared" si="82"/>
        <v>{couname:"[ARG] Chubut",year:"2004",region:"rgn_South America",Colors:["cl_BLU","cl_GRE","cl_BRO","cl_WHI"],Items:["4Color","lets06","startC","year00","allhor","4+Band","Diagon","Horizo","Circle","Plants","HasSun","Center","Geogrh","Builds","NO_RED","NO_YEL","NO_BLA","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links: "https://www.crwflags.com/fotw/flags/ar-u.html"},</v>
      </c>
      <c r="HG6" s="73" t="str">
        <f t="shared" si="83"/>
        <v>{couname:"[ARG] Chubut",year:"2004",region:"rgn_South America",Colors:["cl_BLU","cl_GRE","cl_BRO","cl_WHI"],Items:["4Color","lets06","startC","year00","allhor","4+Band","Diagon","Horizo","Circle","Plants","HasSun","Center","Geogrh","Builds","NO_RED","NO_YEL","NO_BLA","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links: "https://www.crwflags.com/fotw/flags/ar-u.html"},</v>
      </c>
      <c r="HH6" s="48" t="str">
        <f t="shared" si="84"/>
        <v>"\nIn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v>
      </c>
      <c r="HI6" s="48" t="str">
        <f t="shared" si="85"/>
        <v>"\nIn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v>
      </c>
      <c r="HJ6" s="48" t="str">
        <f t="shared" si="86"/>
        <v>"2004"</v>
      </c>
      <c r="HL6" s="48" t="str">
        <f t="shared" si="87"/>
        <v>"https://www.crwflags.com/fotw/flags/ar-u.html"</v>
      </c>
      <c r="HM6" s="72" t="str">
        <f t="shared" si="88"/>
        <v>{"couname":"[ARG] Chubut","year":"2004","region":"rgn_South America","Colors":["cl_BLU","cl_GRE","cl_BRO","cl_WHI"],"Items":["4Color","lets06","startC","year00","allhor","4+Band","Diagon","Horizo","Circle","Plants","HasSun","Center","Geogrh","Builds","NO_RED","NO_YEL","NO_BLA","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 "links": "https://www.crwflags.com/fotw/flags/ar-u.html"},</v>
      </c>
      <c r="HN6" s="74" t="str">
        <f t="shared" si="89"/>
        <v>{"couname":"[ARG] Chubut","year":"2004","region":"rgn_South America","Colors":["cl_BLU","cl_GRE","cl_BRO","cl_WHI"],"Items":["4Color","lets06","startC","year00","allhor","4+Band","Diagon","Horizo","Circle","Plants","HasSun","Center","Geogrh","Builds","NO_RED","NO_YEL","NO_BLA","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 "links": "https://www.crwflags.com/fotw/flags/ar-u.html"},</v>
      </c>
      <c r="HO6" s="75">
        <v>45583</v>
      </c>
      <c r="HP6" s="48" t="str" cm="1">
        <f t="array" ref="HP6">IF(_xlfn.TEXTJOIN(", ", TRUE, IF(ISNUMBER(SEARCH("BLA", BL6:BT6)), COLUMN(BL6:BT6) - COLUMN(BL6) + 1, ""))&lt;&gt;"","BLA","")</f>
        <v/>
      </c>
      <c r="HQ6" s="48" t="str" cm="1">
        <f t="array" ref="HQ6">IF(_xlfn.TEXTJOIN(", ", TRUE, IF(ISNUMBER(SEARCH("BLU", BL6:BT6)), COLUMN(BL6:BT6) - COLUMN(BL6) + 1, ""))&lt;&gt;"","BLU","")</f>
        <v>BLU</v>
      </c>
      <c r="HR6" s="48" t="str" cm="1">
        <f t="array" ref="HR6">IF(_xlfn.TEXTJOIN(", ", TRUE, IF(ISNUMBER(SEARCH("GRE", BL6:BT6)), COLUMN(BL6:BT6) - COLUMN(BL6) + 1, ""))&lt;&gt;"","GRE","")</f>
        <v>GRE</v>
      </c>
      <c r="HS6" s="48" t="str" cm="1">
        <f t="array" ref="HS6">IF(_xlfn.TEXTJOIN(", ", TRUE, IF(ISNUMBER(SEARCH("RED", BL6:BT6)), COLUMN(BL6:BT6) - COLUMN(BL6) + 1, ""))&lt;&gt;"","RED","")</f>
        <v/>
      </c>
      <c r="HT6" s="48" t="str" cm="1">
        <f t="array" ref="HT6">IF(_xlfn.TEXTJOIN(", ", TRUE, IF(ISNUMBER(SEARCH("YEL", BL6:BT6)), COLUMN(BL6:BT6) - COLUMN(BL6) + 1, ""))&lt;&gt;"","YEL","")</f>
        <v/>
      </c>
      <c r="HU6" s="48" t="str" cm="1">
        <f t="array" ref="HU6">IF(_xlfn.TEXTJOIN(", ", TRUE, IF(ISNUMBER(SEARCH("ORA", BL6:BT6)), COLUMN(BL6:BT6) - COLUMN(BL6) + 1, ""))&lt;&gt;"","ORA","")</f>
        <v/>
      </c>
      <c r="HV6" s="48" t="str" cm="1">
        <f t="array" ref="HV6">IF(_xlfn.TEXTJOIN(", ", TRUE, IF(ISNUMBER(SEARCH("BRO", BL6:BT6)), COLUMN(BL6:BT6) - COLUMN(BL6) + 1, ""))&lt;&gt;"","BRO","")</f>
        <v>BRO</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L6" s="48">
        <f t="shared" si="90"/>
        <v>0</v>
      </c>
      <c r="IM6" s="45">
        <f t="shared" si="91"/>
        <v>-4</v>
      </c>
      <c r="IN6" s="78" t="str">
        <f t="shared" si="92"/>
        <v>http://mkweb.bcgsc.ca/color-summarizer/?url=https://upload.wikimedia.org/wikipedia/commons/thumb/8/88/Bandera_de_la_Provincia_del_Chubut.svg/320px-Bandera_de_la_Provincia_del_Chubut.svg.png&amp;precision=low&amp;num_clusters=4&amp;text=1</v>
      </c>
      <c r="IO6" s="48" t="str">
        <f t="shared" si="93"/>
        <v/>
      </c>
      <c r="IP6" s="48" t="str">
        <f t="shared" si="94"/>
        <v>"blue"</v>
      </c>
      <c r="IQ6" s="48" t="str">
        <f t="shared" si="95"/>
        <v>"green"</v>
      </c>
      <c r="IR6" s="48" t="str">
        <f t="shared" si="96"/>
        <v/>
      </c>
      <c r="IS6" s="48" t="str">
        <f t="shared" si="97"/>
        <v/>
      </c>
      <c r="IT6" s="48" t="str">
        <f t="shared" si="98"/>
        <v/>
      </c>
      <c r="IU6" s="48" t="str">
        <f t="shared" si="99"/>
        <v>"brown"</v>
      </c>
      <c r="IV6" s="48" t="str">
        <f t="shared" si="100"/>
        <v/>
      </c>
      <c r="IW6" s="48" t="str">
        <f t="shared" si="101"/>
        <v>"white"</v>
      </c>
      <c r="IX6" s="48" t="str">
        <f t="shared" si="102"/>
        <v>{"url":"http://mkweb.bcgsc.ca/color-summarizer/?url=https://upload.wikimedia.org/wikipedia/commons/thumb/8/88/Bandera_de_la_Provincia_del_Chubut.svg/320px-Bandera_de_la_Provincia_del_Chubut.svg.png&amp;precision=low&amp;num_clusters=4&amp;text=1","name":"[ARG] Chubut"},</v>
      </c>
      <c r="IY6" s="48">
        <v>644</v>
      </c>
    </row>
    <row r="7" spans="1:259" s="48" customFormat="1" ht="38.4" customHeight="1" thickBot="1" x14ac:dyDescent="0.35">
      <c r="A7" s="79" t="s">
        <v>295</v>
      </c>
      <c r="B7" s="40" t="e" vm="6">
        <v>#VALUE!</v>
      </c>
      <c r="C7" s="41">
        <v>2</v>
      </c>
      <c r="D7" s="42" t="s">
        <v>296</v>
      </c>
      <c r="E7" s="43" t="s">
        <v>297</v>
      </c>
      <c r="F7" s="44" t="s">
        <v>166</v>
      </c>
      <c r="G7" s="45">
        <f>COUNTIF($A$1:$A$8299,A7)</f>
        <v>1</v>
      </c>
      <c r="H7" s="46"/>
      <c r="I7" s="47" t="s">
        <v>298</v>
      </c>
      <c r="J7" s="48" t="str">
        <f>""</f>
        <v/>
      </c>
      <c r="K7" s="49"/>
      <c r="L7" s="50"/>
      <c r="M7" s="50"/>
      <c r="N7" s="51" t="s">
        <v>169</v>
      </c>
      <c r="O7" s="52" t="s">
        <v>223</v>
      </c>
      <c r="P7" s="53" t="s">
        <v>299</v>
      </c>
      <c r="Q7" s="54">
        <v>1</v>
      </c>
      <c r="R7" s="55" t="s">
        <v>169</v>
      </c>
      <c r="S7" s="56">
        <v>3</v>
      </c>
      <c r="T7" s="57" t="s">
        <v>172</v>
      </c>
      <c r="U7" s="58" t="s">
        <v>172</v>
      </c>
      <c r="V7" s="58" t="s">
        <v>172</v>
      </c>
      <c r="W7" s="58" t="s">
        <v>173</v>
      </c>
      <c r="X7" s="58" t="s">
        <v>173</v>
      </c>
      <c r="Y7" s="58" t="s">
        <v>172</v>
      </c>
      <c r="Z7" s="58" t="s">
        <v>172</v>
      </c>
      <c r="AA7" s="58" t="s">
        <v>172</v>
      </c>
      <c r="AB7" s="58" t="s">
        <v>172</v>
      </c>
      <c r="AC7" s="58" t="s">
        <v>172</v>
      </c>
      <c r="AD7" s="58" t="s">
        <v>173</v>
      </c>
      <c r="AE7" s="58" t="s">
        <v>172</v>
      </c>
      <c r="AF7" s="59" t="s">
        <v>172</v>
      </c>
      <c r="AG7" s="59" t="s">
        <v>172</v>
      </c>
      <c r="AH7" s="59" t="s">
        <v>173</v>
      </c>
      <c r="AI7" s="59" t="s">
        <v>172</v>
      </c>
      <c r="AJ7" s="59" t="s">
        <v>172</v>
      </c>
      <c r="AK7" s="59" t="s">
        <v>172</v>
      </c>
      <c r="AL7" s="59" t="s">
        <v>172</v>
      </c>
      <c r="AM7" s="59" t="s">
        <v>172</v>
      </c>
      <c r="AN7" s="59" t="s">
        <v>172</v>
      </c>
      <c r="AO7" s="59" t="s">
        <v>172</v>
      </c>
      <c r="AP7" s="59" t="s">
        <v>172</v>
      </c>
      <c r="AQ7" s="59" t="s">
        <v>172</v>
      </c>
      <c r="AR7" s="59" t="s">
        <v>172</v>
      </c>
      <c r="AS7" s="59" t="s">
        <v>172</v>
      </c>
      <c r="AT7" s="60">
        <v>0</v>
      </c>
      <c r="AU7" s="59" t="s">
        <v>277</v>
      </c>
      <c r="AV7" s="59" t="str">
        <f>IF(LEFT(A7,1)="[",LEFT(A7,5)&amp;AU7&amp;A7,"")</f>
        <v>[ARG]Province[ARG] Cordoba</v>
      </c>
      <c r="AW7" s="59" t="str">
        <f>C7&amp;IFERROR(SUBSTITUTE(A7, " [ANT]",""),"")</f>
        <v>2[ARG] Cordoba</v>
      </c>
      <c r="AX7" s="61"/>
      <c r="AY7" s="61"/>
      <c r="AZ7" s="62" t="s">
        <v>159</v>
      </c>
      <c r="BA7" s="62" t="s">
        <v>174</v>
      </c>
      <c r="BB7" s="62"/>
      <c r="BC7" s="63"/>
      <c r="BD7" s="64" t="s">
        <v>152</v>
      </c>
      <c r="BE7" s="47"/>
      <c r="BF7" s="64" t="s">
        <v>174</v>
      </c>
      <c r="BG7" s="64" t="s">
        <v>174</v>
      </c>
      <c r="BH7" s="64" t="s">
        <v>174</v>
      </c>
      <c r="BI7" s="64"/>
      <c r="BJ7" s="64"/>
      <c r="BK7" s="47"/>
      <c r="BL7" s="64" t="s">
        <v>174</v>
      </c>
      <c r="BM7" s="64" t="s">
        <v>152</v>
      </c>
      <c r="BN7" s="64" t="s">
        <v>174</v>
      </c>
      <c r="BO7" s="64" t="s">
        <v>174</v>
      </c>
      <c r="BP7" s="64" t="s">
        <v>174</v>
      </c>
      <c r="BQ7" s="64" t="s">
        <v>174</v>
      </c>
      <c r="BR7" s="64" t="s">
        <v>174</v>
      </c>
      <c r="BS7" s="64" t="s">
        <v>174</v>
      </c>
      <c r="BT7" s="64" t="s">
        <v>159</v>
      </c>
      <c r="BU7" s="65"/>
      <c r="BV7" s="66"/>
      <c r="BW7" s="66">
        <v>0</v>
      </c>
      <c r="BX7" s="47"/>
      <c r="CB7" s="6"/>
      <c r="CC7" s="6"/>
      <c r="CD7" s="67">
        <v>0</v>
      </c>
      <c r="CE7" s="67">
        <v>0</v>
      </c>
      <c r="CF7" s="67" t="e">
        <v>#REF!</v>
      </c>
      <c r="CG7" s="68" cm="1">
        <f t="array" ref="CG7">SUMPRODUCT(--(LEN(TRIM(BL7:BT7))&gt;0))</f>
        <v>2</v>
      </c>
      <c r="CH7" s="59" t="str">
        <f t="shared" si="6"/>
        <v>y</v>
      </c>
      <c r="CI7" s="59" t="str">
        <f t="shared" si="7"/>
        <v>n</v>
      </c>
      <c r="CJ7" s="59" t="str">
        <f t="shared" si="8"/>
        <v>n</v>
      </c>
      <c r="CK7" s="59" t="str">
        <f t="shared" si="9"/>
        <v>n</v>
      </c>
      <c r="CL7" s="59" t="str">
        <f t="shared" si="10"/>
        <v>n</v>
      </c>
      <c r="CM7" s="59" t="str">
        <f t="shared" si="11"/>
        <v>n</v>
      </c>
      <c r="CN7" s="59" t="str">
        <f t="shared" si="12"/>
        <v>y</v>
      </c>
      <c r="CO7" s="59" t="str">
        <f t="shared" si="13"/>
        <v>n</v>
      </c>
      <c r="CP7" s="59" t="str">
        <f t="shared" si="14"/>
        <v>y</v>
      </c>
      <c r="CQ7" s="59" t="str">
        <f t="shared" si="15"/>
        <v>n</v>
      </c>
      <c r="CR7" s="59" t="str">
        <f t="shared" si="16"/>
        <v>n</v>
      </c>
      <c r="CS7" s="59" t="str">
        <f t="shared" si="17"/>
        <v>n</v>
      </c>
      <c r="CT7" s="69" t="str">
        <f t="shared" si="18"/>
        <v>"[ARG] Cordoba"</v>
      </c>
      <c r="CU7" s="70" t="str">
        <f t="shared" si="19"/>
        <v>"rgn_South America"</v>
      </c>
      <c r="CV7" s="48" t="str">
        <f t="shared" si="20"/>
        <v>"https://upload.wikimedia.org/wikipedia/commons/thumb/f/f6/Bandera_de_la_Provincia_de_C%C3%B3rdoba_2014.svg/640px-Bandera_de_la_Provincia_de_C%C3%B3rdoba_2014.svg.png"</v>
      </c>
      <c r="CW7" s="48" t="str">
        <f t="shared" si="0"/>
        <v>"2Color",</v>
      </c>
      <c r="CX7" s="48" t="str">
        <f t="shared" si="0"/>
        <v/>
      </c>
      <c r="CY7" s="48" t="str">
        <f t="shared" si="0"/>
        <v/>
      </c>
      <c r="CZ7" s="48" t="str">
        <f t="shared" si="0"/>
        <v/>
      </c>
      <c r="DA7" s="48" t="str">
        <f t="shared" si="21"/>
        <v/>
      </c>
      <c r="DB7" s="48" t="str">
        <f t="shared" si="22"/>
        <v/>
      </c>
      <c r="DC7" s="48" t="str">
        <f t="shared" si="23"/>
        <v/>
      </c>
      <c r="DD7" s="48" t="str">
        <f t="shared" si="24"/>
        <v>"lets07",</v>
      </c>
      <c r="DE7" s="48" t="str">
        <f t="shared" si="25"/>
        <v>"startC",</v>
      </c>
      <c r="DF7" s="48" t="str">
        <f t="shared" si="26"/>
        <v/>
      </c>
      <c r="DG7" s="48" t="str">
        <f t="shared" si="27"/>
        <v/>
      </c>
      <c r="DH7" s="48" t="str">
        <f t="shared" si="28"/>
        <v/>
      </c>
      <c r="DI7" s="48" t="str">
        <f t="shared" si="29"/>
        <v/>
      </c>
      <c r="DJ7" s="48" t="str">
        <f t="shared" si="30"/>
        <v/>
      </c>
      <c r="DK7" s="48" t="str">
        <f t="shared" si="31"/>
        <v/>
      </c>
      <c r="DL7" s="48" t="str">
        <f t="shared" si="32"/>
        <v>"BLUWHI",</v>
      </c>
      <c r="DM7" s="48" t="str" cm="1">
        <f t="array" ref="DM7">IF(CG7=3,CHAR(34) &amp; _xlfn.TEXTJOIN("", TRUE, RIGHT(HP7:HX7, 2)) &amp; CHAR(34) &amp; ",", "")</f>
        <v/>
      </c>
      <c r="DN7" s="48" t="str">
        <f t="shared" si="33"/>
        <v/>
      </c>
      <c r="DO7" s="48" t="str">
        <f t="shared" si="34"/>
        <v/>
      </c>
      <c r="DP7" s="6" t="str">
        <f t="shared" si="35"/>
        <v>"year00",</v>
      </c>
      <c r="DQ7" s="6" t="str">
        <f t="shared" si="36"/>
        <v/>
      </c>
      <c r="DR7" s="6" t="str">
        <f t="shared" si="37"/>
        <v/>
      </c>
      <c r="DS7" s="6" t="str">
        <f t="shared" si="38"/>
        <v>"allver",</v>
      </c>
      <c r="DT7" s="6" t="str">
        <f t="shared" si="39"/>
        <v/>
      </c>
      <c r="DU7" s="6" t="str">
        <f t="shared" si="40"/>
        <v/>
      </c>
      <c r="DV7" s="48" t="str">
        <f t="shared" si="41"/>
        <v/>
      </c>
      <c r="DW7" s="48" t="str">
        <f t="shared" si="1"/>
        <v/>
      </c>
      <c r="DX7" s="48" t="str">
        <f t="shared" si="1"/>
        <v/>
      </c>
      <c r="DY7" s="48" t="str">
        <f t="shared" si="1"/>
        <v>"3Bands",</v>
      </c>
      <c r="DZ7" s="48" t="str">
        <f t="shared" si="1"/>
        <v/>
      </c>
      <c r="EA7" s="48" t="str">
        <f t="shared" si="2"/>
        <v/>
      </c>
      <c r="EB7" s="48" t="str">
        <f t="shared" si="2"/>
        <v/>
      </c>
      <c r="EC7" s="48" t="str">
        <f t="shared" si="2"/>
        <v/>
      </c>
      <c r="ED7" s="48" t="str">
        <f t="shared" si="2"/>
        <v>"Vertic",</v>
      </c>
      <c r="EE7" s="48" t="str">
        <f t="shared" si="2"/>
        <v>"Circle",</v>
      </c>
      <c r="EF7" s="48" t="str">
        <f t="shared" si="42"/>
        <v/>
      </c>
      <c r="EG7" s="48" t="str">
        <f t="shared" si="3"/>
        <v/>
      </c>
      <c r="EH7" s="48" t="str">
        <f t="shared" si="3"/>
        <v/>
      </c>
      <c r="EI7" s="48" t="str">
        <f t="shared" si="3"/>
        <v/>
      </c>
      <c r="EJ7" s="48" t="str">
        <f t="shared" si="3"/>
        <v/>
      </c>
      <c r="EK7" s="48" t="str">
        <f t="shared" si="3"/>
        <v>"HasSun",</v>
      </c>
      <c r="EL7" s="48" t="str">
        <f t="shared" si="3"/>
        <v/>
      </c>
      <c r="EM7" s="48" t="str">
        <f t="shared" si="3"/>
        <v/>
      </c>
      <c r="EN7" s="48" t="str">
        <f t="shared" si="3"/>
        <v/>
      </c>
      <c r="EO7" s="48" t="str">
        <f t="shared" si="3"/>
        <v>"Center",</v>
      </c>
      <c r="EP7" s="48" t="str">
        <f t="shared" si="3"/>
        <v/>
      </c>
      <c r="EQ7" s="48" t="str">
        <f t="shared" si="3"/>
        <v/>
      </c>
      <c r="ER7" s="48" t="str">
        <f t="shared" si="3"/>
        <v/>
      </c>
      <c r="ES7" s="48" t="str">
        <f t="shared" si="3"/>
        <v/>
      </c>
      <c r="ET7" s="48" t="str">
        <f t="shared" si="3"/>
        <v/>
      </c>
      <c r="EU7" s="48" t="str">
        <f t="shared" si="3"/>
        <v/>
      </c>
      <c r="EV7" s="48" t="str">
        <f t="shared" si="3"/>
        <v/>
      </c>
      <c r="EW7" s="48" t="str">
        <f t="shared" si="3"/>
        <v/>
      </c>
      <c r="EX7" s="48" t="str">
        <f t="shared" si="3"/>
        <v/>
      </c>
      <c r="EY7" s="48" t="str">
        <f t="shared" si="3"/>
        <v/>
      </c>
      <c r="EZ7" s="48" t="str">
        <f t="shared" si="3"/>
        <v/>
      </c>
      <c r="FA7" s="48" t="str">
        <f t="shared" si="43"/>
        <v/>
      </c>
      <c r="FB7" s="48" t="str">
        <f t="shared" si="44"/>
        <v/>
      </c>
      <c r="FC7" s="48" t="str">
        <f t="shared" si="45"/>
        <v/>
      </c>
      <c r="FD7" s="48" t="str">
        <f t="shared" si="46"/>
        <v/>
      </c>
      <c r="FE7" s="48" t="str">
        <f t="shared" si="47"/>
        <v/>
      </c>
      <c r="FF7" s="48" t="str">
        <f t="shared" si="48"/>
        <v/>
      </c>
      <c r="FG7" s="48" t="str">
        <f t="shared" si="49"/>
        <v>"NO_RED",</v>
      </c>
      <c r="FH7" s="48" t="str">
        <f t="shared" si="50"/>
        <v>"NO_GRE",</v>
      </c>
      <c r="FI7" s="48" t="str">
        <f t="shared" si="51"/>
        <v>"NO_YEL",</v>
      </c>
      <c r="FJ7" s="48" t="str">
        <f t="shared" si="52"/>
        <v>"NO_BLA",</v>
      </c>
      <c r="FK7" s="48" t="str">
        <f t="shared" si="53"/>
        <v/>
      </c>
      <c r="FL7" s="48" t="str">
        <f t="shared" si="54"/>
        <v/>
      </c>
      <c r="FM7" s="48" t="str">
        <f t="shared" si="55"/>
        <v/>
      </c>
      <c r="FN7" s="48" t="str">
        <f t="shared" si="56"/>
        <v/>
      </c>
      <c r="FO7" s="48" t="str">
        <f t="shared" si="57"/>
        <v/>
      </c>
      <c r="FP7" s="48" t="str">
        <f t="shared" si="58"/>
        <v/>
      </c>
      <c r="FQ7" s="48" t="str">
        <f t="shared" si="59"/>
        <v/>
      </c>
      <c r="FR7" s="48" t="str">
        <f t="shared" si="60"/>
        <v/>
      </c>
      <c r="FS7" s="48" t="str">
        <f t="shared" si="61"/>
        <v/>
      </c>
      <c r="FT7" s="48" t="str">
        <f t="shared" si="62"/>
        <v>"myrBLU",</v>
      </c>
      <c r="FU7" s="48" t="str">
        <f t="shared" si="63"/>
        <v/>
      </c>
      <c r="FV7" s="48" t="str">
        <f t="shared" si="64"/>
        <v/>
      </c>
      <c r="FW7" s="48" t="str">
        <f t="shared" si="65"/>
        <v/>
      </c>
      <c r="FX7" s="48" t="str">
        <f t="shared" si="66"/>
        <v/>
      </c>
      <c r="FY7" s="48" t="str">
        <f t="shared" si="67"/>
        <v/>
      </c>
      <c r="FZ7" s="48" t="str">
        <f t="shared" si="68"/>
        <v/>
      </c>
      <c r="GA7" s="48" t="str">
        <f t="shared" si="69"/>
        <v/>
      </c>
      <c r="GB7" s="48" t="str">
        <f t="shared" si="70"/>
        <v/>
      </c>
      <c r="GC7" s="48" t="str">
        <f t="shared" si="71"/>
        <v/>
      </c>
      <c r="GD7" s="48" t="str">
        <f t="shared" si="72"/>
        <v/>
      </c>
      <c r="GE7" s="48" t="str">
        <f t="shared" si="73"/>
        <v/>
      </c>
      <c r="GF7" s="48" t="str">
        <f>IFERROR(IF(SEARCH("Historical",AU7)&gt;0,CHAR(34)&amp;"histor"&amp;CHAR(34)&amp;",",""),"")</f>
        <v/>
      </c>
      <c r="GG7" s="48" t="str">
        <f t="shared" si="74"/>
        <v/>
      </c>
      <c r="GH7" s="48" t="str">
        <f t="shared" si="75"/>
        <v/>
      </c>
      <c r="GI7" s="48" t="str">
        <f t="shared" si="76"/>
        <v/>
      </c>
      <c r="GJ7" s="48" t="str">
        <f t="shared" si="77"/>
        <v>"NoStar",</v>
      </c>
      <c r="GK7" s="48" t="str">
        <f t="shared" si="78"/>
        <v/>
      </c>
      <c r="GL7" s="48" t="str">
        <f t="shared" si="4"/>
        <v/>
      </c>
      <c r="GM7" s="48" t="str">
        <f t="shared" si="4"/>
        <v/>
      </c>
      <c r="GN7" s="48" t="str">
        <f t="shared" si="4"/>
        <v/>
      </c>
      <c r="GP7" s="48" t="str">
        <f t="shared" si="79"/>
        <v>"Province"</v>
      </c>
      <c r="GS7" s="48" t="str">
        <f t="shared" si="80"/>
        <v>["2Color","lets07","startC","BLUWHI","year00","allver","3Bands","Vertic","Circle","HasSun","Center","NO_RED","NO_GRE","NO_YEL","NO_BLA","myrBLU","NoStar"]</v>
      </c>
      <c r="GT7" s="48" t="str">
        <f t="shared" si="5"/>
        <v/>
      </c>
      <c r="GU7" s="48" t="str">
        <f t="shared" si="5"/>
        <v>"cl_BLU",</v>
      </c>
      <c r="GV7" s="48" t="str">
        <f t="shared" si="5"/>
        <v/>
      </c>
      <c r="GW7" s="48" t="str">
        <f t="shared" si="5"/>
        <v/>
      </c>
      <c r="GX7" s="48" t="str">
        <f t="shared" si="5"/>
        <v/>
      </c>
      <c r="GY7" s="48" t="str">
        <f t="shared" si="5"/>
        <v/>
      </c>
      <c r="GZ7" s="48" t="str">
        <f t="shared" si="5"/>
        <v/>
      </c>
      <c r="HA7" s="48" t="str">
        <f t="shared" si="5"/>
        <v/>
      </c>
      <c r="HB7" s="48" t="str">
        <f t="shared" si="5"/>
        <v>"cl_WHI",</v>
      </c>
      <c r="HC7" s="48" t="str">
        <f t="shared" si="81"/>
        <v>["cl_BLU","cl_WHI"]</v>
      </c>
      <c r="HE7" s="71"/>
      <c r="HF7" s="72" t="str">
        <f t="shared" si="82"/>
        <v>{couname:"[ARG] Cordoba",year:"2010 ",region:"rgn_South America",Colors:["cl_BLU","cl_WHI"],Items:["2Color","lets07","startC","BLUWHI","year00","allver","3Bands","Vertic","Circle","HasSun","Center","NO_RED","NO_GRE","NO_YEL","NO_BLA","myrBLU","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links: "https://es.wikipedia.org/wiki/Bandera_de_la_provincia_de_Córdoba_(Argentina)"},</v>
      </c>
      <c r="HG7" s="73" t="str">
        <f t="shared" si="83"/>
        <v>{couname:"[ARG] Cordoba",year:"2010 ",region:"rgn_South America",Colors:["cl_BLU","cl_WHI"],Items:["2Color","lets07","startC","BLUWHI","year00","allver","3Bands","Vertic","Circle","HasSun","Center","NO_RED","NO_GRE","NO_YEL","NO_BLA","myrBLU","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links: "https://es.wikipedia.org/wiki/Bandera_de_la_provincia_de_Córdoba_(Argentina)"},</v>
      </c>
      <c r="HH7" s="48" t="str">
        <f t="shared" si="84"/>
        <v>"\nThese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v>
      </c>
      <c r="HI7" s="48" t="str">
        <f t="shared" si="85"/>
        <v>"\nThese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v>
      </c>
      <c r="HJ7" s="48" t="str">
        <f t="shared" si="86"/>
        <v>"2010 "</v>
      </c>
      <c r="HL7" s="48" t="str">
        <f t="shared" si="87"/>
        <v>"https://es.wikipedia.org/wiki/Bandera_de_la_provincia_de_Córdoba_(Argentina)"</v>
      </c>
      <c r="HM7" s="72" t="str">
        <f t="shared" si="88"/>
        <v>{"couname":"[ARG] Cordoba","year":"2010 ","region":"rgn_South America","Colors":["cl_BLU","cl_WHI"],"Items":["2Color","lets07","startC","BLUWHI","year00","allver","3Bands","Vertic","Circle","HasSun","Center","NO_RED","NO_GRE","NO_YEL","NO_BLA","myrBLU","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 "links": "https://es.wikipedia.org/wiki/Bandera_de_la_provincia_de_Córdoba_(Argentina)"},</v>
      </c>
      <c r="HN7" s="74" t="str">
        <f t="shared" si="89"/>
        <v>{"couname":"[ARG] Cordoba","year":"2010 ","region":"rgn_South America","Colors":["cl_BLU","cl_WHI"],"Items":["2Color","lets07","startC","BLUWHI","year00","allver","3Bands","Vertic","Circle","HasSun","Center","NO_RED","NO_GRE","NO_YEL","NO_BLA","myrBLU","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 "links": "https://es.wikipedia.org/wiki/Bandera_de_la_provincia_de_Córdoba_(Argentina)"},</v>
      </c>
      <c r="HO7" s="75">
        <v>45583</v>
      </c>
      <c r="HP7" s="48" t="str" cm="1">
        <f t="array" ref="HP7">IF(_xlfn.TEXTJOIN(", ", TRUE, IF(ISNUMBER(SEARCH("BLA", BL7:BT7)), COLUMN(BL7:BT7) - COLUMN(BL7) + 1, ""))&lt;&gt;"","BLA","")</f>
        <v/>
      </c>
      <c r="HQ7" s="48" t="str" cm="1">
        <f t="array" ref="HQ7">IF(_xlfn.TEXTJOIN(", ", TRUE, IF(ISNUMBER(SEARCH("BLU", BL7:BT7)), COLUMN(BL7:BT7) - COLUMN(BL7) + 1, ""))&lt;&gt;"","BLU","")</f>
        <v>BLU</v>
      </c>
      <c r="HR7" s="48" t="str" cm="1">
        <f t="array" ref="HR7">IF(_xlfn.TEXTJOIN(", ", TRUE, IF(ISNUMBER(SEARCH("GRE", BL7:BT7)), COLUMN(BL7:BT7) - COLUMN(BL7) + 1, ""))&lt;&gt;"","GRE","")</f>
        <v/>
      </c>
      <c r="HS7" s="48" t="str" cm="1">
        <f t="array" ref="HS7">IF(_xlfn.TEXTJOIN(", ", TRUE, IF(ISNUMBER(SEARCH("RED", BL7:BT7)), COLUMN(BL7:BT7) - COLUMN(BL7) + 1, ""))&lt;&gt;"","RED","")</f>
        <v/>
      </c>
      <c r="HT7" s="48" t="str" cm="1">
        <f t="array" ref="HT7">IF(_xlfn.TEXTJOIN(", ", TRUE, IF(ISNUMBER(SEARCH("YEL", BL7:BT7)), COLUMN(BL7:BT7) - COLUMN(BL7) + 1, ""))&lt;&gt;"","YEL","")</f>
        <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c r="ID7" s="77"/>
      <c r="IE7" s="77"/>
      <c r="IF7" s="77"/>
      <c r="IG7" s="77"/>
      <c r="IH7" s="77"/>
      <c r="II7" s="77"/>
      <c r="IJ7" s="77"/>
      <c r="IK7" s="77"/>
      <c r="IL7" s="48">
        <f t="shared" si="90"/>
        <v>0</v>
      </c>
      <c r="IM7" s="45">
        <f t="shared" si="91"/>
        <v>-2</v>
      </c>
      <c r="IN7" s="78" t="str">
        <f t="shared" si="92"/>
        <v>http://mkweb.bcgsc.ca/color-summarizer/?url=https://upload.wikimedia.org/wikipedia/commons/thumb/f/f6/Bandera_de_la_Provincia_de_C%C3%B3rdoba_2014.svg/640px-Bandera_de_la_Provincia_de_C%C3%B3rdoba_2014.svg.png&amp;precision=low&amp;num_clusters=2&amp;text=1</v>
      </c>
      <c r="IO7" s="48" t="str">
        <f t="shared" si="93"/>
        <v/>
      </c>
      <c r="IP7" s="48" t="str">
        <f t="shared" si="94"/>
        <v>"blue"</v>
      </c>
      <c r="IQ7" s="48" t="str">
        <f t="shared" si="95"/>
        <v/>
      </c>
      <c r="IR7" s="48" t="str">
        <f t="shared" si="96"/>
        <v/>
      </c>
      <c r="IS7" s="48" t="str">
        <f t="shared" si="97"/>
        <v/>
      </c>
      <c r="IT7" s="48" t="str">
        <f t="shared" si="98"/>
        <v/>
      </c>
      <c r="IU7" s="48" t="str">
        <f t="shared" si="99"/>
        <v/>
      </c>
      <c r="IV7" s="48" t="str">
        <f t="shared" si="100"/>
        <v/>
      </c>
      <c r="IW7" s="48" t="str">
        <f t="shared" si="101"/>
        <v>"white"</v>
      </c>
      <c r="IX7" s="48" t="str">
        <f t="shared" si="102"/>
        <v>{"url":"http://mkweb.bcgsc.ca/color-summarizer/?url=https://upload.wikimedia.org/wikipedia/commons/thumb/f/f6/Bandera_de_la_Provincia_de_C%C3%B3rdoba_2014.svg/640px-Bandera_de_la_Provincia_de_C%C3%B3rdoba_2014.svg.png&amp;precision=low&amp;num_clusters=2&amp;text=1","name":"[ARG] Cordoba"},</v>
      </c>
      <c r="IY7" s="48">
        <v>645</v>
      </c>
    </row>
    <row r="8" spans="1:259" s="48" customFormat="1" ht="38.4" customHeight="1" thickBot="1" x14ac:dyDescent="0.35">
      <c r="A8" s="79" t="s">
        <v>300</v>
      </c>
      <c r="B8" s="40" t="e" vm="7">
        <v>#VALUE!</v>
      </c>
      <c r="C8" s="41">
        <v>2</v>
      </c>
      <c r="D8" s="42" t="s">
        <v>301</v>
      </c>
      <c r="E8" s="43" t="s">
        <v>302</v>
      </c>
      <c r="F8" s="44" t="s">
        <v>166</v>
      </c>
      <c r="G8" s="45">
        <f>COUNTIF($A$1:$A$8299,A8)</f>
        <v>1</v>
      </c>
      <c r="H8" s="46"/>
      <c r="I8" s="47" t="s">
        <v>303</v>
      </c>
      <c r="J8" s="48" t="str">
        <f>""</f>
        <v/>
      </c>
      <c r="K8" s="49"/>
      <c r="L8" s="50"/>
      <c r="M8" s="50"/>
      <c r="N8" s="51" t="s">
        <v>169</v>
      </c>
      <c r="O8" s="52">
        <v>1986</v>
      </c>
      <c r="P8" s="53" t="s">
        <v>304</v>
      </c>
      <c r="Q8" s="54">
        <v>1</v>
      </c>
      <c r="R8" s="55" t="s">
        <v>169</v>
      </c>
      <c r="S8" s="56">
        <v>3</v>
      </c>
      <c r="T8" s="57" t="s">
        <v>173</v>
      </c>
      <c r="U8" s="58" t="s">
        <v>173</v>
      </c>
      <c r="V8" s="58" t="s">
        <v>173</v>
      </c>
      <c r="W8" s="58" t="s">
        <v>172</v>
      </c>
      <c r="X8" s="58" t="s">
        <v>173</v>
      </c>
      <c r="Y8" s="58" t="s">
        <v>172</v>
      </c>
      <c r="Z8" s="58" t="s">
        <v>172</v>
      </c>
      <c r="AA8" s="58" t="s">
        <v>173</v>
      </c>
      <c r="AB8" s="58" t="s">
        <v>173</v>
      </c>
      <c r="AC8" s="58" t="s">
        <v>172</v>
      </c>
      <c r="AD8" s="58" t="s">
        <v>173</v>
      </c>
      <c r="AE8" s="58" t="s">
        <v>172</v>
      </c>
      <c r="AF8" s="59" t="s">
        <v>173</v>
      </c>
      <c r="AG8" s="59" t="s">
        <v>173</v>
      </c>
      <c r="AH8" s="59" t="s">
        <v>172</v>
      </c>
      <c r="AI8" s="59" t="s">
        <v>172</v>
      </c>
      <c r="AJ8" s="59" t="s">
        <v>172</v>
      </c>
      <c r="AK8" s="59" t="s">
        <v>172</v>
      </c>
      <c r="AL8" s="59" t="s">
        <v>172</v>
      </c>
      <c r="AM8" s="59" t="s">
        <v>172</v>
      </c>
      <c r="AN8" s="59" t="s">
        <v>173</v>
      </c>
      <c r="AO8" s="59" t="s">
        <v>172</v>
      </c>
      <c r="AP8" s="59" t="s">
        <v>172</v>
      </c>
      <c r="AQ8" s="59" t="s">
        <v>172</v>
      </c>
      <c r="AR8" s="59" t="s">
        <v>172</v>
      </c>
      <c r="AS8" s="59" t="s">
        <v>172</v>
      </c>
      <c r="AT8" s="60">
        <v>0</v>
      </c>
      <c r="AU8" s="59" t="s">
        <v>277</v>
      </c>
      <c r="AV8" s="59" t="str">
        <f>IF(LEFT(A8,1)="[",LEFT(A8,5)&amp;AU8&amp;A8,"")</f>
        <v>[ARG]Province[ARG] Corrientes</v>
      </c>
      <c r="AW8" s="59" t="str">
        <f>C8&amp;IFERROR(SUBSTITUTE(A8, " [ANT]",""),"")</f>
        <v>2[ARG] Corrientes</v>
      </c>
      <c r="AX8" s="61"/>
      <c r="AY8" s="61"/>
      <c r="AZ8" s="62" t="s">
        <v>159</v>
      </c>
      <c r="BA8" s="62"/>
      <c r="BB8" s="62"/>
      <c r="BC8" s="63"/>
      <c r="BD8" s="64" t="s">
        <v>152</v>
      </c>
      <c r="BE8" s="47"/>
      <c r="BF8" s="64" t="s">
        <v>174</v>
      </c>
      <c r="BG8" s="64" t="s">
        <v>174</v>
      </c>
      <c r="BH8" s="64" t="s">
        <v>174</v>
      </c>
      <c r="BI8" s="64"/>
      <c r="BJ8" s="64"/>
      <c r="BK8" s="47"/>
      <c r="BL8" s="64" t="s">
        <v>174</v>
      </c>
      <c r="BM8" s="64" t="s">
        <v>152</v>
      </c>
      <c r="BN8" s="64" t="s">
        <v>174</v>
      </c>
      <c r="BO8" s="64" t="s">
        <v>174</v>
      </c>
      <c r="BP8" s="64" t="s">
        <v>174</v>
      </c>
      <c r="BQ8" s="64" t="s">
        <v>174</v>
      </c>
      <c r="BR8" s="64" t="s">
        <v>174</v>
      </c>
      <c r="BS8" s="64" t="s">
        <v>174</v>
      </c>
      <c r="BT8" s="64" t="s">
        <v>159</v>
      </c>
      <c r="BU8" s="65"/>
      <c r="BV8" s="66"/>
      <c r="BW8" s="66">
        <v>0</v>
      </c>
      <c r="BX8" s="47"/>
      <c r="CB8" s="6"/>
      <c r="CC8" s="6"/>
      <c r="CD8" s="67">
        <v>0</v>
      </c>
      <c r="CE8" s="67">
        <v>0</v>
      </c>
      <c r="CF8" s="67" t="e">
        <v>#REF!</v>
      </c>
      <c r="CG8" s="68" cm="1">
        <f t="array" ref="CG8">SUMPRODUCT(--(LEN(TRIM(BL8:BT8))&gt;0))</f>
        <v>2</v>
      </c>
      <c r="CH8" s="59" t="str">
        <f t="shared" si="6"/>
        <v>y</v>
      </c>
      <c r="CI8" s="59" t="str">
        <f t="shared" si="7"/>
        <v>n</v>
      </c>
      <c r="CJ8" s="59" t="str">
        <f t="shared" si="8"/>
        <v>n</v>
      </c>
      <c r="CK8" s="59" t="str">
        <f t="shared" si="9"/>
        <v>n</v>
      </c>
      <c r="CL8" s="59" t="str">
        <f t="shared" si="10"/>
        <v>n</v>
      </c>
      <c r="CM8" s="59" t="str">
        <f t="shared" si="11"/>
        <v>n</v>
      </c>
      <c r="CN8" s="59" t="str">
        <f t="shared" si="12"/>
        <v>y</v>
      </c>
      <c r="CO8" s="59" t="str">
        <f t="shared" si="13"/>
        <v>n</v>
      </c>
      <c r="CP8" s="59" t="str">
        <f t="shared" si="14"/>
        <v>y</v>
      </c>
      <c r="CQ8" s="59" t="str">
        <f t="shared" si="15"/>
        <v>n</v>
      </c>
      <c r="CR8" s="59" t="str">
        <f t="shared" si="16"/>
        <v>n</v>
      </c>
      <c r="CS8" s="59" t="str">
        <f t="shared" si="17"/>
        <v>n</v>
      </c>
      <c r="CT8" s="69" t="str">
        <f t="shared" si="18"/>
        <v>"[ARG] Corrientes"</v>
      </c>
      <c r="CU8" s="70" t="str">
        <f t="shared" si="19"/>
        <v>"rgn_South America"</v>
      </c>
      <c r="CV8" s="48" t="str">
        <f t="shared" si="20"/>
        <v>"https://upload.wikimedia.org/wikipedia/commons/thumb/4/46/Bandera_de_la_Provincia_de_Corrientes.svg/320px-Bandera_de_la_Provincia_de_Corrientes.svg.png"</v>
      </c>
      <c r="CW8" s="48" t="str">
        <f t="shared" si="0"/>
        <v>"2Color",</v>
      </c>
      <c r="CX8" s="48" t="str">
        <f t="shared" si="0"/>
        <v/>
      </c>
      <c r="CY8" s="48" t="str">
        <f t="shared" si="0"/>
        <v/>
      </c>
      <c r="CZ8" s="48" t="str">
        <f t="shared" si="0"/>
        <v/>
      </c>
      <c r="DA8" s="48" t="str">
        <f t="shared" si="21"/>
        <v/>
      </c>
      <c r="DB8" s="48" t="str">
        <f t="shared" si="22"/>
        <v/>
      </c>
      <c r="DC8" s="48" t="str">
        <f t="shared" si="23"/>
        <v/>
      </c>
      <c r="DD8" s="48" t="str">
        <f t="shared" si="24"/>
        <v>"lets10",</v>
      </c>
      <c r="DE8" s="48" t="str">
        <f t="shared" si="25"/>
        <v>"startC",</v>
      </c>
      <c r="DF8" s="48" t="str">
        <f t="shared" si="26"/>
        <v/>
      </c>
      <c r="DG8" s="48" t="str">
        <f t="shared" si="27"/>
        <v/>
      </c>
      <c r="DH8" s="48" t="str">
        <f t="shared" si="28"/>
        <v/>
      </c>
      <c r="DI8" s="48" t="str">
        <f t="shared" si="29"/>
        <v/>
      </c>
      <c r="DJ8" s="48" t="str">
        <f t="shared" si="30"/>
        <v/>
      </c>
      <c r="DK8" s="48" t="str">
        <f t="shared" si="31"/>
        <v/>
      </c>
      <c r="DL8" s="48" t="str">
        <f t="shared" si="32"/>
        <v>"BLUWHI",</v>
      </c>
      <c r="DM8" s="48" t="str" cm="1">
        <f t="array" ref="DM8">IF(CG8=3,CHAR(34) &amp; _xlfn.TEXTJOIN("", TRUE, RIGHT(HP8:HX8, 2)) &amp; CHAR(34) &amp; ",", "")</f>
        <v/>
      </c>
      <c r="DN8" s="48" t="str">
        <f t="shared" si="33"/>
        <v/>
      </c>
      <c r="DO8" s="48" t="str">
        <f t="shared" si="34"/>
        <v>"year19",</v>
      </c>
      <c r="DP8" s="6" t="str">
        <f t="shared" si="35"/>
        <v/>
      </c>
      <c r="DQ8" s="6" t="str">
        <f t="shared" si="36"/>
        <v/>
      </c>
      <c r="DR8" s="6" t="str">
        <f t="shared" si="37"/>
        <v/>
      </c>
      <c r="DS8" s="6" t="str">
        <f t="shared" si="38"/>
        <v/>
      </c>
      <c r="DT8" s="6" t="str">
        <f t="shared" si="39"/>
        <v>"allhor",</v>
      </c>
      <c r="DU8" s="6" t="str">
        <f t="shared" si="40"/>
        <v/>
      </c>
      <c r="DV8" s="48" t="str">
        <f t="shared" si="41"/>
        <v/>
      </c>
      <c r="DW8" s="48" t="str">
        <f t="shared" si="1"/>
        <v/>
      </c>
      <c r="DX8" s="48" t="str">
        <f t="shared" si="1"/>
        <v/>
      </c>
      <c r="DY8" s="48" t="str">
        <f t="shared" si="1"/>
        <v>"3Bands",</v>
      </c>
      <c r="DZ8" s="48" t="str">
        <f t="shared" si="1"/>
        <v/>
      </c>
      <c r="EA8" s="48" t="str">
        <f t="shared" si="2"/>
        <v>"Diagon",</v>
      </c>
      <c r="EB8" s="48" t="str">
        <f t="shared" si="2"/>
        <v>"Crosse",</v>
      </c>
      <c r="EC8" s="48" t="str">
        <f t="shared" si="2"/>
        <v>"Horizo",</v>
      </c>
      <c r="ED8" s="48" t="str">
        <f t="shared" si="2"/>
        <v/>
      </c>
      <c r="EE8" s="48" t="str">
        <f t="shared" si="2"/>
        <v>"Circle",</v>
      </c>
      <c r="EF8" s="48" t="str">
        <f t="shared" si="42"/>
        <v/>
      </c>
      <c r="EG8" s="48" t="str">
        <f t="shared" si="3"/>
        <v/>
      </c>
      <c r="EH8" s="48" t="str">
        <f t="shared" si="3"/>
        <v>"Plants",</v>
      </c>
      <c r="EI8" s="48" t="str">
        <f t="shared" si="3"/>
        <v>"Texted",</v>
      </c>
      <c r="EJ8" s="48" t="str">
        <f t="shared" si="3"/>
        <v/>
      </c>
      <c r="EK8" s="48" t="str">
        <f t="shared" si="3"/>
        <v>"HasSun",</v>
      </c>
      <c r="EL8" s="48" t="str">
        <f t="shared" si="3"/>
        <v/>
      </c>
      <c r="EM8" s="48" t="str">
        <f t="shared" si="3"/>
        <v>"Trside",</v>
      </c>
      <c r="EN8" s="48" t="str">
        <f t="shared" si="3"/>
        <v>"Unequa",</v>
      </c>
      <c r="EO8" s="48" t="str">
        <f t="shared" si="3"/>
        <v/>
      </c>
      <c r="EP8" s="48" t="str">
        <f t="shared" si="3"/>
        <v/>
      </c>
      <c r="EQ8" s="48" t="str">
        <f t="shared" si="3"/>
        <v/>
      </c>
      <c r="ER8" s="48" t="str">
        <f t="shared" si="3"/>
        <v/>
      </c>
      <c r="ES8" s="48" t="str">
        <f t="shared" si="3"/>
        <v/>
      </c>
      <c r="ET8" s="48" t="str">
        <f t="shared" si="3"/>
        <v/>
      </c>
      <c r="EU8" s="48" t="str">
        <f t="shared" si="3"/>
        <v>"Humans",</v>
      </c>
      <c r="EV8" s="48" t="str">
        <f t="shared" si="3"/>
        <v/>
      </c>
      <c r="EW8" s="48" t="str">
        <f t="shared" si="3"/>
        <v/>
      </c>
      <c r="EX8" s="48" t="str">
        <f t="shared" si="3"/>
        <v/>
      </c>
      <c r="EY8" s="48" t="str">
        <f t="shared" si="3"/>
        <v/>
      </c>
      <c r="EZ8" s="48" t="str">
        <f t="shared" si="3"/>
        <v/>
      </c>
      <c r="FA8" s="48" t="str">
        <f t="shared" si="43"/>
        <v/>
      </c>
      <c r="FB8" s="48" t="str">
        <f t="shared" si="44"/>
        <v/>
      </c>
      <c r="FC8" s="48" t="str">
        <f t="shared" si="45"/>
        <v/>
      </c>
      <c r="FD8" s="48" t="str">
        <f t="shared" si="46"/>
        <v/>
      </c>
      <c r="FE8" s="48" t="str">
        <f t="shared" si="47"/>
        <v/>
      </c>
      <c r="FF8" s="48" t="str">
        <f t="shared" si="48"/>
        <v/>
      </c>
      <c r="FG8" s="48" t="str">
        <f t="shared" si="49"/>
        <v>"NO_RED",</v>
      </c>
      <c r="FH8" s="48" t="str">
        <f t="shared" si="50"/>
        <v>"NO_GRE",</v>
      </c>
      <c r="FI8" s="48" t="str">
        <f t="shared" si="51"/>
        <v>"NO_YEL",</v>
      </c>
      <c r="FJ8" s="48" t="str">
        <f t="shared" si="52"/>
        <v>"NO_BLA",</v>
      </c>
      <c r="FK8" s="48" t="str">
        <f t="shared" si="53"/>
        <v/>
      </c>
      <c r="FL8" s="48" t="str">
        <f t="shared" si="54"/>
        <v/>
      </c>
      <c r="FM8" s="48" t="str">
        <f t="shared" si="55"/>
        <v/>
      </c>
      <c r="FN8" s="48" t="str">
        <f t="shared" si="56"/>
        <v/>
      </c>
      <c r="FO8" s="48" t="str">
        <f t="shared" si="57"/>
        <v/>
      </c>
      <c r="FP8" s="48" t="str">
        <f t="shared" si="58"/>
        <v/>
      </c>
      <c r="FQ8" s="48" t="str">
        <f t="shared" si="59"/>
        <v/>
      </c>
      <c r="FR8" s="48" t="str">
        <f t="shared" si="60"/>
        <v/>
      </c>
      <c r="FS8" s="48" t="str">
        <f t="shared" si="61"/>
        <v/>
      </c>
      <c r="FT8" s="48" t="str">
        <f t="shared" si="62"/>
        <v>"myrBLU",</v>
      </c>
      <c r="FU8" s="48" t="str">
        <f t="shared" si="63"/>
        <v/>
      </c>
      <c r="FV8" s="48" t="str">
        <f t="shared" si="64"/>
        <v/>
      </c>
      <c r="FW8" s="48" t="str">
        <f t="shared" si="65"/>
        <v/>
      </c>
      <c r="FX8" s="48" t="str">
        <f t="shared" si="66"/>
        <v/>
      </c>
      <c r="FY8" s="48" t="str">
        <f t="shared" si="67"/>
        <v/>
      </c>
      <c r="FZ8" s="48" t="str">
        <f t="shared" si="68"/>
        <v/>
      </c>
      <c r="GA8" s="48" t="str">
        <f t="shared" si="69"/>
        <v/>
      </c>
      <c r="GB8" s="48" t="str">
        <f t="shared" si="70"/>
        <v/>
      </c>
      <c r="GC8" s="48" t="str">
        <f t="shared" si="71"/>
        <v/>
      </c>
      <c r="GD8" s="48" t="str">
        <f t="shared" si="72"/>
        <v/>
      </c>
      <c r="GE8" s="48" t="str">
        <f t="shared" si="73"/>
        <v/>
      </c>
      <c r="GF8" s="48" t="str">
        <f>IFERROR(IF(SEARCH("Historical",AU8)&gt;0,CHAR(34)&amp;"histor"&amp;CHAR(34)&amp;",",""),"")</f>
        <v/>
      </c>
      <c r="GG8" s="48" t="str">
        <f t="shared" si="74"/>
        <v/>
      </c>
      <c r="GH8" s="48" t="str">
        <f t="shared" si="75"/>
        <v/>
      </c>
      <c r="GI8" s="48" t="str">
        <f t="shared" si="76"/>
        <v/>
      </c>
      <c r="GJ8" s="48" t="str">
        <f t="shared" si="77"/>
        <v>"NoStar",</v>
      </c>
      <c r="GK8" s="48" t="str">
        <f t="shared" si="78"/>
        <v/>
      </c>
      <c r="GL8" s="48" t="str">
        <f t="shared" si="4"/>
        <v/>
      </c>
      <c r="GM8" s="48" t="str">
        <f t="shared" si="4"/>
        <v/>
      </c>
      <c r="GN8" s="48" t="str">
        <f t="shared" si="4"/>
        <v/>
      </c>
      <c r="GP8" s="48" t="str">
        <f t="shared" si="79"/>
        <v>"Province"</v>
      </c>
      <c r="GS8" s="48" t="str">
        <f t="shared" si="80"/>
        <v>["2Color","lets10","startC","BLUWHI","year19","allhor","3Bands","Diagon","Crosse","Horizo","Circle","Plants","Texted","HasSun","Trside","Unequa","Humans","NO_RED","NO_GRE","NO_YEL","NO_BLA","myrBLU","NoStar"]</v>
      </c>
      <c r="GT8" s="48" t="str">
        <f t="shared" si="5"/>
        <v/>
      </c>
      <c r="GU8" s="48" t="str">
        <f t="shared" si="5"/>
        <v>"cl_BLU",</v>
      </c>
      <c r="GV8" s="48" t="str">
        <f t="shared" si="5"/>
        <v/>
      </c>
      <c r="GW8" s="48" t="str">
        <f t="shared" si="5"/>
        <v/>
      </c>
      <c r="GX8" s="48" t="str">
        <f t="shared" si="5"/>
        <v/>
      </c>
      <c r="GY8" s="48" t="str">
        <f t="shared" si="5"/>
        <v/>
      </c>
      <c r="GZ8" s="48" t="str">
        <f t="shared" si="5"/>
        <v/>
      </c>
      <c r="HA8" s="48" t="str">
        <f t="shared" si="5"/>
        <v/>
      </c>
      <c r="HB8" s="48" t="str">
        <f t="shared" si="5"/>
        <v>"cl_WHI",</v>
      </c>
      <c r="HC8" s="48" t="str">
        <f t="shared" si="81"/>
        <v>["cl_BLU","cl_WHI"]</v>
      </c>
      <c r="HE8" s="71"/>
      <c r="HF8" s="72" t="str">
        <f t="shared" si="82"/>
        <v>{couname:"[ARG] Corrientes",year:"1986",region:"rgn_South America",Colors:["cl_BLU","cl_WHI"],Items:["2Color","lets10","startC","BLUWHI","year19","allhor","3Bands","Diagon","Crosse","Horizo","Circle","Plants","Texted","HasSun","Trside","Unequa","Humans","NO_RED","NO_GRE","NO_YEL","NO_BLA","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links: "https://www.crwflags.com/fotw/flags/ar-w.html#1823"},</v>
      </c>
      <c r="HG8" s="73" t="str">
        <f t="shared" si="83"/>
        <v>{couname:"[ARG] Corrientes",year:"1986",region:"rgn_South America",Colors:["cl_BLU","cl_WHI"],Items:["2Color","lets10","startC","BLUWHI","year19","allhor","3Bands","Diagon","Crosse","Horizo","Circle","Plants","Texted","HasSun","Trside","Unequa","Humans","NO_RED","NO_GRE","NO_YEL","NO_BLA","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links: "https://www.crwflags.com/fotw/flags/ar-w.html#1823"},</v>
      </c>
      <c r="HH8" s="48" t="str">
        <f t="shared" si="84"/>
        <v>"\nBy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v>
      </c>
      <c r="HI8" s="48" t="str">
        <f t="shared" si="85"/>
        <v>"\nBy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v>
      </c>
      <c r="HJ8" s="48" t="str">
        <f t="shared" si="86"/>
        <v>"1986"</v>
      </c>
      <c r="HL8" s="48" t="str">
        <f t="shared" si="87"/>
        <v>"https://www.crwflags.com/fotw/flags/ar-w.html#1823"</v>
      </c>
      <c r="HM8" s="72" t="str">
        <f t="shared" si="88"/>
        <v>{"couname":"[ARG] Corrientes","year":"1986","region":"rgn_South America","Colors":["cl_BLU","cl_WHI"],"Items":["2Color","lets10","startC","BLUWHI","year19","allhor","3Bands","Diagon","Crosse","Horizo","Circle","Plants","Texted","HasSun","Trside","Unequa","Humans","NO_RED","NO_GRE","NO_YEL","NO_BLA","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 "links": "https://www.crwflags.com/fotw/flags/ar-w.html#1823"},</v>
      </c>
      <c r="HN8" s="74" t="str">
        <f t="shared" si="89"/>
        <v>{"couname":"[ARG] Corrientes","year":"1986","region":"rgn_South America","Colors":["cl_BLU","cl_WHI"],"Items":["2Color","lets10","startC","BLUWHI","year19","allhor","3Bands","Diagon","Crosse","Horizo","Circle","Plants","Texted","HasSun","Trside","Unequa","Humans","NO_RED","NO_GRE","NO_YEL","NO_BLA","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 "links": "https://www.crwflags.com/fotw/flags/ar-w.html#1823"},</v>
      </c>
      <c r="HO8" s="75">
        <v>45576</v>
      </c>
      <c r="HP8" s="48" t="str" cm="1">
        <f t="array" ref="HP8">IF(_xlfn.TEXTJOIN(", ", TRUE, IF(ISNUMBER(SEARCH("BLA", BL8:BT8)), COLUMN(BL8:BT8) - COLUMN(BL8) + 1, ""))&lt;&gt;"","BLA","")</f>
        <v/>
      </c>
      <c r="HQ8" s="48" t="str" cm="1">
        <f t="array" ref="HQ8">IF(_xlfn.TEXTJOIN(", ", TRUE, IF(ISNUMBER(SEARCH("BLU", BL8:BT8)), COLUMN(BL8:BT8) - COLUMN(BL8) + 1, ""))&lt;&gt;"","BLU","")</f>
        <v>BLU</v>
      </c>
      <c r="HR8" s="48" t="str" cm="1">
        <f t="array" ref="HR8">IF(_xlfn.TEXTJOIN(", ", TRUE, IF(ISNUMBER(SEARCH("GRE", BL8:BT8)), COLUMN(BL8:BT8) - COLUMN(BL8) + 1, ""))&lt;&gt;"","GRE","")</f>
        <v/>
      </c>
      <c r="HS8" s="48" t="str" cm="1">
        <f t="array" ref="HS8">IF(_xlfn.TEXTJOIN(", ", TRUE, IF(ISNUMBER(SEARCH("RED", BL8:BT8)), COLUMN(BL8:BT8) - COLUMN(BL8) + 1, ""))&lt;&gt;"","RED","")</f>
        <v/>
      </c>
      <c r="HT8" s="48" t="str" cm="1">
        <f t="array" ref="HT8">IF(_xlfn.TEXTJOIN(", ", TRUE, IF(ISNUMBER(SEARCH("YEL", BL8:BT8)), COLUMN(BL8:BT8) - COLUMN(BL8) + 1, ""))&lt;&gt;"","YEL","")</f>
        <v/>
      </c>
      <c r="HU8" s="48" t="str" cm="1">
        <f t="array" ref="HU8">IF(_xlfn.TEXTJOIN(", ", TRUE, IF(ISNUMBER(SEARCH("ORA", BL8:BT8)), COLUMN(BL8:BT8) - COLUMN(BL8) + 1, ""))&lt;&gt;"","ORA","")</f>
        <v/>
      </c>
      <c r="HV8" s="48" t="str" cm="1">
        <f t="array" ref="HV8">IF(_xlfn.TEXTJOIN(", ", TRUE, IF(ISNUMBER(SEARCH("BRO", BL8:BT8)), COLUMN(BL8:BT8) - COLUMN(BL8) + 1, ""))&lt;&gt;"","BRO","")</f>
        <v/>
      </c>
      <c r="HW8" s="48" t="str" cm="1">
        <f t="array" ref="HW8">IF(_xlfn.TEXTJOIN(", ", TRUE, IF(ISNUMBER(SEARCH("PUR", BL8:BT8)), COLUMN(BL8:BT8) - COLUMN(BL8) + 1, ""))&lt;&gt;"","PUR","")</f>
        <v/>
      </c>
      <c r="HX8" s="48" t="str" cm="1">
        <f t="array" ref="HX8">IF(_xlfn.TEXTJOIN(", ", TRUE, IF(ISNUMBER(SEARCH("WHI", BL8:BT8)), COLUMN(BL8:BT8) - COLUMN(BL8) + 1, ""))&lt;&gt;"","WHI","")</f>
        <v>WHI</v>
      </c>
      <c r="HY8" s="76"/>
      <c r="HZ8" s="76"/>
      <c r="IA8" s="6"/>
      <c r="IB8" s="6"/>
      <c r="IC8" s="77"/>
      <c r="ID8" s="77"/>
      <c r="IE8" s="77"/>
      <c r="IF8" s="77"/>
      <c r="IG8" s="77"/>
      <c r="IH8" s="77"/>
      <c r="II8" s="77"/>
      <c r="IJ8" s="77"/>
      <c r="IK8" s="77"/>
      <c r="IL8" s="48">
        <f t="shared" si="90"/>
        <v>0</v>
      </c>
      <c r="IM8" s="45">
        <f t="shared" si="91"/>
        <v>-2</v>
      </c>
      <c r="IN8" s="78" t="str">
        <f t="shared" si="92"/>
        <v>http://mkweb.bcgsc.ca/color-summarizer/?url=https://upload.wikimedia.org/wikipedia/commons/thumb/4/46/Bandera_de_la_Provincia_de_Corrientes.svg/320px-Bandera_de_la_Provincia_de_Corrientes.svg.png&amp;precision=low&amp;num_clusters=2&amp;text=1</v>
      </c>
      <c r="IO8" s="48" t="str">
        <f t="shared" si="93"/>
        <v/>
      </c>
      <c r="IP8" s="48" t="str">
        <f t="shared" si="94"/>
        <v>"blue"</v>
      </c>
      <c r="IQ8" s="48" t="str">
        <f t="shared" si="95"/>
        <v/>
      </c>
      <c r="IR8" s="48" t="str">
        <f t="shared" si="96"/>
        <v/>
      </c>
      <c r="IS8" s="48" t="str">
        <f t="shared" si="97"/>
        <v/>
      </c>
      <c r="IT8" s="48" t="str">
        <f t="shared" si="98"/>
        <v/>
      </c>
      <c r="IU8" s="48" t="str">
        <f t="shared" si="99"/>
        <v/>
      </c>
      <c r="IV8" s="48" t="str">
        <f t="shared" si="100"/>
        <v/>
      </c>
      <c r="IW8" s="48" t="str">
        <f t="shared" si="101"/>
        <v>"white"</v>
      </c>
      <c r="IX8" s="48" t="str">
        <f t="shared" si="102"/>
        <v>{"url":"http://mkweb.bcgsc.ca/color-summarizer/?url=https://upload.wikimedia.org/wikipedia/commons/thumb/4/46/Bandera_de_la_Provincia_de_Corrientes.svg/320px-Bandera_de_la_Provincia_de_Corrientes.svg.png&amp;precision=low&amp;num_clusters=2&amp;text=1","name":"[ARG] Corrientes"},</v>
      </c>
      <c r="IY8" s="48">
        <v>641</v>
      </c>
    </row>
    <row r="9" spans="1:259" s="48" customFormat="1" ht="38.4" customHeight="1" thickBot="1" x14ac:dyDescent="0.35">
      <c r="A9" s="79" t="s">
        <v>305</v>
      </c>
      <c r="B9" s="40" t="e" vm="8">
        <v>#VALUE!</v>
      </c>
      <c r="C9" s="80">
        <v>2</v>
      </c>
      <c r="D9" s="42" t="s">
        <v>306</v>
      </c>
      <c r="E9" s="43" t="s">
        <v>307</v>
      </c>
      <c r="F9" s="44" t="s">
        <v>166</v>
      </c>
      <c r="G9" s="45">
        <f>COUNTIF($A$1:$A$8299,A9)</f>
        <v>1</v>
      </c>
      <c r="H9" s="46"/>
      <c r="I9" s="47" t="s">
        <v>308</v>
      </c>
      <c r="J9" s="48" t="str">
        <f>""</f>
        <v/>
      </c>
      <c r="K9" s="49"/>
      <c r="L9" s="50"/>
      <c r="M9" s="50"/>
      <c r="N9" s="51" t="s">
        <v>169</v>
      </c>
      <c r="O9" s="52">
        <v>1991</v>
      </c>
      <c r="P9" s="53" t="s">
        <v>309</v>
      </c>
      <c r="Q9" s="54">
        <f>IFERROR(LEN(TRIM(SUBSTITUTE(SUBSTITUTE(SUBSTITUTE(A9,LEFT(A9,6),""), "(", ""), ")", "")))-LEN(SUBSTITUTE(TRIM(SUBSTITUTE(SUBSTITUTE(SUBSTITUTE(A9,LEFT(A9,6),""), "(", ""), ")", "")), " ", ""))+1, 0)</f>
        <v>1</v>
      </c>
      <c r="R9" s="55" t="s">
        <v>169</v>
      </c>
      <c r="S9" s="56">
        <v>3</v>
      </c>
      <c r="T9" s="57" t="s">
        <v>173</v>
      </c>
      <c r="U9" s="58" t="s">
        <v>172</v>
      </c>
      <c r="V9" s="58" t="s">
        <v>173</v>
      </c>
      <c r="W9" s="58" t="s">
        <v>172</v>
      </c>
      <c r="X9" s="58" t="s">
        <v>173</v>
      </c>
      <c r="Y9" s="58" t="s">
        <v>172</v>
      </c>
      <c r="Z9" s="58" t="s">
        <v>172</v>
      </c>
      <c r="AA9" s="58" t="s">
        <v>173</v>
      </c>
      <c r="AB9" s="58" t="s">
        <v>172</v>
      </c>
      <c r="AC9" s="58" t="s">
        <v>172</v>
      </c>
      <c r="AD9" s="58" t="s">
        <v>172</v>
      </c>
      <c r="AE9" s="58" t="s">
        <v>172</v>
      </c>
      <c r="AF9" s="59" t="s">
        <v>172</v>
      </c>
      <c r="AG9" s="59" t="s">
        <v>172</v>
      </c>
      <c r="AH9" s="59" t="s">
        <v>172</v>
      </c>
      <c r="AI9" s="59" t="s">
        <v>172</v>
      </c>
      <c r="AJ9" s="59" t="s">
        <v>172</v>
      </c>
      <c r="AK9" s="59" t="s">
        <v>172</v>
      </c>
      <c r="AL9" s="59" t="s">
        <v>172</v>
      </c>
      <c r="AM9" s="59" t="s">
        <v>172</v>
      </c>
      <c r="AN9" s="59" t="s">
        <v>172</v>
      </c>
      <c r="AO9" s="59" t="s">
        <v>172</v>
      </c>
      <c r="AP9" s="59" t="s">
        <v>172</v>
      </c>
      <c r="AQ9" s="59" t="s">
        <v>172</v>
      </c>
      <c r="AR9" s="59" t="s">
        <v>172</v>
      </c>
      <c r="AS9" s="59" t="s">
        <v>172</v>
      </c>
      <c r="AT9" s="60">
        <v>9</v>
      </c>
      <c r="AU9" s="59" t="s">
        <v>277</v>
      </c>
      <c r="AV9" s="59" t="str">
        <f>IF(LEFT(A9,1)="[",LEFT(A9,5)&amp;AU9&amp;A9,"")</f>
        <v>[ARG]Province[ARG] Formosa</v>
      </c>
      <c r="AW9" s="59" t="str">
        <f>C9&amp;IFERROR(SUBSTITUTE(A9, " [ANT]",""),"")</f>
        <v>2[ARG] Formosa</v>
      </c>
      <c r="AX9" s="61" t="str">
        <f>_xlfn.TEXTJOIN(";",TRUE,AU9:AW9)</f>
        <v>Province;[ARG]Province[ARG] Formosa;2[ARG] Formosa</v>
      </c>
      <c r="AY9" s="61" t="s">
        <v>173</v>
      </c>
      <c r="AZ9" s="62" t="s">
        <v>159</v>
      </c>
      <c r="BA9" s="62"/>
      <c r="BB9" s="62"/>
      <c r="BC9" s="63"/>
      <c r="BD9" s="64" t="s">
        <v>152</v>
      </c>
      <c r="BE9" s="47"/>
      <c r="BF9" s="64" t="s">
        <v>152</v>
      </c>
      <c r="BG9" s="64"/>
      <c r="BH9" s="64" t="s">
        <v>152</v>
      </c>
      <c r="BI9" s="64" t="s">
        <v>156</v>
      </c>
      <c r="BJ9" s="64" t="s">
        <v>159</v>
      </c>
      <c r="BK9" s="47"/>
      <c r="BL9" s="64" t="s">
        <v>152</v>
      </c>
      <c r="BM9" s="64" t="s">
        <v>156</v>
      </c>
      <c r="BN9" s="64" t="s">
        <v>159</v>
      </c>
      <c r="BO9" s="64"/>
      <c r="BP9" s="64"/>
      <c r="BQ9" s="64"/>
      <c r="BR9" s="64"/>
      <c r="BS9" s="64"/>
      <c r="BT9" s="64"/>
      <c r="BU9" s="65"/>
      <c r="BV9" s="66" t="s">
        <v>278</v>
      </c>
      <c r="BW9" s="66">
        <v>0</v>
      </c>
      <c r="BX9" s="47"/>
      <c r="BY9" s="48" t="s">
        <v>173</v>
      </c>
      <c r="CB9" s="6" t="s">
        <v>310</v>
      </c>
      <c r="CC9" s="6"/>
      <c r="CD9" s="67">
        <v>0</v>
      </c>
      <c r="CE9" s="67">
        <v>0</v>
      </c>
      <c r="CF9" s="67" t="e">
        <v>#REF!</v>
      </c>
      <c r="CG9" s="68" cm="1">
        <f t="array" ref="CG9">SUMPRODUCT(--(LEN(TRIM(BL9:BT9))&gt;0))</f>
        <v>3</v>
      </c>
      <c r="CH9" s="59" t="str">
        <f t="shared" si="6"/>
        <v>n</v>
      </c>
      <c r="CI9" s="59" t="str">
        <f t="shared" si="7"/>
        <v>y</v>
      </c>
      <c r="CJ9" s="59" t="str">
        <f t="shared" si="8"/>
        <v>n</v>
      </c>
      <c r="CK9" s="59" t="str">
        <f t="shared" si="9"/>
        <v>n</v>
      </c>
      <c r="CL9" s="59" t="str">
        <f t="shared" si="10"/>
        <v>n</v>
      </c>
      <c r="CM9" s="59" t="str">
        <f t="shared" si="11"/>
        <v>n</v>
      </c>
      <c r="CN9" s="59" t="str">
        <f t="shared" si="12"/>
        <v>y</v>
      </c>
      <c r="CO9" s="59" t="str">
        <f t="shared" si="13"/>
        <v>n</v>
      </c>
      <c r="CP9" s="59" t="str">
        <f t="shared" si="14"/>
        <v>n</v>
      </c>
      <c r="CQ9" s="59" t="str">
        <f t="shared" si="15"/>
        <v>n</v>
      </c>
      <c r="CR9" s="59" t="str">
        <f t="shared" si="16"/>
        <v>n</v>
      </c>
      <c r="CS9" s="59" t="str">
        <f t="shared" si="17"/>
        <v>y</v>
      </c>
      <c r="CT9" s="69" t="str">
        <f t="shared" si="18"/>
        <v>"[ARG] Formosa"</v>
      </c>
      <c r="CU9" s="70" t="str">
        <f t="shared" si="19"/>
        <v>"rgn_South America"</v>
      </c>
      <c r="CV9" s="48" t="str">
        <f t="shared" si="20"/>
        <v>"https://upload.wikimedia.org/wikipedia/commons/thumb/4/42/Bandera_de_la_Provincia_de_Formosa.svg/320px-Bandera_de_la_Provincia_de_Formosa.svg.png"</v>
      </c>
      <c r="CW9" s="48" t="str">
        <f t="shared" si="0"/>
        <v/>
      </c>
      <c r="CX9" s="48" t="str">
        <f t="shared" si="0"/>
        <v>"3Color",</v>
      </c>
      <c r="CY9" s="48" t="str">
        <f t="shared" si="0"/>
        <v/>
      </c>
      <c r="CZ9" s="48" t="str">
        <f t="shared" si="0"/>
        <v/>
      </c>
      <c r="DA9" s="48" t="str">
        <f t="shared" si="21"/>
        <v/>
      </c>
      <c r="DB9" s="48" t="str">
        <f t="shared" si="22"/>
        <v/>
      </c>
      <c r="DC9" s="48" t="str">
        <f>IF(Q9=2,CHAR(34)&amp;"exact2"&amp;CHAR(34)&amp;",","")</f>
        <v/>
      </c>
      <c r="DD9" s="48"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"lets07",</v>
      </c>
      <c r="DE9" s="48"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"startF",</v>
      </c>
      <c r="DF9" s="48" t="str">
        <f t="shared" si="26"/>
        <v/>
      </c>
      <c r="DG9" s="48" t="str">
        <f t="shared" si="27"/>
        <v/>
      </c>
      <c r="DH9" s="48" t="str">
        <f t="shared" si="28"/>
        <v/>
      </c>
      <c r="DI9" s="48" t="str">
        <f t="shared" si="29"/>
        <v/>
      </c>
      <c r="DJ9" s="48" t="str">
        <f t="shared" si="30"/>
        <v/>
      </c>
      <c r="DK9" s="48" t="str">
        <f t="shared" si="31"/>
        <v/>
      </c>
      <c r="DL9" s="48" t="str">
        <f t="shared" si="32"/>
        <v/>
      </c>
      <c r="DM9" s="48" t="str" cm="1">
        <f t="array" ref="DM9">IF(CG9=3,CHAR(34) &amp; _xlfn.TEXTJOIN("", TRUE, RIGHT(HP9:HX9, 2)) &amp; CHAR(34) &amp; ",", "")</f>
        <v>"LURAHI",</v>
      </c>
      <c r="DN9" s="48" t="str">
        <f t="shared" si="33"/>
        <v/>
      </c>
      <c r="DO9" s="48" t="str">
        <f t="shared" si="34"/>
        <v>"year19",</v>
      </c>
      <c r="DP9" s="6" t="str">
        <f t="shared" si="35"/>
        <v/>
      </c>
      <c r="DQ9" s="6" t="str">
        <f t="shared" si="36"/>
        <v/>
      </c>
      <c r="DR9" s="6" t="str">
        <f t="shared" si="37"/>
        <v>"dgband",</v>
      </c>
      <c r="DS9" s="6" t="str">
        <f t="shared" si="38"/>
        <v/>
      </c>
      <c r="DT9" s="6" t="str">
        <f t="shared" si="39"/>
        <v/>
      </c>
      <c r="DU9" s="6" t="str">
        <f t="shared" si="40"/>
        <v/>
      </c>
      <c r="DV9" s="48" t="str">
        <f>IF(IA9&lt;&gt;"",(IF(IA9="y",CHAR(34)&amp;"largec"&amp;CHAR(34)&amp;",",CHAR(34)&amp;"smallc"&amp;CHAR(34)&amp;",")),"")</f>
        <v/>
      </c>
      <c r="DW9" s="48" t="str">
        <f t="shared" si="1"/>
        <v/>
      </c>
      <c r="DX9" s="48" t="str">
        <f t="shared" si="1"/>
        <v/>
      </c>
      <c r="DY9" s="48" t="str">
        <f t="shared" si="1"/>
        <v>"3Bands",</v>
      </c>
      <c r="DZ9" s="48" t="str">
        <f t="shared" si="1"/>
        <v/>
      </c>
      <c r="EA9" s="48" t="str">
        <f t="shared" si="2"/>
        <v>"Diagon",</v>
      </c>
      <c r="EB9" s="48" t="str">
        <f t="shared" si="2"/>
        <v/>
      </c>
      <c r="EC9" s="48" t="str">
        <f t="shared" si="2"/>
        <v>"Horizo",</v>
      </c>
      <c r="ED9" s="48" t="str">
        <f t="shared" si="2"/>
        <v/>
      </c>
      <c r="EE9" s="48" t="str">
        <f t="shared" si="2"/>
        <v>"Circle",</v>
      </c>
      <c r="EF9" s="48" t="str">
        <f t="shared" si="42"/>
        <v/>
      </c>
      <c r="EG9" s="48" t="str">
        <f t="shared" si="3"/>
        <v/>
      </c>
      <c r="EH9" s="48" t="str">
        <f t="shared" si="3"/>
        <v>"Plants",</v>
      </c>
      <c r="EI9" s="48" t="str">
        <f t="shared" si="3"/>
        <v/>
      </c>
      <c r="EJ9" s="48" t="str">
        <f t="shared" si="3"/>
        <v/>
      </c>
      <c r="EK9" s="48" t="str">
        <f t="shared" si="3"/>
        <v/>
      </c>
      <c r="EL9" s="48" t="str">
        <f t="shared" si="3"/>
        <v/>
      </c>
      <c r="EM9" s="48" t="str">
        <f t="shared" si="3"/>
        <v/>
      </c>
      <c r="EN9" s="48" t="str">
        <f t="shared" si="3"/>
        <v/>
      </c>
      <c r="EO9" s="48" t="str">
        <f t="shared" si="3"/>
        <v/>
      </c>
      <c r="EP9" s="48" t="str">
        <f t="shared" si="3"/>
        <v/>
      </c>
      <c r="EQ9" s="48" t="str">
        <f t="shared" si="3"/>
        <v/>
      </c>
      <c r="ER9" s="48" t="str">
        <f t="shared" si="3"/>
        <v/>
      </c>
      <c r="ES9" s="48" t="str">
        <f t="shared" si="3"/>
        <v/>
      </c>
      <c r="ET9" s="48" t="str">
        <f t="shared" si="3"/>
        <v/>
      </c>
      <c r="EU9" s="48" t="str">
        <f t="shared" si="3"/>
        <v/>
      </c>
      <c r="EV9" s="48" t="str">
        <f t="shared" si="3"/>
        <v/>
      </c>
      <c r="EW9" s="48" t="str">
        <f t="shared" si="3"/>
        <v/>
      </c>
      <c r="EX9" s="48" t="str">
        <f t="shared" si="3"/>
        <v/>
      </c>
      <c r="EY9" s="48" t="str">
        <f t="shared" si="3"/>
        <v/>
      </c>
      <c r="EZ9" s="48" t="str">
        <f t="shared" si="3"/>
        <v/>
      </c>
      <c r="FA9" s="48" t="str">
        <f t="shared" si="43"/>
        <v>"staWHI",</v>
      </c>
      <c r="FB9" s="48" t="str">
        <f t="shared" si="44"/>
        <v/>
      </c>
      <c r="FC9" s="48" t="str">
        <f>IF(AND(AT9&gt;0,BB9&lt;&gt;""),CHAR(34)&amp;"sta"&amp;BB9&amp;CHAR(34)&amp;",","")</f>
        <v/>
      </c>
      <c r="FD9" s="48" t="str">
        <f t="shared" si="46"/>
        <v/>
      </c>
      <c r="FE9" s="48" t="str">
        <f t="shared" si="47"/>
        <v/>
      </c>
      <c r="FF9" s="48" t="str">
        <f t="shared" si="48"/>
        <v/>
      </c>
      <c r="FG9" s="48" t="str">
        <f t="shared" si="49"/>
        <v>"NO_RED",</v>
      </c>
      <c r="FH9" s="48" t="str">
        <f t="shared" si="50"/>
        <v>"NO_GRE",</v>
      </c>
      <c r="FI9" s="48" t="str">
        <f t="shared" si="51"/>
        <v>"NO_YEL",</v>
      </c>
      <c r="FJ9" s="48" t="str">
        <f t="shared" si="52"/>
        <v>"NO_BLA",</v>
      </c>
      <c r="FK9" s="48" t="str">
        <f t="shared" si="53"/>
        <v/>
      </c>
      <c r="FL9" s="48" t="str">
        <f t="shared" si="54"/>
        <v/>
      </c>
      <c r="FM9" s="48" t="str">
        <f t="shared" si="55"/>
        <v/>
      </c>
      <c r="FN9" s="48" t="str">
        <f t="shared" si="56"/>
        <v/>
      </c>
      <c r="FO9" s="48" t="str">
        <f t="shared" si="57"/>
        <v/>
      </c>
      <c r="FP9" s="48" t="str">
        <f t="shared" si="58"/>
        <v/>
      </c>
      <c r="FQ9" s="48" t="str">
        <f t="shared" si="59"/>
        <v>"001BLU",</v>
      </c>
      <c r="FR9" s="48" t="str">
        <f t="shared" si="60"/>
        <v/>
      </c>
      <c r="FS9" s="48" t="str">
        <f t="shared" si="61"/>
        <v>"003BLU",</v>
      </c>
      <c r="FT9" s="48" t="str">
        <f t="shared" si="62"/>
        <v>"myrBLU",</v>
      </c>
      <c r="FU9" s="48" t="str">
        <f t="shared" si="63"/>
        <v>"island",</v>
      </c>
      <c r="FV9" s="48" t="str">
        <f t="shared" si="64"/>
        <v/>
      </c>
      <c r="FW9" s="48" t="str">
        <f t="shared" si="65"/>
        <v/>
      </c>
      <c r="FX9" s="48" t="str">
        <f>SUBSTITUTE(IFERROR(SEARCH("[",A9),IFERROR(IF(AND(CA9&lt;&gt;"y",SEARCH("Europe",R9)&gt;0),CHAR(34)&amp;"noeuni"&amp;CHAR(34)&amp;",",""),"")),"1","")</f>
        <v/>
      </c>
      <c r="FY9" s="48" t="str">
        <f t="shared" si="67"/>
        <v/>
      </c>
      <c r="FZ9" s="48" t="str">
        <f t="shared" si="68"/>
        <v>"englis",</v>
      </c>
      <c r="GA9" s="48" t="str">
        <f t="shared" si="69"/>
        <v/>
      </c>
      <c r="GB9" s="48" t="str">
        <f t="shared" si="70"/>
        <v/>
      </c>
      <c r="GC9" s="48" t="str">
        <f>IFERROR(IF(SEARCH("Portuguese",CB9)&gt;0,CHAR(34)&amp;"portug"&amp;CHAR(34)&amp;",",""),"")</f>
        <v/>
      </c>
      <c r="GD9" s="48" t="str">
        <f>IFERROR(IF(SEARCH("German",CB9)&gt;0,CHAR(34)&amp;"german"&amp;CHAR(34)&amp;",",""),"")</f>
        <v/>
      </c>
      <c r="GE9" s="48" t="str">
        <f t="shared" si="73"/>
        <v/>
      </c>
      <c r="GF9" s="48" t="str">
        <f>IFERROR(IF(SEARCH("Histor",AU9)&gt;0,CHAR(34)&amp;"histor"&amp;CHAR(34)&amp;",",""),"")</f>
        <v/>
      </c>
      <c r="GG9" s="48" t="str">
        <f t="shared" si="74"/>
        <v/>
      </c>
      <c r="GH9" s="48" t="str">
        <f t="shared" si="75"/>
        <v/>
      </c>
      <c r="GI9" s="48" t="str">
        <f t="shared" si="76"/>
        <v/>
      </c>
      <c r="GJ9" s="48" t="str">
        <f t="shared" si="77"/>
        <v/>
      </c>
      <c r="GK9" s="48" t="str">
        <f t="shared" si="78"/>
        <v>"HasSta",</v>
      </c>
      <c r="GL9" s="48" t="str">
        <f t="shared" si="4"/>
        <v/>
      </c>
      <c r="GM9" s="48" t="str">
        <f t="shared" si="4"/>
        <v/>
      </c>
      <c r="GN9" s="48" t="str">
        <f t="shared" si="4"/>
        <v>"3+Star",</v>
      </c>
      <c r="GP9" s="48" t="str">
        <f t="shared" si="79"/>
        <v>"Province"</v>
      </c>
      <c r="GS9" s="48" t="str">
        <f t="shared" si="80"/>
        <v>["3Color","lets07","startF","LURAHI","year19","dgband","3Bands","Diagon","Horizo","Circle","Plants","staWHI","NO_RED","NO_GRE","NO_YEL","NO_BLA","001BLU","003BLU","myrBLU","island","englis","HasSta","3+Star"]</v>
      </c>
      <c r="GT9" s="48" t="str">
        <f t="shared" si="5"/>
        <v>"cl_BLU",</v>
      </c>
      <c r="GU9" s="48" t="str">
        <f t="shared" si="5"/>
        <v>"cl_ORA",</v>
      </c>
      <c r="GV9" s="48" t="str">
        <f t="shared" si="5"/>
        <v>"cl_WHI",</v>
      </c>
      <c r="GW9" s="48" t="str">
        <f t="shared" si="5"/>
        <v/>
      </c>
      <c r="GX9" s="48" t="str">
        <f t="shared" si="5"/>
        <v/>
      </c>
      <c r="GY9" s="48" t="str">
        <f t="shared" si="5"/>
        <v/>
      </c>
      <c r="GZ9" s="48" t="str">
        <f t="shared" si="5"/>
        <v/>
      </c>
      <c r="HA9" s="48" t="str">
        <f t="shared" si="5"/>
        <v/>
      </c>
      <c r="HB9" s="48" t="str">
        <f t="shared" si="5"/>
        <v/>
      </c>
      <c r="HC9" s="48" t="str">
        <f t="shared" si="81"/>
        <v>["cl_BLU","cl_ORA","cl_WHI"]</v>
      </c>
      <c r="HE9" s="71"/>
      <c r="HF9" s="72" t="str">
        <f t="shared" si="82"/>
        <v>{couname:"[ARG] Formosa",year:"1991",region:"rgn_South America",Colors:["cl_BLU","cl_ORA","cl_WHI"],Items:["3Color","lets07","startF","LURAHI","year19","dgband","3Bands","Diagon","Horizo","Circle","Plants","staWHI","NO_RED","NO_GRE","NO_YEL","NO_BLA","001BLU","003BLU","myrBLU","island","englis","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links: "https://www.crwflags.com/fotw/flags/ar-p.html"},</v>
      </c>
      <c r="HG9" s="73" t="str">
        <f t="shared" si="83"/>
        <v>{couname:"[ARG] Formosa",year:"1991",region:"rgn_South America",Colors:["cl_BLU","cl_ORA","cl_WHI"],Items:["3Color","lets07","startF","LURAHI","year19","dgband","3Bands","Diagon","Horizo","Circle","Plants","staWHI","NO_RED","NO_GRE","NO_YEL","NO_BLA","001BLU","003BLU","myrBLU","island","englis","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links: "https://www.crwflags.com/fotw/flags/ar-p.html"},</v>
      </c>
      <c r="HH9" s="48" t="str">
        <f t="shared" si="84"/>
        <v>"\nThe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v>
      </c>
      <c r="HI9" s="48" t="str">
        <f t="shared" si="85"/>
        <v>"\nThe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v>
      </c>
      <c r="HJ9" s="48" t="str">
        <f t="shared" si="86"/>
        <v>"1991"</v>
      </c>
      <c r="HL9" s="48" t="str">
        <f t="shared" si="87"/>
        <v>"https://www.crwflags.com/fotw/flags/ar-p.html"</v>
      </c>
      <c r="HM9" s="72" t="str">
        <f t="shared" si="88"/>
        <v>{"couname":"[ARG] Formosa","year":"1991","region":"rgn_South America","Colors":["cl_BLU","cl_ORA","cl_WHI"],"Items":["3Color","lets07","startF","LURAHI","year19","dgband","3Bands","Diagon","Horizo","Circle","Plants","staWHI","NO_RED","NO_GRE","NO_YEL","NO_BLA","001BLU","003BLU","myrBLU","island","englis","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 "links": "https://www.crwflags.com/fotw/flags/ar-p.html"},</v>
      </c>
      <c r="HN9" s="74" t="str">
        <f t="shared" si="89"/>
        <v>{"couname":"[ARG] Formosa","year":"1991","region":"rgn_South America","Colors":["cl_BLU","cl_ORA","cl_WHI"],"Items":["3Color","lets07","startF","LURAHI","year19","dgband","3Bands","Diagon","Horizo","Circle","Plants","staWHI","NO_RED","NO_GRE","NO_YEL","NO_BLA","001BLU","003BLU","myrBLU","island","englis","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 "links": "https://www.crwflags.com/fotw/flags/ar-p.html"},</v>
      </c>
      <c r="HO9" s="75"/>
      <c r="HP9" s="48" t="str" cm="1">
        <f t="array" ref="HP9">IF(_xlfn.TEXTJOIN(", ", TRUE, IF(ISNUMBER(SEARCH("BLA", BL9:BT9)), COLUMN(BL9:BT9) - COLUMN(BL9) + 1, ""))&lt;&gt;"","BLA","")</f>
        <v/>
      </c>
      <c r="HQ9" s="48" t="str" cm="1">
        <f t="array" ref="HQ9">IF(_xlfn.TEXTJOIN(", ", TRUE, IF(ISNUMBER(SEARCH("BLU", BL9:BT9)), COLUMN(BL9:BT9) - COLUMN(BL9) + 1, ""))&lt;&gt;"","BLU","")</f>
        <v>BLU</v>
      </c>
      <c r="HR9" s="48" t="str" cm="1">
        <f t="array" ref="HR9">IF(_xlfn.TEXTJOIN(", ", TRUE, IF(ISNUMBER(SEARCH("GRE", BL9:BT9)), COLUMN(BL9:BT9) - COLUMN(BL9) + 1, ""))&lt;&gt;"","GRE","")</f>
        <v/>
      </c>
      <c r="HS9" s="48" t="str" cm="1">
        <f t="array" ref="HS9">IF(_xlfn.TEXTJOIN(", ", TRUE, IF(ISNUMBER(SEARCH("RED", BL9:BT9)), COLUMN(BL9:BT9) - COLUMN(BL9) + 1, ""))&lt;&gt;"","RED","")</f>
        <v/>
      </c>
      <c r="HT9" s="48" t="str" cm="1">
        <f t="array" ref="HT9">IF(_xlfn.TEXTJOIN(", ", TRUE, IF(ISNUMBER(SEARCH("YEL", BL9:BT9)), COLUMN(BL9:BT9) - COLUMN(BL9) + 1, ""))&lt;&gt;"","YEL","")</f>
        <v/>
      </c>
      <c r="HU9" s="48" t="str" cm="1">
        <f t="array" ref="HU9">IF(_xlfn.TEXTJOIN(", ", TRUE, IF(ISNUMBER(SEARCH("ORA", BL9:BT9)), COLUMN(BL9:BT9) - COLUMN(BL9) + 1, ""))&lt;&gt;"","ORA","")</f>
        <v>ORA</v>
      </c>
      <c r="HV9" s="48" t="str" cm="1">
        <f t="array" ref="HV9">IF(_xlfn.TEXTJOIN(", ", TRUE, IF(ISNUMBER(SEARCH("BRO", BL9:BT9)), COLUMN(BL9:BT9) - COLUMN(BL9) + 1, ""))&lt;&gt;"","BRO","")</f>
        <v/>
      </c>
      <c r="HW9" s="48" t="str" cm="1">
        <f t="array" ref="HW9">IF(_xlfn.TEXTJOIN(", ", TRUE, IF(ISNUMBER(SEARCH("PUR", BL9:BT9)), COLUMN(BL9:BT9) - COLUMN(BL9) + 1, ""))&lt;&gt;"","PUR","")</f>
        <v/>
      </c>
      <c r="HX9" s="48" t="str" cm="1">
        <f t="array" ref="HX9">IF(_xlfn.TEXTJOIN(", ", TRUE, IF(ISNUMBER(SEARCH("WHI", BL9:BT9)), COLUMN(BL9:BT9) - COLUMN(BL9) + 1, ""))&lt;&gt;"","WHI","")</f>
        <v>WHI</v>
      </c>
      <c r="HY9" s="76"/>
      <c r="HZ9" s="76"/>
      <c r="IA9" s="6"/>
      <c r="IB9" s="6"/>
      <c r="IC9" s="77"/>
      <c r="ID9" s="77"/>
      <c r="IE9" s="77"/>
      <c r="IF9" s="77"/>
      <c r="IG9" s="77"/>
      <c r="IH9" s="77"/>
      <c r="II9" s="77"/>
      <c r="IJ9" s="77"/>
      <c r="IK9" s="77"/>
      <c r="IL9" s="48">
        <f>SUM(IC9:IK9)</f>
        <v>0</v>
      </c>
      <c r="IM9" s="45">
        <f t="shared" si="91"/>
        <v>-3</v>
      </c>
      <c r="IN9" s="78" t="str">
        <f t="shared" si="92"/>
        <v>http://mkweb.bcgsc.ca/color-summarizer/?url=https://upload.wikimedia.org/wikipedia/commons/thumb/4/42/Bandera_de_la_Provincia_de_Formosa.svg/320px-Bandera_de_la_Provincia_de_Formosa.svg.png&amp;precision=low&amp;num_clusters=3&amp;text=1</v>
      </c>
      <c r="IO9" s="48" t="str">
        <f t="shared" si="93"/>
        <v/>
      </c>
      <c r="IP9" s="48" t="str">
        <f t="shared" si="94"/>
        <v>"blue"</v>
      </c>
      <c r="IQ9" s="48" t="str">
        <f t="shared" si="95"/>
        <v/>
      </c>
      <c r="IR9" s="48" t="str">
        <f t="shared" si="96"/>
        <v/>
      </c>
      <c r="IS9" s="48" t="str">
        <f t="shared" si="97"/>
        <v/>
      </c>
      <c r="IT9" s="48" t="str">
        <f t="shared" si="98"/>
        <v>"orange"</v>
      </c>
      <c r="IU9" s="48" t="str">
        <f t="shared" si="99"/>
        <v/>
      </c>
      <c r="IV9" s="48" t="str">
        <f t="shared" si="100"/>
        <v/>
      </c>
      <c r="IW9" s="48" t="str">
        <f t="shared" si="101"/>
        <v>"white"</v>
      </c>
      <c r="IX9" s="48" t="str">
        <f t="shared" si="102"/>
        <v>{"url":"http://mkweb.bcgsc.ca/color-summarizer/?url=https://upload.wikimedia.org/wikipedia/commons/thumb/4/42/Bandera_de_la_Provincia_de_Formosa.svg/320px-Bandera_de_la_Provincia_de_Formosa.svg.png&amp;precision=low&amp;num_clusters=3&amp;text=1","name":"[ARG] Formosa"},</v>
      </c>
      <c r="IY9" s="48">
        <v>133</v>
      </c>
    </row>
    <row r="10" spans="1:259" s="48" customFormat="1" ht="38.4" customHeight="1" thickBot="1" x14ac:dyDescent="0.35">
      <c r="A10" s="79" t="s">
        <v>311</v>
      </c>
      <c r="B10" s="40" t="e" vm="9">
        <v>#VALUE!</v>
      </c>
      <c r="C10" s="41">
        <v>2</v>
      </c>
      <c r="D10" s="42" t="s">
        <v>312</v>
      </c>
      <c r="E10" s="43" t="s">
        <v>313</v>
      </c>
      <c r="F10" s="44" t="s">
        <v>166</v>
      </c>
      <c r="G10" s="45">
        <f>COUNTIF($A$1:$A$8299,A10)</f>
        <v>1</v>
      </c>
      <c r="H10" s="46"/>
      <c r="I10" s="47" t="s">
        <v>314</v>
      </c>
      <c r="J10" s="48" t="str">
        <f>""</f>
        <v/>
      </c>
      <c r="K10" s="49"/>
      <c r="L10" s="50"/>
      <c r="M10" s="50"/>
      <c r="N10" s="51" t="s">
        <v>169</v>
      </c>
      <c r="O10" s="52">
        <v>1993</v>
      </c>
      <c r="P10" s="53" t="s">
        <v>315</v>
      </c>
      <c r="Q10" s="54">
        <v>2</v>
      </c>
      <c r="R10" s="55" t="s">
        <v>169</v>
      </c>
      <c r="S10" s="56">
        <v>3</v>
      </c>
      <c r="T10" s="57" t="s">
        <v>172</v>
      </c>
      <c r="U10" s="58" t="s">
        <v>172</v>
      </c>
      <c r="V10" s="58" t="s">
        <v>173</v>
      </c>
      <c r="W10" s="58" t="s">
        <v>172</v>
      </c>
      <c r="X10" s="58" t="s">
        <v>172</v>
      </c>
      <c r="Y10" s="58" t="s">
        <v>173</v>
      </c>
      <c r="Z10" s="58" t="s">
        <v>172</v>
      </c>
      <c r="AA10" s="58" t="s">
        <v>173</v>
      </c>
      <c r="AB10" s="58" t="s">
        <v>172</v>
      </c>
      <c r="AC10" s="58" t="s">
        <v>173</v>
      </c>
      <c r="AD10" s="58" t="s">
        <v>173</v>
      </c>
      <c r="AE10" s="58" t="s">
        <v>172</v>
      </c>
      <c r="AF10" s="59" t="s">
        <v>172</v>
      </c>
      <c r="AG10" s="59" t="s">
        <v>173</v>
      </c>
      <c r="AH10" s="59" t="s">
        <v>173</v>
      </c>
      <c r="AI10" s="59" t="s">
        <v>172</v>
      </c>
      <c r="AJ10" s="59" t="s">
        <v>172</v>
      </c>
      <c r="AK10" s="59" t="s">
        <v>172</v>
      </c>
      <c r="AL10" s="59" t="s">
        <v>172</v>
      </c>
      <c r="AM10" s="59" t="s">
        <v>172</v>
      </c>
      <c r="AN10" s="59" t="s">
        <v>173</v>
      </c>
      <c r="AO10" s="59" t="s">
        <v>172</v>
      </c>
      <c r="AP10" s="59" t="s">
        <v>172</v>
      </c>
      <c r="AQ10" s="59" t="s">
        <v>172</v>
      </c>
      <c r="AR10" s="59" t="s">
        <v>172</v>
      </c>
      <c r="AS10" s="59" t="s">
        <v>172</v>
      </c>
      <c r="AT10" s="60">
        <v>0</v>
      </c>
      <c r="AU10" s="59" t="s">
        <v>277</v>
      </c>
      <c r="AV10" s="59" t="str">
        <f>IF(LEFT(A10,1)="[",LEFT(A10,5)&amp;AU10&amp;A10,"")</f>
        <v>[ARG]Province[ARG] La Pampa</v>
      </c>
      <c r="AW10" s="59" t="str">
        <f>C10&amp;IFERROR(SUBSTITUTE(A10, " [ANT]",""),"")</f>
        <v>2[ARG] La Pampa</v>
      </c>
      <c r="AX10" s="61"/>
      <c r="AY10" s="61"/>
      <c r="AZ10" s="62" t="s">
        <v>159</v>
      </c>
      <c r="BA10" s="62" t="s">
        <v>174</v>
      </c>
      <c r="BB10" s="62"/>
      <c r="BC10" s="63"/>
      <c r="BD10" s="64" t="s">
        <v>152</v>
      </c>
      <c r="BE10" s="47"/>
      <c r="BF10" s="64" t="s">
        <v>152</v>
      </c>
      <c r="BG10" s="64" t="s">
        <v>174</v>
      </c>
      <c r="BH10" s="64" t="s">
        <v>152</v>
      </c>
      <c r="BI10" s="64"/>
      <c r="BJ10" s="64"/>
      <c r="BK10" s="47"/>
      <c r="BL10" s="64" t="s">
        <v>174</v>
      </c>
      <c r="BM10" s="64" t="s">
        <v>152</v>
      </c>
      <c r="BN10" s="64" t="s">
        <v>153</v>
      </c>
      <c r="BO10" s="64" t="s">
        <v>174</v>
      </c>
      <c r="BP10" s="64" t="s">
        <v>174</v>
      </c>
      <c r="BQ10" s="64" t="s">
        <v>156</v>
      </c>
      <c r="BR10" s="64" t="s">
        <v>174</v>
      </c>
      <c r="BS10" s="64" t="s">
        <v>174</v>
      </c>
      <c r="BT10" s="64" t="s">
        <v>159</v>
      </c>
      <c r="BU10" s="65"/>
      <c r="BV10" s="66"/>
      <c r="BW10" s="66">
        <v>0</v>
      </c>
      <c r="BX10" s="47"/>
      <c r="CB10" s="6"/>
      <c r="CC10" s="6"/>
      <c r="CD10" s="67">
        <v>0</v>
      </c>
      <c r="CE10" s="67">
        <v>0</v>
      </c>
      <c r="CF10" s="67" t="e">
        <v>#REF!</v>
      </c>
      <c r="CG10" s="68" cm="1">
        <f t="array" ref="CG10">SUMPRODUCT(--(LEN(TRIM(BL10:BT10))&gt;0))</f>
        <v>4</v>
      </c>
      <c r="CH10" s="59" t="str">
        <f t="shared" si="6"/>
        <v>n</v>
      </c>
      <c r="CI10" s="59" t="str">
        <f t="shared" si="7"/>
        <v>n</v>
      </c>
      <c r="CJ10" s="59" t="str">
        <f t="shared" si="8"/>
        <v>y</v>
      </c>
      <c r="CK10" s="59" t="str">
        <f t="shared" si="9"/>
        <v>n</v>
      </c>
      <c r="CL10" s="59" t="str">
        <f t="shared" si="10"/>
        <v>n</v>
      </c>
      <c r="CM10" s="59" t="str">
        <f t="shared" si="11"/>
        <v>n</v>
      </c>
      <c r="CN10" s="59" t="str">
        <f t="shared" si="12"/>
        <v>y</v>
      </c>
      <c r="CO10" s="59" t="str">
        <f t="shared" si="13"/>
        <v>n</v>
      </c>
      <c r="CP10" s="59" t="str">
        <f t="shared" si="14"/>
        <v>y</v>
      </c>
      <c r="CQ10" s="59" t="str">
        <f t="shared" si="15"/>
        <v>n</v>
      </c>
      <c r="CR10" s="59" t="str">
        <f t="shared" si="16"/>
        <v>n</v>
      </c>
      <c r="CS10" s="59" t="str">
        <f t="shared" si="17"/>
        <v>n</v>
      </c>
      <c r="CT10" s="69" t="str">
        <f t="shared" si="18"/>
        <v>"[ARG] La Pampa"</v>
      </c>
      <c r="CU10" s="70" t="str">
        <f t="shared" si="19"/>
        <v>"rgn_South America"</v>
      </c>
      <c r="CV10" s="48" t="str">
        <f t="shared" si="20"/>
        <v>"https://upload.wikimedia.org/wikipedia/commons/thumb/8/81/Bandera_de_la_Provincia_de_La_Pampa.svg/320px-Bandera_de_la_Provincia_de_La_Pampa.svg.png"</v>
      </c>
      <c r="CW10" s="48" t="str">
        <f t="shared" si="0"/>
        <v/>
      </c>
      <c r="CX10" s="48" t="str">
        <f t="shared" si="0"/>
        <v/>
      </c>
      <c r="CY10" s="48" t="str">
        <f t="shared" si="0"/>
        <v>"4Color",</v>
      </c>
      <c r="CZ10" s="48" t="str">
        <f t="shared" si="0"/>
        <v/>
      </c>
      <c r="DA10" s="48" t="str">
        <f t="shared" si="21"/>
        <v>"words2",</v>
      </c>
      <c r="DB10" s="48" t="str">
        <f t="shared" si="22"/>
        <v/>
      </c>
      <c r="DD10" s="48" t="str">
        <f>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"lets07",</v>
      </c>
      <c r="DE10" s="48" t="str">
        <f>CHAR(34)&amp;"start"&amp;IFERROR(LEFT(SUBSTITUTE(A10,"["&amp;MID(A10,FIND("[",A10)+1,FIND("]",A10)-FIND("[",A10)-1)&amp;"] ",""),1),LEFT(A10,1))&amp;CHAR(34)&amp;","</f>
        <v>"startL",</v>
      </c>
      <c r="DF10" s="48" t="str">
        <f t="shared" si="26"/>
        <v/>
      </c>
      <c r="DG10" s="48" t="str">
        <f t="shared" si="27"/>
        <v/>
      </c>
      <c r="DH10" s="48" t="str">
        <f t="shared" si="28"/>
        <v/>
      </c>
      <c r="DI10" s="48" t="str">
        <f t="shared" si="29"/>
        <v/>
      </c>
      <c r="DJ10" s="48" t="str">
        <f t="shared" si="30"/>
        <v/>
      </c>
      <c r="DK10" s="48" t="str">
        <f t="shared" si="31"/>
        <v/>
      </c>
      <c r="DL10" s="48" t="str">
        <f t="shared" si="32"/>
        <v/>
      </c>
      <c r="DM10" s="48" t="str" cm="1">
        <f t="array" ref="DM10">IF(CG10=3,CHAR(34) &amp; _xlfn.TEXTJOIN("", TRUE, RIGHT(HP10:HX10, 2)) &amp; CHAR(34) &amp; ",", "")</f>
        <v/>
      </c>
      <c r="DN10" s="48" t="str">
        <f t="shared" si="33"/>
        <v/>
      </c>
      <c r="DO10" s="48" t="str">
        <f t="shared" si="34"/>
        <v>"year19",</v>
      </c>
      <c r="DP10" s="6" t="str">
        <f t="shared" si="35"/>
        <v/>
      </c>
      <c r="DQ10" s="6" t="str">
        <f t="shared" si="36"/>
        <v/>
      </c>
      <c r="DR10" s="6" t="str">
        <f t="shared" si="37"/>
        <v/>
      </c>
      <c r="DS10" s="6" t="str">
        <f t="shared" si="38"/>
        <v/>
      </c>
      <c r="DT10" s="6" t="str">
        <f t="shared" si="39"/>
        <v>"allhor",</v>
      </c>
      <c r="DU10" s="6" t="str">
        <f t="shared" si="40"/>
        <v/>
      </c>
      <c r="DW10" s="48" t="str">
        <f t="shared" si="1"/>
        <v/>
      </c>
      <c r="DX10" s="48" t="str">
        <f t="shared" si="1"/>
        <v/>
      </c>
      <c r="DY10" s="48" t="str">
        <f t="shared" si="1"/>
        <v>"3Bands",</v>
      </c>
      <c r="DZ10" s="48" t="str">
        <f t="shared" si="1"/>
        <v/>
      </c>
      <c r="EA10" s="48" t="str">
        <f t="shared" si="2"/>
        <v/>
      </c>
      <c r="EB10" s="48" t="str">
        <f t="shared" si="2"/>
        <v/>
      </c>
      <c r="EC10" s="48" t="str">
        <f t="shared" si="2"/>
        <v>"Horizo",</v>
      </c>
      <c r="ED10" s="48" t="str">
        <f t="shared" si="2"/>
        <v/>
      </c>
      <c r="EE10" s="48" t="str">
        <f t="shared" si="2"/>
        <v/>
      </c>
      <c r="EF10" s="48" t="str">
        <f t="shared" si="42"/>
        <v>"Animal",</v>
      </c>
      <c r="EG10" s="48" t="str">
        <f t="shared" si="3"/>
        <v/>
      </c>
      <c r="EH10" s="48" t="str">
        <f t="shared" si="3"/>
        <v>"Plants",</v>
      </c>
      <c r="EI10" s="48" t="str">
        <f t="shared" si="3"/>
        <v/>
      </c>
      <c r="EJ10" s="48" t="str">
        <f t="shared" si="3"/>
        <v>"Weapon",</v>
      </c>
      <c r="EK10" s="48" t="str">
        <f t="shared" si="3"/>
        <v>"HasSun",</v>
      </c>
      <c r="EL10" s="48" t="str">
        <f t="shared" si="3"/>
        <v/>
      </c>
      <c r="EM10" s="48" t="str">
        <f t="shared" si="3"/>
        <v/>
      </c>
      <c r="EN10" s="48" t="str">
        <f t="shared" si="3"/>
        <v>"Unequa",</v>
      </c>
      <c r="EO10" s="48" t="str">
        <f t="shared" si="3"/>
        <v>"Center",</v>
      </c>
      <c r="EP10" s="48" t="str">
        <f t="shared" si="3"/>
        <v/>
      </c>
      <c r="EQ10" s="48" t="str">
        <f t="shared" si="3"/>
        <v/>
      </c>
      <c r="ER10" s="48" t="str">
        <f t="shared" si="3"/>
        <v/>
      </c>
      <c r="ES10" s="48" t="str">
        <f t="shared" si="3"/>
        <v/>
      </c>
      <c r="ET10" s="48" t="str">
        <f t="shared" si="3"/>
        <v/>
      </c>
      <c r="EU10" s="48" t="str">
        <f t="shared" si="3"/>
        <v>"Humans",</v>
      </c>
      <c r="EV10" s="48" t="str">
        <f t="shared" si="3"/>
        <v/>
      </c>
      <c r="EW10" s="48" t="str">
        <f t="shared" si="3"/>
        <v/>
      </c>
      <c r="EX10" s="48" t="str">
        <f t="shared" si="3"/>
        <v/>
      </c>
      <c r="EY10" s="48" t="str">
        <f t="shared" si="3"/>
        <v/>
      </c>
      <c r="EZ10" s="48" t="str">
        <f t="shared" si="3"/>
        <v/>
      </c>
      <c r="FA10" s="48" t="str">
        <f t="shared" si="43"/>
        <v/>
      </c>
      <c r="FB10" s="48" t="str">
        <f t="shared" si="44"/>
        <v/>
      </c>
      <c r="FD10" s="48" t="str">
        <f t="shared" si="46"/>
        <v/>
      </c>
      <c r="FE10" s="48" t="str">
        <f t="shared" si="47"/>
        <v/>
      </c>
      <c r="FF10" s="48" t="str">
        <f t="shared" si="48"/>
        <v/>
      </c>
      <c r="FG10" s="48" t="str">
        <f t="shared" si="49"/>
        <v>"NO_RED",</v>
      </c>
      <c r="FH10" s="48" t="str">
        <f t="shared" si="50"/>
        <v/>
      </c>
      <c r="FI10" s="48" t="str">
        <f t="shared" si="51"/>
        <v>"NO_YEL",</v>
      </c>
      <c r="FJ10" s="48" t="str">
        <f t="shared" si="52"/>
        <v>"NO_BLA",</v>
      </c>
      <c r="FK10" s="48" t="str">
        <f t="shared" si="53"/>
        <v/>
      </c>
      <c r="FL10" s="48" t="str">
        <f t="shared" si="54"/>
        <v/>
      </c>
      <c r="FM10" s="48" t="str">
        <f t="shared" si="55"/>
        <v/>
      </c>
      <c r="FN10" s="48" t="str">
        <f t="shared" si="56"/>
        <v/>
      </c>
      <c r="FO10" s="48" t="str">
        <f t="shared" si="57"/>
        <v/>
      </c>
      <c r="FP10" s="48" t="str">
        <f t="shared" si="58"/>
        <v/>
      </c>
      <c r="FQ10" s="48" t="str">
        <f t="shared" si="59"/>
        <v>"001BLU",</v>
      </c>
      <c r="FR10" s="48" t="str">
        <f t="shared" si="60"/>
        <v/>
      </c>
      <c r="FS10" s="48" t="str">
        <f t="shared" si="61"/>
        <v>"003BLU",</v>
      </c>
      <c r="FT10" s="48" t="str">
        <f t="shared" si="62"/>
        <v>"myrBLU",</v>
      </c>
      <c r="FU10" s="48" t="str">
        <f t="shared" si="63"/>
        <v/>
      </c>
      <c r="FV10" s="48" t="str">
        <f t="shared" si="64"/>
        <v/>
      </c>
      <c r="FW10" s="48" t="str">
        <f t="shared" si="65"/>
        <v/>
      </c>
      <c r="FY10" s="48" t="str">
        <f t="shared" si="67"/>
        <v/>
      </c>
      <c r="FZ10" s="48" t="str">
        <f t="shared" si="68"/>
        <v/>
      </c>
      <c r="GA10" s="48" t="str">
        <f t="shared" si="69"/>
        <v/>
      </c>
      <c r="GB10" s="48" t="str">
        <f t="shared" si="70"/>
        <v/>
      </c>
      <c r="GE10" s="48" t="str">
        <f t="shared" si="73"/>
        <v/>
      </c>
      <c r="GF10" s="48" t="str">
        <f t="shared" ref="GF10:GF17" si="103">IFERROR(IF(SEARCH("Historical",AU10)&gt;0,CHAR(34)&amp;"histor"&amp;CHAR(34)&amp;",",""),"")</f>
        <v/>
      </c>
      <c r="GG10" s="48" t="str">
        <f t="shared" si="74"/>
        <v/>
      </c>
      <c r="GH10" s="48" t="str">
        <f t="shared" si="75"/>
        <v/>
      </c>
      <c r="GI10" s="48" t="str">
        <f t="shared" si="76"/>
        <v/>
      </c>
      <c r="GJ10" s="48" t="str">
        <f t="shared" si="77"/>
        <v>"NoStar",</v>
      </c>
      <c r="GK10" s="48" t="str">
        <f t="shared" si="78"/>
        <v/>
      </c>
      <c r="GL10" s="48" t="str">
        <f t="shared" si="4"/>
        <v/>
      </c>
      <c r="GM10" s="48" t="str">
        <f t="shared" si="4"/>
        <v/>
      </c>
      <c r="GN10" s="48" t="str">
        <f t="shared" si="4"/>
        <v/>
      </c>
      <c r="GP10" s="48" t="str">
        <f t="shared" si="79"/>
        <v>"Province"</v>
      </c>
      <c r="GS10" s="48" t="str">
        <f t="shared" si="80"/>
        <v>["4Color","words2","lets07","startL","year19","allhor","3Bands","Horizo","Animal","Plants","Weapon","HasSun","Unequa","Center","Humans","NO_RED","NO_YEL","NO_BLA","001BLU","003BLU","myrBLU","NoStar"]</v>
      </c>
      <c r="GT10" s="48" t="str">
        <f t="shared" si="5"/>
        <v/>
      </c>
      <c r="GU10" s="48" t="str">
        <f t="shared" si="5"/>
        <v>"cl_BLU",</v>
      </c>
      <c r="GV10" s="48" t="str">
        <f t="shared" si="5"/>
        <v>"cl_GRE",</v>
      </c>
      <c r="GW10" s="48" t="str">
        <f t="shared" si="5"/>
        <v/>
      </c>
      <c r="GX10" s="48" t="str">
        <f t="shared" si="5"/>
        <v/>
      </c>
      <c r="GY10" s="48" t="str">
        <f t="shared" si="5"/>
        <v>"cl_ORA",</v>
      </c>
      <c r="GZ10" s="48" t="str">
        <f t="shared" si="5"/>
        <v/>
      </c>
      <c r="HA10" s="48" t="str">
        <f t="shared" si="5"/>
        <v/>
      </c>
      <c r="HB10" s="48" t="str">
        <f t="shared" si="5"/>
        <v>"cl_WHI",</v>
      </c>
      <c r="HC10" s="48" t="str">
        <f t="shared" si="81"/>
        <v>["cl_BLU","cl_GRE","cl_ORA","cl_WHI"]</v>
      </c>
      <c r="HE10" s="71"/>
      <c r="HF10" s="72" t="str">
        <f t="shared" si="82"/>
        <v>{couname:"[ARG] La Pampa",year:"1993",region:"rgn_South America",Colors:["cl_BLU","cl_GRE","cl_ORA","cl_WHI"],Items:["4Color","words2","lets07","startL","year19","allhor","3Bands","Horizo","Animal","Plants","Weapon","HasSun","Unequa","Center","Humans","NO_RED","NO_YEL","NO_BLA","001BLU","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links: "https://www.crwflags.com/fotw/flags/ar-l.html"},</v>
      </c>
      <c r="HG10" s="73" t="str">
        <f t="shared" si="83"/>
        <v>{couname:"[ARG] La Pampa",year:"1993",region:"rgn_South America",Colors:["cl_BLU","cl_GRE","cl_ORA","cl_WHI"],Items:["4Color","words2","lets07","startL","year19","allhor","3Bands","Horizo","Animal","Plants","Weapon","HasSun","Unequa","Center","Humans","NO_RED","NO_YEL","NO_BLA","001BLU","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links: "https://www.crwflags.com/fotw/flags/ar-l.html"},</v>
      </c>
      <c r="HH10" s="48" t="str">
        <f t="shared" si="84"/>
        <v>"\nThe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v>
      </c>
      <c r="HI10" s="48" t="str">
        <f t="shared" si="85"/>
        <v>"\nThe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v>
      </c>
      <c r="HJ10" s="48" t="str">
        <f t="shared" si="86"/>
        <v>"1993"</v>
      </c>
      <c r="HL10" s="48" t="str">
        <f t="shared" si="87"/>
        <v>"https://www.crwflags.com/fotw/flags/ar-l.html"</v>
      </c>
      <c r="HM10" s="72" t="str">
        <f t="shared" si="88"/>
        <v>{"couname":"[ARG] La Pampa","year":"1993","region":"rgn_South America","Colors":["cl_BLU","cl_GRE","cl_ORA","cl_WHI"],"Items":["4Color","words2","lets07","startL","year19","allhor","3Bands","Horizo","Animal","Plants","Weapon","HasSun","Unequa","Center","Humans","NO_RED","NO_YEL","NO_BLA","001BLU","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 "links": "https://www.crwflags.com/fotw/flags/ar-l.html"},</v>
      </c>
      <c r="HN10" s="74" t="str">
        <f t="shared" si="89"/>
        <v>{"couname":"[ARG] La Pampa","year":"1993","region":"rgn_South America","Colors":["cl_BLU","cl_GRE","cl_ORA","cl_WHI"],"Items":["4Color","words2","lets07","startL","year19","allhor","3Bands","Horizo","Animal","Plants","Weapon","HasSun","Unequa","Center","Humans","NO_RED","NO_YEL","NO_BLA","001BLU","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 "links": "https://www.crwflags.com/fotw/flags/ar-l.html"},</v>
      </c>
      <c r="HO10" s="75">
        <v>45618</v>
      </c>
      <c r="HP10" s="48" t="str" cm="1">
        <f t="array" ref="HP10">IF(_xlfn.TEXTJOIN(", ", TRUE, IF(ISNUMBER(SEARCH("BLA", BL10:BT10)), COLUMN(BL10:BT10) - COLUMN(BL10) + 1, ""))&lt;&gt;"","BLA","")</f>
        <v/>
      </c>
      <c r="HQ10" s="48" t="str" cm="1">
        <f t="array" ref="HQ10">IF(_xlfn.TEXTJOIN(", ", TRUE, IF(ISNUMBER(SEARCH("BLU", BL10:BT10)), COLUMN(BL10:BT10) - COLUMN(BL10) + 1, ""))&lt;&gt;"","BLU","")</f>
        <v>BLU</v>
      </c>
      <c r="HR10" s="48" t="str" cm="1">
        <f t="array" ref="HR10">IF(_xlfn.TEXTJOIN(", ", TRUE, IF(ISNUMBER(SEARCH("GRE", BL10:BT10)), COLUMN(BL10:BT10) - COLUMN(BL10) + 1, ""))&lt;&gt;"","GRE","")</f>
        <v>GRE</v>
      </c>
      <c r="HS10" s="48" t="str" cm="1">
        <f t="array" ref="HS10">IF(_xlfn.TEXTJOIN(", ", TRUE, IF(ISNUMBER(SEARCH("RED", BL10:BT10)), COLUMN(BL10:BT10) - COLUMN(BL10) + 1, ""))&lt;&gt;"","RED","")</f>
        <v/>
      </c>
      <c r="HT10" s="48" t="str" cm="1">
        <f t="array" ref="HT10">IF(_xlfn.TEXTJOIN(", ", TRUE, IF(ISNUMBER(SEARCH("YEL", BL10:BT10)), COLUMN(BL10:BT10) - COLUMN(BL10) + 1, ""))&lt;&gt;"","YEL","")</f>
        <v/>
      </c>
      <c r="HU10" s="48" t="str" cm="1">
        <f t="array" ref="HU10">IF(_xlfn.TEXTJOIN(", ", TRUE, IF(ISNUMBER(SEARCH("ORA", BL10:BT10)), COLUMN(BL10:BT10) - COLUMN(BL10) + 1, ""))&lt;&gt;"","ORA","")</f>
        <v>ORA</v>
      </c>
      <c r="HV10" s="48" t="str" cm="1">
        <f t="array" ref="HV10">IF(_xlfn.TEXTJOIN(", ", TRUE, IF(ISNUMBER(SEARCH("BRO", BL10:BT10)), COLUMN(BL10:BT10) - COLUMN(BL10) + 1, ""))&lt;&gt;"","BRO","")</f>
        <v/>
      </c>
      <c r="HW10" s="48" t="str" cm="1">
        <f t="array" ref="HW10">IF(_xlfn.TEXTJOIN(", ", TRUE, IF(ISNUMBER(SEARCH("PUR", BL10:BT10)), COLUMN(BL10:BT10) - COLUMN(BL10) + 1, ""))&lt;&gt;"","PUR","")</f>
        <v/>
      </c>
      <c r="HX10" s="48" t="str" cm="1">
        <f t="array" ref="HX10">IF(_xlfn.TEXTJOIN(", ", TRUE, IF(ISNUMBER(SEARCH("WHI", BL10:BT10)), COLUMN(BL10:BT10) - COLUMN(BL10) + 1, ""))&lt;&gt;"","WHI","")</f>
        <v>WHI</v>
      </c>
      <c r="HY10" s="76"/>
      <c r="HZ10" s="76"/>
      <c r="IA10" s="6"/>
      <c r="IB10" s="6"/>
      <c r="IC10" s="77"/>
      <c r="ID10" s="77"/>
      <c r="IE10" s="77"/>
      <c r="IF10" s="77"/>
      <c r="IG10" s="77"/>
      <c r="IH10" s="77"/>
      <c r="II10" s="77"/>
      <c r="IJ10" s="77"/>
      <c r="IK10" s="77"/>
      <c r="IM10" s="45">
        <f t="shared" si="91"/>
        <v>-4</v>
      </c>
      <c r="IN10" s="78" t="str">
        <f t="shared" si="92"/>
        <v>http://mkweb.bcgsc.ca/color-summarizer/?url=https://upload.wikimedia.org/wikipedia/commons/thumb/8/81/Bandera_de_la_Provincia_de_La_Pampa.svg/320px-Bandera_de_la_Provincia_de_La_Pampa.svg.png&amp;precision=low&amp;num_clusters=4&amp;text=1</v>
      </c>
      <c r="IO10" s="48" t="str">
        <f t="shared" si="93"/>
        <v/>
      </c>
      <c r="IP10" s="48" t="str">
        <f t="shared" si="94"/>
        <v>"blue"</v>
      </c>
      <c r="IQ10" s="48" t="str">
        <f t="shared" si="95"/>
        <v>"green"</v>
      </c>
      <c r="IR10" s="48" t="str">
        <f t="shared" si="96"/>
        <v/>
      </c>
      <c r="IS10" s="48" t="str">
        <f t="shared" si="97"/>
        <v/>
      </c>
      <c r="IT10" s="48" t="str">
        <f t="shared" si="98"/>
        <v>"orange"</v>
      </c>
      <c r="IU10" s="48" t="str">
        <f t="shared" si="99"/>
        <v/>
      </c>
      <c r="IV10" s="48" t="str">
        <f t="shared" si="100"/>
        <v/>
      </c>
      <c r="IW10" s="48" t="str">
        <f t="shared" si="101"/>
        <v>"white"</v>
      </c>
      <c r="IX10" s="48" t="str">
        <f t="shared" si="102"/>
        <v>{"url":"http://mkweb.bcgsc.ca/color-summarizer/?url=https://upload.wikimedia.org/wikipedia/commons/thumb/8/81/Bandera_de_la_Provincia_de_La_Pampa.svg/320px-Bandera_de_la_Provincia_de_La_Pampa.svg.png&amp;precision=low&amp;num_clusters=4&amp;text=1","name":"[ARG] La Pampa"},</v>
      </c>
      <c r="IY10" s="48">
        <v>1008</v>
      </c>
    </row>
    <row r="11" spans="1:259" s="48" customFormat="1" ht="38.4" customHeight="1" thickBot="1" x14ac:dyDescent="0.35">
      <c r="A11" s="79" t="s">
        <v>316</v>
      </c>
      <c r="B11" s="40" t="e" vm="10">
        <v>#VALUE!</v>
      </c>
      <c r="C11" s="41">
        <v>2</v>
      </c>
      <c r="D11" s="42" t="s">
        <v>317</v>
      </c>
      <c r="E11" s="43" t="s">
        <v>318</v>
      </c>
      <c r="F11" s="44" t="s">
        <v>166</v>
      </c>
      <c r="G11" s="45">
        <f>COUNTIF($A$1:$A$8299,A11)</f>
        <v>1</v>
      </c>
      <c r="H11" s="46"/>
      <c r="I11" s="47" t="s">
        <v>319</v>
      </c>
      <c r="J11" s="48" t="str">
        <f>""</f>
        <v/>
      </c>
      <c r="K11" s="49"/>
      <c r="L11" s="50"/>
      <c r="M11" s="50"/>
      <c r="N11" s="51" t="s">
        <v>169</v>
      </c>
      <c r="O11" s="52">
        <v>1986</v>
      </c>
      <c r="P11" s="53" t="s">
        <v>320</v>
      </c>
      <c r="Q11" s="54">
        <v>2</v>
      </c>
      <c r="R11" s="55" t="s">
        <v>169</v>
      </c>
      <c r="S11" s="56">
        <v>3</v>
      </c>
      <c r="T11" s="57" t="s">
        <v>173</v>
      </c>
      <c r="U11" s="58" t="s">
        <v>172</v>
      </c>
      <c r="V11" s="58" t="s">
        <v>173</v>
      </c>
      <c r="W11" s="58" t="s">
        <v>172</v>
      </c>
      <c r="X11" s="58" t="s">
        <v>173</v>
      </c>
      <c r="Y11" s="58" t="s">
        <v>172</v>
      </c>
      <c r="Z11" s="58" t="s">
        <v>172</v>
      </c>
      <c r="AA11" s="58" t="s">
        <v>173</v>
      </c>
      <c r="AB11" s="58" t="s">
        <v>172</v>
      </c>
      <c r="AC11" s="58" t="s">
        <v>172</v>
      </c>
      <c r="AD11" s="58" t="s">
        <v>172</v>
      </c>
      <c r="AE11" s="58" t="s">
        <v>172</v>
      </c>
      <c r="AF11" s="59" t="s">
        <v>172</v>
      </c>
      <c r="AG11" s="59" t="s">
        <v>172</v>
      </c>
      <c r="AH11" s="59" t="s">
        <v>173</v>
      </c>
      <c r="AI11" s="59" t="s">
        <v>172</v>
      </c>
      <c r="AJ11" s="59" t="s">
        <v>172</v>
      </c>
      <c r="AK11" s="59" t="s">
        <v>172</v>
      </c>
      <c r="AL11" s="59" t="s">
        <v>172</v>
      </c>
      <c r="AM11" s="59" t="s">
        <v>172</v>
      </c>
      <c r="AN11" s="59" t="s">
        <v>172</v>
      </c>
      <c r="AO11" s="59" t="s">
        <v>172</v>
      </c>
      <c r="AP11" s="59" t="s">
        <v>172</v>
      </c>
      <c r="AQ11" s="59" t="s">
        <v>172</v>
      </c>
      <c r="AR11" s="59" t="s">
        <v>172</v>
      </c>
      <c r="AS11" s="59" t="s">
        <v>172</v>
      </c>
      <c r="AT11" s="60">
        <v>0</v>
      </c>
      <c r="AU11" s="59" t="s">
        <v>277</v>
      </c>
      <c r="AV11" s="59" t="str">
        <f>IF(LEFT(A11,1)="[",LEFT(A11,5)&amp;AU11&amp;A11,"")</f>
        <v>[ARG]Province[ARG] La Rioja</v>
      </c>
      <c r="AW11" s="59" t="str">
        <f>C11&amp;IFERROR(SUBSTITUTE(A11, " [ANT]",""),"")</f>
        <v>2[ARG] La Rioja</v>
      </c>
      <c r="AX11" s="61"/>
      <c r="AY11" s="61"/>
      <c r="AZ11" s="62" t="s">
        <v>151</v>
      </c>
      <c r="BA11" s="62" t="s">
        <v>159</v>
      </c>
      <c r="BB11" s="62"/>
      <c r="BC11" s="63"/>
      <c r="BD11" s="64" t="s">
        <v>154</v>
      </c>
      <c r="BE11" s="47"/>
      <c r="BF11" s="64" t="s">
        <v>154</v>
      </c>
      <c r="BG11" s="64" t="s">
        <v>154</v>
      </c>
      <c r="BH11" s="64" t="s">
        <v>154</v>
      </c>
      <c r="BI11" s="64"/>
      <c r="BJ11" s="64"/>
      <c r="BK11" s="47"/>
      <c r="BL11" s="64" t="s">
        <v>151</v>
      </c>
      <c r="BM11" s="64" t="s">
        <v>152</v>
      </c>
      <c r="BN11" s="64" t="s">
        <v>174</v>
      </c>
      <c r="BO11" s="64" t="s">
        <v>154</v>
      </c>
      <c r="BP11" s="64" t="s">
        <v>174</v>
      </c>
      <c r="BQ11" s="64" t="s">
        <v>174</v>
      </c>
      <c r="BR11" s="64" t="s">
        <v>174</v>
      </c>
      <c r="BS11" s="64" t="s">
        <v>174</v>
      </c>
      <c r="BT11" s="64" t="s">
        <v>159</v>
      </c>
      <c r="BU11" s="65" t="s">
        <v>172</v>
      </c>
      <c r="BV11" s="66"/>
      <c r="BW11" s="66">
        <v>0</v>
      </c>
      <c r="BX11" s="47"/>
      <c r="CB11" s="6"/>
      <c r="CC11" s="6"/>
      <c r="CD11" s="67">
        <v>0</v>
      </c>
      <c r="CE11" s="67">
        <v>0</v>
      </c>
      <c r="CF11" s="67" t="e">
        <v>#REF!</v>
      </c>
      <c r="CG11" s="68" cm="1">
        <f t="array" ref="CG11">SUMPRODUCT(--(LEN(TRIM(BL11:BT11))&gt;0))</f>
        <v>4</v>
      </c>
      <c r="CH11" s="59" t="str">
        <f t="shared" si="6"/>
        <v>n</v>
      </c>
      <c r="CI11" s="59" t="str">
        <f t="shared" si="7"/>
        <v>n</v>
      </c>
      <c r="CJ11" s="59" t="str">
        <f t="shared" si="8"/>
        <v>y</v>
      </c>
      <c r="CK11" s="59" t="str">
        <f t="shared" si="9"/>
        <v>n</v>
      </c>
      <c r="CL11" s="59" t="str">
        <f t="shared" si="10"/>
        <v>n</v>
      </c>
      <c r="CM11" s="59" t="str">
        <f t="shared" si="11"/>
        <v>n</v>
      </c>
      <c r="CN11" s="59" t="str">
        <f t="shared" si="12"/>
        <v>y</v>
      </c>
      <c r="CO11" s="59" t="str">
        <f t="shared" si="13"/>
        <v>n</v>
      </c>
      <c r="CP11" s="59" t="str">
        <f t="shared" si="14"/>
        <v>y</v>
      </c>
      <c r="CQ11" s="59" t="str">
        <f t="shared" si="15"/>
        <v>n</v>
      </c>
      <c r="CR11" s="59" t="str">
        <f t="shared" si="16"/>
        <v>n</v>
      </c>
      <c r="CS11" s="59" t="str">
        <f t="shared" si="17"/>
        <v>n</v>
      </c>
      <c r="CT11" s="69" t="str">
        <f t="shared" si="18"/>
        <v>"[ARG] La Rioja"</v>
      </c>
      <c r="CU11" s="70" t="str">
        <f t="shared" si="19"/>
        <v>"rgn_South America"</v>
      </c>
      <c r="CV11" s="48" t="str">
        <f t="shared" si="20"/>
        <v>"https://upload.wikimedia.org/wikipedia/commons/thumb/6/60/Bandera_de_la_Provincia_de_La_Rioja.svg/320px-Bandera_de_la_Provincia_de_La_Rioja.svg.png"</v>
      </c>
      <c r="CW11" s="48" t="str">
        <f t="shared" si="0"/>
        <v/>
      </c>
      <c r="CX11" s="48" t="str">
        <f t="shared" si="0"/>
        <v/>
      </c>
      <c r="CY11" s="48" t="str">
        <f t="shared" si="0"/>
        <v>"4Color",</v>
      </c>
      <c r="CZ11" s="48" t="str">
        <f t="shared" si="0"/>
        <v/>
      </c>
      <c r="DA11" s="48" t="str">
        <f t="shared" si="21"/>
        <v>"words2",</v>
      </c>
      <c r="DB11" s="48" t="str">
        <f t="shared" si="22"/>
        <v/>
      </c>
      <c r="DC11" s="48" t="str">
        <f>IF(Q11=2,CHAR(34)&amp;"exact2"&amp;CHAR(34)&amp;",","")</f>
        <v>"exact2",</v>
      </c>
      <c r="DD11" s="48" t="str">
        <f>IF(LEN(CHAR(34)&amp;"lets"&amp;LEN(SUBSTITUTE(SUBSTITUTE(IFERROR(TRIM(SUBSTITUTE(SUBSTITUTE(SUBSTITUTE(IFERROR(TRIM(SUBSTITUTE(A11,MID(A11,FIND("(",A11),FIND(")",A11)-FIND("(",A11)+1),"")),A11),"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",""),"-",""))&amp;CHAR(34)&amp;",")=9,CHAR(34)&amp;"lets"&amp;LEN(SUBSTITUTE(SUBSTITUTE(IFERROR(TRIM(SUBSTITUTE(SUBSTITUTE(SUBSTITUTE(IFERROR(TRIM(SUBSTITUTE(A11,MID(A11,FIND("(",A11),FIND(")",A11)-FIND("(",A11)+1),"")),A11),"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",""),"-",""))&amp;CHAR(34)&amp;",",CHAR(34)&amp;"lets0"&amp;LEN(SUBSTITUTE(SUBSTITUTE(IFERROR(TRIM(SUBSTITUTE(SUBSTITUTE(SUBSTITUTE(IFERROR(TRIM(SUBSTITUTE(A11,MID(A11,FIND("(",A11),FIND(")",A11)-FIND("(",A11)+1),"")),A11),"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f>
        <v>"lets07",</v>
      </c>
      <c r="DE11" s="48" t="str">
        <f>IFERROR(CHAR(34)&amp;"start"&amp;LEFT(TRIM(SUBSTITUTE(SUBSTITUTE(TRIM(SUBSTITUTE(SUBSTITUTE(A11, MID(A11, FIND("[", A11), FIND("]", A11) - FIND("[", A11) + 1), ""), "  ", " ")), MID(TRIM(SUBSTITUTE(SUBSTITUTE(A11, MID(A11, FIND("[", A11), FIND("]", A11) - FIND("[", A11) + 1), ""), "  ", " ")), FIND("[", TRIM(SUBSTITUTE(SUBSTITUTE(A11, MID(A11, FIND("[", A11), FIND("]", A11) - FIND("[", A11) + 1), ""), "  ", " "))), FIND("]", TRIM(SUBSTITUTE(SUBSTITUTE(A11, MID(A11, FIND("[", A11), FIND("]", A11) - FIND("[", A11) + 1), ""), "  ", " "))) - FIND("[", TRIM(SUBSTITUTE(SUBSTITUTE(A11, MID(A11, FIND("[", A11), FIND("]", A11) - FIND("[", A11) + 1), ""), "  ", " "))) + 1), ""), "  ", " ")),1)&amp;CHAR(34)&amp;",",CHAR(34)&amp;"start"&amp;IFERROR(LEFT(SUBSTITUTE(A11,"["&amp;MID(A11,FIND("[",A11)+1,FIND("]",A11)-FIND("[",A11)-1)&amp;"] ",""),1),LEFT(A11,1))&amp;CHAR(34)&amp;",")</f>
        <v>"startL",</v>
      </c>
      <c r="DF11" s="48" t="str">
        <f t="shared" si="26"/>
        <v/>
      </c>
      <c r="DG11" s="48" t="str">
        <f t="shared" si="27"/>
        <v/>
      </c>
      <c r="DH11" s="48" t="str">
        <f t="shared" si="28"/>
        <v/>
      </c>
      <c r="DI11" s="48" t="str">
        <f t="shared" si="29"/>
        <v/>
      </c>
      <c r="DJ11" s="48" t="str">
        <f t="shared" si="30"/>
        <v/>
      </c>
      <c r="DK11" s="48" t="str">
        <f t="shared" si="31"/>
        <v/>
      </c>
      <c r="DL11" s="48" t="str">
        <f t="shared" si="32"/>
        <v/>
      </c>
      <c r="DM11" s="48" t="str" cm="1">
        <f t="array" ref="DM11">IF(CG11=3,CHAR(34) &amp; _xlfn.TEXTJOIN("", TRUE, RIGHT(HP11:HX11, 2)) &amp; CHAR(34) &amp; ",", "")</f>
        <v/>
      </c>
      <c r="DN11" s="48" t="str">
        <f t="shared" si="33"/>
        <v/>
      </c>
      <c r="DO11" s="48" t="str">
        <f t="shared" si="34"/>
        <v>"year19",</v>
      </c>
      <c r="DP11" s="6" t="str">
        <f t="shared" si="35"/>
        <v/>
      </c>
      <c r="DQ11" s="6" t="str">
        <f t="shared" si="36"/>
        <v/>
      </c>
      <c r="DR11" s="6" t="str">
        <f t="shared" si="37"/>
        <v/>
      </c>
      <c r="DS11" s="6" t="str">
        <f t="shared" si="38"/>
        <v/>
      </c>
      <c r="DT11" s="6" t="str">
        <f t="shared" si="39"/>
        <v>"allhor",</v>
      </c>
      <c r="DU11" s="6" t="str">
        <f t="shared" si="40"/>
        <v/>
      </c>
      <c r="DV11" s="48" t="str">
        <f>IF(IA11&lt;&gt;"",(IF(IA11="y",CHAR(34)&amp;"largec"&amp;CHAR(34)&amp;",",CHAR(34)&amp;"smallc"&amp;CHAR(34)&amp;",")),"")</f>
        <v/>
      </c>
      <c r="DW11" s="48" t="str">
        <f t="shared" si="1"/>
        <v/>
      </c>
      <c r="DX11" s="48" t="str">
        <f t="shared" si="1"/>
        <v/>
      </c>
      <c r="DY11" s="48" t="str">
        <f t="shared" si="1"/>
        <v>"3Bands",</v>
      </c>
      <c r="DZ11" s="48" t="str">
        <f t="shared" si="1"/>
        <v/>
      </c>
      <c r="EA11" s="48" t="str">
        <f t="shared" si="2"/>
        <v>"Diagon",</v>
      </c>
      <c r="EB11" s="48" t="str">
        <f t="shared" si="2"/>
        <v/>
      </c>
      <c r="EC11" s="48" t="str">
        <f t="shared" si="2"/>
        <v>"Horizo",</v>
      </c>
      <c r="ED11" s="48" t="str">
        <f t="shared" si="2"/>
        <v/>
      </c>
      <c r="EE11" s="48" t="str">
        <f t="shared" si="2"/>
        <v>"Circle",</v>
      </c>
      <c r="EF11" s="48" t="str">
        <f t="shared" si="42"/>
        <v/>
      </c>
      <c r="EG11" s="48" t="str">
        <f t="shared" si="3"/>
        <v/>
      </c>
      <c r="EH11" s="48" t="str">
        <f t="shared" si="3"/>
        <v>"Plants",</v>
      </c>
      <c r="EI11" s="48" t="str">
        <f t="shared" si="3"/>
        <v/>
      </c>
      <c r="EJ11" s="48" t="str">
        <f t="shared" si="3"/>
        <v/>
      </c>
      <c r="EK11" s="48" t="str">
        <f t="shared" si="3"/>
        <v/>
      </c>
      <c r="EL11" s="48" t="str">
        <f t="shared" si="3"/>
        <v/>
      </c>
      <c r="EM11" s="48" t="str">
        <f t="shared" si="3"/>
        <v/>
      </c>
      <c r="EN11" s="48" t="str">
        <f t="shared" si="3"/>
        <v/>
      </c>
      <c r="EO11" s="48" t="str">
        <f t="shared" si="3"/>
        <v>"Center",</v>
      </c>
      <c r="EP11" s="48" t="str">
        <f t="shared" si="3"/>
        <v/>
      </c>
      <c r="EQ11" s="48" t="str">
        <f t="shared" si="3"/>
        <v/>
      </c>
      <c r="ER11" s="48" t="str">
        <f t="shared" si="3"/>
        <v/>
      </c>
      <c r="ES11" s="48" t="str">
        <f t="shared" si="3"/>
        <v/>
      </c>
      <c r="ET11" s="48" t="str">
        <f t="shared" si="3"/>
        <v/>
      </c>
      <c r="EU11" s="48" t="str">
        <f t="shared" si="3"/>
        <v/>
      </c>
      <c r="EV11" s="48" t="str">
        <f t="shared" si="3"/>
        <v/>
      </c>
      <c r="EW11" s="48" t="str">
        <f t="shared" si="3"/>
        <v/>
      </c>
      <c r="EX11" s="48" t="str">
        <f t="shared" si="3"/>
        <v/>
      </c>
      <c r="EY11" s="48" t="str">
        <f t="shared" si="3"/>
        <v/>
      </c>
      <c r="EZ11" s="48" t="str">
        <f t="shared" si="3"/>
        <v/>
      </c>
      <c r="FA11" s="48" t="str">
        <f t="shared" si="43"/>
        <v/>
      </c>
      <c r="FB11" s="48" t="str">
        <f t="shared" si="44"/>
        <v/>
      </c>
      <c r="FC11" s="48" t="str">
        <f>IF(AND(AT11&gt;0,BB11&lt;&gt;""),CHAR(34)&amp;"sta"&amp;BB11&amp;CHAR(34)&amp;",","")</f>
        <v/>
      </c>
      <c r="FD11" s="48" t="str">
        <f t="shared" si="46"/>
        <v/>
      </c>
      <c r="FE11" s="48" t="str">
        <f t="shared" si="47"/>
        <v/>
      </c>
      <c r="FF11" s="48" t="str">
        <f t="shared" si="48"/>
        <v/>
      </c>
      <c r="FG11" s="48" t="str">
        <f t="shared" si="49"/>
        <v/>
      </c>
      <c r="FH11" s="48" t="str">
        <f t="shared" si="50"/>
        <v>"NO_GRE",</v>
      </c>
      <c r="FI11" s="48" t="str">
        <f t="shared" si="51"/>
        <v>"NO_YEL",</v>
      </c>
      <c r="FJ11" s="48" t="str">
        <f t="shared" si="52"/>
        <v/>
      </c>
      <c r="FK11" s="48" t="str">
        <f t="shared" si="53"/>
        <v/>
      </c>
      <c r="FL11" s="48" t="str">
        <f t="shared" si="54"/>
        <v/>
      </c>
      <c r="FM11" s="48" t="str">
        <f t="shared" si="55"/>
        <v/>
      </c>
      <c r="FN11" s="48" t="str">
        <f t="shared" si="56"/>
        <v/>
      </c>
      <c r="FO11" s="48" t="str">
        <f t="shared" si="57"/>
        <v/>
      </c>
      <c r="FP11" s="48" t="str">
        <f t="shared" si="58"/>
        <v/>
      </c>
      <c r="FQ11" s="48" t="str">
        <f t="shared" si="59"/>
        <v>"001RED",</v>
      </c>
      <c r="FR11" s="48" t="str">
        <f t="shared" si="60"/>
        <v>"002RED",</v>
      </c>
      <c r="FS11" s="48" t="str">
        <f t="shared" si="61"/>
        <v>"003RED",</v>
      </c>
      <c r="FT11" s="48" t="str">
        <f t="shared" si="62"/>
        <v>"myrRED",</v>
      </c>
      <c r="FU11" s="48" t="str">
        <f t="shared" si="63"/>
        <v/>
      </c>
      <c r="FV11" s="48" t="str">
        <f t="shared" si="64"/>
        <v/>
      </c>
      <c r="FW11" s="48" t="str">
        <f t="shared" si="65"/>
        <v/>
      </c>
      <c r="FX11" s="48" t="str">
        <f>SUBSTITUTE(IFERROR(SEARCH("[",A11),IFERROR(IF(AND(CA11&lt;&gt;"y",SEARCH("Europe",R11)&gt;0),CHAR(34)&amp;"noeuni"&amp;CHAR(34)&amp;",",""),"")),"1","")</f>
        <v/>
      </c>
      <c r="FY11" s="48" t="str">
        <f t="shared" si="67"/>
        <v/>
      </c>
      <c r="FZ11" s="48" t="str">
        <f t="shared" si="68"/>
        <v/>
      </c>
      <c r="GA11" s="48" t="str">
        <f t="shared" si="69"/>
        <v/>
      </c>
      <c r="GB11" s="48" t="str">
        <f t="shared" si="70"/>
        <v/>
      </c>
      <c r="GC11" s="48" t="str">
        <f>IFERROR(IF(SEARCH("Portuguese",CB11)&gt;0,CHAR(34)&amp;"portug"&amp;CHAR(34)&amp;",",""),"")</f>
        <v/>
      </c>
      <c r="GD11" s="48" t="str">
        <f>IFERROR(IF(SEARCH("German",CB11)&gt;0,CHAR(34)&amp;"german"&amp;CHAR(34)&amp;",",""),"")</f>
        <v/>
      </c>
      <c r="GE11" s="48" t="str">
        <f t="shared" si="73"/>
        <v/>
      </c>
      <c r="GF11" s="48" t="str">
        <f t="shared" si="103"/>
        <v/>
      </c>
      <c r="GG11" s="48" t="str">
        <f t="shared" si="74"/>
        <v/>
      </c>
      <c r="GH11" s="48" t="str">
        <f t="shared" si="75"/>
        <v/>
      </c>
      <c r="GI11" s="48" t="str">
        <f t="shared" si="76"/>
        <v/>
      </c>
      <c r="GJ11" s="48" t="str">
        <f t="shared" si="77"/>
        <v>"NoStar",</v>
      </c>
      <c r="GK11" s="48" t="str">
        <f t="shared" si="78"/>
        <v/>
      </c>
      <c r="GL11" s="48" t="str">
        <f t="shared" si="4"/>
        <v/>
      </c>
      <c r="GM11" s="48" t="str">
        <f t="shared" si="4"/>
        <v/>
      </c>
      <c r="GN11" s="48" t="str">
        <f t="shared" si="4"/>
        <v/>
      </c>
      <c r="GP11" s="48" t="str">
        <f t="shared" si="79"/>
        <v>"Province"</v>
      </c>
      <c r="GS11" s="48" t="str">
        <f t="shared" si="80"/>
        <v>["4Color","words2","exact2","lets07","startL","year19","allhor","3Bands","Diagon","Horizo","Circle","Plants","Center","NO_GRE","NO_YEL","001RED","002RED","003RED","myrRED","NoStar"]</v>
      </c>
      <c r="GT11" s="48" t="str">
        <f t="shared" si="5"/>
        <v>"cl_BLA",</v>
      </c>
      <c r="GU11" s="48" t="str">
        <f t="shared" si="5"/>
        <v>"cl_BLU",</v>
      </c>
      <c r="GV11" s="48" t="str">
        <f t="shared" si="5"/>
        <v/>
      </c>
      <c r="GW11" s="48" t="str">
        <f t="shared" si="5"/>
        <v>"cl_RED",</v>
      </c>
      <c r="GX11" s="48" t="str">
        <f t="shared" si="5"/>
        <v/>
      </c>
      <c r="GY11" s="48" t="str">
        <f t="shared" si="5"/>
        <v/>
      </c>
      <c r="GZ11" s="48" t="str">
        <f t="shared" si="5"/>
        <v/>
      </c>
      <c r="HA11" s="48" t="str">
        <f t="shared" si="5"/>
        <v/>
      </c>
      <c r="HB11" s="48" t="str">
        <f t="shared" si="5"/>
        <v>"cl_WHI",</v>
      </c>
      <c r="HC11" s="48" t="str">
        <f t="shared" si="81"/>
        <v>["cl_BLA","cl_BLU","cl_RED","cl_WHI"]</v>
      </c>
      <c r="HE11" s="71"/>
      <c r="HF11" s="72" t="str">
        <f t="shared" si="82"/>
        <v>{couname:"[ARG] La Rioja",year:"1986",region:"rgn_South America",Colors:["cl_BLA","cl_BLU","cl_RED","cl_WHI"],Items:["4Color","words2","exact2","lets07","startL","year19","allhor","3Bands","Diagon","Horizo","Circle","Plants","Center","NO_GRE","NO_YEL","001RED","002RED","003RED","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links: "https://www.crwflags.com/fotw/flags/ar-f.html"},</v>
      </c>
      <c r="HG11" s="73" t="str">
        <f t="shared" si="83"/>
        <v>{couname:"[ARG] La Rioja",year:"1986",region:"rgn_South America",Colors:["cl_BLA","cl_BLU","cl_RED","cl_WHI"],Items:["4Color","words2","exact2","lets07","startL","year19","allhor","3Bands","Diagon","Horizo","Circle","Plants","Center","NO_GRE","NO_YEL","001RED","002RED","003RED","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links: "https://www.crwflags.com/fotw/flags/ar-f.html"},</v>
      </c>
      <c r="HH11" s="48" t="str">
        <f t="shared" si="84"/>
        <v>"\nThe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v>
      </c>
      <c r="HI11" s="48" t="str">
        <f t="shared" si="85"/>
        <v>"\nThe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v>
      </c>
      <c r="HJ11" s="48" t="str">
        <f t="shared" si="86"/>
        <v>"1986"</v>
      </c>
      <c r="HL11" s="48" t="str">
        <f t="shared" si="87"/>
        <v>"https://www.crwflags.com/fotw/flags/ar-f.html"</v>
      </c>
      <c r="HM11" s="72" t="str">
        <f t="shared" si="88"/>
        <v>{"couname":"[ARG] La Rioja","year":"1986","region":"rgn_South America","Colors":["cl_BLA","cl_BLU","cl_RED","cl_WHI"],"Items":["4Color","words2","exact2","lets07","startL","year19","allhor","3Bands","Diagon","Horizo","Circle","Plants","Center","NO_GRE","NO_YEL","001RED","002RED","003RED","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 "links": "https://www.crwflags.com/fotw/flags/ar-f.html"},</v>
      </c>
      <c r="HN11" s="74" t="str">
        <f t="shared" si="89"/>
        <v>{"couname":"[ARG] La Rioja","year":"1986","region":"rgn_South America","Colors":["cl_BLA","cl_BLU","cl_RED","cl_WHI"],"Items":["4Color","words2","exact2","lets07","startL","year19","allhor","3Bands","Diagon","Horizo","Circle","Plants","Center","NO_GRE","NO_YEL","001RED","002RED","003RED","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 "links": "https://www.crwflags.com/fotw/flags/ar-f.html"},</v>
      </c>
      <c r="HO11" s="75">
        <v>45583</v>
      </c>
      <c r="HP11" s="48" t="str" cm="1">
        <f t="array" ref="HP11">IF(_xlfn.TEXTJOIN(", ", TRUE, IF(ISNUMBER(SEARCH("BLA", BL11:BT11)), COLUMN(BL11:BT11) - COLUMN(BL11) + 1, ""))&lt;&gt;"","BLA","")</f>
        <v>BLA</v>
      </c>
      <c r="HQ11" s="48" t="str" cm="1">
        <f t="array" ref="HQ11">IF(_xlfn.TEXTJOIN(", ", TRUE, IF(ISNUMBER(SEARCH("BLU", BL11:BT11)), COLUMN(BL11:BT11) - COLUMN(BL11) + 1, ""))&lt;&gt;"","BLU","")</f>
        <v>BLU</v>
      </c>
      <c r="HR11" s="48" t="str" cm="1">
        <f t="array" ref="HR11">IF(_xlfn.TEXTJOIN(", ", TRUE, IF(ISNUMBER(SEARCH("GRE", BL11:BT11)), COLUMN(BL11:BT11) - COLUMN(BL11) + 1, ""))&lt;&gt;"","GRE","")</f>
        <v/>
      </c>
      <c r="HS11" s="48" t="str" cm="1">
        <f t="array" ref="HS11">IF(_xlfn.TEXTJOIN(", ", TRUE, IF(ISNUMBER(SEARCH("RED", BL11:BT11)), COLUMN(BL11:BT11) - COLUMN(BL11) + 1, ""))&lt;&gt;"","RED","")</f>
        <v>RED</v>
      </c>
      <c r="HT11" s="48" t="str" cm="1">
        <f t="array" ref="HT11">IF(_xlfn.TEXTJOIN(", ", TRUE, IF(ISNUMBER(SEARCH("YEL", BL11:BT11)), COLUMN(BL11:BT11) - COLUMN(BL11) + 1, ""))&lt;&gt;"","YEL","")</f>
        <v/>
      </c>
      <c r="HU11" s="48" t="str" cm="1">
        <f t="array" ref="HU11">IF(_xlfn.TEXTJOIN(", ", TRUE, IF(ISNUMBER(SEARCH("ORA", BL11:BT11)), COLUMN(BL11:BT11) - COLUMN(BL11) + 1, ""))&lt;&gt;"","ORA","")</f>
        <v/>
      </c>
      <c r="HV11" s="48" t="str" cm="1">
        <f t="array" ref="HV11">IF(_xlfn.TEXTJOIN(", ", TRUE, IF(ISNUMBER(SEARCH("BRO", BL11:BT11)), COLUMN(BL11:BT11) - COLUMN(BL11) + 1, ""))&lt;&gt;"","BRO","")</f>
        <v/>
      </c>
      <c r="HW11" s="48" t="str" cm="1">
        <f t="array" ref="HW11">IF(_xlfn.TEXTJOIN(", ", TRUE, IF(ISNUMBER(SEARCH("PUR", BL11:BT11)), COLUMN(BL11:BT11) - COLUMN(BL11) + 1, ""))&lt;&gt;"","PUR","")</f>
        <v/>
      </c>
      <c r="HX11" s="48" t="str" cm="1">
        <f t="array" ref="HX11">IF(_xlfn.TEXTJOIN(", ", TRUE, IF(ISNUMBER(SEARCH("WHI", BL11:BT11)), COLUMN(BL11:BT11) - COLUMN(BL11) + 1, ""))&lt;&gt;"","WHI","")</f>
        <v>WHI</v>
      </c>
      <c r="HY11" s="76"/>
      <c r="HZ11" s="76"/>
      <c r="IA11" s="6"/>
      <c r="IB11" s="6"/>
      <c r="IC11" s="77"/>
      <c r="ID11" s="77"/>
      <c r="IE11" s="77"/>
      <c r="IF11" s="77"/>
      <c r="IG11" s="77"/>
      <c r="IH11" s="77"/>
      <c r="II11" s="77"/>
      <c r="IJ11" s="77"/>
      <c r="IK11" s="77"/>
      <c r="IL11" s="48">
        <f>SUM(IC11:IK11)</f>
        <v>0</v>
      </c>
      <c r="IM11" s="45">
        <f t="shared" si="91"/>
        <v>-4</v>
      </c>
      <c r="IN11" s="78" t="str">
        <f t="shared" si="92"/>
        <v>http://mkweb.bcgsc.ca/color-summarizer/?url=https://upload.wikimedia.org/wikipedia/commons/thumb/6/60/Bandera_de_la_Provincia_de_La_Rioja.svg/320px-Bandera_de_la_Provincia_de_La_Rioja.svg.png&amp;precision=low&amp;num_clusters=4&amp;text=1</v>
      </c>
      <c r="IO11" s="48" t="str">
        <f t="shared" si="93"/>
        <v>"black"</v>
      </c>
      <c r="IP11" s="48" t="str">
        <f t="shared" si="94"/>
        <v>"blue"</v>
      </c>
      <c r="IQ11" s="48" t="str">
        <f t="shared" si="95"/>
        <v/>
      </c>
      <c r="IR11" s="48" t="str">
        <f t="shared" si="96"/>
        <v>"red"</v>
      </c>
      <c r="IS11" s="48" t="str">
        <f t="shared" si="97"/>
        <v/>
      </c>
      <c r="IT11" s="48" t="str">
        <f t="shared" si="98"/>
        <v/>
      </c>
      <c r="IU11" s="48" t="str">
        <f t="shared" si="99"/>
        <v/>
      </c>
      <c r="IV11" s="48" t="str">
        <f t="shared" si="100"/>
        <v/>
      </c>
      <c r="IW11" s="48" t="str">
        <f t="shared" si="101"/>
        <v>"white"</v>
      </c>
      <c r="IX11" s="48" t="str">
        <f t="shared" si="102"/>
        <v>{"url":"http://mkweb.bcgsc.ca/color-summarizer/?url=https://upload.wikimedia.org/wikipedia/commons/thumb/6/60/Bandera_de_la_Provincia_de_La_Rioja.svg/320px-Bandera_de_la_Provincia_de_La_Rioja.svg.png&amp;precision=low&amp;num_clusters=4&amp;text=1","name":"[ARG] La Rioja"},</v>
      </c>
      <c r="IY11" s="48">
        <v>640</v>
      </c>
    </row>
    <row r="12" spans="1:259" s="48" customFormat="1" ht="38.4" customHeight="1" thickBot="1" x14ac:dyDescent="0.35">
      <c r="A12" s="79" t="s">
        <v>321</v>
      </c>
      <c r="B12" s="40" t="e" vm="11">
        <v>#VALUE!</v>
      </c>
      <c r="C12" s="41">
        <v>2</v>
      </c>
      <c r="D12" s="42" t="s">
        <v>322</v>
      </c>
      <c r="E12" s="43" t="s">
        <v>323</v>
      </c>
      <c r="F12" s="44" t="s">
        <v>166</v>
      </c>
      <c r="G12" s="45">
        <f>COUNTIF($A$1:$A$8299,A12)</f>
        <v>1</v>
      </c>
      <c r="H12" s="46"/>
      <c r="I12" s="47" t="s">
        <v>324</v>
      </c>
      <c r="J12" s="48" t="str">
        <f>""</f>
        <v/>
      </c>
      <c r="K12" s="49"/>
      <c r="L12" s="50"/>
      <c r="M12" s="50"/>
      <c r="N12" s="51" t="s">
        <v>169</v>
      </c>
      <c r="O12" s="52" t="s">
        <v>325</v>
      </c>
      <c r="P12" s="53" t="s">
        <v>326</v>
      </c>
      <c r="Q12" s="54">
        <v>1</v>
      </c>
      <c r="R12" s="55" t="s">
        <v>169</v>
      </c>
      <c r="S12" s="56">
        <v>3</v>
      </c>
      <c r="T12" s="57" t="s">
        <v>172</v>
      </c>
      <c r="U12" s="58" t="s">
        <v>172</v>
      </c>
      <c r="V12" s="58" t="s">
        <v>173</v>
      </c>
      <c r="W12" s="58" t="s">
        <v>172</v>
      </c>
      <c r="X12" s="58" t="s">
        <v>172</v>
      </c>
      <c r="Y12" s="58" t="s">
        <v>172</v>
      </c>
      <c r="Z12" s="58" t="s">
        <v>172</v>
      </c>
      <c r="AA12" s="58" t="s">
        <v>172</v>
      </c>
      <c r="AB12" s="58" t="s">
        <v>172</v>
      </c>
      <c r="AC12" s="58" t="s">
        <v>172</v>
      </c>
      <c r="AD12" s="58" t="s">
        <v>172</v>
      </c>
      <c r="AE12" s="58" t="s">
        <v>172</v>
      </c>
      <c r="AF12" s="59" t="s">
        <v>172</v>
      </c>
      <c r="AG12" s="59" t="s">
        <v>172</v>
      </c>
      <c r="AH12" s="59" t="s">
        <v>172</v>
      </c>
      <c r="AI12" s="59" t="s">
        <v>172</v>
      </c>
      <c r="AJ12" s="59" t="s">
        <v>172</v>
      </c>
      <c r="AK12" s="59" t="s">
        <v>173</v>
      </c>
      <c r="AL12" s="59" t="s">
        <v>172</v>
      </c>
      <c r="AM12" s="59" t="s">
        <v>172</v>
      </c>
      <c r="AN12" s="59" t="s">
        <v>172</v>
      </c>
      <c r="AO12" s="59" t="s">
        <v>172</v>
      </c>
      <c r="AP12" s="59" t="s">
        <v>172</v>
      </c>
      <c r="AQ12" s="59" t="s">
        <v>172</v>
      </c>
      <c r="AR12" s="59" t="s">
        <v>172</v>
      </c>
      <c r="AS12" s="59" t="s">
        <v>172</v>
      </c>
      <c r="AT12" s="60">
        <v>0</v>
      </c>
      <c r="AU12" s="59" t="s">
        <v>277</v>
      </c>
      <c r="AV12" s="59" t="str">
        <f>IF(LEFT(A12,1)="[",LEFT(A12,5)&amp;AU12&amp;A12,"")</f>
        <v>[ARG]Province[ARG] Misiones</v>
      </c>
      <c r="AW12" s="59" t="str">
        <f>C12&amp;IFERROR(SUBSTITUTE(A12, " [ANT]",""),"")</f>
        <v>2[ARG] Misiones</v>
      </c>
      <c r="AX12" s="61"/>
      <c r="AY12" s="61"/>
      <c r="AZ12" s="62" t="s">
        <v>159</v>
      </c>
      <c r="BA12" s="62" t="s">
        <v>174</v>
      </c>
      <c r="BB12" s="62"/>
      <c r="BC12" s="63"/>
      <c r="BD12" s="64" t="s">
        <v>154</v>
      </c>
      <c r="BE12" s="47"/>
      <c r="BF12" s="64" t="s">
        <v>154</v>
      </c>
      <c r="BG12" s="64" t="s">
        <v>154</v>
      </c>
      <c r="BH12" s="64" t="s">
        <v>154</v>
      </c>
      <c r="BI12" s="64"/>
      <c r="BJ12" s="64"/>
      <c r="BK12" s="47"/>
      <c r="BL12" s="64" t="s">
        <v>174</v>
      </c>
      <c r="BM12" s="64" t="s">
        <v>174</v>
      </c>
      <c r="BN12" s="64" t="s">
        <v>174</v>
      </c>
      <c r="BO12" s="64" t="s">
        <v>154</v>
      </c>
      <c r="BP12" s="64" t="s">
        <v>174</v>
      </c>
      <c r="BQ12" s="64" t="s">
        <v>174</v>
      </c>
      <c r="BR12" s="64" t="s">
        <v>174</v>
      </c>
      <c r="BS12" s="64" t="s">
        <v>174</v>
      </c>
      <c r="BT12" s="64" t="s">
        <v>159</v>
      </c>
      <c r="BU12" s="65"/>
      <c r="BV12" s="66"/>
      <c r="BW12" s="66">
        <v>0</v>
      </c>
      <c r="BX12" s="47"/>
      <c r="CB12" s="6"/>
      <c r="CC12" s="6"/>
      <c r="CD12" s="67">
        <v>0</v>
      </c>
      <c r="CE12" s="67">
        <v>0</v>
      </c>
      <c r="CF12" s="67" t="e">
        <v>#REF!</v>
      </c>
      <c r="CG12" s="68" cm="1">
        <f t="array" ref="CG12">SUMPRODUCT(--(LEN(TRIM(BL12:BT12))&gt;0))</f>
        <v>2</v>
      </c>
      <c r="CH12" s="59" t="str">
        <f t="shared" si="6"/>
        <v>y</v>
      </c>
      <c r="CI12" s="59" t="str">
        <f t="shared" si="7"/>
        <v>n</v>
      </c>
      <c r="CJ12" s="59" t="str">
        <f t="shared" si="8"/>
        <v>n</v>
      </c>
      <c r="CK12" s="59" t="str">
        <f t="shared" si="9"/>
        <v>n</v>
      </c>
      <c r="CL12" s="59" t="str">
        <f t="shared" si="10"/>
        <v>n</v>
      </c>
      <c r="CM12" s="59" t="str">
        <f t="shared" si="11"/>
        <v>n</v>
      </c>
      <c r="CN12" s="59" t="str">
        <f t="shared" si="12"/>
        <v>y</v>
      </c>
      <c r="CO12" s="59" t="str">
        <f t="shared" si="13"/>
        <v>n</v>
      </c>
      <c r="CP12" s="59" t="str">
        <f t="shared" si="14"/>
        <v>y</v>
      </c>
      <c r="CQ12" s="59" t="str">
        <f t="shared" si="15"/>
        <v>n</v>
      </c>
      <c r="CR12" s="59" t="str">
        <f t="shared" si="16"/>
        <v>n</v>
      </c>
      <c r="CS12" s="59" t="str">
        <f t="shared" si="17"/>
        <v>n</v>
      </c>
      <c r="CT12" s="69" t="str">
        <f t="shared" si="18"/>
        <v>"[ARG] Misiones"</v>
      </c>
      <c r="CU12" s="70" t="str">
        <f t="shared" si="19"/>
        <v>"rgn_South America"</v>
      </c>
      <c r="CV12" s="48" t="str">
        <f t="shared" si="20"/>
        <v>"https://upload.wikimedia.org/wikipedia/commons/thumb/c/ce/Bandera_de_la_Provincia_de_Misiones.svg/640px-Bandera_de_la_Provincia_de_Misiones.svg.png"</v>
      </c>
      <c r="CW12" s="48" t="str">
        <f t="shared" si="0"/>
        <v>"2Color",</v>
      </c>
      <c r="CX12" s="48" t="str">
        <f t="shared" si="0"/>
        <v/>
      </c>
      <c r="CY12" s="48" t="str">
        <f t="shared" si="0"/>
        <v/>
      </c>
      <c r="CZ12" s="48" t="str">
        <f t="shared" si="0"/>
        <v/>
      </c>
      <c r="DA12" s="48" t="str">
        <f t="shared" si="21"/>
        <v/>
      </c>
      <c r="DB12" s="48" t="str">
        <f t="shared" si="22"/>
        <v/>
      </c>
      <c r="DD12" s="48" t="str">
        <f t="shared" ref="DD12:DD17" si="104">IF(LEN(CHAR(34)&amp;"lets"&amp;LEN(SUBSTITUTE(SUBSTITUTE(IFERROR(TRIM(SUBSTITUTE(A12,MID(A12,FIND("[",A12),FIND("]",A12)-FIND("[",A12)+1),"")),A12)," ",""),"-",""))&amp;CHAR(34)&amp;",")=9,CHAR(34)&amp;"lets"&amp;LEN(SUBSTITUTE(SUBSTITUTE(IFERROR(TRIM(SUBSTITUTE(A12,MID(A12,FIND("[",A12),FIND("]",A12)-FIND("[",A12)+1),"")),A12)," ",""),"-",""))&amp;CHAR(34)&amp;",",CHAR(34)&amp;"lets0"&amp;LEN(SUBSTITUTE(SUBSTITUTE(IFERROR(TRIM(SUBSTITUTE(A12,MID(A12,FIND("[",A12),FIND("]",A12)-FIND("[",A12)+1),"")),A12)," ",""),"-",""))&amp;CHAR(34)&amp;",")</f>
        <v>"lets08",</v>
      </c>
      <c r="DE12" s="48" t="str">
        <f t="shared" ref="DE12:DE17" si="105">CHAR(34)&amp;"start"&amp;IFERROR(LEFT(SUBSTITUTE(A12,"["&amp;MID(A12,FIND("[",A12)+1,FIND("]",A12)-FIND("[",A12)-1)&amp;"] ",""),1),LEFT(A12,1))&amp;CHAR(34)&amp;","</f>
        <v>"startM",</v>
      </c>
      <c r="DF12" s="48" t="str">
        <f t="shared" si="26"/>
        <v/>
      </c>
      <c r="DG12" s="48" t="str">
        <f t="shared" si="27"/>
        <v/>
      </c>
      <c r="DH12" s="48" t="str">
        <f t="shared" si="28"/>
        <v/>
      </c>
      <c r="DI12" s="48" t="str">
        <f t="shared" si="29"/>
        <v/>
      </c>
      <c r="DJ12" s="48" t="str">
        <f t="shared" si="30"/>
        <v/>
      </c>
      <c r="DK12" s="48" t="str">
        <f t="shared" si="31"/>
        <v/>
      </c>
      <c r="DL12" s="48" t="str">
        <f t="shared" si="32"/>
        <v>"REDWHI",</v>
      </c>
      <c r="DM12" s="48" t="str" cm="1">
        <f t="array" ref="DM12">IF(CG12=3,CHAR(34) &amp; _xlfn.TEXTJOIN("", TRUE, RIGHT(HP12:HX12, 2)) &amp; CHAR(34) &amp; ",", "")</f>
        <v/>
      </c>
      <c r="DN12" s="48" t="str">
        <f t="shared" si="33"/>
        <v/>
      </c>
      <c r="DO12" s="48" t="str">
        <f t="shared" si="34"/>
        <v>"year19",</v>
      </c>
      <c r="DP12" s="6" t="str">
        <f t="shared" si="35"/>
        <v/>
      </c>
      <c r="DQ12" s="6" t="str">
        <f t="shared" si="36"/>
        <v/>
      </c>
      <c r="DR12" s="6" t="str">
        <f t="shared" si="37"/>
        <v/>
      </c>
      <c r="DS12" s="6" t="str">
        <f t="shared" si="38"/>
        <v/>
      </c>
      <c r="DT12" s="6" t="str">
        <f t="shared" si="39"/>
        <v>"allhor",</v>
      </c>
      <c r="DU12" s="6" t="str">
        <f t="shared" si="40"/>
        <v/>
      </c>
      <c r="DW12" s="48" t="str">
        <f t="shared" si="1"/>
        <v/>
      </c>
      <c r="DX12" s="48" t="str">
        <f t="shared" si="1"/>
        <v/>
      </c>
      <c r="DY12" s="48" t="str">
        <f t="shared" si="1"/>
        <v>"3Bands",</v>
      </c>
      <c r="DZ12" s="48" t="str">
        <f t="shared" si="1"/>
        <v/>
      </c>
      <c r="EA12" s="48" t="str">
        <f t="shared" si="2"/>
        <v/>
      </c>
      <c r="EB12" s="48" t="str">
        <f t="shared" si="2"/>
        <v/>
      </c>
      <c r="EC12" s="48" t="str">
        <f t="shared" si="2"/>
        <v>"Horizo",</v>
      </c>
      <c r="ED12" s="48" t="str">
        <f t="shared" si="2"/>
        <v/>
      </c>
      <c r="EE12" s="48" t="str">
        <f t="shared" si="2"/>
        <v/>
      </c>
      <c r="EF12" s="48" t="str">
        <f t="shared" si="42"/>
        <v/>
      </c>
      <c r="EG12" s="48" t="str">
        <f t="shared" si="3"/>
        <v/>
      </c>
      <c r="EH12" s="48" t="str">
        <f t="shared" si="3"/>
        <v/>
      </c>
      <c r="EI12" s="48" t="str">
        <f t="shared" si="3"/>
        <v/>
      </c>
      <c r="EJ12" s="48" t="str">
        <f t="shared" si="3"/>
        <v/>
      </c>
      <c r="EK12" s="48" t="str">
        <f t="shared" si="3"/>
        <v/>
      </c>
      <c r="EL12" s="48" t="str">
        <f t="shared" si="3"/>
        <v/>
      </c>
      <c r="EM12" s="48" t="str">
        <f t="shared" si="3"/>
        <v/>
      </c>
      <c r="EN12" s="48" t="str">
        <f t="shared" si="3"/>
        <v/>
      </c>
      <c r="EO12" s="48" t="str">
        <f t="shared" si="3"/>
        <v/>
      </c>
      <c r="EP12" s="48" t="str">
        <f t="shared" si="3"/>
        <v/>
      </c>
      <c r="EQ12" s="48" t="str">
        <f t="shared" si="3"/>
        <v/>
      </c>
      <c r="ER12" s="48" t="str">
        <f t="shared" si="3"/>
        <v>"OnlyBa",</v>
      </c>
      <c r="ES12" s="48" t="str">
        <f t="shared" si="3"/>
        <v/>
      </c>
      <c r="ET12" s="48" t="str">
        <f t="shared" si="3"/>
        <v/>
      </c>
      <c r="EU12" s="48" t="str">
        <f t="shared" si="3"/>
        <v/>
      </c>
      <c r="EV12" s="48" t="str">
        <f t="shared" si="3"/>
        <v/>
      </c>
      <c r="EW12" s="48" t="str">
        <f t="shared" si="3"/>
        <v/>
      </c>
      <c r="EX12" s="48" t="str">
        <f t="shared" si="3"/>
        <v/>
      </c>
      <c r="EY12" s="48" t="str">
        <f t="shared" si="3"/>
        <v/>
      </c>
      <c r="EZ12" s="48" t="str">
        <f t="shared" si="3"/>
        <v/>
      </c>
      <c r="FA12" s="48" t="str">
        <f t="shared" si="43"/>
        <v/>
      </c>
      <c r="FB12" s="48" t="str">
        <f t="shared" si="44"/>
        <v/>
      </c>
      <c r="FD12" s="48" t="str">
        <f t="shared" si="46"/>
        <v/>
      </c>
      <c r="FE12" s="48" t="str">
        <f t="shared" si="47"/>
        <v>"NO_BLU",</v>
      </c>
      <c r="FF12" s="48" t="str">
        <f t="shared" si="48"/>
        <v/>
      </c>
      <c r="FG12" s="48" t="str">
        <f t="shared" si="49"/>
        <v/>
      </c>
      <c r="FH12" s="48" t="str">
        <f t="shared" si="50"/>
        <v>"NO_GRE",</v>
      </c>
      <c r="FI12" s="48" t="str">
        <f t="shared" si="51"/>
        <v>"NO_YEL",</v>
      </c>
      <c r="FJ12" s="48" t="str">
        <f t="shared" si="52"/>
        <v>"NO_BLA",</v>
      </c>
      <c r="FK12" s="48" t="str">
        <f t="shared" si="53"/>
        <v/>
      </c>
      <c r="FL12" s="48" t="str">
        <f t="shared" si="54"/>
        <v/>
      </c>
      <c r="FM12" s="48" t="str">
        <f t="shared" si="55"/>
        <v/>
      </c>
      <c r="FN12" s="48" t="str">
        <f t="shared" si="56"/>
        <v/>
      </c>
      <c r="FO12" s="48" t="str">
        <f t="shared" si="57"/>
        <v/>
      </c>
      <c r="FP12" s="48" t="str">
        <f t="shared" si="58"/>
        <v/>
      </c>
      <c r="FQ12" s="48" t="str">
        <f t="shared" si="59"/>
        <v>"001RED",</v>
      </c>
      <c r="FR12" s="48" t="str">
        <f t="shared" si="60"/>
        <v>"002RED",</v>
      </c>
      <c r="FS12" s="48" t="str">
        <f t="shared" si="61"/>
        <v>"003RED",</v>
      </c>
      <c r="FT12" s="48" t="str">
        <f t="shared" si="62"/>
        <v>"myrRED",</v>
      </c>
      <c r="FU12" s="48" t="str">
        <f t="shared" si="63"/>
        <v/>
      </c>
      <c r="FV12" s="48" t="str">
        <f t="shared" si="64"/>
        <v/>
      </c>
      <c r="FW12" s="48" t="str">
        <f t="shared" si="65"/>
        <v/>
      </c>
      <c r="FY12" s="48" t="str">
        <f t="shared" si="67"/>
        <v/>
      </c>
      <c r="FZ12" s="48" t="str">
        <f t="shared" si="68"/>
        <v/>
      </c>
      <c r="GA12" s="48" t="str">
        <f t="shared" si="69"/>
        <v/>
      </c>
      <c r="GB12" s="48" t="str">
        <f t="shared" si="70"/>
        <v/>
      </c>
      <c r="GE12" s="48" t="str">
        <f t="shared" si="73"/>
        <v/>
      </c>
      <c r="GF12" s="48" t="str">
        <f t="shared" si="103"/>
        <v/>
      </c>
      <c r="GG12" s="48" t="str">
        <f t="shared" si="74"/>
        <v/>
      </c>
      <c r="GH12" s="48" t="str">
        <f t="shared" si="75"/>
        <v/>
      </c>
      <c r="GI12" s="48" t="str">
        <f t="shared" si="76"/>
        <v/>
      </c>
      <c r="GJ12" s="48" t="str">
        <f t="shared" si="77"/>
        <v>"NoStar",</v>
      </c>
      <c r="GK12" s="48" t="str">
        <f t="shared" si="78"/>
        <v/>
      </c>
      <c r="GL12" s="48" t="str">
        <f t="shared" si="4"/>
        <v/>
      </c>
      <c r="GM12" s="48" t="str">
        <f t="shared" si="4"/>
        <v/>
      </c>
      <c r="GN12" s="48" t="str">
        <f t="shared" si="4"/>
        <v/>
      </c>
      <c r="GP12" s="48" t="str">
        <f t="shared" si="79"/>
        <v>"Province"</v>
      </c>
      <c r="GS12" s="48" t="str">
        <f t="shared" si="80"/>
        <v>["2Color","lets08","startM","REDWHI","year19","allhor","3Bands","Horizo","OnlyBa","NO_BLU","NO_GRE","NO_YEL","NO_BLA","001RED","002RED","003RED","myrRED","NoStar"]</v>
      </c>
      <c r="GT12" s="48" t="str">
        <f t="shared" si="5"/>
        <v/>
      </c>
      <c r="GU12" s="48" t="str">
        <f t="shared" si="5"/>
        <v/>
      </c>
      <c r="GV12" s="48" t="str">
        <f t="shared" si="5"/>
        <v/>
      </c>
      <c r="GW12" s="48" t="str">
        <f t="shared" si="5"/>
        <v>"cl_RED",</v>
      </c>
      <c r="GX12" s="48" t="str">
        <f t="shared" si="5"/>
        <v/>
      </c>
      <c r="GY12" s="48" t="str">
        <f t="shared" si="5"/>
        <v/>
      </c>
      <c r="GZ12" s="48" t="str">
        <f t="shared" si="5"/>
        <v/>
      </c>
      <c r="HA12" s="48" t="str">
        <f t="shared" si="5"/>
        <v/>
      </c>
      <c r="HB12" s="48" t="str">
        <f t="shared" si="5"/>
        <v>"cl_WHI",</v>
      </c>
      <c r="HC12" s="48" t="str">
        <f t="shared" si="81"/>
        <v>["cl_RED","cl_WHI"]</v>
      </c>
      <c r="HE12" s="71"/>
      <c r="HF12" s="72" t="str">
        <f t="shared" si="82"/>
        <v>{couname:"[ARG] Misiones",year:"1992 ",region:"rgn_South America",Colors:["cl_RED","cl_WHI"],Items:["2Color","lets08","startM","REDWHI","year19","allhor","3Bands","Horizo","OnlyBa","NO_BLU","NO_GRE","NO_YEL","NO_BLA","001RED","002RED","003RED","myrRED","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links: "https://es.wikipedia.org/wiki/Bandera_de_Misiones"},</v>
      </c>
      <c r="HG12" s="73" t="str">
        <f t="shared" si="83"/>
        <v>{couname:"[ARG] Misiones",year:"1992 ",region:"rgn_South America",Colors:["cl_RED","cl_WHI"],Items:["2Color","lets08","startM","REDWHI","year19","allhor","3Bands","Horizo","OnlyBa","NO_BLU","NO_GRE","NO_YEL","NO_BLA","001RED","002RED","003RED","myrRED","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links: "https://es.wikipedia.org/wiki/Bandera_de_Misiones"},</v>
      </c>
      <c r="HH12" s="48" t="str">
        <f t="shared" si="84"/>
        <v>"\nAccording to José Artigas himself, the meaning of the flag is as follows:\n\n • Red: for the blood spilled to sustain our freedom and independence.\n\n • Blue: of our decision for the Republic.\n\n • White: of our distinction and greatness."</v>
      </c>
      <c r="HI12" s="48" t="str">
        <f t="shared" si="85"/>
        <v>"\nAccording to José Artigas himself, the meaning of the flag is as follows:\n\n • Red: for the blood spilled to sustain our freedom and independence.\n\n • Blue: of our decision for the Republic.\n\n • White: of our distinction and greatness."</v>
      </c>
      <c r="HJ12" s="48" t="str">
        <f t="shared" si="86"/>
        <v>"1992 "</v>
      </c>
      <c r="HL12" s="48" t="str">
        <f t="shared" si="87"/>
        <v>"https://es.wikipedia.org/wiki/Bandera_de_Misiones"</v>
      </c>
      <c r="HM12" s="72" t="str">
        <f t="shared" si="88"/>
        <v>{"couname":"[ARG] Misiones","year":"1992 ","region":"rgn_South America","Colors":["cl_RED","cl_WHI"],"Items":["2Color","lets08","startM","REDWHI","year19","allhor","3Bands","Horizo","OnlyBa","NO_BLU","NO_GRE","NO_YEL","NO_BLA","001RED","002RED","003RED","myrRED","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 "links": "https://es.wikipedia.org/wiki/Bandera_de_Misiones"},</v>
      </c>
      <c r="HN12" s="74" t="str">
        <f t="shared" si="89"/>
        <v>{"couname":"[ARG] Misiones","year":"1992 ","region":"rgn_South America","Colors":["cl_RED","cl_WHI"],"Items":["2Color","lets08","startM","REDWHI","year19","allhor","3Bands","Horizo","OnlyBa","NO_BLU","NO_GRE","NO_YEL","NO_BLA","001RED","002RED","003RED","myrRED","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 "links": "https://es.wikipedia.org/wiki/Bandera_de_Misiones"},</v>
      </c>
      <c r="HO12" s="75">
        <v>45618</v>
      </c>
      <c r="HP12" s="48" t="str" cm="1">
        <f t="array" ref="HP12">IF(_xlfn.TEXTJOIN(", ", TRUE, IF(ISNUMBER(SEARCH("BLA", BL12:BT12)), COLUMN(BL12:BT12) - COLUMN(BL12) + 1, ""))&lt;&gt;"","BLA","")</f>
        <v/>
      </c>
      <c r="HQ12" s="48" t="str" cm="1">
        <f t="array" ref="HQ12">IF(_xlfn.TEXTJOIN(", ", TRUE, IF(ISNUMBER(SEARCH("BLU", BL12:BT12)), COLUMN(BL12:BT12) - COLUMN(BL12) + 1, ""))&lt;&gt;"","BLU","")</f>
        <v/>
      </c>
      <c r="HR12" s="48" t="str" cm="1">
        <f t="array" ref="HR12">IF(_xlfn.TEXTJOIN(", ", TRUE, IF(ISNUMBER(SEARCH("GRE", BL12:BT12)), COLUMN(BL12:BT12) - COLUMN(BL12) + 1, ""))&lt;&gt;"","GRE","")</f>
        <v/>
      </c>
      <c r="HS12" s="48" t="str" cm="1">
        <f t="array" ref="HS12">IF(_xlfn.TEXTJOIN(", ", TRUE, IF(ISNUMBER(SEARCH("RED", BL12:BT12)), COLUMN(BL12:BT12) - COLUMN(BL12) + 1, ""))&lt;&gt;"","RED","")</f>
        <v>RED</v>
      </c>
      <c r="HT12" s="48" t="str" cm="1">
        <f t="array" ref="HT12">IF(_xlfn.TEXTJOIN(", ", TRUE, IF(ISNUMBER(SEARCH("YEL", BL12:BT12)), COLUMN(BL12:BT12) - COLUMN(BL12) + 1, ""))&lt;&gt;"","YEL","")</f>
        <v/>
      </c>
      <c r="HU12" s="48" t="str" cm="1">
        <f t="array" ref="HU12">IF(_xlfn.TEXTJOIN(", ", TRUE, IF(ISNUMBER(SEARCH("ORA", BL12:BT12)), COLUMN(BL12:BT12) - COLUMN(BL12) + 1, ""))&lt;&gt;"","ORA","")</f>
        <v/>
      </c>
      <c r="HV12" s="48" t="str" cm="1">
        <f t="array" ref="HV12">IF(_xlfn.TEXTJOIN(", ", TRUE, IF(ISNUMBER(SEARCH("BRO", BL12:BT12)), COLUMN(BL12:BT12) - COLUMN(BL12) + 1, ""))&lt;&gt;"","BRO","")</f>
        <v/>
      </c>
      <c r="HW12" s="48" t="str" cm="1">
        <f t="array" ref="HW12">IF(_xlfn.TEXTJOIN(", ", TRUE, IF(ISNUMBER(SEARCH("PUR", BL12:BT12)), COLUMN(BL12:BT12) - COLUMN(BL12) + 1, ""))&lt;&gt;"","PUR","")</f>
        <v/>
      </c>
      <c r="HX12" s="48" t="str" cm="1">
        <f t="array" ref="HX12">IF(_xlfn.TEXTJOIN(", ", TRUE, IF(ISNUMBER(SEARCH("WHI", BL12:BT12)), COLUMN(BL12:BT12) - COLUMN(BL12) + 1, ""))&lt;&gt;"","WHI","")</f>
        <v>WHI</v>
      </c>
      <c r="HY12" s="76"/>
      <c r="HZ12" s="76"/>
      <c r="IA12" s="6"/>
      <c r="IB12" s="6"/>
      <c r="IC12" s="77"/>
      <c r="ID12" s="77"/>
      <c r="IE12" s="77"/>
      <c r="IF12" s="77"/>
      <c r="IG12" s="77"/>
      <c r="IH12" s="77"/>
      <c r="II12" s="77"/>
      <c r="IJ12" s="77"/>
      <c r="IK12" s="77"/>
      <c r="IM12" s="45">
        <f t="shared" si="91"/>
        <v>-2</v>
      </c>
      <c r="IN12" s="78" t="str">
        <f t="shared" si="92"/>
        <v>http://mkweb.bcgsc.ca/color-summarizer/?url=https://upload.wikimedia.org/wikipedia/commons/thumb/c/ce/Bandera_de_la_Provincia_de_Misiones.svg/640px-Bandera_de_la_Provincia_de_Misiones.svg.png&amp;precision=low&amp;num_clusters=2&amp;text=1</v>
      </c>
      <c r="IO12" s="48" t="str">
        <f t="shared" si="93"/>
        <v/>
      </c>
      <c r="IP12" s="48" t="str">
        <f t="shared" si="94"/>
        <v/>
      </c>
      <c r="IQ12" s="48" t="str">
        <f t="shared" si="95"/>
        <v/>
      </c>
      <c r="IR12" s="48" t="str">
        <f t="shared" si="96"/>
        <v>"red"</v>
      </c>
      <c r="IS12" s="48" t="str">
        <f t="shared" si="97"/>
        <v/>
      </c>
      <c r="IT12" s="48" t="str">
        <f t="shared" si="98"/>
        <v/>
      </c>
      <c r="IU12" s="48" t="str">
        <f t="shared" si="99"/>
        <v/>
      </c>
      <c r="IV12" s="48" t="str">
        <f t="shared" si="100"/>
        <v/>
      </c>
      <c r="IW12" s="48" t="str">
        <f t="shared" si="101"/>
        <v>"white"</v>
      </c>
      <c r="IX12" s="48" t="str">
        <f t="shared" si="102"/>
        <v>{"url":"http://mkweb.bcgsc.ca/color-summarizer/?url=https://upload.wikimedia.org/wikipedia/commons/thumb/c/ce/Bandera_de_la_Provincia_de_Misiones.svg/640px-Bandera_de_la_Provincia_de_Misiones.svg.png&amp;precision=low&amp;num_clusters=2&amp;text=1","name":"[ARG] Misiones"},</v>
      </c>
      <c r="IY12" s="48">
        <v>1009</v>
      </c>
    </row>
    <row r="13" spans="1:259" s="48" customFormat="1" ht="38.4" customHeight="1" thickBot="1" x14ac:dyDescent="0.35">
      <c r="A13" s="79" t="s">
        <v>327</v>
      </c>
      <c r="B13" s="40" t="e" vm="12">
        <v>#VALUE!</v>
      </c>
      <c r="C13" s="41">
        <v>2</v>
      </c>
      <c r="D13" s="42" t="s">
        <v>328</v>
      </c>
      <c r="E13" s="43" t="s">
        <v>329</v>
      </c>
      <c r="F13" s="44" t="s">
        <v>166</v>
      </c>
      <c r="G13" s="45">
        <f>COUNTIF($A$1:$A$8299,A13)</f>
        <v>1</v>
      </c>
      <c r="H13" s="46"/>
      <c r="I13" s="47" t="s">
        <v>330</v>
      </c>
      <c r="J13" s="48" t="str">
        <f>""</f>
        <v/>
      </c>
      <c r="K13" s="49"/>
      <c r="L13" s="50"/>
      <c r="M13" s="50"/>
      <c r="N13" s="51" t="s">
        <v>169</v>
      </c>
      <c r="O13" s="52">
        <v>1989</v>
      </c>
      <c r="P13" s="53" t="s">
        <v>331</v>
      </c>
      <c r="Q13" s="54">
        <v>1</v>
      </c>
      <c r="R13" s="55" t="s">
        <v>169</v>
      </c>
      <c r="S13" s="56">
        <v>3</v>
      </c>
      <c r="T13" s="57" t="s">
        <v>172</v>
      </c>
      <c r="U13" s="58" t="s">
        <v>172</v>
      </c>
      <c r="V13" s="58" t="s">
        <v>172</v>
      </c>
      <c r="W13" s="58" t="s">
        <v>173</v>
      </c>
      <c r="X13" s="58" t="s">
        <v>172</v>
      </c>
      <c r="Y13" s="58" t="s">
        <v>172</v>
      </c>
      <c r="Z13" s="58" t="s">
        <v>172</v>
      </c>
      <c r="AA13" s="58" t="s">
        <v>173</v>
      </c>
      <c r="AB13" s="58" t="s">
        <v>172</v>
      </c>
      <c r="AC13" s="58" t="s">
        <v>172</v>
      </c>
      <c r="AD13" s="58" t="s">
        <v>172</v>
      </c>
      <c r="AE13" s="58" t="s">
        <v>172</v>
      </c>
      <c r="AF13" s="59" t="s">
        <v>172</v>
      </c>
      <c r="AG13" s="59" t="s">
        <v>173</v>
      </c>
      <c r="AH13" s="59" t="s">
        <v>173</v>
      </c>
      <c r="AI13" s="59" t="s">
        <v>172</v>
      </c>
      <c r="AJ13" s="59" t="s">
        <v>172</v>
      </c>
      <c r="AK13" s="59" t="s">
        <v>172</v>
      </c>
      <c r="AL13" s="59" t="s">
        <v>172</v>
      </c>
      <c r="AM13" s="59" t="s">
        <v>173</v>
      </c>
      <c r="AN13" s="59" t="s">
        <v>172</v>
      </c>
      <c r="AO13" s="59" t="s">
        <v>172</v>
      </c>
      <c r="AP13" s="59" t="s">
        <v>172</v>
      </c>
      <c r="AQ13" s="59" t="s">
        <v>172</v>
      </c>
      <c r="AR13" s="59" t="s">
        <v>172</v>
      </c>
      <c r="AS13" s="59" t="s">
        <v>172</v>
      </c>
      <c r="AT13" s="60">
        <v>17</v>
      </c>
      <c r="AU13" s="59" t="s">
        <v>277</v>
      </c>
      <c r="AV13" s="59" t="str">
        <f>IF(LEFT(A13,1)="[",LEFT(A13,5)&amp;AU13&amp;A13,"")</f>
        <v>[ARG]Province[ARG] Neuquén</v>
      </c>
      <c r="AW13" s="59" t="str">
        <f>C13&amp;IFERROR(SUBSTITUTE(A13, " [ANT]",""),"")</f>
        <v>2[ARG] Neuquén</v>
      </c>
      <c r="AX13" s="61"/>
      <c r="AY13" s="61"/>
      <c r="AZ13" s="62" t="s">
        <v>159</v>
      </c>
      <c r="BA13" s="62" t="s">
        <v>174</v>
      </c>
      <c r="BB13" s="62"/>
      <c r="BC13" s="63"/>
      <c r="BD13" s="64" t="s">
        <v>152</v>
      </c>
      <c r="BE13" s="47"/>
      <c r="BF13" s="64" t="s">
        <v>152</v>
      </c>
      <c r="BG13" s="64" t="s">
        <v>174</v>
      </c>
      <c r="BH13" s="64" t="s">
        <v>152</v>
      </c>
      <c r="BI13" s="64"/>
      <c r="BJ13" s="64"/>
      <c r="BK13" s="47"/>
      <c r="BL13" s="64" t="s">
        <v>174</v>
      </c>
      <c r="BM13" s="64" t="s">
        <v>152</v>
      </c>
      <c r="BN13" s="64" t="s">
        <v>174</v>
      </c>
      <c r="BO13" s="64" t="s">
        <v>174</v>
      </c>
      <c r="BP13" s="64" t="s">
        <v>155</v>
      </c>
      <c r="BQ13" s="64" t="s">
        <v>156</v>
      </c>
      <c r="BR13" s="64" t="s">
        <v>174</v>
      </c>
      <c r="BS13" s="64" t="s">
        <v>174</v>
      </c>
      <c r="BT13" s="64" t="s">
        <v>159</v>
      </c>
      <c r="BU13" s="65"/>
      <c r="BV13" s="66"/>
      <c r="BW13" s="66">
        <v>0</v>
      </c>
      <c r="BX13" s="47"/>
      <c r="BY13" s="48" t="s">
        <v>172</v>
      </c>
      <c r="CB13" s="6"/>
      <c r="CC13" s="6"/>
      <c r="CD13" s="67">
        <v>0</v>
      </c>
      <c r="CE13" s="67">
        <v>0</v>
      </c>
      <c r="CF13" s="67" t="e">
        <v>#REF!</v>
      </c>
      <c r="CG13" s="68" cm="1">
        <f t="array" ref="CG13">SUMPRODUCT(--(LEN(TRIM(BL13:BT13))&gt;0))</f>
        <v>4</v>
      </c>
      <c r="CH13" s="59" t="str">
        <f t="shared" si="6"/>
        <v>n</v>
      </c>
      <c r="CI13" s="59" t="str">
        <f t="shared" si="7"/>
        <v>n</v>
      </c>
      <c r="CJ13" s="59" t="str">
        <f t="shared" si="8"/>
        <v>y</v>
      </c>
      <c r="CK13" s="59" t="str">
        <f t="shared" si="9"/>
        <v>n</v>
      </c>
      <c r="CL13" s="59" t="str">
        <f t="shared" si="10"/>
        <v>n</v>
      </c>
      <c r="CM13" s="59" t="str">
        <f t="shared" si="11"/>
        <v>n</v>
      </c>
      <c r="CN13" s="59" t="str">
        <f t="shared" si="12"/>
        <v>y</v>
      </c>
      <c r="CO13" s="59" t="str">
        <f t="shared" si="13"/>
        <v>n</v>
      </c>
      <c r="CP13" s="59" t="str">
        <f t="shared" si="14"/>
        <v>n</v>
      </c>
      <c r="CQ13" s="59" t="str">
        <f t="shared" si="15"/>
        <v>n</v>
      </c>
      <c r="CR13" s="59" t="str">
        <f t="shared" si="16"/>
        <v>n</v>
      </c>
      <c r="CS13" s="59" t="str">
        <f t="shared" si="17"/>
        <v>y</v>
      </c>
      <c r="CT13" s="69" t="str">
        <f t="shared" si="18"/>
        <v>"[ARG] Neuquén"</v>
      </c>
      <c r="CU13" s="70" t="str">
        <f t="shared" si="19"/>
        <v>"rgn_South America"</v>
      </c>
      <c r="CV13" s="48" t="str">
        <f t="shared" si="20"/>
        <v>"https://upload.wikimedia.org/wikipedia/commons/thumb/b/bc/Bandera_de_la_Provincia_de_Neuqu%C3%A9n.svg/301px-Bandera_de_la_Provincia_de_Neuqu%C3%A9n.svg.png"</v>
      </c>
      <c r="CW13" s="48" t="str">
        <f t="shared" si="0"/>
        <v/>
      </c>
      <c r="CX13" s="48" t="str">
        <f t="shared" si="0"/>
        <v/>
      </c>
      <c r="CY13" s="48" t="str">
        <f t="shared" si="0"/>
        <v>"4Color",</v>
      </c>
      <c r="CZ13" s="48" t="str">
        <f t="shared" si="0"/>
        <v/>
      </c>
      <c r="DA13" s="48" t="str">
        <f t="shared" si="21"/>
        <v/>
      </c>
      <c r="DB13" s="48" t="str">
        <f t="shared" si="22"/>
        <v/>
      </c>
      <c r="DD13" s="48" t="str">
        <f t="shared" si="104"/>
        <v>"lets07",</v>
      </c>
      <c r="DE13" s="48" t="str">
        <f t="shared" si="105"/>
        <v>"startN",</v>
      </c>
      <c r="DF13" s="48" t="str">
        <f t="shared" si="26"/>
        <v/>
      </c>
      <c r="DG13" s="48" t="str">
        <f t="shared" si="27"/>
        <v>"with_q",</v>
      </c>
      <c r="DH13" s="48" t="str">
        <f t="shared" si="28"/>
        <v/>
      </c>
      <c r="DI13" s="48" t="str">
        <f t="shared" si="29"/>
        <v/>
      </c>
      <c r="DJ13" s="48" t="str">
        <f t="shared" si="30"/>
        <v/>
      </c>
      <c r="DK13" s="48" t="str">
        <f t="shared" si="31"/>
        <v/>
      </c>
      <c r="DL13" s="48" t="str">
        <f t="shared" si="32"/>
        <v/>
      </c>
      <c r="DM13" s="48" t="str" cm="1">
        <f t="array" ref="DM13">IF(CG13=3,CHAR(34) &amp; _xlfn.TEXTJOIN("", TRUE, RIGHT(HP13:HX13, 2)) &amp; CHAR(34) &amp; ",", "")</f>
        <v/>
      </c>
      <c r="DN13" s="48" t="str">
        <f t="shared" si="33"/>
        <v/>
      </c>
      <c r="DO13" s="48" t="str">
        <f t="shared" si="34"/>
        <v>"year19",</v>
      </c>
      <c r="DP13" s="6" t="str">
        <f t="shared" si="35"/>
        <v/>
      </c>
      <c r="DQ13" s="6" t="str">
        <f t="shared" si="36"/>
        <v/>
      </c>
      <c r="DR13" s="6" t="str">
        <f t="shared" si="37"/>
        <v/>
      </c>
      <c r="DS13" s="6" t="str">
        <f t="shared" si="38"/>
        <v>"allver",</v>
      </c>
      <c r="DT13" s="6" t="str">
        <f t="shared" si="39"/>
        <v/>
      </c>
      <c r="DU13" s="6" t="str">
        <f t="shared" si="40"/>
        <v/>
      </c>
      <c r="DW13" s="48" t="str">
        <f t="shared" si="1"/>
        <v/>
      </c>
      <c r="DX13" s="48" t="str">
        <f t="shared" si="1"/>
        <v/>
      </c>
      <c r="DY13" s="48" t="str">
        <f t="shared" si="1"/>
        <v>"3Bands",</v>
      </c>
      <c r="DZ13" s="48" t="str">
        <f t="shared" si="1"/>
        <v/>
      </c>
      <c r="EA13" s="48" t="str">
        <f t="shared" si="2"/>
        <v/>
      </c>
      <c r="EB13" s="48" t="str">
        <f t="shared" si="2"/>
        <v/>
      </c>
      <c r="EC13" s="48" t="str">
        <f t="shared" si="2"/>
        <v/>
      </c>
      <c r="ED13" s="48" t="str">
        <f t="shared" si="2"/>
        <v>"Vertic",</v>
      </c>
      <c r="EE13" s="48" t="str">
        <f t="shared" si="2"/>
        <v/>
      </c>
      <c r="EF13" s="48" t="str">
        <f t="shared" si="42"/>
        <v/>
      </c>
      <c r="EG13" s="48" t="str">
        <f t="shared" si="3"/>
        <v/>
      </c>
      <c r="EH13" s="48" t="str">
        <f t="shared" si="3"/>
        <v>"Plants",</v>
      </c>
      <c r="EI13" s="48" t="str">
        <f t="shared" si="3"/>
        <v/>
      </c>
      <c r="EJ13" s="48" t="str">
        <f t="shared" si="3"/>
        <v/>
      </c>
      <c r="EK13" s="48" t="str">
        <f t="shared" si="3"/>
        <v/>
      </c>
      <c r="EL13" s="48" t="str">
        <f t="shared" si="3"/>
        <v/>
      </c>
      <c r="EM13" s="48" t="str">
        <f t="shared" si="3"/>
        <v/>
      </c>
      <c r="EN13" s="48" t="str">
        <f t="shared" si="3"/>
        <v>"Unequa",</v>
      </c>
      <c r="EO13" s="48" t="str">
        <f t="shared" si="3"/>
        <v>"Center",</v>
      </c>
      <c r="EP13" s="48" t="str">
        <f t="shared" si="3"/>
        <v/>
      </c>
      <c r="EQ13" s="48" t="str">
        <f t="shared" si="3"/>
        <v/>
      </c>
      <c r="ER13" s="48" t="str">
        <f t="shared" si="3"/>
        <v/>
      </c>
      <c r="ES13" s="48" t="str">
        <f t="shared" si="3"/>
        <v/>
      </c>
      <c r="ET13" s="48" t="str">
        <f t="shared" si="3"/>
        <v>"Geogrh",</v>
      </c>
      <c r="EU13" s="48" t="str">
        <f t="shared" si="3"/>
        <v/>
      </c>
      <c r="EV13" s="48" t="str">
        <f t="shared" si="3"/>
        <v/>
      </c>
      <c r="EW13" s="48" t="str">
        <f t="shared" si="3"/>
        <v/>
      </c>
      <c r="EX13" s="48" t="str">
        <f t="shared" si="3"/>
        <v/>
      </c>
      <c r="EY13" s="48" t="str">
        <f t="shared" si="3"/>
        <v/>
      </c>
      <c r="EZ13" s="48" t="str">
        <f t="shared" si="3"/>
        <v/>
      </c>
      <c r="FA13" s="48" t="str">
        <f t="shared" si="43"/>
        <v>"staWHI",</v>
      </c>
      <c r="FB13" s="48" t="str">
        <f t="shared" si="44"/>
        <v/>
      </c>
      <c r="FD13" s="48" t="str">
        <f t="shared" si="46"/>
        <v/>
      </c>
      <c r="FE13" s="48" t="str">
        <f t="shared" si="47"/>
        <v/>
      </c>
      <c r="FF13" s="48" t="str">
        <f t="shared" si="48"/>
        <v/>
      </c>
      <c r="FG13" s="48" t="str">
        <f t="shared" si="49"/>
        <v>"NO_RED",</v>
      </c>
      <c r="FH13" s="48" t="str">
        <f t="shared" si="50"/>
        <v>"NO_GRE",</v>
      </c>
      <c r="FI13" s="48" t="str">
        <f t="shared" si="51"/>
        <v/>
      </c>
      <c r="FJ13" s="48" t="str">
        <f t="shared" si="52"/>
        <v>"NO_BLA",</v>
      </c>
      <c r="FK13" s="48" t="str">
        <f t="shared" si="53"/>
        <v/>
      </c>
      <c r="FL13" s="48" t="str">
        <f t="shared" si="54"/>
        <v/>
      </c>
      <c r="FM13" s="48" t="str">
        <f t="shared" si="55"/>
        <v/>
      </c>
      <c r="FN13" s="48" t="str">
        <f t="shared" si="56"/>
        <v/>
      </c>
      <c r="FO13" s="48" t="str">
        <f t="shared" si="57"/>
        <v/>
      </c>
      <c r="FP13" s="48" t="str">
        <f t="shared" si="58"/>
        <v/>
      </c>
      <c r="FQ13" s="48" t="str">
        <f t="shared" si="59"/>
        <v>"001BLU",</v>
      </c>
      <c r="FR13" s="48" t="str">
        <f t="shared" si="60"/>
        <v/>
      </c>
      <c r="FS13" s="48" t="str">
        <f t="shared" si="61"/>
        <v>"003BLU",</v>
      </c>
      <c r="FT13" s="48" t="str">
        <f t="shared" si="62"/>
        <v>"myrBLU",</v>
      </c>
      <c r="FU13" s="48" t="str">
        <f t="shared" si="63"/>
        <v/>
      </c>
      <c r="FV13" s="48" t="str">
        <f t="shared" si="64"/>
        <v/>
      </c>
      <c r="FW13" s="48" t="str">
        <f t="shared" si="65"/>
        <v/>
      </c>
      <c r="FY13" s="48" t="str">
        <f t="shared" si="67"/>
        <v/>
      </c>
      <c r="FZ13" s="48" t="str">
        <f t="shared" si="68"/>
        <v/>
      </c>
      <c r="GA13" s="48" t="str">
        <f t="shared" si="69"/>
        <v/>
      </c>
      <c r="GB13" s="48" t="str">
        <f t="shared" si="70"/>
        <v/>
      </c>
      <c r="GE13" s="48" t="str">
        <f t="shared" si="73"/>
        <v/>
      </c>
      <c r="GF13" s="48" t="str">
        <f t="shared" si="103"/>
        <v/>
      </c>
      <c r="GG13" s="48" t="str">
        <f t="shared" si="74"/>
        <v/>
      </c>
      <c r="GH13" s="48" t="str">
        <f t="shared" si="75"/>
        <v/>
      </c>
      <c r="GI13" s="48" t="str">
        <f t="shared" si="76"/>
        <v/>
      </c>
      <c r="GJ13" s="48" t="str">
        <f t="shared" si="77"/>
        <v/>
      </c>
      <c r="GK13" s="48" t="str">
        <f t="shared" si="78"/>
        <v>"HasSta",</v>
      </c>
      <c r="GL13" s="48" t="str">
        <f t="shared" si="4"/>
        <v/>
      </c>
      <c r="GM13" s="48" t="str">
        <f t="shared" si="4"/>
        <v/>
      </c>
      <c r="GN13" s="48" t="str">
        <f t="shared" si="4"/>
        <v>"3+Star",</v>
      </c>
      <c r="GP13" s="48" t="str">
        <f t="shared" si="79"/>
        <v>"Province"</v>
      </c>
      <c r="GS13" s="48" t="str">
        <f t="shared" si="80"/>
        <v>["4Color","lets07","startN","with_q","year19","allver","3Bands","Vertic","Plants","Unequa","Center","Geogrh","staWHI","NO_RED","NO_GRE","NO_BLA","001BLU","003BLU","myrBLU","HasSta","3+Star"]</v>
      </c>
      <c r="GT13" s="48" t="str">
        <f t="shared" si="5"/>
        <v/>
      </c>
      <c r="GU13" s="48" t="str">
        <f t="shared" si="5"/>
        <v>"cl_BLU",</v>
      </c>
      <c r="GV13" s="48" t="str">
        <f t="shared" si="5"/>
        <v/>
      </c>
      <c r="GW13" s="48" t="str">
        <f t="shared" si="5"/>
        <v/>
      </c>
      <c r="GX13" s="48" t="str">
        <f t="shared" si="5"/>
        <v>"cl_YEL",</v>
      </c>
      <c r="GY13" s="48" t="str">
        <f t="shared" si="5"/>
        <v>"cl_ORA",</v>
      </c>
      <c r="GZ13" s="48" t="str">
        <f t="shared" si="5"/>
        <v/>
      </c>
      <c r="HA13" s="48" t="str">
        <f t="shared" si="5"/>
        <v/>
      </c>
      <c r="HB13" s="48" t="str">
        <f t="shared" si="5"/>
        <v>"cl_WHI",</v>
      </c>
      <c r="HC13" s="48" t="str">
        <f t="shared" si="81"/>
        <v>["cl_BLU","cl_YEL","cl_ORA","cl_WHI"]</v>
      </c>
      <c r="HE13" s="71"/>
      <c r="HF13" s="72" t="str">
        <f t="shared" si="82"/>
        <v>{couname:"[ARG] Neuquén",year:"1989",region:"rgn_South America",Colors:["cl_BLU","cl_YEL","cl_ORA","cl_WHI"],Items:["4Color","lets07","startN","with_q","year19","allver","3Bands","Vertic","Plants","Unequa","Center","Geogrh","staWHI","NO_RED","NO_GRE","NO_BLA","001BLU","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links: "https://www.crwflags.com/fotw/flags/ar-q.html"},</v>
      </c>
      <c r="HG13" s="73" t="str">
        <f t="shared" si="83"/>
        <v>{couname:"[ARG] Neuquén",year:"1989",region:"rgn_South America",Colors:["cl_BLU","cl_YEL","cl_ORA","cl_WHI"],Items:["4Color","lets07","startN","with_q","year19","allver","3Bands","Vertic","Plants","Unequa","Center","Geogrh","staWHI","NO_RED","NO_GRE","NO_BLA","001BLU","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links: "https://www.crwflags.com/fotw/flags/ar-q.html"},</v>
      </c>
      <c r="HH13" s="48" t="str">
        <f t="shared" si="84"/>
        <v>"\nThe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v>
      </c>
      <c r="HI13" s="48" t="str">
        <f t="shared" si="85"/>
        <v>"\nThe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v>
      </c>
      <c r="HJ13" s="48" t="str">
        <f t="shared" si="86"/>
        <v>"1989"</v>
      </c>
      <c r="HL13" s="48" t="str">
        <f t="shared" si="87"/>
        <v>"https://www.crwflags.com/fotw/flags/ar-q.html"</v>
      </c>
      <c r="HM13" s="72" t="str">
        <f t="shared" si="88"/>
        <v>{"couname":"[ARG] Neuquén","year":"1989","region":"rgn_South America","Colors":["cl_BLU","cl_YEL","cl_ORA","cl_WHI"],"Items":["4Color","lets07","startN","with_q","year19","allver","3Bands","Vertic","Plants","Unequa","Center","Geogrh","staWHI","NO_RED","NO_GRE","NO_BLA","001BLU","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 "links": "https://www.crwflags.com/fotw/flags/ar-q.html"},</v>
      </c>
      <c r="HN13" s="74" t="str">
        <f t="shared" si="89"/>
        <v>{"couname":"[ARG] Neuquén","year":"1989","region":"rgn_South America","Colors":["cl_BLU","cl_YEL","cl_ORA","cl_WHI"],"Items":["4Color","lets07","startN","with_q","year19","allver","3Bands","Vertic","Plants","Unequa","Center","Geogrh","staWHI","NO_RED","NO_GRE","NO_BLA","001BLU","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 "links": "https://www.crwflags.com/fotw/flags/ar-q.html"},</v>
      </c>
      <c r="HO13" s="75">
        <v>45610</v>
      </c>
      <c r="HP13" s="48" t="str" cm="1">
        <f t="array" ref="HP13">IF(_xlfn.TEXTJOIN(", ", TRUE, IF(ISNUMBER(SEARCH("BLA", BL13:BT13)), COLUMN(BL13:BT13) - COLUMN(BL13) + 1, ""))&lt;&gt;"","BLA","")</f>
        <v/>
      </c>
      <c r="HQ13" s="48" t="str" cm="1">
        <f t="array" ref="HQ13">IF(_xlfn.TEXTJOIN(", ", TRUE, IF(ISNUMBER(SEARCH("BLU", BL13:BT13)), COLUMN(BL13:BT13) - COLUMN(BL13) + 1, ""))&lt;&gt;"","BLU","")</f>
        <v>BLU</v>
      </c>
      <c r="HR13" s="48" t="str" cm="1">
        <f t="array" ref="HR13">IF(_xlfn.TEXTJOIN(", ", TRUE, IF(ISNUMBER(SEARCH("GRE", BL13:BT13)), COLUMN(BL13:BT13) - COLUMN(BL13) + 1, ""))&lt;&gt;"","GRE","")</f>
        <v/>
      </c>
      <c r="HS13" s="48" t="str" cm="1">
        <f t="array" ref="HS13">IF(_xlfn.TEXTJOIN(", ", TRUE, IF(ISNUMBER(SEARCH("RED", BL13:BT13)), COLUMN(BL13:BT13) - COLUMN(BL13) + 1, ""))&lt;&gt;"","RED","")</f>
        <v/>
      </c>
      <c r="HT13" s="48" t="str" cm="1">
        <f t="array" ref="HT13">IF(_xlfn.TEXTJOIN(", ", TRUE, IF(ISNUMBER(SEARCH("YEL", BL13:BT13)), COLUMN(BL13:BT13) - COLUMN(BL13) + 1, ""))&lt;&gt;"","YEL","")</f>
        <v>YEL</v>
      </c>
      <c r="HU13" s="48" t="str" cm="1">
        <f t="array" ref="HU13">IF(_xlfn.TEXTJOIN(", ", TRUE, IF(ISNUMBER(SEARCH("ORA", BL13:BT13)), COLUMN(BL13:BT13) - COLUMN(BL13) + 1, ""))&lt;&gt;"","ORA","")</f>
        <v>ORA</v>
      </c>
      <c r="HV13" s="48" t="str" cm="1">
        <f t="array" ref="HV13">IF(_xlfn.TEXTJOIN(", ", TRUE, IF(ISNUMBER(SEARCH("BRO", BL13:BT13)), COLUMN(BL13:BT13) - COLUMN(BL13) + 1, ""))&lt;&gt;"","BRO","")</f>
        <v/>
      </c>
      <c r="HW13" s="48" t="str" cm="1">
        <f t="array" ref="HW13">IF(_xlfn.TEXTJOIN(", ", TRUE, IF(ISNUMBER(SEARCH("PUR", BL13:BT13)), COLUMN(BL13:BT13) - COLUMN(BL13) + 1, ""))&lt;&gt;"","PUR","")</f>
        <v/>
      </c>
      <c r="HX13" s="48" t="str" cm="1">
        <f t="array" ref="HX13">IF(_xlfn.TEXTJOIN(", ", TRUE, IF(ISNUMBER(SEARCH("WHI", BL13:BT13)), COLUMN(BL13:BT13) - COLUMN(BL13) + 1, ""))&lt;&gt;"","WHI","")</f>
        <v>WHI</v>
      </c>
      <c r="HY13" s="76"/>
      <c r="HZ13" s="76"/>
      <c r="IA13" s="6"/>
      <c r="IB13" s="6"/>
      <c r="IC13" s="77"/>
      <c r="ID13" s="77"/>
      <c r="IE13" s="77"/>
      <c r="IF13" s="77"/>
      <c r="IG13" s="77"/>
      <c r="IH13" s="77"/>
      <c r="II13" s="77"/>
      <c r="IJ13" s="77"/>
      <c r="IK13" s="77"/>
      <c r="IM13" s="45">
        <f t="shared" si="91"/>
        <v>-4</v>
      </c>
      <c r="IN13" s="78" t="str">
        <f t="shared" si="92"/>
        <v>http://mkweb.bcgsc.ca/color-summarizer/?url=https://upload.wikimedia.org/wikipedia/commons/thumb/b/bc/Bandera_de_la_Provincia_de_Neuqu%C3%A9n.svg/301px-Bandera_de_la_Provincia_de_Neuqu%C3%A9n.svg.png&amp;precision=low&amp;num_clusters=4&amp;text=1</v>
      </c>
      <c r="IO13" s="48" t="str">
        <f t="shared" si="93"/>
        <v/>
      </c>
      <c r="IP13" s="48" t="str">
        <f t="shared" si="94"/>
        <v>"blue"</v>
      </c>
      <c r="IQ13" s="48" t="str">
        <f t="shared" si="95"/>
        <v/>
      </c>
      <c r="IR13" s="48" t="str">
        <f t="shared" si="96"/>
        <v/>
      </c>
      <c r="IS13" s="48" t="str">
        <f t="shared" si="97"/>
        <v>"yellow"</v>
      </c>
      <c r="IT13" s="48" t="str">
        <f t="shared" si="98"/>
        <v>"orange"</v>
      </c>
      <c r="IU13" s="48" t="str">
        <f t="shared" si="99"/>
        <v/>
      </c>
      <c r="IV13" s="48" t="str">
        <f t="shared" si="100"/>
        <v/>
      </c>
      <c r="IW13" s="48" t="str">
        <f t="shared" si="101"/>
        <v>"white"</v>
      </c>
      <c r="IX13" s="48" t="str">
        <f t="shared" si="102"/>
        <v>{"url":"http://mkweb.bcgsc.ca/color-summarizer/?url=https://upload.wikimedia.org/wikipedia/commons/thumb/b/bc/Bandera_de_la_Provincia_de_Neuqu%C3%A9n.svg/301px-Bandera_de_la_Provincia_de_Neuqu%C3%A9n.svg.png&amp;precision=low&amp;num_clusters=4&amp;text=1","name":"[ARG] Neuquén"},</v>
      </c>
      <c r="IY13" s="48">
        <v>1344</v>
      </c>
    </row>
    <row r="14" spans="1:259" s="48" customFormat="1" ht="38.4" customHeight="1" thickBot="1" x14ac:dyDescent="0.35">
      <c r="A14" s="79" t="s">
        <v>332</v>
      </c>
      <c r="B14" s="40" t="e" vm="13">
        <v>#VALUE!</v>
      </c>
      <c r="C14" s="41">
        <v>2</v>
      </c>
      <c r="D14" s="42" t="s">
        <v>333</v>
      </c>
      <c r="E14" s="43" t="s">
        <v>334</v>
      </c>
      <c r="F14" s="44" t="s">
        <v>166</v>
      </c>
      <c r="G14" s="45">
        <f>COUNTIF($A$1:$A$8299,A14)</f>
        <v>1</v>
      </c>
      <c r="H14" s="46"/>
      <c r="I14" s="47" t="s">
        <v>335</v>
      </c>
      <c r="J14" s="48" t="str">
        <f>""</f>
        <v/>
      </c>
      <c r="K14" s="49"/>
      <c r="L14" s="50"/>
      <c r="M14" s="50"/>
      <c r="N14" s="51" t="s">
        <v>169</v>
      </c>
      <c r="O14" s="52" t="s">
        <v>336</v>
      </c>
      <c r="P14" s="53" t="s">
        <v>337</v>
      </c>
      <c r="Q14" s="54">
        <v>2</v>
      </c>
      <c r="R14" s="55" t="s">
        <v>169</v>
      </c>
      <c r="S14" s="56">
        <v>3</v>
      </c>
      <c r="T14" s="57" t="s">
        <v>172</v>
      </c>
      <c r="U14" s="58" t="s">
        <v>172</v>
      </c>
      <c r="V14" s="58" t="s">
        <v>173</v>
      </c>
      <c r="W14" s="58" t="s">
        <v>172</v>
      </c>
      <c r="X14" s="58" t="s">
        <v>173</v>
      </c>
      <c r="Y14" s="58" t="s">
        <v>172</v>
      </c>
      <c r="Z14" s="58" t="s">
        <v>172</v>
      </c>
      <c r="AA14" s="58" t="s">
        <v>172</v>
      </c>
      <c r="AB14" s="58" t="s">
        <v>172</v>
      </c>
      <c r="AC14" s="58" t="s">
        <v>172</v>
      </c>
      <c r="AD14" s="58" t="s">
        <v>172</v>
      </c>
      <c r="AE14" s="58" t="s">
        <v>172</v>
      </c>
      <c r="AF14" s="59" t="s">
        <v>172</v>
      </c>
      <c r="AG14" s="59" t="s">
        <v>172</v>
      </c>
      <c r="AH14" s="59" t="s">
        <v>172</v>
      </c>
      <c r="AI14" s="59" t="s">
        <v>173</v>
      </c>
      <c r="AJ14" s="59" t="s">
        <v>172</v>
      </c>
      <c r="AK14" s="59" t="s">
        <v>172</v>
      </c>
      <c r="AL14" s="59" t="s">
        <v>172</v>
      </c>
      <c r="AM14" s="59" t="s">
        <v>172</v>
      </c>
      <c r="AN14" s="59" t="s">
        <v>172</v>
      </c>
      <c r="AO14" s="59" t="s">
        <v>172</v>
      </c>
      <c r="AP14" s="59" t="s">
        <v>172</v>
      </c>
      <c r="AQ14" s="59" t="s">
        <v>172</v>
      </c>
      <c r="AR14" s="59" t="s">
        <v>172</v>
      </c>
      <c r="AS14" s="59" t="s">
        <v>172</v>
      </c>
      <c r="AT14" s="60">
        <v>13</v>
      </c>
      <c r="AU14" s="59" t="s">
        <v>277</v>
      </c>
      <c r="AV14" s="59" t="str">
        <f>IF(LEFT(A14,1)="[",LEFT(A14,5)&amp;AU14&amp;A14,"")</f>
        <v>[ARG]Province[ARG] Rio Negro</v>
      </c>
      <c r="AW14" s="59" t="str">
        <f>C14&amp;IFERROR(SUBSTITUTE(A14, " [ANT]",""),"")</f>
        <v>2[ARG] Rio Negro</v>
      </c>
      <c r="AX14" s="61"/>
      <c r="AY14" s="61"/>
      <c r="AZ14" s="62" t="s">
        <v>174</v>
      </c>
      <c r="BA14" s="62" t="s">
        <v>174</v>
      </c>
      <c r="BB14" s="62"/>
      <c r="BC14" s="63"/>
      <c r="BD14" s="64" t="s">
        <v>156</v>
      </c>
      <c r="BE14" s="47"/>
      <c r="BF14" s="64" t="s">
        <v>156</v>
      </c>
      <c r="BG14" s="64" t="s">
        <v>159</v>
      </c>
      <c r="BH14" s="64" t="s">
        <v>156</v>
      </c>
      <c r="BI14" s="64"/>
      <c r="BJ14" s="64"/>
      <c r="BK14" s="47"/>
      <c r="BL14" s="64" t="s">
        <v>174</v>
      </c>
      <c r="BM14" s="64" t="s">
        <v>174</v>
      </c>
      <c r="BN14" s="64" t="s">
        <v>153</v>
      </c>
      <c r="BO14" s="64" t="s">
        <v>154</v>
      </c>
      <c r="BP14" s="64" t="s">
        <v>174</v>
      </c>
      <c r="BQ14" s="64" t="s">
        <v>156</v>
      </c>
      <c r="BR14" s="64" t="s">
        <v>174</v>
      </c>
      <c r="BS14" s="64" t="s">
        <v>174</v>
      </c>
      <c r="BT14" s="64" t="s">
        <v>159</v>
      </c>
      <c r="BU14" s="65"/>
      <c r="BV14" s="66"/>
      <c r="BW14" s="66">
        <v>0</v>
      </c>
      <c r="BX14" s="47"/>
      <c r="CB14" s="6"/>
      <c r="CC14" s="6"/>
      <c r="CD14" s="67">
        <v>0</v>
      </c>
      <c r="CE14" s="67">
        <v>0</v>
      </c>
      <c r="CF14" s="67" t="e">
        <v>#REF!</v>
      </c>
      <c r="CG14" s="68" cm="1">
        <f t="array" ref="CG14">SUMPRODUCT(--(LEN(TRIM(BL14:BT14))&gt;0))</f>
        <v>4</v>
      </c>
      <c r="CH14" s="59" t="str">
        <f t="shared" si="6"/>
        <v>n</v>
      </c>
      <c r="CI14" s="59" t="str">
        <f t="shared" si="7"/>
        <v>n</v>
      </c>
      <c r="CJ14" s="59" t="str">
        <f t="shared" si="8"/>
        <v>y</v>
      </c>
      <c r="CK14" s="59" t="str">
        <f t="shared" si="9"/>
        <v>n</v>
      </c>
      <c r="CL14" s="59" t="str">
        <f t="shared" si="10"/>
        <v>n</v>
      </c>
      <c r="CM14" s="59" t="str">
        <f t="shared" si="11"/>
        <v>n</v>
      </c>
      <c r="CN14" s="59" t="str">
        <f t="shared" si="12"/>
        <v>y</v>
      </c>
      <c r="CO14" s="59" t="str">
        <f t="shared" si="13"/>
        <v>n</v>
      </c>
      <c r="CP14" s="59" t="str">
        <f t="shared" si="14"/>
        <v>n</v>
      </c>
      <c r="CQ14" s="59" t="str">
        <f t="shared" si="15"/>
        <v>n</v>
      </c>
      <c r="CR14" s="59" t="str">
        <f t="shared" si="16"/>
        <v>n</v>
      </c>
      <c r="CS14" s="59" t="str">
        <f t="shared" si="17"/>
        <v>y</v>
      </c>
      <c r="CT14" s="69" t="str">
        <f t="shared" si="18"/>
        <v>"[ARG] Rio Negro"</v>
      </c>
      <c r="CU14" s="70" t="str">
        <f t="shared" si="19"/>
        <v>"rgn_South America"</v>
      </c>
      <c r="CV14" s="48" t="str">
        <f t="shared" si="20"/>
        <v>"https://upload.wikimedia.org/wikipedia/commons/thumb/5/5d/Bandera_de_la_Provincia_del_R%C3%ADo_Negro.svg/320px-Bandera_de_la_Provincia_del_R%C3%ADo_Negro.svg.png"</v>
      </c>
      <c r="CW14" s="48" t="str">
        <f t="shared" si="0"/>
        <v/>
      </c>
      <c r="CX14" s="48" t="str">
        <f t="shared" si="0"/>
        <v/>
      </c>
      <c r="CY14" s="48" t="str">
        <f t="shared" si="0"/>
        <v>"4Color",</v>
      </c>
      <c r="CZ14" s="48" t="str">
        <f t="shared" si="0"/>
        <v/>
      </c>
      <c r="DA14" s="48" t="str">
        <f t="shared" si="21"/>
        <v>"words2",</v>
      </c>
      <c r="DB14" s="48" t="str">
        <f t="shared" si="22"/>
        <v/>
      </c>
      <c r="DD14" s="48" t="str">
        <f t="shared" si="104"/>
        <v>"lets08",</v>
      </c>
      <c r="DE14" s="48" t="str">
        <f t="shared" si="105"/>
        <v>"startR",</v>
      </c>
      <c r="DF14" s="48" t="str">
        <f t="shared" si="26"/>
        <v/>
      </c>
      <c r="DG14" s="48" t="str">
        <f t="shared" si="27"/>
        <v/>
      </c>
      <c r="DH14" s="48" t="str">
        <f t="shared" si="28"/>
        <v/>
      </c>
      <c r="DI14" s="48" t="str">
        <f t="shared" si="29"/>
        <v/>
      </c>
      <c r="DJ14" s="48" t="str">
        <f t="shared" si="30"/>
        <v/>
      </c>
      <c r="DK14" s="48" t="str">
        <f t="shared" si="31"/>
        <v/>
      </c>
      <c r="DL14" s="48" t="str">
        <f t="shared" si="32"/>
        <v/>
      </c>
      <c r="DM14" s="48" t="str" cm="1">
        <f t="array" ref="DM14">IF(CG14=3,CHAR(34) &amp; _xlfn.TEXTJOIN("", TRUE, RIGHT(HP14:HX14, 2)) &amp; CHAR(34) &amp; ",", "")</f>
        <v/>
      </c>
      <c r="DN14" s="48" t="str">
        <f t="shared" si="33"/>
        <v/>
      </c>
      <c r="DO14" s="48" t="str">
        <f t="shared" si="34"/>
        <v/>
      </c>
      <c r="DP14" s="6" t="str">
        <f t="shared" si="35"/>
        <v>"year00",</v>
      </c>
      <c r="DQ14" s="6" t="str">
        <f t="shared" si="36"/>
        <v/>
      </c>
      <c r="DR14" s="6" t="str">
        <f t="shared" si="37"/>
        <v/>
      </c>
      <c r="DS14" s="6" t="str">
        <f t="shared" si="38"/>
        <v/>
      </c>
      <c r="DT14" s="6" t="str">
        <f t="shared" si="39"/>
        <v>"allhor",</v>
      </c>
      <c r="DU14" s="6" t="str">
        <f t="shared" si="40"/>
        <v/>
      </c>
      <c r="DW14" s="48" t="str">
        <f t="shared" si="1"/>
        <v/>
      </c>
      <c r="DX14" s="48" t="str">
        <f t="shared" si="1"/>
        <v/>
      </c>
      <c r="DY14" s="48" t="str">
        <f t="shared" si="1"/>
        <v>"3Bands",</v>
      </c>
      <c r="DZ14" s="48" t="str">
        <f t="shared" si="1"/>
        <v/>
      </c>
      <c r="EA14" s="48" t="str">
        <f t="shared" si="2"/>
        <v/>
      </c>
      <c r="EB14" s="48" t="str">
        <f t="shared" si="2"/>
        <v/>
      </c>
      <c r="EC14" s="48" t="str">
        <f t="shared" si="2"/>
        <v>"Horizo",</v>
      </c>
      <c r="ED14" s="48" t="str">
        <f t="shared" si="2"/>
        <v/>
      </c>
      <c r="EE14" s="48" t="str">
        <f t="shared" si="2"/>
        <v>"Circle",</v>
      </c>
      <c r="EF14" s="48" t="str">
        <f t="shared" si="42"/>
        <v/>
      </c>
      <c r="EG14" s="48" t="str">
        <f t="shared" si="3"/>
        <v/>
      </c>
      <c r="EH14" s="48" t="str">
        <f t="shared" si="3"/>
        <v/>
      </c>
      <c r="EI14" s="48" t="str">
        <f t="shared" si="3"/>
        <v/>
      </c>
      <c r="EJ14" s="48" t="str">
        <f t="shared" si="3"/>
        <v/>
      </c>
      <c r="EK14" s="48" t="str">
        <f t="shared" si="3"/>
        <v/>
      </c>
      <c r="EL14" s="48" t="str">
        <f t="shared" si="3"/>
        <v/>
      </c>
      <c r="EM14" s="48" t="str">
        <f t="shared" si="3"/>
        <v/>
      </c>
      <c r="EN14" s="48" t="str">
        <f t="shared" si="3"/>
        <v/>
      </c>
      <c r="EO14" s="48" t="str">
        <f t="shared" si="3"/>
        <v/>
      </c>
      <c r="EP14" s="48" t="str">
        <f t="shared" si="3"/>
        <v>"Canton",</v>
      </c>
      <c r="EQ14" s="48" t="str">
        <f t="shared" si="3"/>
        <v/>
      </c>
      <c r="ER14" s="48" t="str">
        <f t="shared" si="3"/>
        <v/>
      </c>
      <c r="ES14" s="48" t="str">
        <f t="shared" si="3"/>
        <v/>
      </c>
      <c r="ET14" s="48" t="str">
        <f t="shared" si="3"/>
        <v/>
      </c>
      <c r="EU14" s="48" t="str">
        <f t="shared" si="3"/>
        <v/>
      </c>
      <c r="EV14" s="48" t="str">
        <f t="shared" ref="EV14:EZ22" si="106">IF(AO14="y",CHAR(34)&amp;AO$1&amp;CHAR(34)&amp;",","")</f>
        <v/>
      </c>
      <c r="EW14" s="48" t="str">
        <f t="shared" si="106"/>
        <v/>
      </c>
      <c r="EX14" s="48" t="str">
        <f t="shared" si="106"/>
        <v/>
      </c>
      <c r="EY14" s="48" t="str">
        <f t="shared" si="106"/>
        <v/>
      </c>
      <c r="EZ14" s="48" t="str">
        <f t="shared" si="106"/>
        <v/>
      </c>
      <c r="FA14" s="48" t="str">
        <f t="shared" si="43"/>
        <v>"sta",</v>
      </c>
      <c r="FB14" s="48" t="str">
        <f t="shared" si="44"/>
        <v/>
      </c>
      <c r="FD14" s="48" t="str">
        <f t="shared" si="46"/>
        <v/>
      </c>
      <c r="FE14" s="48" t="str">
        <f t="shared" si="47"/>
        <v>"NO_BLU",</v>
      </c>
      <c r="FF14" s="48" t="str">
        <f t="shared" si="48"/>
        <v/>
      </c>
      <c r="FG14" s="48" t="str">
        <f t="shared" si="49"/>
        <v/>
      </c>
      <c r="FH14" s="48" t="str">
        <f t="shared" si="50"/>
        <v/>
      </c>
      <c r="FI14" s="48" t="str">
        <f t="shared" si="51"/>
        <v>"NO_YEL",</v>
      </c>
      <c r="FJ14" s="48" t="str">
        <f t="shared" si="52"/>
        <v>"NO_BLA",</v>
      </c>
      <c r="FK14" s="48" t="str">
        <f t="shared" si="53"/>
        <v/>
      </c>
      <c r="FL14" s="48" t="str">
        <f t="shared" si="54"/>
        <v/>
      </c>
      <c r="FM14" s="48" t="str">
        <f t="shared" si="55"/>
        <v/>
      </c>
      <c r="FN14" s="48" t="str">
        <f t="shared" si="56"/>
        <v/>
      </c>
      <c r="FO14" s="48" t="str">
        <f t="shared" si="57"/>
        <v/>
      </c>
      <c r="FP14" s="48" t="str">
        <f t="shared" si="58"/>
        <v/>
      </c>
      <c r="FQ14" s="48" t="str">
        <f t="shared" si="59"/>
        <v>"001ORA",</v>
      </c>
      <c r="FR14" s="48" t="str">
        <f t="shared" si="60"/>
        <v>"002WHI",</v>
      </c>
      <c r="FS14" s="48" t="str">
        <f t="shared" si="61"/>
        <v>"003ORA",</v>
      </c>
      <c r="FT14" s="48" t="str">
        <f t="shared" si="62"/>
        <v>"myrORA",</v>
      </c>
      <c r="FU14" s="48" t="str">
        <f t="shared" si="63"/>
        <v/>
      </c>
      <c r="FV14" s="48" t="str">
        <f t="shared" si="64"/>
        <v/>
      </c>
      <c r="FW14" s="48" t="str">
        <f t="shared" si="65"/>
        <v/>
      </c>
      <c r="FY14" s="48" t="str">
        <f t="shared" si="67"/>
        <v/>
      </c>
      <c r="FZ14" s="48" t="str">
        <f t="shared" si="68"/>
        <v/>
      </c>
      <c r="GA14" s="48" t="str">
        <f t="shared" si="69"/>
        <v/>
      </c>
      <c r="GB14" s="48" t="str">
        <f t="shared" si="70"/>
        <v/>
      </c>
      <c r="GE14" s="48" t="str">
        <f t="shared" si="73"/>
        <v/>
      </c>
      <c r="GF14" s="48" t="str">
        <f t="shared" si="103"/>
        <v/>
      </c>
      <c r="GG14" s="48" t="str">
        <f t="shared" si="74"/>
        <v/>
      </c>
      <c r="GH14" s="48" t="str">
        <f t="shared" si="75"/>
        <v/>
      </c>
      <c r="GI14" s="48" t="str">
        <f t="shared" si="76"/>
        <v/>
      </c>
      <c r="GJ14" s="48" t="str">
        <f t="shared" si="77"/>
        <v/>
      </c>
      <c r="GK14" s="48" t="str">
        <f t="shared" si="78"/>
        <v>"HasSta",</v>
      </c>
      <c r="GL14" s="48" t="str">
        <f t="shared" si="4"/>
        <v/>
      </c>
      <c r="GM14" s="48" t="str">
        <f t="shared" si="4"/>
        <v/>
      </c>
      <c r="GN14" s="48" t="str">
        <f t="shared" si="4"/>
        <v>"3+Star",</v>
      </c>
      <c r="GP14" s="48" t="str">
        <f t="shared" si="79"/>
        <v>"Province"</v>
      </c>
      <c r="GS14" s="48" t="str">
        <f t="shared" si="80"/>
        <v>["4Color","words2","lets08","startR","year00","allhor","3Bands","Horizo","Circle","Canton","sta","NO_BLU","NO_YEL","NO_BLA","001ORA","002WHI","003ORA","myrORA","HasSta","3+Star"]</v>
      </c>
      <c r="GT14" s="48" t="str">
        <f t="shared" si="5"/>
        <v/>
      </c>
      <c r="GU14" s="48" t="str">
        <f t="shared" si="5"/>
        <v/>
      </c>
      <c r="GV14" s="48" t="str">
        <f t="shared" si="5"/>
        <v>"cl_GRE",</v>
      </c>
      <c r="GW14" s="48" t="str">
        <f t="shared" si="5"/>
        <v>"cl_RED",</v>
      </c>
      <c r="GX14" s="48" t="str">
        <f t="shared" si="5"/>
        <v/>
      </c>
      <c r="GY14" s="48" t="str">
        <f t="shared" si="5"/>
        <v>"cl_ORA",</v>
      </c>
      <c r="GZ14" s="48" t="str">
        <f t="shared" si="5"/>
        <v/>
      </c>
      <c r="HA14" s="48" t="str">
        <f t="shared" si="5"/>
        <v/>
      </c>
      <c r="HB14" s="48" t="str">
        <f t="shared" si="5"/>
        <v>"cl_WHI",</v>
      </c>
      <c r="HC14" s="48" t="str">
        <f t="shared" si="81"/>
        <v>["cl_GRE","cl_RED","cl_ORA","cl_WHI"]</v>
      </c>
      <c r="HE14" s="71"/>
      <c r="HF14" s="72" t="str">
        <f t="shared" si="82"/>
        <v>{couname:"[ARG] Rio Negro",year:"2009 ",region:"rgn_South America",Colors:["cl_GRE","cl_RED","cl_ORA","cl_WHI"],Items:["4Color","words2","lets08","startR","year00","allhor","3Bands","Horizo","Circle","Canton","sta","NO_BLU","NO_YEL","NO_BLA","001ORA","002WHI","003ORA","myrORA","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links: "https://es.wikipedia.org/wiki/Bandera_de_la_provincia_del_Río_Negro"},</v>
      </c>
      <c r="HG14" s="73" t="str">
        <f t="shared" si="83"/>
        <v>{couname:"[ARG] Rio Negro",year:"2009 ",region:"rgn_South America",Colors:["cl_GRE","cl_RED","cl_ORA","cl_WHI"],Items:["4Color","words2","lets08","startR","year00","allhor","3Bands","Horizo","Circle","Canton","sta","NO_BLU","NO_YEL","NO_BLA","001ORA","002WHI","003ORA","myrORA","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links: "https://es.wikipedia.org/wiki/Bandera_de_la_provincia_del_Río_Negro"},</v>
      </c>
      <c r="HH14" s="48" t="str">
        <f t="shared" si="84"/>
        <v>"\nAccording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v>
      </c>
      <c r="HI14" s="48" t="str">
        <f t="shared" si="85"/>
        <v>"\nAccording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v>
      </c>
      <c r="HJ14" s="48" t="str">
        <f t="shared" si="86"/>
        <v>"2009 "</v>
      </c>
      <c r="HL14" s="48" t="str">
        <f t="shared" si="87"/>
        <v>"https://es.wikipedia.org/wiki/Bandera_de_la_provincia_del_Río_Negro"</v>
      </c>
      <c r="HM14" s="72" t="str">
        <f t="shared" si="88"/>
        <v>{"couname":"[ARG] Rio Negro","year":"2009 ","region":"rgn_South America","Colors":["cl_GRE","cl_RED","cl_ORA","cl_WHI"],"Items":["4Color","words2","lets08","startR","year00","allhor","3Bands","Horizo","Circle","Canton","sta","NO_BLU","NO_YEL","NO_BLA","001ORA","002WHI","003ORA","myrORA","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 "links": "https://es.wikipedia.org/wiki/Bandera_de_la_provincia_del_Río_Negro"},</v>
      </c>
      <c r="HN14" s="74" t="str">
        <f t="shared" si="89"/>
        <v>{"couname":"[ARG] Rio Negro","year":"2009 ","region":"rgn_South America","Colors":["cl_GRE","cl_RED","cl_ORA","cl_WHI"],"Items":["4Color","words2","lets08","startR","year00","allhor","3Bands","Horizo","Circle","Canton","sta","NO_BLU","NO_YEL","NO_BLA","001ORA","002WHI","003ORA","myrORA","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 "links": "https://es.wikipedia.org/wiki/Bandera_de_la_provincia_del_Río_Negro"},</v>
      </c>
      <c r="HO14" s="75">
        <v>45618</v>
      </c>
      <c r="HP14" s="48" t="str" cm="1">
        <f t="array" ref="HP14">IF(_xlfn.TEXTJOIN(", ", TRUE, IF(ISNUMBER(SEARCH("BLA", BL14:BT14)), COLUMN(BL14:BT14) - COLUMN(BL14) + 1, ""))&lt;&gt;"","BLA","")</f>
        <v/>
      </c>
      <c r="HQ14" s="48" t="str" cm="1">
        <f t="array" ref="HQ14">IF(_xlfn.TEXTJOIN(", ", TRUE, IF(ISNUMBER(SEARCH("BLU", BL14:BT14)), COLUMN(BL14:BT14) - COLUMN(BL14) + 1, ""))&lt;&gt;"","BLU","")</f>
        <v/>
      </c>
      <c r="HR14" s="48" t="str" cm="1">
        <f t="array" ref="HR14">IF(_xlfn.TEXTJOIN(", ", TRUE, IF(ISNUMBER(SEARCH("GRE", BL14:BT14)), COLUMN(BL14:BT14) - COLUMN(BL14) + 1, ""))&lt;&gt;"","GRE","")</f>
        <v>GRE</v>
      </c>
      <c r="HS14" s="48" t="str" cm="1">
        <f t="array" ref="HS14">IF(_xlfn.TEXTJOIN(", ", TRUE, IF(ISNUMBER(SEARCH("RED", BL14:BT14)), COLUMN(BL14:BT14) - COLUMN(BL14) + 1, ""))&lt;&gt;"","RED","")</f>
        <v>RED</v>
      </c>
      <c r="HT14" s="48" t="str" cm="1">
        <f t="array" ref="HT14">IF(_xlfn.TEXTJOIN(", ", TRUE, IF(ISNUMBER(SEARCH("YEL", BL14:BT14)), COLUMN(BL14:BT14) - COLUMN(BL14) + 1, ""))&lt;&gt;"","YEL","")</f>
        <v/>
      </c>
      <c r="HU14" s="48" t="str" cm="1">
        <f t="array" ref="HU14">IF(_xlfn.TEXTJOIN(", ", TRUE, IF(ISNUMBER(SEARCH("ORA", BL14:BT14)), COLUMN(BL14:BT14) - COLUMN(BL14) + 1, ""))&lt;&gt;"","ORA","")</f>
        <v>ORA</v>
      </c>
      <c r="HV14" s="48" t="str" cm="1">
        <f t="array" ref="HV14">IF(_xlfn.TEXTJOIN(", ", TRUE, IF(ISNUMBER(SEARCH("BRO", BL14:BT14)), COLUMN(BL14:BT14) - COLUMN(BL14) + 1, ""))&lt;&gt;"","BRO","")</f>
        <v/>
      </c>
      <c r="HW14" s="48" t="str" cm="1">
        <f t="array" ref="HW14">IF(_xlfn.TEXTJOIN(", ", TRUE, IF(ISNUMBER(SEARCH("PUR", BL14:BT14)), COLUMN(BL14:BT14) - COLUMN(BL14) + 1, ""))&lt;&gt;"","PUR","")</f>
        <v/>
      </c>
      <c r="HX14" s="48" t="str" cm="1">
        <f t="array" ref="HX14">IF(_xlfn.TEXTJOIN(", ", TRUE, IF(ISNUMBER(SEARCH("WHI", BL14:BT14)), COLUMN(BL14:BT14) - COLUMN(BL14) + 1, ""))&lt;&gt;"","WHI","")</f>
        <v>WHI</v>
      </c>
      <c r="HY14" s="76"/>
      <c r="HZ14" s="76"/>
      <c r="IA14" s="6"/>
      <c r="IB14" s="6"/>
      <c r="IC14" s="77"/>
      <c r="ID14" s="77"/>
      <c r="IE14" s="77"/>
      <c r="IF14" s="77"/>
      <c r="IG14" s="77"/>
      <c r="IH14" s="77"/>
      <c r="II14" s="77"/>
      <c r="IJ14" s="77"/>
      <c r="IK14" s="77"/>
      <c r="IM14" s="45">
        <f t="shared" si="91"/>
        <v>-4</v>
      </c>
      <c r="IN14" s="78" t="str">
        <f t="shared" si="92"/>
        <v>http://mkweb.bcgsc.ca/color-summarizer/?url=https://upload.wikimedia.org/wikipedia/commons/thumb/5/5d/Bandera_de_la_Provincia_del_R%C3%ADo_Negro.svg/320px-Bandera_de_la_Provincia_del_R%C3%ADo_Negro.svg.png&amp;precision=low&amp;num_clusters=4&amp;text=1</v>
      </c>
      <c r="IO14" s="48" t="str">
        <f t="shared" si="93"/>
        <v/>
      </c>
      <c r="IP14" s="48" t="str">
        <f t="shared" si="94"/>
        <v/>
      </c>
      <c r="IQ14" s="48" t="str">
        <f t="shared" si="95"/>
        <v>"green"</v>
      </c>
      <c r="IR14" s="48" t="str">
        <f t="shared" si="96"/>
        <v>"red"</v>
      </c>
      <c r="IS14" s="48" t="str">
        <f t="shared" si="97"/>
        <v/>
      </c>
      <c r="IT14" s="48" t="str">
        <f t="shared" si="98"/>
        <v>"orange"</v>
      </c>
      <c r="IU14" s="48" t="str">
        <f t="shared" si="99"/>
        <v/>
      </c>
      <c r="IV14" s="48" t="str">
        <f t="shared" si="100"/>
        <v/>
      </c>
      <c r="IW14" s="48" t="str">
        <f t="shared" si="101"/>
        <v>"white"</v>
      </c>
      <c r="IX14" s="48" t="str">
        <f t="shared" si="102"/>
        <v>{"url":"http://mkweb.bcgsc.ca/color-summarizer/?url=https://upload.wikimedia.org/wikipedia/commons/thumb/5/5d/Bandera_de_la_Provincia_del_R%C3%ADo_Negro.svg/320px-Bandera_de_la_Provincia_del_R%C3%ADo_Negro.svg.png&amp;precision=low&amp;num_clusters=4&amp;text=1","name":"[ARG] Rio Negro"},</v>
      </c>
      <c r="IY14" s="48">
        <v>1010</v>
      </c>
    </row>
    <row r="15" spans="1:259" s="48" customFormat="1" ht="38.4" customHeight="1" thickBot="1" x14ac:dyDescent="0.35">
      <c r="A15" s="79" t="s">
        <v>338</v>
      </c>
      <c r="B15" s="40" t="e" vm="14">
        <v>#VALUE!</v>
      </c>
      <c r="C15" s="41">
        <v>2</v>
      </c>
      <c r="D15" s="42" t="s">
        <v>339</v>
      </c>
      <c r="E15" s="43" t="s">
        <v>340</v>
      </c>
      <c r="F15" s="44" t="s">
        <v>166</v>
      </c>
      <c r="G15" s="45">
        <f>COUNTIF($A$1:$A$8299,A15)</f>
        <v>1</v>
      </c>
      <c r="H15" s="46"/>
      <c r="I15" s="47" t="s">
        <v>341</v>
      </c>
      <c r="J15" s="48" t="str">
        <f>""</f>
        <v/>
      </c>
      <c r="K15" s="49"/>
      <c r="L15" s="50"/>
      <c r="M15" s="50"/>
      <c r="N15" s="51" t="s">
        <v>169</v>
      </c>
      <c r="O15" s="52">
        <v>1997</v>
      </c>
      <c r="P15" s="53" t="s">
        <v>342</v>
      </c>
      <c r="Q15" s="54">
        <v>1</v>
      </c>
      <c r="R15" s="55" t="s">
        <v>169</v>
      </c>
      <c r="S15" s="56">
        <v>5</v>
      </c>
      <c r="T15" s="57" t="s">
        <v>172</v>
      </c>
      <c r="U15" s="58" t="s">
        <v>172</v>
      </c>
      <c r="V15" s="58" t="s">
        <v>173</v>
      </c>
      <c r="W15" s="58" t="s">
        <v>172</v>
      </c>
      <c r="X15" s="58" t="s">
        <v>173</v>
      </c>
      <c r="Y15" s="58" t="s">
        <v>172</v>
      </c>
      <c r="Z15" s="58" t="s">
        <v>172</v>
      </c>
      <c r="AA15" s="58" t="s">
        <v>172</v>
      </c>
      <c r="AB15" s="58" t="s">
        <v>172</v>
      </c>
      <c r="AC15" s="58" t="s">
        <v>172</v>
      </c>
      <c r="AD15" s="58" t="s">
        <v>173</v>
      </c>
      <c r="AE15" s="58" t="s">
        <v>172</v>
      </c>
      <c r="AF15" s="59" t="s">
        <v>172</v>
      </c>
      <c r="AG15" s="59" t="s">
        <v>172</v>
      </c>
      <c r="AH15" s="59" t="s">
        <v>173</v>
      </c>
      <c r="AI15" s="59" t="s">
        <v>172</v>
      </c>
      <c r="AJ15" s="59" t="s">
        <v>172</v>
      </c>
      <c r="AK15" s="59" t="s">
        <v>172</v>
      </c>
      <c r="AL15" s="59" t="s">
        <v>172</v>
      </c>
      <c r="AM15" s="59" t="s">
        <v>172</v>
      </c>
      <c r="AN15" s="59" t="s">
        <v>173</v>
      </c>
      <c r="AO15" s="59" t="s">
        <v>172</v>
      </c>
      <c r="AP15" s="59" t="s">
        <v>172</v>
      </c>
      <c r="AQ15" s="59" t="s">
        <v>172</v>
      </c>
      <c r="AR15" s="59" t="s">
        <v>172</v>
      </c>
      <c r="AS15" s="59" t="s">
        <v>172</v>
      </c>
      <c r="AT15" s="60">
        <v>24</v>
      </c>
      <c r="AU15" s="59" t="s">
        <v>277</v>
      </c>
      <c r="AV15" s="59" t="str">
        <f>IF(LEFT(A15,1)="[",LEFT(A15,5)&amp;AU15&amp;A15,"")</f>
        <v>[ARG]Province[ARG] Salta</v>
      </c>
      <c r="AW15" s="59" t="str">
        <f>C15&amp;IFERROR(SUBSTITUTE(A15, " [ANT]",""),"")</f>
        <v>2[ARG] Salta</v>
      </c>
      <c r="AX15" s="61"/>
      <c r="AY15" s="61"/>
      <c r="AZ15" s="62" t="s">
        <v>174</v>
      </c>
      <c r="BA15" s="62" t="s">
        <v>174</v>
      </c>
      <c r="BB15" s="62"/>
      <c r="BC15" s="63"/>
      <c r="BD15" s="64" t="s">
        <v>154</v>
      </c>
      <c r="BE15" s="47"/>
      <c r="BF15" s="64" t="s">
        <v>154</v>
      </c>
      <c r="BG15" s="64" t="s">
        <v>151</v>
      </c>
      <c r="BH15" s="64" t="s">
        <v>154</v>
      </c>
      <c r="BI15" s="64"/>
      <c r="BJ15" s="64"/>
      <c r="BK15" s="47"/>
      <c r="BL15" s="64" t="s">
        <v>151</v>
      </c>
      <c r="BM15" s="64" t="s">
        <v>174</v>
      </c>
      <c r="BN15" s="64" t="s">
        <v>174</v>
      </c>
      <c r="BO15" s="64" t="s">
        <v>154</v>
      </c>
      <c r="BP15" s="64" t="s">
        <v>174</v>
      </c>
      <c r="BQ15" s="64" t="s">
        <v>174</v>
      </c>
      <c r="BR15" s="64" t="s">
        <v>174</v>
      </c>
      <c r="BS15" s="64" t="s">
        <v>174</v>
      </c>
      <c r="BT15" s="64" t="s">
        <v>159</v>
      </c>
      <c r="BU15" s="65"/>
      <c r="BV15" s="66"/>
      <c r="BW15" s="66">
        <v>0</v>
      </c>
      <c r="BX15" s="47"/>
      <c r="BY15" s="48" t="s">
        <v>172</v>
      </c>
      <c r="CB15" s="6"/>
      <c r="CC15" s="6"/>
      <c r="CD15" s="67">
        <v>0</v>
      </c>
      <c r="CE15" s="67">
        <v>0</v>
      </c>
      <c r="CF15" s="67" t="e">
        <v>#REF!</v>
      </c>
      <c r="CG15" s="68" cm="1">
        <f t="array" ref="CG15">SUMPRODUCT(--(LEN(TRIM(BL15:BT15))&gt;0))</f>
        <v>3</v>
      </c>
      <c r="CH15" s="59" t="str">
        <f t="shared" si="6"/>
        <v>n</v>
      </c>
      <c r="CI15" s="59" t="str">
        <f t="shared" si="7"/>
        <v>y</v>
      </c>
      <c r="CJ15" s="59" t="str">
        <f t="shared" si="8"/>
        <v>n</v>
      </c>
      <c r="CK15" s="59" t="str">
        <f t="shared" si="9"/>
        <v>n</v>
      </c>
      <c r="CL15" s="59" t="str">
        <f t="shared" si="10"/>
        <v>n</v>
      </c>
      <c r="CM15" s="59" t="str">
        <f t="shared" si="11"/>
        <v>n</v>
      </c>
      <c r="CN15" s="59" t="str">
        <f t="shared" si="12"/>
        <v>n</v>
      </c>
      <c r="CO15" s="59" t="str">
        <f t="shared" si="13"/>
        <v>y</v>
      </c>
      <c r="CP15" s="59" t="str">
        <f t="shared" si="14"/>
        <v>n</v>
      </c>
      <c r="CQ15" s="59" t="str">
        <f t="shared" si="15"/>
        <v>n</v>
      </c>
      <c r="CR15" s="59" t="str">
        <f t="shared" si="16"/>
        <v>n</v>
      </c>
      <c r="CS15" s="59" t="str">
        <f t="shared" si="17"/>
        <v>y</v>
      </c>
      <c r="CT15" s="69" t="str">
        <f t="shared" si="18"/>
        <v>"[ARG] Salta"</v>
      </c>
      <c r="CU15" s="70" t="str">
        <f t="shared" si="19"/>
        <v>"rgn_South America"</v>
      </c>
      <c r="CV15" s="48" t="str">
        <f t="shared" si="20"/>
        <v>"https://upload.wikimedia.org/wikipedia/commons/thumb/6/6a/Bandera_de_la_Provincia_de_Salta.svg/320px-Bandera_de_la_Provincia_de_Salta.svg.png"</v>
      </c>
      <c r="CW15" s="48" t="str">
        <f t="shared" si="0"/>
        <v/>
      </c>
      <c r="CX15" s="48" t="str">
        <f t="shared" si="0"/>
        <v>"3Color",</v>
      </c>
      <c r="CY15" s="48" t="str">
        <f t="shared" si="0"/>
        <v/>
      </c>
      <c r="CZ15" s="48" t="str">
        <f t="shared" si="0"/>
        <v/>
      </c>
      <c r="DA15" s="48" t="str">
        <f t="shared" si="21"/>
        <v/>
      </c>
      <c r="DB15" s="48" t="str">
        <f t="shared" si="22"/>
        <v/>
      </c>
      <c r="DD15" s="48" t="str">
        <f t="shared" si="104"/>
        <v>"lets05",</v>
      </c>
      <c r="DE15" s="48" t="str">
        <f t="shared" si="105"/>
        <v>"startS",</v>
      </c>
      <c r="DF15" s="48" t="str">
        <f t="shared" si="26"/>
        <v/>
      </c>
      <c r="DG15" s="48" t="str">
        <f t="shared" si="27"/>
        <v/>
      </c>
      <c r="DH15" s="48" t="str">
        <f t="shared" si="28"/>
        <v/>
      </c>
      <c r="DI15" s="48" t="str">
        <f t="shared" si="29"/>
        <v/>
      </c>
      <c r="DJ15" s="48" t="str">
        <f t="shared" si="30"/>
        <v/>
      </c>
      <c r="DK15" s="48" t="str">
        <f t="shared" si="31"/>
        <v/>
      </c>
      <c r="DL15" s="48" t="str">
        <f t="shared" si="32"/>
        <v/>
      </c>
      <c r="DM15" s="48" t="str" cm="1">
        <f t="array" ref="DM15">IF(CG15=3,CHAR(34) &amp; _xlfn.TEXTJOIN("", TRUE, RIGHT(HP15:HX15, 2)) &amp; CHAR(34) &amp; ",", "")</f>
        <v>"LAEDHI",</v>
      </c>
      <c r="DN15" s="48" t="str">
        <f t="shared" si="33"/>
        <v/>
      </c>
      <c r="DO15" s="48" t="str">
        <f t="shared" si="34"/>
        <v>"year19",</v>
      </c>
      <c r="DP15" s="6" t="str">
        <f t="shared" si="35"/>
        <v/>
      </c>
      <c r="DQ15" s="6" t="str">
        <f t="shared" si="36"/>
        <v/>
      </c>
      <c r="DR15" s="6" t="str">
        <f t="shared" si="37"/>
        <v/>
      </c>
      <c r="DS15" s="6" t="str">
        <f t="shared" si="38"/>
        <v/>
      </c>
      <c r="DT15" s="6" t="str">
        <f t="shared" si="39"/>
        <v>"allhor",</v>
      </c>
      <c r="DU15" s="6" t="str">
        <f t="shared" si="40"/>
        <v/>
      </c>
      <c r="DW15" s="48" t="str">
        <f t="shared" si="1"/>
        <v/>
      </c>
      <c r="DX15" s="48" t="str">
        <f t="shared" si="1"/>
        <v/>
      </c>
      <c r="DY15" s="48" t="str">
        <f t="shared" si="1"/>
        <v/>
      </c>
      <c r="DZ15" s="48" t="str">
        <f t="shared" si="1"/>
        <v>"4+Band",</v>
      </c>
      <c r="EA15" s="48" t="str">
        <f t="shared" si="2"/>
        <v/>
      </c>
      <c r="EB15" s="48" t="str">
        <f t="shared" si="2"/>
        <v/>
      </c>
      <c r="EC15" s="48" t="str">
        <f t="shared" si="2"/>
        <v>"Horizo",</v>
      </c>
      <c r="ED15" s="48" t="str">
        <f t="shared" si="2"/>
        <v/>
      </c>
      <c r="EE15" s="48" t="str">
        <f t="shared" si="2"/>
        <v>"Circle",</v>
      </c>
      <c r="EF15" s="48" t="str">
        <f t="shared" si="42"/>
        <v/>
      </c>
      <c r="EG15" s="48" t="str">
        <f t="shared" ref="EG15:EV22" si="107">IF(Z15="y",CHAR(34)&amp;Z$1&amp;CHAR(34)&amp;",","")</f>
        <v/>
      </c>
      <c r="EH15" s="48" t="str">
        <f t="shared" si="107"/>
        <v/>
      </c>
      <c r="EI15" s="48" t="str">
        <f t="shared" si="107"/>
        <v/>
      </c>
      <c r="EJ15" s="48" t="str">
        <f t="shared" si="107"/>
        <v/>
      </c>
      <c r="EK15" s="48" t="str">
        <f t="shared" si="107"/>
        <v>"HasSun",</v>
      </c>
      <c r="EL15" s="48" t="str">
        <f t="shared" si="107"/>
        <v/>
      </c>
      <c r="EM15" s="48" t="str">
        <f t="shared" si="107"/>
        <v/>
      </c>
      <c r="EN15" s="48" t="str">
        <f t="shared" si="107"/>
        <v/>
      </c>
      <c r="EO15" s="48" t="str">
        <f t="shared" si="107"/>
        <v>"Center",</v>
      </c>
      <c r="EP15" s="48" t="str">
        <f t="shared" si="107"/>
        <v/>
      </c>
      <c r="EQ15" s="48" t="str">
        <f t="shared" si="107"/>
        <v/>
      </c>
      <c r="ER15" s="48" t="str">
        <f t="shared" si="107"/>
        <v/>
      </c>
      <c r="ES15" s="48" t="str">
        <f t="shared" si="107"/>
        <v/>
      </c>
      <c r="ET15" s="48" t="str">
        <f t="shared" si="107"/>
        <v/>
      </c>
      <c r="EU15" s="48" t="str">
        <f t="shared" si="107"/>
        <v>"Humans",</v>
      </c>
      <c r="EV15" s="48" t="str">
        <f t="shared" si="106"/>
        <v/>
      </c>
      <c r="EW15" s="48" t="str">
        <f t="shared" si="106"/>
        <v/>
      </c>
      <c r="EX15" s="48" t="str">
        <f t="shared" si="106"/>
        <v/>
      </c>
      <c r="EY15" s="48" t="str">
        <f t="shared" si="106"/>
        <v/>
      </c>
      <c r="EZ15" s="48" t="str">
        <f t="shared" si="106"/>
        <v/>
      </c>
      <c r="FA15" s="48" t="str">
        <f t="shared" si="43"/>
        <v>"sta",</v>
      </c>
      <c r="FB15" s="48" t="str">
        <f t="shared" si="44"/>
        <v/>
      </c>
      <c r="FD15" s="48" t="str">
        <f t="shared" si="46"/>
        <v/>
      </c>
      <c r="FE15" s="48" t="str">
        <f t="shared" si="47"/>
        <v>"NO_BLU",</v>
      </c>
      <c r="FF15" s="48" t="str">
        <f t="shared" si="48"/>
        <v/>
      </c>
      <c r="FG15" s="48" t="str">
        <f t="shared" si="49"/>
        <v/>
      </c>
      <c r="FH15" s="48" t="str">
        <f t="shared" si="50"/>
        <v>"NO_GRE",</v>
      </c>
      <c r="FI15" s="48" t="str">
        <f t="shared" si="51"/>
        <v>"NO_YEL",</v>
      </c>
      <c r="FJ15" s="48" t="str">
        <f t="shared" si="52"/>
        <v/>
      </c>
      <c r="FK15" s="48" t="str">
        <f t="shared" si="53"/>
        <v/>
      </c>
      <c r="FL15" s="48" t="str">
        <f t="shared" si="54"/>
        <v/>
      </c>
      <c r="FM15" s="48" t="str">
        <f t="shared" si="55"/>
        <v/>
      </c>
      <c r="FN15" s="48" t="str">
        <f t="shared" si="56"/>
        <v/>
      </c>
      <c r="FO15" s="48" t="str">
        <f t="shared" si="57"/>
        <v/>
      </c>
      <c r="FP15" s="48" t="str">
        <f t="shared" si="58"/>
        <v/>
      </c>
      <c r="FQ15" s="48" t="str">
        <f t="shared" si="59"/>
        <v>"001RED",</v>
      </c>
      <c r="FR15" s="48" t="str">
        <f t="shared" si="60"/>
        <v>"002BLA",</v>
      </c>
      <c r="FS15" s="48" t="str">
        <f t="shared" si="61"/>
        <v>"003RED",</v>
      </c>
      <c r="FT15" s="48" t="str">
        <f t="shared" si="62"/>
        <v>"myrRED",</v>
      </c>
      <c r="FU15" s="48" t="str">
        <f t="shared" si="63"/>
        <v/>
      </c>
      <c r="FV15" s="48" t="str">
        <f t="shared" si="64"/>
        <v/>
      </c>
      <c r="FW15" s="48" t="str">
        <f t="shared" si="65"/>
        <v/>
      </c>
      <c r="FY15" s="48" t="str">
        <f t="shared" si="67"/>
        <v/>
      </c>
      <c r="FZ15" s="48" t="str">
        <f t="shared" si="68"/>
        <v/>
      </c>
      <c r="GA15" s="48" t="str">
        <f t="shared" si="69"/>
        <v/>
      </c>
      <c r="GB15" s="48" t="str">
        <f t="shared" si="70"/>
        <v/>
      </c>
      <c r="GE15" s="48" t="str">
        <f t="shared" si="73"/>
        <v/>
      </c>
      <c r="GF15" s="48" t="str">
        <f t="shared" si="103"/>
        <v/>
      </c>
      <c r="GG15" s="48" t="str">
        <f t="shared" si="74"/>
        <v/>
      </c>
      <c r="GH15" s="48" t="str">
        <f t="shared" si="75"/>
        <v/>
      </c>
      <c r="GI15" s="48" t="str">
        <f t="shared" si="76"/>
        <v/>
      </c>
      <c r="GJ15" s="48" t="str">
        <f t="shared" si="77"/>
        <v/>
      </c>
      <c r="GK15" s="48" t="str">
        <f t="shared" si="78"/>
        <v>"HasSta",</v>
      </c>
      <c r="GL15" s="48" t="str">
        <f t="shared" si="4"/>
        <v/>
      </c>
      <c r="GM15" s="48" t="str">
        <f t="shared" si="4"/>
        <v/>
      </c>
      <c r="GN15" s="48" t="str">
        <f t="shared" si="4"/>
        <v>"3+Star",</v>
      </c>
      <c r="GP15" s="48" t="str">
        <f t="shared" si="79"/>
        <v>"Province"</v>
      </c>
      <c r="GS15" s="48" t="str">
        <f t="shared" si="80"/>
        <v>["3Color","lets05","startS","LAEDHI","year19","allhor","4+Band","Horizo","Circle","HasSun","Center","Humans","sta","NO_BLU","NO_GRE","NO_YEL","001RED","002BLA","003RED","myrRED","HasSta","3+Star"]</v>
      </c>
      <c r="GT15" s="48" t="str">
        <f t="shared" si="5"/>
        <v>"cl_BLA",</v>
      </c>
      <c r="GU15" s="48" t="str">
        <f t="shared" si="5"/>
        <v/>
      </c>
      <c r="GV15" s="48" t="str">
        <f t="shared" si="5"/>
        <v/>
      </c>
      <c r="GW15" s="48" t="str">
        <f t="shared" si="5"/>
        <v>"cl_RED",</v>
      </c>
      <c r="GX15" s="48" t="str">
        <f t="shared" si="5"/>
        <v/>
      </c>
      <c r="GY15" s="48" t="str">
        <f t="shared" si="5"/>
        <v/>
      </c>
      <c r="GZ15" s="48" t="str">
        <f t="shared" si="5"/>
        <v/>
      </c>
      <c r="HA15" s="48" t="str">
        <f t="shared" si="5"/>
        <v/>
      </c>
      <c r="HB15" s="48" t="str">
        <f t="shared" si="5"/>
        <v>"cl_WHI",</v>
      </c>
      <c r="HC15" s="48" t="str">
        <f t="shared" si="81"/>
        <v>["cl_BLA","cl_RED","cl_WHI"]</v>
      </c>
      <c r="HE15" s="71"/>
      <c r="HF15" s="72" t="str">
        <f t="shared" si="82"/>
        <v>{couname:"[ARG] Salta",year:"1997",region:"rgn_South America",Colors:["cl_BLA","cl_RED","cl_WHI"],Items:["3Color","lets05","startS","LAEDHI","year19","allhor","4+Band","Horizo","Circle","HasSun","Center","Humans","sta","NO_BLU","NO_GRE","NO_YEL","001RED","002BLA","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links: "https://en.wikipedia.org/wiki/Flag_of_Salta"},</v>
      </c>
      <c r="HG15" s="73" t="str">
        <f t="shared" si="83"/>
        <v>{couname:"[ARG] Salta",year:"1997",region:"rgn_South America",Colors:["cl_BLA","cl_RED","cl_WHI"],Items:["3Color","lets05","startS","LAEDHI","year19","allhor","4+Band","Horizo","Circle","HasSun","Center","Humans","sta","NO_BLU","NO_GRE","NO_YEL","001RED","002BLA","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links: "https://en.wikipedia.org/wiki/Flag_of_Salta"},</v>
      </c>
      <c r="HH15" s="48" t="str">
        <f t="shared" si="84"/>
        <v>"\nThe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v>
      </c>
      <c r="HI15" s="48" t="str">
        <f t="shared" si="85"/>
        <v>"\nThe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v>
      </c>
      <c r="HJ15" s="48" t="str">
        <f t="shared" si="86"/>
        <v>"1997"</v>
      </c>
      <c r="HL15" s="48" t="str">
        <f t="shared" si="87"/>
        <v>"https://en.wikipedia.org/wiki/Flag_of_Salta"</v>
      </c>
      <c r="HM15" s="72" t="str">
        <f t="shared" si="88"/>
        <v>{"couname":"[ARG] Salta","year":"1997","region":"rgn_South America","Colors":["cl_BLA","cl_RED","cl_WHI"],"Items":["3Color","lets05","startS","LAEDHI","year19","allhor","4+Band","Horizo","Circle","HasSun","Center","Humans","sta","NO_BLU","NO_GRE","NO_YEL","001RED","002BLA","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 "links": "https://en.wikipedia.org/wiki/Flag_of_Salta"},</v>
      </c>
      <c r="HN15" s="74" t="str">
        <f t="shared" si="89"/>
        <v>{"couname":"[ARG] Salta","year":"1997","region":"rgn_South America","Colors":["cl_BLA","cl_RED","cl_WHI"],"Items":["3Color","lets05","startS","LAEDHI","year19","allhor","4+Band","Horizo","Circle","HasSun","Center","Humans","sta","NO_BLU","NO_GRE","NO_YEL","001RED","002BLA","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 "links": "https://en.wikipedia.org/wiki/Flag_of_Salta"},</v>
      </c>
      <c r="HO15" s="75">
        <v>45618</v>
      </c>
      <c r="HP15" s="48" t="str" cm="1">
        <f t="array" ref="HP15">IF(_xlfn.TEXTJOIN(", ", TRUE, IF(ISNUMBER(SEARCH("BLA", BL15:BT15)), COLUMN(BL15:BT15) - COLUMN(BL15) + 1, ""))&lt;&gt;"","BLA","")</f>
        <v>BLA</v>
      </c>
      <c r="HQ15" s="48" t="str" cm="1">
        <f t="array" ref="HQ15">IF(_xlfn.TEXTJOIN(", ", TRUE, IF(ISNUMBER(SEARCH("BLU", BL15:BT15)), COLUMN(BL15:BT15) - COLUMN(BL15) + 1, ""))&lt;&gt;"","BLU","")</f>
        <v/>
      </c>
      <c r="HR15" s="48" t="str" cm="1">
        <f t="array" ref="HR15">IF(_xlfn.TEXTJOIN(", ", TRUE, IF(ISNUMBER(SEARCH("GRE", BL15:BT15)), COLUMN(BL15:BT15) - COLUMN(BL15) + 1, ""))&lt;&gt;"","GRE","")</f>
        <v/>
      </c>
      <c r="HS15" s="48" t="str" cm="1">
        <f t="array" ref="HS15">IF(_xlfn.TEXTJOIN(", ", TRUE, IF(ISNUMBER(SEARCH("RED", BL15:BT15)), COLUMN(BL15:BT15) - COLUMN(BL15) + 1, ""))&lt;&gt;"","RED","")</f>
        <v>RED</v>
      </c>
      <c r="HT15" s="48" t="str" cm="1">
        <f t="array" ref="HT15">IF(_xlfn.TEXTJOIN(", ", TRUE, IF(ISNUMBER(SEARCH("YEL", BL15:BT15)), COLUMN(BL15:BT15) - COLUMN(BL15) + 1, ""))&lt;&gt;"","YEL","")</f>
        <v/>
      </c>
      <c r="HU15" s="48" t="str" cm="1">
        <f t="array" ref="HU15">IF(_xlfn.TEXTJOIN(", ", TRUE, IF(ISNUMBER(SEARCH("ORA", BL15:BT15)), COLUMN(BL15:BT15) - COLUMN(BL15) + 1, ""))&lt;&gt;"","ORA","")</f>
        <v/>
      </c>
      <c r="HV15" s="48" t="str" cm="1">
        <f t="array" ref="HV15">IF(_xlfn.TEXTJOIN(", ", TRUE, IF(ISNUMBER(SEARCH("BRO", BL15:BT15)), COLUMN(BL15:BT15) - COLUMN(BL15) + 1, ""))&lt;&gt;"","BRO","")</f>
        <v/>
      </c>
      <c r="HW15" s="48" t="str" cm="1">
        <f t="array" ref="HW15">IF(_xlfn.TEXTJOIN(", ", TRUE, IF(ISNUMBER(SEARCH("PUR", BL15:BT15)), COLUMN(BL15:BT15) - COLUMN(BL15) + 1, ""))&lt;&gt;"","PUR","")</f>
        <v/>
      </c>
      <c r="HX15" s="48" t="str" cm="1">
        <f t="array" ref="HX15">IF(_xlfn.TEXTJOIN(", ", TRUE, IF(ISNUMBER(SEARCH("WHI", BL15:BT15)), COLUMN(BL15:BT15) - COLUMN(BL15) + 1, ""))&lt;&gt;"","WHI","")</f>
        <v>WHI</v>
      </c>
      <c r="HY15" s="76"/>
      <c r="HZ15" s="76"/>
      <c r="IA15" s="6"/>
      <c r="IB15" s="6"/>
      <c r="IC15" s="77"/>
      <c r="ID15" s="77"/>
      <c r="IE15" s="77"/>
      <c r="IF15" s="77"/>
      <c r="IG15" s="77"/>
      <c r="IH15" s="77"/>
      <c r="II15" s="77"/>
      <c r="IJ15" s="77"/>
      <c r="IK15" s="77"/>
      <c r="IM15" s="45">
        <f t="shared" si="91"/>
        <v>-3</v>
      </c>
      <c r="IN15" s="78" t="str">
        <f t="shared" si="92"/>
        <v>http://mkweb.bcgsc.ca/color-summarizer/?url=https://upload.wikimedia.org/wikipedia/commons/thumb/6/6a/Bandera_de_la_Provincia_de_Salta.svg/320px-Bandera_de_la_Provincia_de_Salta.svg.png&amp;precision=low&amp;num_clusters=3&amp;text=1</v>
      </c>
      <c r="IO15" s="48" t="str">
        <f t="shared" si="93"/>
        <v>"black"</v>
      </c>
      <c r="IP15" s="48" t="str">
        <f t="shared" si="94"/>
        <v/>
      </c>
      <c r="IQ15" s="48" t="str">
        <f t="shared" si="95"/>
        <v/>
      </c>
      <c r="IR15" s="48" t="str">
        <f t="shared" si="96"/>
        <v>"red"</v>
      </c>
      <c r="IS15" s="48" t="str">
        <f t="shared" si="97"/>
        <v/>
      </c>
      <c r="IT15" s="48" t="str">
        <f t="shared" si="98"/>
        <v/>
      </c>
      <c r="IU15" s="48" t="str">
        <f t="shared" si="99"/>
        <v/>
      </c>
      <c r="IV15" s="48" t="str">
        <f t="shared" si="100"/>
        <v/>
      </c>
      <c r="IW15" s="48" t="str">
        <f t="shared" si="101"/>
        <v>"white"</v>
      </c>
      <c r="IX15" s="48" t="str">
        <f t="shared" si="102"/>
        <v>{"url":"http://mkweb.bcgsc.ca/color-summarizer/?url=https://upload.wikimedia.org/wikipedia/commons/thumb/6/6a/Bandera_de_la_Provincia_de_Salta.svg/320px-Bandera_de_la_Provincia_de_Salta.svg.png&amp;precision=low&amp;num_clusters=3&amp;text=1","name":"[ARG] Salta"},</v>
      </c>
      <c r="IY15" s="48">
        <v>1011</v>
      </c>
    </row>
    <row r="16" spans="1:259" s="48" customFormat="1" ht="38.4" customHeight="1" thickBot="1" x14ac:dyDescent="0.35">
      <c r="A16" s="79" t="s">
        <v>343</v>
      </c>
      <c r="B16" s="40" t="e" vm="15">
        <v>#VALUE!</v>
      </c>
      <c r="C16" s="41">
        <v>2</v>
      </c>
      <c r="D16" s="42" t="s">
        <v>344</v>
      </c>
      <c r="E16" s="43" t="s">
        <v>345</v>
      </c>
      <c r="F16" s="44" t="s">
        <v>166</v>
      </c>
      <c r="G16" s="45">
        <f>COUNTIF($A$1:$A$8299,A16)</f>
        <v>1</v>
      </c>
      <c r="H16" s="46"/>
      <c r="I16" s="47" t="s">
        <v>346</v>
      </c>
      <c r="J16" s="48" t="str">
        <f>""</f>
        <v/>
      </c>
      <c r="K16" s="49"/>
      <c r="L16" s="50"/>
      <c r="M16" s="50"/>
      <c r="N16" s="51" t="s">
        <v>169</v>
      </c>
      <c r="O16" s="52">
        <v>1988</v>
      </c>
      <c r="P16" s="53" t="s">
        <v>347</v>
      </c>
      <c r="Q16" s="54">
        <v>2</v>
      </c>
      <c r="R16" s="55" t="s">
        <v>169</v>
      </c>
      <c r="S16" s="56">
        <v>0</v>
      </c>
      <c r="T16" s="57" t="s">
        <v>172</v>
      </c>
      <c r="U16" s="58" t="s">
        <v>172</v>
      </c>
      <c r="V16" s="58" t="s">
        <v>172</v>
      </c>
      <c r="W16" s="58" t="s">
        <v>172</v>
      </c>
      <c r="X16" s="58" t="s">
        <v>173</v>
      </c>
      <c r="Y16" s="58" t="s">
        <v>173</v>
      </c>
      <c r="Z16" s="58" t="s">
        <v>172</v>
      </c>
      <c r="AA16" s="58" t="s">
        <v>173</v>
      </c>
      <c r="AB16" s="58" t="s">
        <v>172</v>
      </c>
      <c r="AC16" s="58" t="s">
        <v>172</v>
      </c>
      <c r="AD16" s="58" t="s">
        <v>173</v>
      </c>
      <c r="AE16" s="58" t="s">
        <v>172</v>
      </c>
      <c r="AF16" s="59" t="s">
        <v>172</v>
      </c>
      <c r="AG16" s="59" t="s">
        <v>172</v>
      </c>
      <c r="AH16" s="59" t="s">
        <v>173</v>
      </c>
      <c r="AI16" s="59" t="s">
        <v>172</v>
      </c>
      <c r="AJ16" s="59" t="s">
        <v>172</v>
      </c>
      <c r="AK16" s="59" t="s">
        <v>172</v>
      </c>
      <c r="AL16" s="59" t="s">
        <v>172</v>
      </c>
      <c r="AM16" s="59" t="s">
        <v>173</v>
      </c>
      <c r="AN16" s="59" t="s">
        <v>173</v>
      </c>
      <c r="AO16" s="59" t="s">
        <v>172</v>
      </c>
      <c r="AP16" s="59" t="s">
        <v>172</v>
      </c>
      <c r="AQ16" s="59" t="s">
        <v>172</v>
      </c>
      <c r="AR16" s="59" t="s">
        <v>172</v>
      </c>
      <c r="AS16" s="59" t="s">
        <v>172</v>
      </c>
      <c r="AT16" s="60">
        <v>0</v>
      </c>
      <c r="AU16" s="59" t="s">
        <v>277</v>
      </c>
      <c r="AV16" s="59" t="str">
        <f>IF(LEFT(A16,1)="[",LEFT(A16,5)&amp;AU16&amp;A16,"")</f>
        <v>[ARG]Province[ARG] San Luis</v>
      </c>
      <c r="AW16" s="59" t="str">
        <f>C16&amp;IFERROR(SUBSTITUTE(A16, " [ANT]",""),"")</f>
        <v>2[ARG] San Luis</v>
      </c>
      <c r="AX16" s="61"/>
      <c r="AY16" s="61"/>
      <c r="AZ16" s="62" t="s">
        <v>155</v>
      </c>
      <c r="BA16" s="62" t="s">
        <v>174</v>
      </c>
      <c r="BB16" s="62"/>
      <c r="BC16" s="63"/>
      <c r="BD16" s="64" t="s">
        <v>155</v>
      </c>
      <c r="BE16" s="47"/>
      <c r="BF16" s="64" t="s">
        <v>174</v>
      </c>
      <c r="BG16" s="64" t="s">
        <v>174</v>
      </c>
      <c r="BH16" s="64" t="s">
        <v>174</v>
      </c>
      <c r="BI16" s="64"/>
      <c r="BJ16" s="64"/>
      <c r="BK16" s="47"/>
      <c r="BL16" s="64" t="s">
        <v>151</v>
      </c>
      <c r="BM16" s="64" t="s">
        <v>174</v>
      </c>
      <c r="BN16" s="64" t="s">
        <v>174</v>
      </c>
      <c r="BO16" s="64" t="s">
        <v>174</v>
      </c>
      <c r="BP16" s="64" t="s">
        <v>155</v>
      </c>
      <c r="BQ16" s="64" t="s">
        <v>174</v>
      </c>
      <c r="BR16" s="64" t="s">
        <v>174</v>
      </c>
      <c r="BS16" s="64" t="s">
        <v>174</v>
      </c>
      <c r="BT16" s="64" t="s">
        <v>174</v>
      </c>
      <c r="BU16" s="65" t="s">
        <v>172</v>
      </c>
      <c r="BV16" s="66"/>
      <c r="BW16" s="66">
        <v>0</v>
      </c>
      <c r="BX16" s="47"/>
      <c r="CB16" s="6"/>
      <c r="CC16" s="6"/>
      <c r="CD16" s="67">
        <v>0</v>
      </c>
      <c r="CE16" s="67">
        <v>0</v>
      </c>
      <c r="CF16" s="67" t="e">
        <v>#REF!</v>
      </c>
      <c r="CG16" s="68" cm="1">
        <f t="array" ref="CG16">SUMPRODUCT(--(LEN(TRIM(BL16:BT16))&gt;0))</f>
        <v>2</v>
      </c>
      <c r="CH16" s="59" t="str">
        <f t="shared" si="6"/>
        <v>y</v>
      </c>
      <c r="CI16" s="59" t="str">
        <f t="shared" si="7"/>
        <v>n</v>
      </c>
      <c r="CJ16" s="59" t="str">
        <f t="shared" si="8"/>
        <v>n</v>
      </c>
      <c r="CK16" s="59" t="str">
        <f t="shared" si="9"/>
        <v>n</v>
      </c>
      <c r="CL16" s="59" t="str">
        <f t="shared" si="10"/>
        <v>y</v>
      </c>
      <c r="CM16" s="59" t="str">
        <f t="shared" si="11"/>
        <v>n</v>
      </c>
      <c r="CN16" s="59" t="str">
        <f t="shared" si="12"/>
        <v>n</v>
      </c>
      <c r="CO16" s="59" t="str">
        <f t="shared" si="13"/>
        <v>n</v>
      </c>
      <c r="CP16" s="59" t="str">
        <f t="shared" si="14"/>
        <v>y</v>
      </c>
      <c r="CQ16" s="59" t="str">
        <f t="shared" si="15"/>
        <v>n</v>
      </c>
      <c r="CR16" s="59" t="str">
        <f t="shared" si="16"/>
        <v>n</v>
      </c>
      <c r="CS16" s="59" t="str">
        <f t="shared" si="17"/>
        <v>n</v>
      </c>
      <c r="CT16" s="69" t="str">
        <f t="shared" si="18"/>
        <v>"[ARG] San Luis"</v>
      </c>
      <c r="CU16" s="70" t="str">
        <f t="shared" si="19"/>
        <v>"rgn_South America"</v>
      </c>
      <c r="CV16" s="48" t="str">
        <f t="shared" si="20"/>
        <v>"https://upload.wikimedia.org/wikipedia/commons/thumb/0/0e/Bandera_de_la_Provincia_de_San_Luis.svg/320px-Bandera_de_la_Provincia_de_San_Luis.svg.png"</v>
      </c>
      <c r="CW16" s="48" t="str">
        <f t="shared" si="0"/>
        <v>"2Color",</v>
      </c>
      <c r="CX16" s="48" t="str">
        <f t="shared" si="0"/>
        <v/>
      </c>
      <c r="CY16" s="48" t="str">
        <f t="shared" si="0"/>
        <v/>
      </c>
      <c r="CZ16" s="48" t="str">
        <f t="shared" si="0"/>
        <v/>
      </c>
      <c r="DA16" s="48" t="str">
        <f t="shared" si="21"/>
        <v>"words2",</v>
      </c>
      <c r="DB16" s="48" t="str">
        <f t="shared" si="22"/>
        <v/>
      </c>
      <c r="DD16" s="48" t="str">
        <f t="shared" si="104"/>
        <v>"lets07",</v>
      </c>
      <c r="DE16" s="48" t="str">
        <f t="shared" si="105"/>
        <v>"startS",</v>
      </c>
      <c r="DF16" s="48" t="str">
        <f t="shared" si="26"/>
        <v/>
      </c>
      <c r="DG16" s="48" t="str">
        <f t="shared" si="27"/>
        <v/>
      </c>
      <c r="DH16" s="48" t="str">
        <f t="shared" si="28"/>
        <v/>
      </c>
      <c r="DI16" s="48" t="str">
        <f t="shared" si="29"/>
        <v/>
      </c>
      <c r="DJ16" s="48" t="str">
        <f t="shared" si="30"/>
        <v/>
      </c>
      <c r="DK16" s="48" t="str">
        <f t="shared" si="31"/>
        <v/>
      </c>
      <c r="DL16" s="48" t="str">
        <f t="shared" si="32"/>
        <v>"BLAYEL",</v>
      </c>
      <c r="DM16" s="48" t="str" cm="1">
        <f t="array" ref="DM16">IF(CG16=3,CHAR(34) &amp; _xlfn.TEXTJOIN("", TRUE, RIGHT(HP16:HX16, 2)) &amp; CHAR(34) &amp; ",", "")</f>
        <v/>
      </c>
      <c r="DN16" s="48" t="str">
        <f t="shared" si="33"/>
        <v/>
      </c>
      <c r="DO16" s="48" t="str">
        <f t="shared" si="34"/>
        <v>"year19",</v>
      </c>
      <c r="DP16" s="6" t="str">
        <f t="shared" si="35"/>
        <v/>
      </c>
      <c r="DQ16" s="6" t="str">
        <f t="shared" si="36"/>
        <v/>
      </c>
      <c r="DR16" s="6" t="str">
        <f t="shared" si="37"/>
        <v/>
      </c>
      <c r="DS16" s="6" t="str">
        <f t="shared" si="38"/>
        <v/>
      </c>
      <c r="DT16" s="6" t="str">
        <f t="shared" si="39"/>
        <v/>
      </c>
      <c r="DU16" s="6" t="str">
        <f t="shared" si="40"/>
        <v/>
      </c>
      <c r="DW16" s="48" t="str">
        <f t="shared" si="1"/>
        <v>"NoBand",</v>
      </c>
      <c r="DX16" s="48" t="str">
        <f t="shared" si="1"/>
        <v/>
      </c>
      <c r="DY16" s="48" t="str">
        <f t="shared" si="1"/>
        <v/>
      </c>
      <c r="DZ16" s="48" t="str">
        <f t="shared" si="1"/>
        <v/>
      </c>
      <c r="EA16" s="48" t="str">
        <f t="shared" si="2"/>
        <v/>
      </c>
      <c r="EB16" s="48" t="str">
        <f t="shared" si="2"/>
        <v/>
      </c>
      <c r="EC16" s="48" t="str">
        <f t="shared" si="2"/>
        <v/>
      </c>
      <c r="ED16" s="48" t="str">
        <f t="shared" si="2"/>
        <v/>
      </c>
      <c r="EE16" s="48" t="str">
        <f t="shared" si="2"/>
        <v>"Circle",</v>
      </c>
      <c r="EF16" s="48" t="str">
        <f t="shared" si="42"/>
        <v>"Animal",</v>
      </c>
      <c r="EG16" s="48" t="str">
        <f t="shared" si="107"/>
        <v/>
      </c>
      <c r="EH16" s="48" t="str">
        <f t="shared" si="107"/>
        <v>"Plants",</v>
      </c>
      <c r="EI16" s="48" t="str">
        <f t="shared" si="107"/>
        <v/>
      </c>
      <c r="EJ16" s="48" t="str">
        <f t="shared" si="107"/>
        <v/>
      </c>
      <c r="EK16" s="48" t="str">
        <f t="shared" si="107"/>
        <v>"HasSun",</v>
      </c>
      <c r="EL16" s="48" t="str">
        <f t="shared" si="107"/>
        <v/>
      </c>
      <c r="EM16" s="48" t="str">
        <f t="shared" si="107"/>
        <v/>
      </c>
      <c r="EN16" s="48" t="str">
        <f t="shared" si="107"/>
        <v/>
      </c>
      <c r="EO16" s="48" t="str">
        <f t="shared" si="107"/>
        <v>"Center",</v>
      </c>
      <c r="EP16" s="48" t="str">
        <f t="shared" si="107"/>
        <v/>
      </c>
      <c r="EQ16" s="48" t="str">
        <f t="shared" si="107"/>
        <v/>
      </c>
      <c r="ER16" s="48" t="str">
        <f t="shared" si="107"/>
        <v/>
      </c>
      <c r="ES16" s="48" t="str">
        <f t="shared" si="107"/>
        <v/>
      </c>
      <c r="ET16" s="48" t="str">
        <f t="shared" si="107"/>
        <v>"Geogrh",</v>
      </c>
      <c r="EU16" s="48" t="str">
        <f t="shared" si="107"/>
        <v>"Humans",</v>
      </c>
      <c r="EV16" s="48" t="str">
        <f t="shared" si="106"/>
        <v/>
      </c>
      <c r="EW16" s="48" t="str">
        <f t="shared" si="106"/>
        <v/>
      </c>
      <c r="EX16" s="48" t="str">
        <f t="shared" si="106"/>
        <v/>
      </c>
      <c r="EY16" s="48" t="str">
        <f t="shared" si="106"/>
        <v/>
      </c>
      <c r="EZ16" s="48" t="str">
        <f t="shared" si="106"/>
        <v/>
      </c>
      <c r="FA16" s="48" t="str">
        <f t="shared" si="43"/>
        <v/>
      </c>
      <c r="FB16" s="48" t="str">
        <f t="shared" si="44"/>
        <v/>
      </c>
      <c r="FD16" s="48" t="str">
        <f t="shared" si="46"/>
        <v/>
      </c>
      <c r="FE16" s="48" t="str">
        <f t="shared" si="47"/>
        <v>"NO_BLU",</v>
      </c>
      <c r="FF16" s="48" t="str">
        <f t="shared" si="48"/>
        <v>"NO_WHI",</v>
      </c>
      <c r="FG16" s="48" t="str">
        <f t="shared" si="49"/>
        <v>"NO_RED",</v>
      </c>
      <c r="FH16" s="48" t="str">
        <f t="shared" si="50"/>
        <v>"NO_GRE",</v>
      </c>
      <c r="FI16" s="48" t="str">
        <f t="shared" si="51"/>
        <v/>
      </c>
      <c r="FJ16" s="48" t="str">
        <f t="shared" si="52"/>
        <v/>
      </c>
      <c r="FK16" s="48" t="str">
        <f t="shared" si="53"/>
        <v>"WHGRNO",</v>
      </c>
      <c r="FL16" s="48" t="str">
        <f t="shared" si="54"/>
        <v/>
      </c>
      <c r="FM16" s="48" t="str">
        <f t="shared" si="55"/>
        <v/>
      </c>
      <c r="FN16" s="48" t="str">
        <f t="shared" si="56"/>
        <v>"BLWHNO",</v>
      </c>
      <c r="FO16" s="48" t="str">
        <f t="shared" si="57"/>
        <v>"BLRENO",</v>
      </c>
      <c r="FP16" s="48" t="str">
        <f t="shared" si="58"/>
        <v>"WHRENO",</v>
      </c>
      <c r="FQ16" s="48" t="str">
        <f t="shared" si="59"/>
        <v/>
      </c>
      <c r="FR16" s="48" t="str">
        <f t="shared" si="60"/>
        <v/>
      </c>
      <c r="FS16" s="48" t="str">
        <f t="shared" si="61"/>
        <v/>
      </c>
      <c r="FT16" s="48" t="str">
        <f t="shared" si="62"/>
        <v>"myrYEL",</v>
      </c>
      <c r="FU16" s="48" t="str">
        <f t="shared" si="63"/>
        <v/>
      </c>
      <c r="FV16" s="48" t="str">
        <f t="shared" si="64"/>
        <v/>
      </c>
      <c r="FW16" s="48" t="str">
        <f t="shared" si="65"/>
        <v/>
      </c>
      <c r="FY16" s="48" t="str">
        <f t="shared" si="67"/>
        <v/>
      </c>
      <c r="FZ16" s="48" t="str">
        <f t="shared" si="68"/>
        <v/>
      </c>
      <c r="GA16" s="48" t="str">
        <f t="shared" si="69"/>
        <v/>
      </c>
      <c r="GB16" s="48" t="str">
        <f t="shared" si="70"/>
        <v/>
      </c>
      <c r="GE16" s="48" t="str">
        <f t="shared" si="73"/>
        <v/>
      </c>
      <c r="GF16" s="48" t="str">
        <f t="shared" si="103"/>
        <v/>
      </c>
      <c r="GG16" s="48" t="str">
        <f t="shared" si="74"/>
        <v/>
      </c>
      <c r="GH16" s="48" t="str">
        <f t="shared" si="75"/>
        <v/>
      </c>
      <c r="GI16" s="48" t="str">
        <f t="shared" si="76"/>
        <v/>
      </c>
      <c r="GJ16" s="48" t="str">
        <f t="shared" si="77"/>
        <v>"NoStar",</v>
      </c>
      <c r="GK16" s="48" t="str">
        <f t="shared" si="78"/>
        <v/>
      </c>
      <c r="GL16" s="48" t="str">
        <f t="shared" si="4"/>
        <v/>
      </c>
      <c r="GM16" s="48" t="str">
        <f t="shared" si="4"/>
        <v/>
      </c>
      <c r="GN16" s="48" t="str">
        <f t="shared" si="4"/>
        <v/>
      </c>
      <c r="GP16" s="48" t="str">
        <f t="shared" si="79"/>
        <v>"Province"</v>
      </c>
      <c r="GS16" s="48" t="str">
        <f t="shared" si="80"/>
        <v>["2Color","words2","lets07","startS","BLAYEL","year19","NoBand","Circle","Animal","Plants","HasSun","Center","Geogrh","Humans","NO_BLU","NO_WHI","NO_RED","NO_GRE","WHGRNO","BLWHNO","BLRENO","WHRENO","myrYEL","NoStar"]</v>
      </c>
      <c r="GT16" s="48" t="str">
        <f t="shared" si="5"/>
        <v>"cl_BLA",</v>
      </c>
      <c r="GU16" s="48" t="str">
        <f t="shared" si="5"/>
        <v/>
      </c>
      <c r="GV16" s="48" t="str">
        <f t="shared" si="5"/>
        <v/>
      </c>
      <c r="GW16" s="48" t="str">
        <f t="shared" si="5"/>
        <v/>
      </c>
      <c r="GX16" s="48" t="str">
        <f t="shared" si="5"/>
        <v>"cl_YEL",</v>
      </c>
      <c r="GY16" s="48" t="str">
        <f t="shared" si="5"/>
        <v/>
      </c>
      <c r="GZ16" s="48" t="str">
        <f t="shared" si="5"/>
        <v/>
      </c>
      <c r="HA16" s="48" t="str">
        <f t="shared" si="5"/>
        <v/>
      </c>
      <c r="HB16" s="48" t="str">
        <f t="shared" si="5"/>
        <v/>
      </c>
      <c r="HC16" s="48" t="str">
        <f t="shared" si="81"/>
        <v>["cl_BLA","cl_YEL"]</v>
      </c>
      <c r="HE16" s="71"/>
      <c r="HF16" s="72" t="str">
        <f t="shared" si="82"/>
        <v>{couname:"[ARG] San Luis",year:"1988",region:"rgn_South America",Colors:["cl_BLA","cl_YEL"],Items:["2Color","words2","lets07","startS","BLAYEL","year19","NoBand","Circle","Animal","Plants","HasSun","Center","Geogrh","Humans","NO_BLU","NO_WHI","NO_RED","NO_GRE","WHGRNO","BLWHNO","BLRENO","WHRENO","myrYEL","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links: "https://www.crwflags.com/fotw/flags/ar-d.html"},</v>
      </c>
      <c r="HG16" s="73" t="str">
        <f t="shared" si="83"/>
        <v>{couname:"[ARG] San Luis",year:"1988",region:"rgn_South America",Colors:["cl_BLA","cl_YEL"],Items:["2Color","words2","lets07","startS","BLAYEL","year19","NoBand","Circle","Animal","Plants","HasSun","Center","Geogrh","Humans","NO_BLU","NO_WHI","NO_RED","NO_GRE","WHGRNO","BLWHNO","BLRENO","WHRENO","myrYEL","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links: "https://www.crwflags.com/fotw/flags/ar-d.html"},</v>
      </c>
      <c r="HH16" s="48" t="str">
        <f t="shared" si="84"/>
        <v>"\nThe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v>
      </c>
      <c r="HI16" s="48" t="str">
        <f t="shared" si="85"/>
        <v>"\nThe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v>
      </c>
      <c r="HJ16" s="48" t="str">
        <f t="shared" si="86"/>
        <v>"1988"</v>
      </c>
      <c r="HL16" s="48" t="str">
        <f t="shared" si="87"/>
        <v>"https://www.crwflags.com/fotw/flags/ar-d.html"</v>
      </c>
      <c r="HM16" s="72" t="str">
        <f t="shared" si="88"/>
        <v>{"couname":"[ARG] San Luis","year":"1988","region":"rgn_South America","Colors":["cl_BLA","cl_YEL"],"Items":["2Color","words2","lets07","startS","BLAYEL","year19","NoBand","Circle","Animal","Plants","HasSun","Center","Geogrh","Humans","NO_BLU","NO_WHI","NO_RED","NO_GRE","WHGRNO","BLWHNO","BLRENO","WHRENO","myrYEL","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 "links": "https://www.crwflags.com/fotw/flags/ar-d.html"},</v>
      </c>
      <c r="HN16" s="74" t="str">
        <f t="shared" si="89"/>
        <v>{"couname":"[ARG] San Luis","year":"1988","region":"rgn_South America","Colors":["cl_BLA","cl_YEL"],"Items":["2Color","words2","lets07","startS","BLAYEL","year19","NoBand","Circle","Animal","Plants","HasSun","Center","Geogrh","Humans","NO_BLU","NO_WHI","NO_RED","NO_GRE","WHGRNO","BLWHNO","BLRENO","WHRENO","myrYEL","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 "links": "https://www.crwflags.com/fotw/flags/ar-d.html"},</v>
      </c>
      <c r="HO16" s="75">
        <v>45618</v>
      </c>
      <c r="HP16" s="48" t="str" cm="1">
        <f t="array" ref="HP16">IF(_xlfn.TEXTJOIN(", ", TRUE, IF(ISNUMBER(SEARCH("BLA", BL16:BT16)), COLUMN(BL16:BT16) - COLUMN(BL16) + 1, ""))&lt;&gt;"","BLA","")</f>
        <v>BLA</v>
      </c>
      <c r="HQ16" s="48" t="str" cm="1">
        <f t="array" ref="HQ16">IF(_xlfn.TEXTJOIN(", ", TRUE, IF(ISNUMBER(SEARCH("BLU", BL16:BT16)), COLUMN(BL16:BT16) - COLUMN(BL16) + 1, ""))&lt;&gt;"","BLU","")</f>
        <v/>
      </c>
      <c r="HR16" s="48" t="str" cm="1">
        <f t="array" ref="HR16">IF(_xlfn.TEXTJOIN(", ", TRUE, IF(ISNUMBER(SEARCH("GRE", BL16:BT16)), COLUMN(BL16:BT16) - COLUMN(BL16) + 1, ""))&lt;&gt;"","GRE","")</f>
        <v/>
      </c>
      <c r="HS16" s="48" t="str" cm="1">
        <f t="array" ref="HS16">IF(_xlfn.TEXTJOIN(", ", TRUE, IF(ISNUMBER(SEARCH("RED", BL16:BT16)), COLUMN(BL16:BT16) - COLUMN(BL16) + 1, ""))&lt;&gt;"","RED","")</f>
        <v/>
      </c>
      <c r="HT16" s="48" t="str" cm="1">
        <f t="array" ref="HT16">IF(_xlfn.TEXTJOIN(", ", TRUE, IF(ISNUMBER(SEARCH("YEL", BL16:BT16)), COLUMN(BL16:BT16) - COLUMN(BL16) + 1, ""))&lt;&gt;"","YEL","")</f>
        <v>YEL</v>
      </c>
      <c r="HU16" s="48" t="str" cm="1">
        <f t="array" ref="HU16">IF(_xlfn.TEXTJOIN(", ", TRUE, IF(ISNUMBER(SEARCH("ORA", BL16:BT16)), COLUMN(BL16:BT16) - COLUMN(BL16) + 1, ""))&lt;&gt;"","ORA","")</f>
        <v/>
      </c>
      <c r="HV16" s="48" t="str" cm="1">
        <f t="array" ref="HV16">IF(_xlfn.TEXTJOIN(", ", TRUE, IF(ISNUMBER(SEARCH("BRO", BL16:BT16)), COLUMN(BL16:BT16) - COLUMN(BL16) + 1, ""))&lt;&gt;"","BRO","")</f>
        <v/>
      </c>
      <c r="HW16" s="48" t="str" cm="1">
        <f t="array" ref="HW16">IF(_xlfn.TEXTJOIN(", ", TRUE, IF(ISNUMBER(SEARCH("PUR", BL16:BT16)), COLUMN(BL16:BT16) - COLUMN(BL16) + 1, ""))&lt;&gt;"","PUR","")</f>
        <v/>
      </c>
      <c r="HX16" s="48" t="str" cm="1">
        <f t="array" ref="HX16">IF(_xlfn.TEXTJOIN(", ", TRUE, IF(ISNUMBER(SEARCH("WHI", BL16:BT16)), COLUMN(BL16:BT16) - COLUMN(BL16) + 1, ""))&lt;&gt;"","WHI","")</f>
        <v/>
      </c>
      <c r="HY16" s="76"/>
      <c r="HZ16" s="76"/>
      <c r="IA16" s="6"/>
      <c r="IB16" s="6"/>
      <c r="IC16" s="77"/>
      <c r="ID16" s="77"/>
      <c r="IE16" s="77"/>
      <c r="IF16" s="77"/>
      <c r="IG16" s="77"/>
      <c r="IH16" s="77"/>
      <c r="II16" s="77"/>
      <c r="IJ16" s="77"/>
      <c r="IK16" s="77"/>
      <c r="IM16" s="45">
        <f t="shared" si="91"/>
        <v>-2</v>
      </c>
      <c r="IN16" s="78" t="str">
        <f t="shared" si="92"/>
        <v>http://mkweb.bcgsc.ca/color-summarizer/?url=https://upload.wikimedia.org/wikipedia/commons/thumb/0/0e/Bandera_de_la_Provincia_de_San_Luis.svg/320px-Bandera_de_la_Provincia_de_San_Luis.svg.png&amp;precision=low&amp;num_clusters=2&amp;text=1</v>
      </c>
      <c r="IO16" s="48" t="str">
        <f t="shared" si="93"/>
        <v>"black"</v>
      </c>
      <c r="IP16" s="48" t="str">
        <f t="shared" si="94"/>
        <v/>
      </c>
      <c r="IQ16" s="48" t="str">
        <f t="shared" si="95"/>
        <v/>
      </c>
      <c r="IR16" s="48" t="str">
        <f t="shared" si="96"/>
        <v/>
      </c>
      <c r="IS16" s="48" t="str">
        <f t="shared" si="97"/>
        <v>"yellow"</v>
      </c>
      <c r="IT16" s="48" t="str">
        <f t="shared" si="98"/>
        <v/>
      </c>
      <c r="IU16" s="48" t="str">
        <f t="shared" si="99"/>
        <v/>
      </c>
      <c r="IV16" s="48" t="str">
        <f t="shared" si="100"/>
        <v/>
      </c>
      <c r="IW16" s="48" t="str">
        <f t="shared" si="101"/>
        <v/>
      </c>
      <c r="IX16" s="48" t="str">
        <f t="shared" si="102"/>
        <v>{"url":"http://mkweb.bcgsc.ca/color-summarizer/?url=https://upload.wikimedia.org/wikipedia/commons/thumb/0/0e/Bandera_de_la_Provincia_de_San_Luis.svg/320px-Bandera_de_la_Provincia_de_San_Luis.svg.png&amp;precision=low&amp;num_clusters=2&amp;text=1","name":"[ARG] San Luis"},</v>
      </c>
      <c r="IY16" s="48">
        <v>1012</v>
      </c>
    </row>
    <row r="17" spans="1:259" s="48" customFormat="1" ht="38.4" customHeight="1" thickBot="1" x14ac:dyDescent="0.35">
      <c r="A17" s="79" t="s">
        <v>348</v>
      </c>
      <c r="B17" s="40" t="e" vm="16">
        <v>#VALUE!</v>
      </c>
      <c r="C17" s="41">
        <v>2</v>
      </c>
      <c r="D17" s="42" t="s">
        <v>349</v>
      </c>
      <c r="E17" s="43" t="s">
        <v>350</v>
      </c>
      <c r="F17" s="44" t="s">
        <v>166</v>
      </c>
      <c r="G17" s="45">
        <f>COUNTIF($A$1:$A$8299,A17)</f>
        <v>1</v>
      </c>
      <c r="H17" s="46"/>
      <c r="I17" s="47" t="s">
        <v>351</v>
      </c>
      <c r="J17" s="48" t="str">
        <f>""</f>
        <v/>
      </c>
      <c r="K17" s="49"/>
      <c r="L17" s="50"/>
      <c r="M17" s="50"/>
      <c r="N17" s="51" t="s">
        <v>169</v>
      </c>
      <c r="O17" s="52">
        <v>2000</v>
      </c>
      <c r="P17" s="53" t="s">
        <v>352</v>
      </c>
      <c r="Q17" s="54">
        <v>2</v>
      </c>
      <c r="R17" s="55" t="s">
        <v>169</v>
      </c>
      <c r="S17" s="56">
        <v>5</v>
      </c>
      <c r="T17" s="57" t="s">
        <v>172</v>
      </c>
      <c r="U17" s="58" t="s">
        <v>172</v>
      </c>
      <c r="V17" s="58" t="s">
        <v>173</v>
      </c>
      <c r="W17" s="58" t="s">
        <v>172</v>
      </c>
      <c r="X17" s="58" t="s">
        <v>172</v>
      </c>
      <c r="Y17" s="58" t="s">
        <v>172</v>
      </c>
      <c r="Z17" s="58" t="s">
        <v>172</v>
      </c>
      <c r="AA17" s="58" t="s">
        <v>172</v>
      </c>
      <c r="AB17" s="58" t="s">
        <v>172</v>
      </c>
      <c r="AC17" s="58" t="s">
        <v>172</v>
      </c>
      <c r="AD17" s="58" t="s">
        <v>173</v>
      </c>
      <c r="AE17" s="58" t="s">
        <v>172</v>
      </c>
      <c r="AF17" s="59" t="s">
        <v>172</v>
      </c>
      <c r="AG17" s="59" t="s">
        <v>172</v>
      </c>
      <c r="AH17" s="59" t="s">
        <v>173</v>
      </c>
      <c r="AI17" s="59" t="s">
        <v>172</v>
      </c>
      <c r="AJ17" s="59" t="s">
        <v>172</v>
      </c>
      <c r="AK17" s="59" t="s">
        <v>172</v>
      </c>
      <c r="AL17" s="59" t="s">
        <v>172</v>
      </c>
      <c r="AM17" s="59" t="s">
        <v>173</v>
      </c>
      <c r="AN17" s="59" t="s">
        <v>172</v>
      </c>
      <c r="AO17" s="59" t="s">
        <v>172</v>
      </c>
      <c r="AP17" s="59" t="s">
        <v>172</v>
      </c>
      <c r="AQ17" s="59" t="s">
        <v>172</v>
      </c>
      <c r="AR17" s="59" t="s">
        <v>172</v>
      </c>
      <c r="AS17" s="59" t="s">
        <v>172</v>
      </c>
      <c r="AT17" s="60">
        <v>4</v>
      </c>
      <c r="AU17" s="59" t="s">
        <v>277</v>
      </c>
      <c r="AV17" s="59" t="str">
        <f>IF(LEFT(A17,1)="[",LEFT(A17,5)&amp;AU17&amp;A17,"")</f>
        <v>[ARG]Province[ARG] Santa Cruz</v>
      </c>
      <c r="AW17" s="59" t="str">
        <f>C17&amp;IFERROR(SUBSTITUTE(A17, " [ANT]",""),"")</f>
        <v>2[ARG] Santa Cruz</v>
      </c>
      <c r="AX17" s="61"/>
      <c r="AY17" s="61"/>
      <c r="AZ17" s="62" t="s">
        <v>174</v>
      </c>
      <c r="BA17" s="62" t="s">
        <v>174</v>
      </c>
      <c r="BB17" s="62"/>
      <c r="BC17" s="63"/>
      <c r="BD17" s="64" t="s">
        <v>153</v>
      </c>
      <c r="BE17" s="47"/>
      <c r="BF17" s="64" t="s">
        <v>153</v>
      </c>
      <c r="BG17" s="64" t="s">
        <v>159</v>
      </c>
      <c r="BH17" s="64" t="s">
        <v>153</v>
      </c>
      <c r="BI17" s="64" t="s">
        <v>152</v>
      </c>
      <c r="BJ17" s="64" t="s">
        <v>156</v>
      </c>
      <c r="BK17" s="47"/>
      <c r="BL17" s="64" t="s">
        <v>174</v>
      </c>
      <c r="BM17" s="64" t="s">
        <v>152</v>
      </c>
      <c r="BN17" s="64" t="s">
        <v>153</v>
      </c>
      <c r="BO17" s="64" t="s">
        <v>174</v>
      </c>
      <c r="BP17" s="64" t="s">
        <v>174</v>
      </c>
      <c r="BQ17" s="64" t="s">
        <v>156</v>
      </c>
      <c r="BR17" s="64" t="s">
        <v>174</v>
      </c>
      <c r="BS17" s="64" t="s">
        <v>174</v>
      </c>
      <c r="BT17" s="64" t="s">
        <v>159</v>
      </c>
      <c r="BU17" s="65"/>
      <c r="BV17" s="66"/>
      <c r="BW17" s="66">
        <v>0</v>
      </c>
      <c r="BX17" s="47"/>
      <c r="BY17" s="48" t="s">
        <v>173</v>
      </c>
      <c r="CB17" s="6"/>
      <c r="CC17" s="6"/>
      <c r="CD17" s="67">
        <v>0</v>
      </c>
      <c r="CE17" s="67">
        <v>0</v>
      </c>
      <c r="CF17" s="67" t="e">
        <v>#REF!</v>
      </c>
      <c r="CG17" s="68" cm="1">
        <f t="array" ref="CG17">SUMPRODUCT(--(LEN(TRIM(BL17:BT17))&gt;0))</f>
        <v>4</v>
      </c>
      <c r="CH17" s="59" t="str">
        <f t="shared" si="6"/>
        <v>n</v>
      </c>
      <c r="CI17" s="59" t="str">
        <f t="shared" si="7"/>
        <v>n</v>
      </c>
      <c r="CJ17" s="59" t="str">
        <f t="shared" si="8"/>
        <v>y</v>
      </c>
      <c r="CK17" s="59" t="str">
        <f t="shared" si="9"/>
        <v>n</v>
      </c>
      <c r="CL17" s="59" t="str">
        <f t="shared" si="10"/>
        <v>n</v>
      </c>
      <c r="CM17" s="59" t="str">
        <f t="shared" si="11"/>
        <v>n</v>
      </c>
      <c r="CN17" s="59" t="str">
        <f t="shared" si="12"/>
        <v>n</v>
      </c>
      <c r="CO17" s="59" t="str">
        <f t="shared" si="13"/>
        <v>y</v>
      </c>
      <c r="CP17" s="59" t="str">
        <f t="shared" si="14"/>
        <v>n</v>
      </c>
      <c r="CQ17" s="59" t="str">
        <f t="shared" si="15"/>
        <v>n</v>
      </c>
      <c r="CR17" s="59" t="str">
        <f t="shared" si="16"/>
        <v>n</v>
      </c>
      <c r="CS17" s="59" t="str">
        <f t="shared" si="17"/>
        <v>y</v>
      </c>
      <c r="CT17" s="69" t="str">
        <f t="shared" si="18"/>
        <v>"[ARG] Santa Cruz"</v>
      </c>
      <c r="CU17" s="70" t="str">
        <f t="shared" si="19"/>
        <v>"rgn_South America"</v>
      </c>
      <c r="CV17" s="48" t="str">
        <f t="shared" si="20"/>
        <v>"https://upload.wikimedia.org/wikipedia/commons/thumb/4/45/Bandera_de_la_Provincia_de_Santa_Cruz.svg/320px-Bandera_de_la_Provincia_de_Santa_Cruz.svg.png"</v>
      </c>
      <c r="CW17" s="48" t="str">
        <f t="shared" si="0"/>
        <v/>
      </c>
      <c r="CX17" s="48" t="str">
        <f t="shared" si="0"/>
        <v/>
      </c>
      <c r="CY17" s="48" t="str">
        <f t="shared" si="0"/>
        <v>"4Color",</v>
      </c>
      <c r="CZ17" s="48" t="str">
        <f t="shared" si="0"/>
        <v/>
      </c>
      <c r="DA17" s="48" t="str">
        <f t="shared" si="21"/>
        <v>"words2",</v>
      </c>
      <c r="DB17" s="48" t="str">
        <f t="shared" si="22"/>
        <v/>
      </c>
      <c r="DD17" s="48" t="str">
        <f t="shared" si="104"/>
        <v>"lets09",</v>
      </c>
      <c r="DE17" s="48" t="str">
        <f t="shared" si="105"/>
        <v>"startS",</v>
      </c>
      <c r="DF17" s="48" t="str">
        <f t="shared" si="26"/>
        <v/>
      </c>
      <c r="DG17" s="48" t="str">
        <f t="shared" si="27"/>
        <v/>
      </c>
      <c r="DH17" s="48" t="str">
        <f t="shared" si="28"/>
        <v/>
      </c>
      <c r="DI17" s="48" t="str">
        <f t="shared" si="29"/>
        <v/>
      </c>
      <c r="DJ17" s="48" t="str">
        <f t="shared" si="30"/>
        <v/>
      </c>
      <c r="DK17" s="48" t="str">
        <f t="shared" si="31"/>
        <v>"with_z",</v>
      </c>
      <c r="DL17" s="48" t="str">
        <f t="shared" si="32"/>
        <v/>
      </c>
      <c r="DM17" s="48" t="str" cm="1">
        <f t="array" ref="DM17">IF(CG17=3,CHAR(34) &amp; _xlfn.TEXTJOIN("", TRUE, RIGHT(HP17:HX17, 2)) &amp; CHAR(34) &amp; ",", "")</f>
        <v/>
      </c>
      <c r="DN17" s="48" t="str">
        <f t="shared" si="33"/>
        <v/>
      </c>
      <c r="DO17" s="48" t="str">
        <f t="shared" si="34"/>
        <v/>
      </c>
      <c r="DP17" s="6" t="str">
        <f t="shared" si="35"/>
        <v>"year00",</v>
      </c>
      <c r="DQ17" s="6" t="str">
        <f t="shared" si="36"/>
        <v/>
      </c>
      <c r="DR17" s="6" t="str">
        <f t="shared" si="37"/>
        <v>"dgband",</v>
      </c>
      <c r="DS17" s="6" t="str">
        <f t="shared" si="38"/>
        <v/>
      </c>
      <c r="DT17" s="6" t="str">
        <f t="shared" si="39"/>
        <v/>
      </c>
      <c r="DU17" s="6" t="str">
        <f t="shared" si="40"/>
        <v/>
      </c>
      <c r="DW17" s="48" t="str">
        <f t="shared" si="1"/>
        <v/>
      </c>
      <c r="DX17" s="48" t="str">
        <f t="shared" si="1"/>
        <v/>
      </c>
      <c r="DY17" s="48" t="str">
        <f t="shared" si="1"/>
        <v/>
      </c>
      <c r="DZ17" s="48" t="str">
        <f t="shared" si="1"/>
        <v>"4+Band",</v>
      </c>
      <c r="EA17" s="48" t="str">
        <f t="shared" si="2"/>
        <v/>
      </c>
      <c r="EB17" s="48" t="str">
        <f t="shared" si="2"/>
        <v/>
      </c>
      <c r="EC17" s="48" t="str">
        <f t="shared" si="2"/>
        <v>"Horizo",</v>
      </c>
      <c r="ED17" s="48" t="str">
        <f t="shared" si="2"/>
        <v/>
      </c>
      <c r="EE17" s="48" t="str">
        <f t="shared" si="2"/>
        <v/>
      </c>
      <c r="EF17" s="48" t="str">
        <f t="shared" si="42"/>
        <v/>
      </c>
      <c r="EG17" s="48" t="str">
        <f t="shared" si="107"/>
        <v/>
      </c>
      <c r="EH17" s="48" t="str">
        <f t="shared" si="107"/>
        <v/>
      </c>
      <c r="EI17" s="48" t="str">
        <f t="shared" si="107"/>
        <v/>
      </c>
      <c r="EJ17" s="48" t="str">
        <f t="shared" si="107"/>
        <v/>
      </c>
      <c r="EK17" s="48" t="str">
        <f t="shared" si="107"/>
        <v>"HasSun",</v>
      </c>
      <c r="EL17" s="48" t="str">
        <f t="shared" si="107"/>
        <v/>
      </c>
      <c r="EM17" s="48" t="str">
        <f t="shared" si="107"/>
        <v/>
      </c>
      <c r="EN17" s="48" t="str">
        <f t="shared" si="107"/>
        <v/>
      </c>
      <c r="EO17" s="48" t="str">
        <f t="shared" si="107"/>
        <v>"Center",</v>
      </c>
      <c r="EP17" s="48" t="str">
        <f t="shared" si="107"/>
        <v/>
      </c>
      <c r="EQ17" s="48" t="str">
        <f t="shared" si="107"/>
        <v/>
      </c>
      <c r="ER17" s="48" t="str">
        <f t="shared" si="107"/>
        <v/>
      </c>
      <c r="ES17" s="48" t="str">
        <f t="shared" si="107"/>
        <v/>
      </c>
      <c r="ET17" s="48" t="str">
        <f t="shared" si="107"/>
        <v>"Geogrh",</v>
      </c>
      <c r="EU17" s="48" t="str">
        <f t="shared" si="107"/>
        <v/>
      </c>
      <c r="EV17" s="48" t="str">
        <f t="shared" si="106"/>
        <v/>
      </c>
      <c r="EW17" s="48" t="str">
        <f t="shared" si="106"/>
        <v/>
      </c>
      <c r="EX17" s="48" t="str">
        <f t="shared" si="106"/>
        <v/>
      </c>
      <c r="EY17" s="48" t="str">
        <f t="shared" si="106"/>
        <v/>
      </c>
      <c r="EZ17" s="48" t="str">
        <f t="shared" si="106"/>
        <v/>
      </c>
      <c r="FA17" s="48" t="str">
        <f t="shared" si="43"/>
        <v>"sta",</v>
      </c>
      <c r="FB17" s="48" t="str">
        <f t="shared" si="44"/>
        <v/>
      </c>
      <c r="FD17" s="48" t="str">
        <f t="shared" si="46"/>
        <v/>
      </c>
      <c r="FE17" s="48" t="str">
        <f t="shared" si="47"/>
        <v/>
      </c>
      <c r="FF17" s="48" t="str">
        <f t="shared" si="48"/>
        <v/>
      </c>
      <c r="FG17" s="48" t="str">
        <f t="shared" si="49"/>
        <v>"NO_RED",</v>
      </c>
      <c r="FH17" s="48" t="str">
        <f t="shared" si="50"/>
        <v/>
      </c>
      <c r="FI17" s="48" t="str">
        <f t="shared" si="51"/>
        <v>"NO_YEL",</v>
      </c>
      <c r="FJ17" s="48" t="str">
        <f t="shared" si="52"/>
        <v>"NO_BLA",</v>
      </c>
      <c r="FK17" s="48" t="str">
        <f t="shared" si="53"/>
        <v/>
      </c>
      <c r="FL17" s="48" t="str">
        <f t="shared" si="54"/>
        <v/>
      </c>
      <c r="FM17" s="48" t="str">
        <f t="shared" si="55"/>
        <v/>
      </c>
      <c r="FN17" s="48" t="str">
        <f t="shared" si="56"/>
        <v/>
      </c>
      <c r="FO17" s="48" t="str">
        <f t="shared" si="57"/>
        <v/>
      </c>
      <c r="FP17" s="48" t="str">
        <f t="shared" si="58"/>
        <v/>
      </c>
      <c r="FQ17" s="48" t="str">
        <f t="shared" si="59"/>
        <v>"001GRE",</v>
      </c>
      <c r="FR17" s="48" t="str">
        <f t="shared" si="60"/>
        <v>"002WHI",</v>
      </c>
      <c r="FS17" s="48" t="str">
        <f t="shared" si="61"/>
        <v>"003GRE",</v>
      </c>
      <c r="FT17" s="48" t="str">
        <f t="shared" si="62"/>
        <v>"myrGRE",</v>
      </c>
      <c r="FU17" s="48" t="str">
        <f t="shared" si="63"/>
        <v/>
      </c>
      <c r="FV17" s="48" t="str">
        <f t="shared" si="64"/>
        <v/>
      </c>
      <c r="FW17" s="48" t="str">
        <f t="shared" si="65"/>
        <v/>
      </c>
      <c r="FY17" s="48" t="str">
        <f t="shared" si="67"/>
        <v/>
      </c>
      <c r="FZ17" s="48" t="str">
        <f t="shared" si="68"/>
        <v/>
      </c>
      <c r="GA17" s="48" t="str">
        <f t="shared" si="69"/>
        <v/>
      </c>
      <c r="GB17" s="48" t="str">
        <f t="shared" si="70"/>
        <v/>
      </c>
      <c r="GE17" s="48" t="str">
        <f t="shared" si="73"/>
        <v/>
      </c>
      <c r="GF17" s="48" t="str">
        <f t="shared" si="103"/>
        <v/>
      </c>
      <c r="GG17" s="48" t="str">
        <f t="shared" si="74"/>
        <v/>
      </c>
      <c r="GH17" s="48" t="str">
        <f t="shared" si="75"/>
        <v/>
      </c>
      <c r="GI17" s="48" t="str">
        <f t="shared" si="76"/>
        <v/>
      </c>
      <c r="GJ17" s="48" t="str">
        <f t="shared" si="77"/>
        <v/>
      </c>
      <c r="GK17" s="48" t="str">
        <f t="shared" si="78"/>
        <v>"HasSta",</v>
      </c>
      <c r="GL17" s="48" t="str">
        <f t="shared" si="4"/>
        <v/>
      </c>
      <c r="GM17" s="48" t="str">
        <f t="shared" si="4"/>
        <v/>
      </c>
      <c r="GN17" s="48" t="str">
        <f t="shared" si="4"/>
        <v>"3+Star",</v>
      </c>
      <c r="GP17" s="48" t="str">
        <f t="shared" si="79"/>
        <v>"Province"</v>
      </c>
      <c r="GS17" s="48" t="str">
        <f t="shared" si="80"/>
        <v>["4Color","words2","lets09","startS","with_z","year00","dgband","4+Band","Horizo","HasSun","Center","Geogrh","sta","NO_RED","NO_YEL","NO_BLA","001GRE","002WHI","003GRE","myrGRE","HasSta","3+Star"]</v>
      </c>
      <c r="GT17" s="48" t="str">
        <f t="shared" si="5"/>
        <v/>
      </c>
      <c r="GU17" s="48" t="str">
        <f t="shared" si="5"/>
        <v>"cl_BLU",</v>
      </c>
      <c r="GV17" s="48" t="str">
        <f t="shared" si="5"/>
        <v>"cl_GRE",</v>
      </c>
      <c r="GW17" s="48" t="str">
        <f t="shared" si="5"/>
        <v/>
      </c>
      <c r="GX17" s="48" t="str">
        <f t="shared" si="5"/>
        <v/>
      </c>
      <c r="GY17" s="48" t="str">
        <f t="shared" si="5"/>
        <v>"cl_ORA",</v>
      </c>
      <c r="GZ17" s="48" t="str">
        <f t="shared" si="5"/>
        <v/>
      </c>
      <c r="HA17" s="48" t="str">
        <f t="shared" si="5"/>
        <v/>
      </c>
      <c r="HB17" s="48" t="str">
        <f t="shared" si="5"/>
        <v>"cl_WHI",</v>
      </c>
      <c r="HC17" s="48" t="str">
        <f t="shared" si="81"/>
        <v>["cl_BLU","cl_GRE","cl_ORA","cl_WHI"]</v>
      </c>
      <c r="HE17" s="71"/>
      <c r="HF17" s="72" t="str">
        <f t="shared" si="82"/>
        <v>{couname:"[ARG] Santa Cruz",year:"2000",region:"rgn_South America",Colors:["cl_BLU","cl_GRE","cl_ORA","cl_WHI"],Items:["4Color","words2","lets09","startS","with_z","year00","dgband","4+Band","Horizo","HasSun","Center","Geogrh","sta","NO_RED","NO_YEL","NO_BLA","001GRE","002WHI","003GRE","myrGRE","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links: "https://www.crwflags.com/fotw/flags/ar-z.html"},</v>
      </c>
      <c r="HG17" s="73" t="str">
        <f t="shared" si="83"/>
        <v>{couname:"[ARG] Santa Cruz",year:"2000",region:"rgn_South America",Colors:["cl_BLU","cl_GRE","cl_ORA","cl_WHI"],Items:["4Color","words2","lets09","startS","with_z","year00","dgband","4+Band","Horizo","HasSun","Center","Geogrh","sta","NO_RED","NO_YEL","NO_BLA","001GRE","002WHI","003GRE","myrGRE","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links: "https://www.crwflags.com/fotw/flags/ar-z.html"},</v>
      </c>
      <c r="HH17" s="48" t="str">
        <f t="shared" si="84"/>
        <v>"\nAccording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v>
      </c>
      <c r="HI17" s="48" t="str">
        <f t="shared" si="85"/>
        <v>"\nAccording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v>
      </c>
      <c r="HJ17" s="48" t="str">
        <f t="shared" si="86"/>
        <v>"2000"</v>
      </c>
      <c r="HL17" s="48" t="str">
        <f t="shared" si="87"/>
        <v>"https://www.crwflags.com/fotw/flags/ar-z.html"</v>
      </c>
      <c r="HM17" s="72" t="str">
        <f t="shared" si="88"/>
        <v>{"couname":"[ARG] Santa Cruz","year":"2000","region":"rgn_South America","Colors":["cl_BLU","cl_GRE","cl_ORA","cl_WHI"],"Items":["4Color","words2","lets09","startS","with_z","year00","dgband","4+Band","Horizo","HasSun","Center","Geogrh","sta","NO_RED","NO_YEL","NO_BLA","001GRE","002WHI","003GRE","myrGRE","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 "links": "https://www.crwflags.com/fotw/flags/ar-z.html"},</v>
      </c>
      <c r="HN17" s="74" t="str">
        <f t="shared" si="89"/>
        <v>{"couname":"[ARG] Santa Cruz","year":"2000","region":"rgn_South America","Colors":["cl_BLU","cl_GRE","cl_ORA","cl_WHI"],"Items":["4Color","words2","lets09","startS","with_z","year00","dgband","4+Band","Horizo","HasSun","Center","Geogrh","sta","NO_RED","NO_YEL","NO_BLA","001GRE","002WHI","003GRE","myrGRE","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 "links": "https://www.crwflags.com/fotw/flags/ar-z.html"},</v>
      </c>
      <c r="HO17" s="75">
        <v>45610</v>
      </c>
      <c r="HP17" s="48" t="str" cm="1">
        <f t="array" ref="HP17">IF(_xlfn.TEXTJOIN(", ", TRUE, IF(ISNUMBER(SEARCH("BLA", BL17:BT17)), COLUMN(BL17:BT17) - COLUMN(BL17) + 1, ""))&lt;&gt;"","BLA","")</f>
        <v/>
      </c>
      <c r="HQ17" s="48" t="str" cm="1">
        <f t="array" ref="HQ17">IF(_xlfn.TEXTJOIN(", ", TRUE, IF(ISNUMBER(SEARCH("BLU", BL17:BT17)), COLUMN(BL17:BT17) - COLUMN(BL17) + 1, ""))&lt;&gt;"","BLU","")</f>
        <v>BLU</v>
      </c>
      <c r="HR17" s="48" t="str" cm="1">
        <f t="array" ref="HR17">IF(_xlfn.TEXTJOIN(", ", TRUE, IF(ISNUMBER(SEARCH("GRE", BL17:BT17)), COLUMN(BL17:BT17) - COLUMN(BL17) + 1, ""))&lt;&gt;"","GRE","")</f>
        <v>GRE</v>
      </c>
      <c r="HS17" s="48" t="str" cm="1">
        <f t="array" ref="HS17">IF(_xlfn.TEXTJOIN(", ", TRUE, IF(ISNUMBER(SEARCH("RED", BL17:BT17)), COLUMN(BL17:BT17) - COLUMN(BL17) + 1, ""))&lt;&gt;"","RED","")</f>
        <v/>
      </c>
      <c r="HT17" s="48" t="str" cm="1">
        <f t="array" ref="HT17">IF(_xlfn.TEXTJOIN(", ", TRUE, IF(ISNUMBER(SEARCH("YEL", BL17:BT17)), COLUMN(BL17:BT17) - COLUMN(BL17) + 1, ""))&lt;&gt;"","YEL","")</f>
        <v/>
      </c>
      <c r="HU17" s="48" t="str" cm="1">
        <f t="array" ref="HU17">IF(_xlfn.TEXTJOIN(", ", TRUE, IF(ISNUMBER(SEARCH("ORA", BL17:BT17)), COLUMN(BL17:BT17) - COLUMN(BL17) + 1, ""))&lt;&gt;"","ORA","")</f>
        <v>ORA</v>
      </c>
      <c r="HV17" s="48" t="str" cm="1">
        <f t="array" ref="HV17">IF(_xlfn.TEXTJOIN(", ", TRUE, IF(ISNUMBER(SEARCH("BRO", BL17:BT17)), COLUMN(BL17:BT17) - COLUMN(BL17) + 1, ""))&lt;&gt;"","BRO","")</f>
        <v/>
      </c>
      <c r="HW17" s="48" t="str" cm="1">
        <f t="array" ref="HW17">IF(_xlfn.TEXTJOIN(", ", TRUE, IF(ISNUMBER(SEARCH("PUR", BL17:BT17)), COLUMN(BL17:BT17) - COLUMN(BL17) + 1, ""))&lt;&gt;"","PUR","")</f>
        <v/>
      </c>
      <c r="HX17" s="48" t="str" cm="1">
        <f t="array" ref="HX17">IF(_xlfn.TEXTJOIN(", ", TRUE, IF(ISNUMBER(SEARCH("WHI", BL17:BT17)), COLUMN(BL17:BT17) - COLUMN(BL17) + 1, ""))&lt;&gt;"","WHI","")</f>
        <v>WHI</v>
      </c>
      <c r="HY17" s="76"/>
      <c r="HZ17" s="76"/>
      <c r="IA17" s="6"/>
      <c r="IB17" s="6"/>
      <c r="IC17" s="77"/>
      <c r="ID17" s="77"/>
      <c r="IE17" s="77"/>
      <c r="IF17" s="77"/>
      <c r="IG17" s="77"/>
      <c r="IH17" s="77"/>
      <c r="II17" s="77"/>
      <c r="IJ17" s="77"/>
      <c r="IK17" s="77"/>
      <c r="IM17" s="45">
        <f t="shared" si="91"/>
        <v>-4</v>
      </c>
      <c r="IN17" s="78" t="str">
        <f t="shared" si="92"/>
        <v>http://mkweb.bcgsc.ca/color-summarizer/?url=https://upload.wikimedia.org/wikipedia/commons/thumb/4/45/Bandera_de_la_Provincia_de_Santa_Cruz.svg/320px-Bandera_de_la_Provincia_de_Santa_Cruz.svg.png&amp;precision=low&amp;num_clusters=4&amp;text=1</v>
      </c>
      <c r="IO17" s="48" t="str">
        <f t="shared" si="93"/>
        <v/>
      </c>
      <c r="IP17" s="48" t="str">
        <f t="shared" si="94"/>
        <v>"blue"</v>
      </c>
      <c r="IQ17" s="48" t="str">
        <f t="shared" si="95"/>
        <v>"green"</v>
      </c>
      <c r="IR17" s="48" t="str">
        <f t="shared" si="96"/>
        <v/>
      </c>
      <c r="IS17" s="48" t="str">
        <f t="shared" si="97"/>
        <v/>
      </c>
      <c r="IT17" s="48" t="str">
        <f t="shared" si="98"/>
        <v>"orange"</v>
      </c>
      <c r="IU17" s="48" t="str">
        <f t="shared" si="99"/>
        <v/>
      </c>
      <c r="IV17" s="48" t="str">
        <f t="shared" si="100"/>
        <v/>
      </c>
      <c r="IW17" s="48" t="str">
        <f t="shared" si="101"/>
        <v>"white"</v>
      </c>
      <c r="IX17" s="48" t="str">
        <f t="shared" si="102"/>
        <v>{"url":"http://mkweb.bcgsc.ca/color-summarizer/?url=https://upload.wikimedia.org/wikipedia/commons/thumb/4/45/Bandera_de_la_Provincia_de_Santa_Cruz.svg/320px-Bandera_de_la_Provincia_de_Santa_Cruz.svg.png&amp;precision=low&amp;num_clusters=4&amp;text=1","name":"[ARG] Santa Cruz"},</v>
      </c>
      <c r="IY17" s="48">
        <v>1345</v>
      </c>
    </row>
    <row r="18" spans="1:259" s="48" customFormat="1" ht="38.4" customHeight="1" thickBot="1" x14ac:dyDescent="0.35">
      <c r="A18" s="79" t="s">
        <v>353</v>
      </c>
      <c r="B18" s="40" t="e" vm="17">
        <v>#VALUE!</v>
      </c>
      <c r="C18" s="41">
        <v>2</v>
      </c>
      <c r="D18" s="42" t="s">
        <v>354</v>
      </c>
      <c r="E18" s="43" t="s">
        <v>355</v>
      </c>
      <c r="F18" s="44" t="s">
        <v>166</v>
      </c>
      <c r="G18" s="45">
        <f>COUNTIF($A$1:$A$8299,A18)</f>
        <v>1</v>
      </c>
      <c r="H18" s="46"/>
      <c r="I18" s="47" t="s">
        <v>356</v>
      </c>
      <c r="J18" s="48" t="str">
        <f>""</f>
        <v/>
      </c>
      <c r="K18" s="49"/>
      <c r="L18" s="50"/>
      <c r="M18" s="50"/>
      <c r="N18" s="51" t="s">
        <v>169</v>
      </c>
      <c r="O18" s="52" t="s">
        <v>357</v>
      </c>
      <c r="P18" s="53" t="s">
        <v>358</v>
      </c>
      <c r="Q18" s="54">
        <v>2</v>
      </c>
      <c r="R18" s="55" t="s">
        <v>169</v>
      </c>
      <c r="S18" s="56">
        <v>3</v>
      </c>
      <c r="T18" s="57" t="s">
        <v>172</v>
      </c>
      <c r="U18" s="58" t="s">
        <v>172</v>
      </c>
      <c r="V18" s="58" t="s">
        <v>172</v>
      </c>
      <c r="W18" s="58" t="s">
        <v>173</v>
      </c>
      <c r="X18" s="58" t="s">
        <v>172</v>
      </c>
      <c r="Y18" s="58" t="s">
        <v>172</v>
      </c>
      <c r="Z18" s="58" t="s">
        <v>172</v>
      </c>
      <c r="AA18" s="58" t="s">
        <v>172</v>
      </c>
      <c r="AB18" s="58" t="s">
        <v>173</v>
      </c>
      <c r="AC18" s="58" t="s">
        <v>173</v>
      </c>
      <c r="AD18" s="58" t="s">
        <v>173</v>
      </c>
      <c r="AE18" s="58" t="s">
        <v>172</v>
      </c>
      <c r="AF18" s="59" t="s">
        <v>172</v>
      </c>
      <c r="AG18" s="59" t="s">
        <v>173</v>
      </c>
      <c r="AH18" s="59" t="s">
        <v>173</v>
      </c>
      <c r="AI18" s="59" t="s">
        <v>172</v>
      </c>
      <c r="AJ18" s="59" t="s">
        <v>172</v>
      </c>
      <c r="AK18" s="59" t="s">
        <v>172</v>
      </c>
      <c r="AL18" s="59" t="s">
        <v>172</v>
      </c>
      <c r="AM18" s="59" t="s">
        <v>172</v>
      </c>
      <c r="AN18" s="59" t="s">
        <v>172</v>
      </c>
      <c r="AO18" s="59" t="s">
        <v>172</v>
      </c>
      <c r="AP18" s="59" t="s">
        <v>172</v>
      </c>
      <c r="AQ18" s="59" t="s">
        <v>172</v>
      </c>
      <c r="AR18" s="59" t="s">
        <v>172</v>
      </c>
      <c r="AS18" s="59" t="s">
        <v>172</v>
      </c>
      <c r="AT18" s="60">
        <v>0</v>
      </c>
      <c r="AU18" s="59" t="s">
        <v>277</v>
      </c>
      <c r="AV18" s="59" t="str">
        <f>IF(LEFT(A18,1)="[",LEFT(A18,5)&amp;AU18&amp;A18,"")</f>
        <v>[ARG]Province[ARG] Santa Fe</v>
      </c>
      <c r="AW18" s="59" t="str">
        <f>C18&amp;IFERROR(SUBSTITUTE(A18, " [ANT]",""),"")</f>
        <v>2[ARG] Santa Fe</v>
      </c>
      <c r="AX18" s="61"/>
      <c r="AY18" s="61" t="s">
        <v>173</v>
      </c>
      <c r="AZ18" s="62" t="s">
        <v>159</v>
      </c>
      <c r="BA18" s="62" t="s">
        <v>151</v>
      </c>
      <c r="BB18" s="62"/>
      <c r="BC18" s="63"/>
      <c r="BD18" s="64" t="s">
        <v>152</v>
      </c>
      <c r="BE18" s="47"/>
      <c r="BF18" s="64"/>
      <c r="BG18" s="64"/>
      <c r="BH18" s="64"/>
      <c r="BI18" s="64"/>
      <c r="BJ18" s="64"/>
      <c r="BK18" s="47"/>
      <c r="BL18" s="64" t="s">
        <v>154</v>
      </c>
      <c r="BM18" s="64" t="s">
        <v>159</v>
      </c>
      <c r="BN18" s="64" t="s">
        <v>152</v>
      </c>
      <c r="BO18" s="64" t="s">
        <v>153</v>
      </c>
      <c r="BP18" s="64" t="s">
        <v>157</v>
      </c>
      <c r="BQ18" s="64" t="s">
        <v>158</v>
      </c>
      <c r="BR18" s="64" t="s">
        <v>155</v>
      </c>
      <c r="BS18" s="64" t="s">
        <v>151</v>
      </c>
      <c r="BT18" s="64" t="s">
        <v>359</v>
      </c>
      <c r="BU18" s="65"/>
      <c r="BV18" s="66" t="s">
        <v>278</v>
      </c>
      <c r="BW18" s="66" t="s">
        <v>270</v>
      </c>
      <c r="BX18" s="47"/>
      <c r="CB18" s="6" t="s">
        <v>360</v>
      </c>
      <c r="CC18" s="6"/>
      <c r="CD18" s="67">
        <v>0</v>
      </c>
      <c r="CE18" s="67">
        <v>0</v>
      </c>
      <c r="CF18" s="67" t="e">
        <v>#REF!</v>
      </c>
      <c r="CG18" s="68" cm="1">
        <f t="array" ref="CG18">SUMPRODUCT(--(LEN(TRIM(BL18:BT18))&gt;0))</f>
        <v>9</v>
      </c>
      <c r="CH18" s="59" t="str">
        <f>IF(CG18=2,"y","n")</f>
        <v>n</v>
      </c>
      <c r="CI18" s="59" t="str">
        <f>IF(CG18=3,"y","n")</f>
        <v>n</v>
      </c>
      <c r="CJ18" s="59" t="str">
        <f>IF(CG18=4,"y","n")</f>
        <v>n</v>
      </c>
      <c r="CK18" s="59" t="str">
        <f>IF(CG18&gt;4,"y","n")</f>
        <v>y</v>
      </c>
      <c r="CL18" s="59" t="str">
        <f>IF(S18=0,"y","n")</f>
        <v>n</v>
      </c>
      <c r="CM18" s="59" t="str">
        <f>IF(S18=2,"y","n")</f>
        <v>n</v>
      </c>
      <c r="CN18" s="59" t="str">
        <f>IF(S18=3,"y","n")</f>
        <v>y</v>
      </c>
      <c r="CO18" s="59" t="str">
        <f>IF(S18&gt;=4,"y","n")</f>
        <v>n</v>
      </c>
      <c r="CP18" s="59" t="str">
        <f>IF(AT18=0,"y","n")</f>
        <v>y</v>
      </c>
      <c r="CQ18" s="59" t="str">
        <f>IF(AT18=1,"y","n")</f>
        <v>n</v>
      </c>
      <c r="CR18" s="59" t="str">
        <f>IF(AT18=2,"y","n")</f>
        <v>n</v>
      </c>
      <c r="CS18" s="59" t="str">
        <f>IF(AT18&gt;=3,"y","n")</f>
        <v>n</v>
      </c>
      <c r="CT18" s="69" t="str">
        <f>CHAR(34)&amp;A18&amp;CHAR(34)</f>
        <v>"[ARG] Santa Fe"</v>
      </c>
      <c r="CU18" s="70" t="str">
        <f>CHAR(34)&amp;"rgn_"&amp;R18&amp;CHAR(34)</f>
        <v>"rgn_South America"</v>
      </c>
      <c r="CV18" s="48" t="str">
        <f>CHAR(34)&amp;D18&amp;CHAR(34)</f>
        <v>"https://upload.wikimedia.org/wikipedia/commons/thumb/8/84/Bandera_de_la_Provincia_de_Santa_Fe.svg/320px-Bandera_de_la_Provincia_de_Santa_Fe.svg.png"</v>
      </c>
      <c r="CW18" s="48" t="str">
        <f t="shared" ref="CW18:CZ22" si="108">IF(CH18="y",CHAR(34)&amp;CH$1&amp;CHAR(34)&amp;",","")</f>
        <v/>
      </c>
      <c r="CX18" s="48" t="str">
        <f t="shared" si="108"/>
        <v/>
      </c>
      <c r="CY18" s="48" t="str">
        <f t="shared" si="108"/>
        <v/>
      </c>
      <c r="CZ18" s="48" t="str">
        <f t="shared" si="108"/>
        <v>"5+Colo",</v>
      </c>
      <c r="DA18" s="48" t="str">
        <f>IF(Q18&gt;1,CHAR(34)&amp;"words2"&amp;CHAR(34)&amp;",","")</f>
        <v>"words2",</v>
      </c>
      <c r="DB18" s="48" t="str">
        <f>IF(Q18&gt;2,CHAR(34)&amp;"words3"&amp;CHAR(34)&amp;",","")</f>
        <v/>
      </c>
      <c r="DC18" s="48" t="str">
        <f>IF(Q18=2,CHAR(34)&amp;"exact2"&amp;CHAR(34)&amp;",","")</f>
        <v>"exact2",</v>
      </c>
      <c r="DD18" s="48" t="str">
        <f>IF(LEN(CHAR(34)&amp;"lets"&amp;LEN(SUBSTITUTE(SUBSTITUTE(IFERROR(TRIM(SUBSTITUTE(SUBSTITUTE(SUBSTITUTE(IFERROR(TRIM(SUBSTITUTE(A18,MID(A18,FIND("(",A18),FIND(")",A18)-FIND("(",A18)+1),"")),A18),"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",""),"-",""))&amp;CHAR(34)&amp;",")=9,CHAR(34)&amp;"lets"&amp;LEN(SUBSTITUTE(SUBSTITUTE(IFERROR(TRIM(SUBSTITUTE(SUBSTITUTE(SUBSTITUTE(IFERROR(TRIM(SUBSTITUTE(A18,MID(A18,FIND("(",A18),FIND(")",A18)-FIND("(",A18)+1),"")),A18),"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",""),"-",""))&amp;CHAR(34)&amp;",",CHAR(34)&amp;"lets0"&amp;LEN(SUBSTITUTE(SUBSTITUTE(IFERROR(TRIM(SUBSTITUTE(SUBSTITUTE(SUBSTITUTE(IFERROR(TRIM(SUBSTITUTE(A18,MID(A18,FIND("(",A18),FIND(")",A18)-FIND("(",A18)+1),"")),A18),"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f>
        <v>"lets07",</v>
      </c>
      <c r="DE18" s="48" t="str">
        <f>IFERROR(CHAR(34)&amp;"start"&amp;LEFT(TRIM(SUBSTITUTE(SUBSTITUTE(TRIM(SUBSTITUTE(SUBSTITUTE(A18, MID(A18, FIND("[", A18), FIND("]", A18) - FIND("[", A18) + 1), ""), "  ", " ")), MID(TRIM(SUBSTITUTE(SUBSTITUTE(A18, MID(A18, FIND("[", A18), FIND("]", A18) - FIND("[", A18) + 1), ""), "  ", " ")), FIND("[", TRIM(SUBSTITUTE(SUBSTITUTE(A18, MID(A18, FIND("[", A18), FIND("]", A18) - FIND("[", A18) + 1), ""), "  ", " "))), FIND("]", TRIM(SUBSTITUTE(SUBSTITUTE(A18, MID(A18, FIND("[", A18), FIND("]", A18) - FIND("[", A18) + 1), ""), "  ", " "))) - FIND("[", TRIM(SUBSTITUTE(SUBSTITUTE(A18, MID(A18, FIND("[", A18), FIND("]", A18) - FIND("[", A18) + 1), ""), "  ", " "))) + 1), ""), "  ", " ")),1)&amp;CHAR(34)&amp;",",CHAR(34)&amp;"start"&amp;IFERROR(LEFT(SUBSTITUTE(A18,"["&amp;MID(A18,FIND("[",A18)+1,FIND("]",A18)-FIND("[",A18)-1)&amp;"] ",""),1),LEFT(A18,1))&amp;CHAR(34)&amp;",")</f>
        <v>"startS",</v>
      </c>
      <c r="DF18" s="48" t="str">
        <f>IFERROR(IF(SEARCH("tan",A18)&gt;0,CHAR(34)&amp;"withtn"&amp;CHAR(34)&amp;",",""),"")</f>
        <v/>
      </c>
      <c r="DG18" s="48" t="str">
        <f>IFERROR(IF(SEARCH("q",A18)&gt;0,CHAR(34)&amp;"with_q"&amp;CHAR(34)&amp;",",""),"")</f>
        <v/>
      </c>
      <c r="DH18" s="48" t="str">
        <f>IFERROR(IF(SEARCH("v",A18)&gt;0,CHAR(34)&amp;"with_v"&amp;CHAR(34)&amp;",",""),"")</f>
        <v/>
      </c>
      <c r="DI18" s="48" t="str">
        <f>IFERROR(IF(SEARCH("w",A18)&gt;0,CHAR(34)&amp;"with_w"&amp;CHAR(34)&amp;",",""),"")</f>
        <v/>
      </c>
      <c r="DJ18" s="48" t="str">
        <f>IFERROR(IF(SEARCH("y",A18)&gt;0,CHAR(34)&amp;"with_y"&amp;CHAR(34)&amp;",",""),"")</f>
        <v/>
      </c>
      <c r="DK18" s="48" t="str">
        <f>IFERROR(IF(SEARCH("z",A18)&gt;0,CHAR(34)&amp;"with_z"&amp;CHAR(34)&amp;",",""),"")</f>
        <v/>
      </c>
      <c r="DL18" s="48" t="str">
        <f>IF(CG18=2, CHAR(34) &amp; _xlfn.TEXTJOIN("", TRUE, _xlfn._xlws.SORT(HP18:HX18)) &amp; CHAR(34) &amp; ",", "")</f>
        <v/>
      </c>
      <c r="DM18" s="48" t="str" cm="1">
        <f t="array" ref="DM18">IF(CG18=3,CHAR(34) &amp; _xlfn.TEXTJOIN("", TRUE, RIGHT(HP18:HX18, 2)) &amp; CHAR(34) &amp; ",", "")</f>
        <v/>
      </c>
      <c r="DN18" s="48" t="str">
        <f>IF(AND(ISNUMBER(SEARCH("18", O18)), ISERROR(SEARCH("1918", O18)), ISERROR(SEARCH("2018", O18))), CHAR(34) &amp; "year18" &amp; CHAR(34) &amp; ",", "")</f>
        <v>"year18",</v>
      </c>
      <c r="DO18" s="48" t="str">
        <f>IF(AND(ISNUMBER(SEARCH("19", O18)), ISERROR(SEARCH("1819", O18)),  ISERROR(SEARCH("1219", O18)),ISERROR(SEARCH("1119", O18)),ISERROR(SEARCH("1190", O18)),ISERROR(SEARCH("2019", O18))), CHAR(34) &amp; "year19" &amp; CHAR(34) &amp; ",", "")</f>
        <v>"year19",</v>
      </c>
      <c r="DP18" s="6" t="str">
        <f>IF(AND(ISNUMBER(SEARCH("20", O18)), ISERROR(SEARCH("1920", O18))), CHAR(34)&amp;"year00"&amp;CHAR(34)&amp;",", "")</f>
        <v/>
      </c>
      <c r="DQ18" s="6" t="str">
        <f>IF(CC18="y",CHAR(34)&amp;"soviet"&amp;CHAR(34)&amp;",","")</f>
        <v/>
      </c>
      <c r="DR18" s="6" t="str">
        <f>IF(BY18="y",CHAR(34)&amp;"dgband"&amp;CHAR(34)&amp;",","")</f>
        <v/>
      </c>
      <c r="DS18" s="6" t="str">
        <f>IF(W18="y",IF(AND(V18="n",BY18&lt;&gt;"y"),CHAR(34)&amp;"allver"&amp;CHAR(34)&amp;",",""),"")</f>
        <v>"allver",</v>
      </c>
      <c r="DT18" s="6" t="str">
        <f>IF(V18="y",IF(AND(W18="n",BY18&lt;&gt;"y"),CHAR(34)&amp;"allhor"&amp;CHAR(34)&amp;",",""),"")</f>
        <v/>
      </c>
      <c r="DU18" s="6" t="str">
        <f>IF(BY18="y",IF(AND(W18="n",V18="n"),CHAR(34)&amp;"alldia"&amp;CHAR(34)&amp;",",""),"")</f>
        <v/>
      </c>
      <c r="DV18" s="48" t="str">
        <f>IF(IA18&lt;&gt;"",(IF(IA18="y",CHAR(34)&amp;"largec"&amp;CHAR(34)&amp;",",CHAR(34)&amp;"smallc"&amp;CHAR(34)&amp;",")),"")</f>
        <v/>
      </c>
      <c r="DW18" s="48" t="str">
        <f t="shared" ref="DW18:DZ22" si="109">IF(CL18="y",CHAR(34)&amp;CL$1&amp;CHAR(34)&amp;",","")</f>
        <v/>
      </c>
      <c r="DX18" s="48" t="str">
        <f t="shared" si="109"/>
        <v/>
      </c>
      <c r="DY18" s="48" t="str">
        <f t="shared" si="109"/>
        <v>"3Bands",</v>
      </c>
      <c r="DZ18" s="48" t="str">
        <f t="shared" si="109"/>
        <v/>
      </c>
      <c r="EA18" s="48" t="str">
        <f t="shared" ref="EA18:EE22" si="110">IF(T18="y",CHAR(34)&amp;T$1&amp;CHAR(34)&amp;",","")</f>
        <v/>
      </c>
      <c r="EB18" s="48" t="str">
        <f t="shared" si="110"/>
        <v/>
      </c>
      <c r="EC18" s="48" t="str">
        <f t="shared" si="110"/>
        <v/>
      </c>
      <c r="ED18" s="48" t="str">
        <f t="shared" si="110"/>
        <v>"Vertic",</v>
      </c>
      <c r="EE18" s="48" t="str">
        <f t="shared" si="110"/>
        <v/>
      </c>
      <c r="EF18" s="48" t="str">
        <f>IF(AND(Y18&lt;&gt;"n",Y18&lt;&gt;""),CHAR(34)&amp;Y$1&amp;CHAR(34)&amp;",","")</f>
        <v/>
      </c>
      <c r="EG18" s="48" t="str">
        <f t="shared" si="107"/>
        <v/>
      </c>
      <c r="EH18" s="48" t="str">
        <f t="shared" si="107"/>
        <v/>
      </c>
      <c r="EI18" s="48" t="str">
        <f t="shared" si="107"/>
        <v>"Texted",</v>
      </c>
      <c r="EJ18" s="48" t="str">
        <f t="shared" si="107"/>
        <v>"Weapon",</v>
      </c>
      <c r="EK18" s="48" t="str">
        <f t="shared" si="107"/>
        <v>"HasSun",</v>
      </c>
      <c r="EL18" s="48" t="str">
        <f t="shared" si="107"/>
        <v/>
      </c>
      <c r="EM18" s="48" t="str">
        <f t="shared" si="107"/>
        <v/>
      </c>
      <c r="EN18" s="48" t="str">
        <f t="shared" si="107"/>
        <v>"Unequa",</v>
      </c>
      <c r="EO18" s="48" t="str">
        <f t="shared" si="107"/>
        <v>"Center",</v>
      </c>
      <c r="EP18" s="48" t="str">
        <f t="shared" si="107"/>
        <v/>
      </c>
      <c r="EQ18" s="48" t="str">
        <f t="shared" si="107"/>
        <v/>
      </c>
      <c r="ER18" s="48" t="str">
        <f t="shared" si="107"/>
        <v/>
      </c>
      <c r="ES18" s="48" t="str">
        <f t="shared" si="107"/>
        <v/>
      </c>
      <c r="ET18" s="48" t="str">
        <f t="shared" si="107"/>
        <v/>
      </c>
      <c r="EU18" s="48" t="str">
        <f t="shared" si="107"/>
        <v/>
      </c>
      <c r="EV18" s="48" t="str">
        <f t="shared" si="107"/>
        <v/>
      </c>
      <c r="EW18" s="48" t="str">
        <f t="shared" si="106"/>
        <v/>
      </c>
      <c r="EX18" s="48" t="str">
        <f t="shared" si="106"/>
        <v/>
      </c>
      <c r="EY18" s="48" t="str">
        <f t="shared" si="106"/>
        <v/>
      </c>
      <c r="EZ18" s="48" t="str">
        <f t="shared" si="106"/>
        <v/>
      </c>
      <c r="FA18" s="48" t="str">
        <f>IF(AT18&gt;0,CHAR(34)&amp;"sta"&amp;AZ18&amp;CHAR(34)&amp;",","")</f>
        <v/>
      </c>
      <c r="FB18" s="48" t="str">
        <f>IF(AND(AT18&gt;0,BA18&lt;&gt;""),CHAR(34)&amp;"sta"&amp;BA18&amp;CHAR(34)&amp;",","")</f>
        <v/>
      </c>
      <c r="FC18" s="48" t="str">
        <f>IF(AND(AT18&gt;0,BB18&lt;&gt;""),CHAR(34)&amp;"sta"&amp;BB18&amp;CHAR(34)&amp;",","")</f>
        <v/>
      </c>
      <c r="FD18" s="48" t="str">
        <f>IF(BV18="n",CHAR(34)&amp;"tcWHYE"&amp;CHAR(34)&amp;",",IF(BV18="y",CHAR(34)&amp;FD$1&amp;CHAR(34)&amp;",",""))</f>
        <v/>
      </c>
      <c r="FE18" s="48" t="str">
        <f>IF(COUNTIF(BL18:BT18,"BLU")=0,CHAR(34)&amp;"NO_BLU"&amp;CHAR(34)&amp;",", "")</f>
        <v/>
      </c>
      <c r="FF18" s="48" t="str">
        <f>IF(COUNTIF(BL18:BT18,"WHI")=0,CHAR(34)&amp;"NO_WHI"&amp;CHAR(34)&amp;",", "")</f>
        <v/>
      </c>
      <c r="FG18" s="48" t="str">
        <f>IF(COUNTIF(BL18:BT18,"RED")=0,CHAR(34)&amp;"NO_RED"&amp;CHAR(34)&amp;",", "")</f>
        <v/>
      </c>
      <c r="FH18" s="48" t="str">
        <f>IF(COUNTIF(BL18:BS18,"GRE")=0,CHAR(34)&amp;"NO_GRE"&amp;CHAR(34)&amp;",", "")</f>
        <v/>
      </c>
      <c r="FI18" s="48" t="str">
        <f>IF(COUNTIF(BL18:BT18,"YEL")=0,CHAR(34)&amp;"NO_YEL"&amp;CHAR(34)&amp;",", "")</f>
        <v/>
      </c>
      <c r="FJ18" s="48" t="str">
        <f>IF(COUNTIF(BL18:BT18,"BLA")=0,CHAR(34)&amp;"NO_BLA"&amp;CHAR(34)&amp;",", "")</f>
        <v/>
      </c>
      <c r="FK18" s="48" t="str">
        <f>IF(AND(FH18&lt;&gt;"",FF18&lt;&gt;""),CHAR(34)&amp;"WHGRNO"&amp;CHAR(34)&amp;",","")</f>
        <v/>
      </c>
      <c r="FL18" s="48" t="str">
        <f>IF(AND(FI18&lt;&gt;"",FF18&lt;&gt;""),CHAR(34)&amp;"WHYENO"&amp;CHAR(34)&amp;",","")</f>
        <v/>
      </c>
      <c r="FM18" s="48" t="str">
        <f>IF(AND(FJ18&lt;&gt;"",FF18&lt;&gt;""),CHAR(34)&amp;"BAWHNO"&amp;CHAR(34)&amp;",","")</f>
        <v/>
      </c>
      <c r="FN18" s="48" t="str">
        <f>IF(AND(FE18&lt;&gt;"",FF18&lt;&gt;""),CHAR(34)&amp;"BLWHNO"&amp;CHAR(34)&amp;",","")</f>
        <v/>
      </c>
      <c r="FO18" s="48" t="str">
        <f>IF(AND(FE18&lt;&gt;"",FG18&lt;&gt;""),CHAR(34)&amp;"BLRENO"&amp;CHAR(34)&amp;",","")</f>
        <v/>
      </c>
      <c r="FP18" s="48" t="str">
        <f>IF(AND(FF18&lt;&gt;"",FF18&lt;&gt;""),CHAR(34)&amp;"WHRENO"&amp;CHAR(34)&amp;",","")</f>
        <v/>
      </c>
      <c r="FQ18" s="48" t="str">
        <f>IF(LEN(BF18)=3,CHAR(34)&amp;"001"&amp;BF18&amp;CHAR(34)&amp;",","")</f>
        <v/>
      </c>
      <c r="FR18" s="48" t="str">
        <f>IF(LEN(BG18)=3,CHAR(34)&amp;"002"&amp;BG18&amp;CHAR(34)&amp;",","")</f>
        <v/>
      </c>
      <c r="FS18" s="48" t="str">
        <f>IF(LEN(BH18)=3,CHAR(34)&amp;"003"&amp;BH18&amp;CHAR(34)&amp;",","")</f>
        <v/>
      </c>
      <c r="FT18" s="48" t="str">
        <f>CHAR(34)&amp;"myr"&amp;BD18&amp;CHAR(34)&amp;","</f>
        <v>"myrBLU",</v>
      </c>
      <c r="FU18" s="48" t="str">
        <f>IF(AY18="y",CHAR(34)&amp;"island"&amp;CHAR(34)&amp;",","")</f>
        <v>"island",</v>
      </c>
      <c r="FV18" s="48" t="str">
        <f>IF(BZ18="y",CHAR(34)&amp;"landlo"&amp;CHAR(34)&amp;",","")</f>
        <v/>
      </c>
      <c r="FW18" s="48" t="str">
        <f>IF(CA18="y",CHAR(34)&amp;"eunion"&amp;CHAR(34)&amp;",","")</f>
        <v/>
      </c>
      <c r="FX18" s="48" t="str">
        <f>SUBSTITUTE(IFERROR(SEARCH("[",A18),IFERROR(IF(AND(CA18&lt;&gt;"y",SEARCH("Europe",R18)&gt;0),CHAR(34)&amp;"noeuni"&amp;CHAR(34)&amp;",",""),"")),"1","")</f>
        <v/>
      </c>
      <c r="FY18" s="48" t="str">
        <f>IFERROR(IF(SEARCH("Arabic",CB18)&gt;0,CHAR(34)&amp;"arabic"&amp;CHAR(34)&amp;",",""),"")</f>
        <v/>
      </c>
      <c r="FZ18" s="48" t="str">
        <f>IFERROR(IF(SEARCH("English",CB18)&gt;0,CHAR(34)&amp;"englis"&amp;CHAR(34)&amp;",",""),"")</f>
        <v>"englis",</v>
      </c>
      <c r="GA18" s="48" t="str">
        <f>IFERROR(IF(SEARCH("French",CB18)&gt;0,CHAR(34)&amp;"french"&amp;CHAR(34)&amp;",",""),"")</f>
        <v/>
      </c>
      <c r="GB18" s="48" t="str">
        <f>IFERROR(IF(SEARCH("Spanish",CB18)&gt;0,CHAR(34)&amp;"spanis"&amp;CHAR(34)&amp;",",""),"")</f>
        <v/>
      </c>
      <c r="GC18" s="48" t="str">
        <f>IFERROR(IF(SEARCH("Portuguese",CB18)&gt;0,CHAR(34)&amp;"portug"&amp;CHAR(34)&amp;",",""),"")</f>
        <v/>
      </c>
      <c r="GD18" s="48" t="str">
        <f>IFERROR(IF(SEARCH("German",CB18)&gt;0,CHAR(34)&amp;"german"&amp;CHAR(34)&amp;",",""),"")</f>
        <v/>
      </c>
      <c r="GE18" s="48" t="str">
        <f>IFERROR(IF(SEARCH("Dutch",CB18)&gt;0,CHAR(34)&amp;"dutchs"&amp;CHAR(34)&amp;",",""),"")</f>
        <v/>
      </c>
      <c r="GF18" s="48" t="str">
        <f>IFERROR(IF(SEARCH("Histor",AU18)&gt;0,CHAR(34)&amp;"histor"&amp;CHAR(34)&amp;",",""),"")</f>
        <v/>
      </c>
      <c r="GG18" s="48" t="str">
        <f>IF(BU18="y",CHAR(34)&amp;"unjack"&amp;CHAR(34)&amp;",","")</f>
        <v/>
      </c>
      <c r="GH18" s="48" t="str">
        <f>IF(CD18=1,CHAR(34)&amp;"southc"&amp;CHAR(34)&amp;",","")</f>
        <v/>
      </c>
      <c r="GI18" s="48" t="str">
        <f>IF(CE18=1,CHAR(34)&amp;"hasmap"&amp;CHAR(34)&amp;",","")</f>
        <v/>
      </c>
      <c r="GJ18" s="48" t="str">
        <f>IF(CP18="y",CHAR(34)&amp;CP$1&amp;CHAR(34)&amp;",","")</f>
        <v>"NoStar",</v>
      </c>
      <c r="GK18" s="48" t="str">
        <f>IF(GJ18="",CHAR(34)&amp;"HasSta"&amp;CHAR(34)&amp;",","")</f>
        <v/>
      </c>
      <c r="GL18" s="48" t="str">
        <f t="shared" ref="GL18:GN22" si="111">IF(CQ18="y",CHAR(34)&amp;CQ$1&amp;CHAR(34)&amp;",","")</f>
        <v/>
      </c>
      <c r="GM18" s="48" t="str">
        <f t="shared" si="111"/>
        <v/>
      </c>
      <c r="GN18" s="48" t="str">
        <f t="shared" si="111"/>
        <v/>
      </c>
      <c r="GP18" s="48" t="str">
        <f>CHAR(34)&amp;AU18&amp;CHAR(34)</f>
        <v>"Province"</v>
      </c>
      <c r="GS18" s="48" t="str">
        <f>SUBSTITUTE("["&amp;_xlfn.CONCAT(CW18:GN18)&amp;"]",",]","]")</f>
        <v>["5+Colo","words2","exact2","lets07","startS","year18","year19","allver","3Bands","Vertic","Texted","Weapon","HasSun","Unequa","Center","myrBLU","island","englis","NoStar"]</v>
      </c>
      <c r="GT18" s="48" t="str">
        <f t="shared" ref="GT18:HB22" si="112">IF(BL18&lt;&gt;"",CHAR(34)&amp;"cl_"&amp;BL18&amp;CHAR(34)&amp;",","")</f>
        <v>"cl_RED",</v>
      </c>
      <c r="GU18" s="48" t="str">
        <f t="shared" si="112"/>
        <v>"cl_WHI",</v>
      </c>
      <c r="GV18" s="48" t="str">
        <f t="shared" si="112"/>
        <v>"cl_BLU",</v>
      </c>
      <c r="GW18" s="48" t="str">
        <f t="shared" si="112"/>
        <v>"cl_GRE",</v>
      </c>
      <c r="GX18" s="48" t="str">
        <f t="shared" si="112"/>
        <v>"cl_BRO",</v>
      </c>
      <c r="GY18" s="48" t="str">
        <f t="shared" si="112"/>
        <v>"cl_PUR",</v>
      </c>
      <c r="GZ18" s="48" t="str">
        <f t="shared" si="112"/>
        <v>"cl_YEL",</v>
      </c>
      <c r="HA18" s="48" t="str">
        <f t="shared" si="112"/>
        <v>"cl_BLA",</v>
      </c>
      <c r="HB18" s="48" t="str">
        <f t="shared" si="112"/>
        <v>"cl_GRA",</v>
      </c>
      <c r="HC18" s="48" t="str">
        <f>SUBSTITUTE("["&amp;_xlfn.CONCAT(GT18:HB18)&amp;"]",",]","]")</f>
        <v>["cl_RED","cl_WHI","cl_BLU","cl_GRE","cl_BRO","cl_PUR","cl_YEL","cl_BLA","cl_GRA"]</v>
      </c>
      <c r="HE18" s="71"/>
      <c r="HF18" s="72" t="str">
        <f>"{couname:"&amp;CT18&amp;(IF(HK18&lt;&gt;"",",subtype:"&amp;CHAR(34)&amp;HK18&amp;CHAR(34),""))&amp;",year:"&amp;HJ18&amp;",region:"&amp;CU18&amp;",Colors:"&amp;HC18&amp;",Items:"&amp;GS18&amp;",Flag:"&amp;CV18&amp;",HDFlag:"&amp;CHAR(34)&amp;E18&amp;CHAR(34)&amp;",type:"&amp;GP18&amp;", describe: "&amp;HH18&amp;", isnew:"&amp;CHAR(34)&amp;F18&amp;CHAR(34)&amp;", links: "&amp;HL18&amp;"},"</f>
        <v>{couname:"[ARG] Santa Fe",year:"1822, 1986",region:"rgn_South America",Colors:["cl_RED","cl_WHI","cl_BLU","cl_GRE","cl_BRO","cl_PUR","cl_YEL","cl_BLA","cl_GRA"],Items:["5+Colo","words2","exact2","lets07","startS","year18","year19","allver","3Bands","Vertic","Texted","Weapon","HasSun","Unequa","Center","myrBLU","island","englis","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links: "https://en.wikipedia.org/wiki/Flag_of_Santa_Fe_Province"},</v>
      </c>
      <c r="HG18" s="73" t="str">
        <f>"{couname:"&amp;CT18&amp;(IF(HK18&lt;&gt;"",",subtype:"&amp;CHAR(34)&amp;HK18&amp;CHAR(34),""))&amp;",year:"&amp;HJ18&amp;",region:"&amp;CU18&amp;",Colors:"&amp;HC18&amp;",Items:"&amp;GS18&amp;",Flag:"&amp;CV18&amp;",HDFlag:"&amp;CHAR(34)&amp;E18&amp;CHAR(34)&amp;",type:"&amp;GP18&amp;", describe: "&amp;HI18&amp;", links: "&amp;HL18&amp;"},"</f>
        <v>{couname:"[ARG] Santa Fe",year:"1822, 1986",region:"rgn_South America",Colors:["cl_RED","cl_WHI","cl_BLU","cl_GRE","cl_BRO","cl_PUR","cl_YEL","cl_BLA","cl_GRA"],Items:["5+Colo","words2","exact2","lets07","startS","year18","year19","allver","3Bands","Vertic","Texted","Weapon","HasSun","Unequa","Center","myrBLU","island","englis","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links: "https://en.wikipedia.org/wiki/Flag_of_Santa_Fe_Province"},</v>
      </c>
      <c r="HH18" s="48" t="str">
        <f>IF(P18&lt;&gt;"",CHAR(34)&amp;"\n"&amp;P18&amp;CHAR(34),CHAR(34)&amp;CHAR(34))</f>
        <v>"\nThe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v>
      </c>
      <c r="HI18" s="48" t="str">
        <f>IF(J18=0,CHAR(34)&amp;CHAR(34),HH18)</f>
        <v>"\nThe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v>
      </c>
      <c r="HJ18" s="48" t="str">
        <f>CHAR(34)&amp;O18&amp;CHAR(34)</f>
        <v>"1822, 1986"</v>
      </c>
      <c r="HL18" s="48" t="str">
        <f>CHAR(34)&amp;I18&amp;CHAR(34)</f>
        <v>"https://en.wikipedia.org/wiki/Flag_of_Santa_Fe_Province"</v>
      </c>
      <c r="HM18" s="72"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"&amp;HH18&amp;", "&amp;CHAR(34)&amp;"isnew"&amp;CHAR(34)&amp;": "&amp;CHAR(34)&amp;F18&amp;CHAR(34)&amp;", "&amp;CHAR(34)&amp;"links"&amp;CHAR(34)&amp;": "&amp;HL18&amp;"},"</f>
        <v>{"couname":"[ARG] Santa Fe","year":"1822, 1986","region":"rgn_South America","Colors":["cl_RED","cl_WHI","cl_BLU","cl_GRE","cl_BRO","cl_PUR","cl_YEL","cl_BLA","cl_GRA"],"Items":["5+Colo","words2","exact2","lets07","startS","year18","year19","allver","3Bands","Vertic","Texted","Weapon","HasSun","Unequa","Center","myrBLU","island","englis","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 "links": "https://en.wikipedia.org/wiki/Flag_of_Santa_Fe_Province"},</v>
      </c>
      <c r="HN18" s="74"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"&amp;HI18&amp;", "&amp;CHAR(34)&amp;"isnew"&amp;CHAR(34)&amp;": "&amp;CHAR(34)&amp;F18&amp;CHAR(34)&amp;", "&amp;CHAR(34)&amp;"links"&amp;CHAR(34)&amp;": "&amp;HL18&amp;"},"</f>
        <v>{"couname":"[ARG] Santa Fe","year":"1822, 1986","region":"rgn_South America","Colors":["cl_RED","cl_WHI","cl_BLU","cl_GRE","cl_BRO","cl_PUR","cl_YEL","cl_BLA","cl_GRA"],"Items":["5+Colo","words2","exact2","lets07","startS","year18","year19","allver","3Bands","Vertic","Texted","Weapon","HasSun","Unequa","Center","myrBLU","island","englis","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 "links": "https://en.wikipedia.org/wiki/Flag_of_Santa_Fe_Province"},</v>
      </c>
      <c r="HO18" s="75"/>
      <c r="HP18" s="48" t="str" cm="1">
        <f t="array" ref="HP18">IF(_xlfn.TEXTJOIN(", ", TRUE, IF(ISNUMBER(SEARCH("BLA", BL18:BT18)), COLUMN(BL18:BT18) - COLUMN(BL18) + 1, ""))&lt;&gt;"","BLA","")</f>
        <v>BLA</v>
      </c>
      <c r="HQ18" s="48" t="str" cm="1">
        <f t="array" ref="HQ18">IF(_xlfn.TEXTJOIN(", ", TRUE, IF(ISNUMBER(SEARCH("BLU", BL18:BT18)), COLUMN(BL18:BT18) - COLUMN(BL18) + 1, ""))&lt;&gt;"","BLU","")</f>
        <v>BLU</v>
      </c>
      <c r="HR18" s="48" t="str" cm="1">
        <f t="array" ref="HR18">IF(_xlfn.TEXTJOIN(", ", TRUE, IF(ISNUMBER(SEARCH("GRE", BL18:BT18)), COLUMN(BL18:BT18) - COLUMN(BL18) + 1, ""))&lt;&gt;"","GRE","")</f>
        <v>GRE</v>
      </c>
      <c r="HS18" s="48" t="str" cm="1">
        <f t="array" ref="HS18">IF(_xlfn.TEXTJOIN(", ", TRUE, IF(ISNUMBER(SEARCH("RED", BL18:BT18)), COLUMN(BL18:BT18) - COLUMN(BL18) + 1, ""))&lt;&gt;"","RED","")</f>
        <v>RED</v>
      </c>
      <c r="HT18" s="48" t="str" cm="1">
        <f t="array" ref="HT18">IF(_xlfn.TEXTJOIN(", ", TRUE, IF(ISNUMBER(SEARCH("YEL", BL18:BT18)), COLUMN(BL18:BT18) - COLUMN(BL18) + 1, ""))&lt;&gt;"","YEL","")</f>
        <v>YEL</v>
      </c>
      <c r="HU18" s="48" t="str" cm="1">
        <f t="array" ref="HU18">IF(_xlfn.TEXTJOIN(", ", TRUE, IF(ISNUMBER(SEARCH("ORA", BL18:BT18)), COLUMN(BL18:BT18) - COLUMN(BL18) + 1, ""))&lt;&gt;"","ORA","")</f>
        <v/>
      </c>
      <c r="HV18" s="48" t="str" cm="1">
        <f t="array" ref="HV18">IF(_xlfn.TEXTJOIN(", ", TRUE, IF(ISNUMBER(SEARCH("BRO", BL18:BT18)), COLUMN(BL18:BT18) - COLUMN(BL18) + 1, ""))&lt;&gt;"","BRO","")</f>
        <v>BRO</v>
      </c>
      <c r="HW18" s="48" t="str" cm="1">
        <f t="array" ref="HW18">IF(_xlfn.TEXTJOIN(", ", TRUE, IF(ISNUMBER(SEARCH("PUR", BL18:BT18)), COLUMN(BL18:BT18) - COLUMN(BL18) + 1, ""))&lt;&gt;"","PUR","")</f>
        <v>PUR</v>
      </c>
      <c r="HX18" s="48" t="str" cm="1">
        <f t="array" ref="HX18">IF(_xlfn.TEXTJOIN(", ", TRUE, IF(ISNUMBER(SEARCH("WHI", BL18:BT18)), COLUMN(BL18:BT18) - COLUMN(BL18) + 1, ""))&lt;&gt;"","WHI","")</f>
        <v>WHI</v>
      </c>
      <c r="HY18" s="76"/>
      <c r="HZ18" s="76"/>
      <c r="IA18" s="6"/>
      <c r="IB18" s="6"/>
      <c r="IC18" s="77"/>
      <c r="ID18" s="77"/>
      <c r="IE18" s="77"/>
      <c r="IF18" s="77"/>
      <c r="IG18" s="77"/>
      <c r="IH18" s="77"/>
      <c r="II18" s="77"/>
      <c r="IJ18" s="77"/>
      <c r="IK18" s="77"/>
      <c r="IL18" s="48">
        <f>SUM(IC18:IK18)</f>
        <v>0</v>
      </c>
      <c r="IM18" s="45">
        <f>COUNTIF(IC18:IK18,"&gt;0")-CG18</f>
        <v>-9</v>
      </c>
      <c r="IN18" s="78" t="str">
        <f>"http://mkweb.bcgsc.ca/color-summarizer/?url="&amp;D18&amp;"&amp;precision=low&amp;num_clusters="&amp;CG18&amp;"&amp;text=1"</f>
        <v>http://mkweb.bcgsc.ca/color-summarizer/?url=https://upload.wikimedia.org/wikipedia/commons/thumb/8/84/Bandera_de_la_Provincia_de_Santa_Fe.svg/320px-Bandera_de_la_Provincia_de_Santa_Fe.svg.png&amp;precision=low&amp;num_clusters=9&amp;text=1</v>
      </c>
      <c r="IO18" s="48" t="str">
        <f>IF(HP18&lt;&gt;"",CHAR(34)&amp;"black"&amp;CHAR(34),"")</f>
        <v>"black"</v>
      </c>
      <c r="IP18" s="48" t="str">
        <f>IF(HQ18&lt;&gt;"",CHAR(34)&amp;"blue"&amp;CHAR(34),"")</f>
        <v>"blue"</v>
      </c>
      <c r="IQ18" s="48" t="str">
        <f>IF(HR18&lt;&gt;"",CHAR(34)&amp;"green"&amp;CHAR(34),"")</f>
        <v>"green"</v>
      </c>
      <c r="IR18" s="48" t="str">
        <f>IF(HS18&lt;&gt;"",CHAR(34)&amp;"red"&amp;CHAR(34),"")</f>
        <v>"red"</v>
      </c>
      <c r="IS18" s="48" t="str">
        <f>IF(HT18&lt;&gt;"",CHAR(34)&amp;"yellow"&amp;CHAR(34),"")</f>
        <v>"yellow"</v>
      </c>
      <c r="IT18" s="48" t="str">
        <f>IF(HU18&lt;&gt;"",CHAR(34)&amp;"orange"&amp;CHAR(34),"")</f>
        <v/>
      </c>
      <c r="IU18" s="48" t="str">
        <f>IF(HV18&lt;&gt;"",CHAR(34)&amp;"brown"&amp;CHAR(34),"")</f>
        <v>"brown"</v>
      </c>
      <c r="IV18" s="48" t="str">
        <f>IF(HW18&lt;&gt;"",CHAR(34)&amp;"purple"&amp;CHAR(34),"")</f>
        <v>"purple"</v>
      </c>
      <c r="IW18" s="48" t="str">
        <f>IF(HX18&lt;&gt;"",CHAR(34)&amp;"white"&amp;CHAR(34),"")</f>
        <v>"white"</v>
      </c>
      <c r="IX18" s="48" t="str">
        <f>"{"&amp;CHAR(34)&amp;"url"&amp;CHAR(34)&amp;":"&amp;CHAR(34)&amp;IN18&amp;CHAR(34)&amp;","&amp;CHAR(34)&amp;"name"&amp;CHAR(34)&amp;":"&amp;CHAR(34)&amp;A18&amp;CHAR(34)&amp;"},"</f>
        <v>{"url":"http://mkweb.bcgsc.ca/color-summarizer/?url=https://upload.wikimedia.org/wikipedia/commons/thumb/8/84/Bandera_de_la_Provincia_de_Santa_Fe.svg/320px-Bandera_de_la_Provincia_de_Santa_Fe.svg.png&amp;precision=low&amp;num_clusters=9&amp;text=1","name":"[ARG] Santa Fe"},</v>
      </c>
      <c r="IY18" s="48">
        <v>162</v>
      </c>
    </row>
    <row r="19" spans="1:259" s="48" customFormat="1" ht="38.4" customHeight="1" thickBot="1" x14ac:dyDescent="0.35">
      <c r="A19" s="79" t="s">
        <v>361</v>
      </c>
      <c r="B19" s="40" t="e" vm="18">
        <v>#VALUE!</v>
      </c>
      <c r="C19" s="41">
        <v>2</v>
      </c>
      <c r="D19" s="42" t="s">
        <v>362</v>
      </c>
      <c r="E19" s="43" t="s">
        <v>363</v>
      </c>
      <c r="F19" s="44" t="s">
        <v>166</v>
      </c>
      <c r="G19" s="45">
        <f>COUNTIF($A$1:$A$8299,A19)</f>
        <v>1</v>
      </c>
      <c r="H19" s="46"/>
      <c r="I19" s="47" t="s">
        <v>364</v>
      </c>
      <c r="J19" s="48" t="str">
        <f>""</f>
        <v/>
      </c>
      <c r="K19" s="49"/>
      <c r="L19" s="50"/>
      <c r="M19" s="50"/>
      <c r="N19" s="51" t="s">
        <v>169</v>
      </c>
      <c r="O19" s="52">
        <v>1985</v>
      </c>
      <c r="P19" s="53" t="s">
        <v>365</v>
      </c>
      <c r="Q19" s="54">
        <v>3</v>
      </c>
      <c r="R19" s="55" t="s">
        <v>169</v>
      </c>
      <c r="S19" s="56">
        <v>5</v>
      </c>
      <c r="T19" s="57" t="s">
        <v>172</v>
      </c>
      <c r="U19" s="58" t="s">
        <v>172</v>
      </c>
      <c r="V19" s="58" t="s">
        <v>172</v>
      </c>
      <c r="W19" s="58" t="s">
        <v>173</v>
      </c>
      <c r="X19" s="58" t="s">
        <v>173</v>
      </c>
      <c r="Y19" s="58" t="s">
        <v>172</v>
      </c>
      <c r="Z19" s="58" t="s">
        <v>172</v>
      </c>
      <c r="AA19" s="58" t="s">
        <v>172</v>
      </c>
      <c r="AB19" s="58" t="s">
        <v>172</v>
      </c>
      <c r="AC19" s="58" t="s">
        <v>173</v>
      </c>
      <c r="AD19" s="58" t="s">
        <v>173</v>
      </c>
      <c r="AE19" s="58" t="s">
        <v>172</v>
      </c>
      <c r="AF19" s="59" t="s">
        <v>172</v>
      </c>
      <c r="AG19" s="59" t="s">
        <v>172</v>
      </c>
      <c r="AH19" s="59" t="s">
        <v>173</v>
      </c>
      <c r="AI19" s="59" t="s">
        <v>172</v>
      </c>
      <c r="AJ19" s="59" t="s">
        <v>172</v>
      </c>
      <c r="AK19" s="59" t="s">
        <v>172</v>
      </c>
      <c r="AL19" s="59" t="s">
        <v>172</v>
      </c>
      <c r="AM19" s="59" t="s">
        <v>172</v>
      </c>
      <c r="AN19" s="59" t="s">
        <v>172</v>
      </c>
      <c r="AO19" s="59" t="s">
        <v>172</v>
      </c>
      <c r="AP19" s="59" t="s">
        <v>172</v>
      </c>
      <c r="AQ19" s="59" t="s">
        <v>172</v>
      </c>
      <c r="AR19" s="59" t="s">
        <v>172</v>
      </c>
      <c r="AS19" s="59" t="s">
        <v>172</v>
      </c>
      <c r="AT19" s="60">
        <v>0</v>
      </c>
      <c r="AU19" s="59" t="s">
        <v>277</v>
      </c>
      <c r="AV19" s="59" t="str">
        <f>IF(LEFT(A19,1)="[",LEFT(A19,5)&amp;AU19&amp;A19,"")</f>
        <v>[ARG]Province[ARG] Santiago del Estero</v>
      </c>
      <c r="AW19" s="59" t="str">
        <f>C19&amp;IFERROR(SUBSTITUTE(A19, " [ANT]",""),"")</f>
        <v>2[ARG] Santiago del Estero</v>
      </c>
      <c r="AX19" s="61"/>
      <c r="AY19" s="61"/>
      <c r="AZ19" s="62" t="s">
        <v>159</v>
      </c>
      <c r="BA19" s="62" t="s">
        <v>174</v>
      </c>
      <c r="BB19" s="62"/>
      <c r="BC19" s="63"/>
      <c r="BD19" s="64" t="s">
        <v>152</v>
      </c>
      <c r="BE19" s="47"/>
      <c r="BF19" s="64" t="s">
        <v>174</v>
      </c>
      <c r="BG19" s="64" t="s">
        <v>174</v>
      </c>
      <c r="BH19" s="64" t="s">
        <v>174</v>
      </c>
      <c r="BI19" s="64"/>
      <c r="BJ19" s="64"/>
      <c r="BK19" s="47"/>
      <c r="BL19" s="64" t="s">
        <v>174</v>
      </c>
      <c r="BM19" s="64" t="s">
        <v>152</v>
      </c>
      <c r="BN19" s="64" t="s">
        <v>174</v>
      </c>
      <c r="BO19" s="64" t="s">
        <v>174</v>
      </c>
      <c r="BP19" s="64" t="s">
        <v>174</v>
      </c>
      <c r="BQ19" s="64" t="s">
        <v>174</v>
      </c>
      <c r="BR19" s="64" t="s">
        <v>174</v>
      </c>
      <c r="BS19" s="64" t="s">
        <v>174</v>
      </c>
      <c r="BT19" s="64" t="s">
        <v>159</v>
      </c>
      <c r="BU19" s="65"/>
      <c r="BV19" s="66"/>
      <c r="BW19" s="66">
        <v>0</v>
      </c>
      <c r="BX19" s="47"/>
      <c r="CB19" s="6"/>
      <c r="CC19" s="6"/>
      <c r="CD19" s="67">
        <v>0</v>
      </c>
      <c r="CE19" s="67">
        <v>0</v>
      </c>
      <c r="CF19" s="67" t="e">
        <v>#REF!</v>
      </c>
      <c r="CG19" s="68" cm="1">
        <f t="array" ref="CG19">SUMPRODUCT(--(LEN(TRIM(BL19:BT19))&gt;0))</f>
        <v>2</v>
      </c>
      <c r="CH19" s="59" t="str">
        <f>IF(CG19=2,"y","n")</f>
        <v>y</v>
      </c>
      <c r="CI19" s="59" t="str">
        <f>IF(CG19=3,"y","n")</f>
        <v>n</v>
      </c>
      <c r="CJ19" s="59" t="str">
        <f>IF(CG19=4,"y","n")</f>
        <v>n</v>
      </c>
      <c r="CK19" s="59" t="str">
        <f>IF(CG19&gt;4,"y","n")</f>
        <v>n</v>
      </c>
      <c r="CL19" s="59" t="str">
        <f>IF(S19=0,"y","n")</f>
        <v>n</v>
      </c>
      <c r="CM19" s="59" t="str">
        <f>IF(S19=2,"y","n")</f>
        <v>n</v>
      </c>
      <c r="CN19" s="59" t="str">
        <f>IF(S19=3,"y","n")</f>
        <v>n</v>
      </c>
      <c r="CO19" s="59" t="str">
        <f>IF(S19&gt;=4,"y","n")</f>
        <v>y</v>
      </c>
      <c r="CP19" s="59" t="str">
        <f>IF(AT19=0,"y","n")</f>
        <v>y</v>
      </c>
      <c r="CQ19" s="59" t="str">
        <f>IF(AT19=1,"y","n")</f>
        <v>n</v>
      </c>
      <c r="CR19" s="59" t="str">
        <f>IF(AT19=2,"y","n")</f>
        <v>n</v>
      </c>
      <c r="CS19" s="59" t="str">
        <f>IF(AT19&gt;=3,"y","n")</f>
        <v>n</v>
      </c>
      <c r="CT19" s="69" t="str">
        <f>CHAR(34)&amp;A19&amp;CHAR(34)</f>
        <v>"[ARG] Santiago del Estero"</v>
      </c>
      <c r="CU19" s="70" t="str">
        <f>CHAR(34)&amp;"rgn_"&amp;R19&amp;CHAR(34)</f>
        <v>"rgn_South America"</v>
      </c>
      <c r="CV19" s="48" t="str">
        <f>CHAR(34)&amp;D19&amp;CHAR(34)</f>
        <v>"https://upload.wikimedia.org/wikipedia/commons/thumb/0/07/Bandera_de_la_Provincia_de_Santiago_del_Estero.svg/320px-Bandera_de_la_Provincia_de_Santiago_del_Estero.svg.png"</v>
      </c>
      <c r="CW19" s="48" t="str">
        <f t="shared" si="108"/>
        <v>"2Color",</v>
      </c>
      <c r="CX19" s="48" t="str">
        <f t="shared" si="108"/>
        <v/>
      </c>
      <c r="CY19" s="48" t="str">
        <f t="shared" si="108"/>
        <v/>
      </c>
      <c r="CZ19" s="48" t="str">
        <f t="shared" si="108"/>
        <v/>
      </c>
      <c r="DA19" s="48" t="str">
        <f>IF(Q19&gt;1,CHAR(34)&amp;"words2"&amp;CHAR(34)&amp;",","")</f>
        <v>"words2",</v>
      </c>
      <c r="DB19" s="48" t="str">
        <f>IF(Q19&gt;2,CHAR(34)&amp;"words3"&amp;CHAR(34)&amp;",","")</f>
        <v>"words3",</v>
      </c>
      <c r="DD19" s="48" t="str">
        <f>IF(LEN(CHAR(34)&amp;"lets"&amp;LEN(SUBSTITUTE(SUBSTITUTE(IFERROR(TRIM(SUBSTITUTE(A19,MID(A19,FIND("[",A19),FIND("]",A19)-FIND("[",A19)+1),"")),A19)," ",""),"-",""))&amp;CHAR(34)&amp;",")=9,CHAR(34)&amp;"lets"&amp;LEN(SUBSTITUTE(SUBSTITUTE(IFERROR(TRIM(SUBSTITUTE(A19,MID(A19,FIND("[",A19),FIND("]",A19)-FIND("[",A19)+1),"")),A19)," ",""),"-",""))&amp;CHAR(34)&amp;",",CHAR(34)&amp;"lets0"&amp;LEN(SUBSTITUTE(SUBSTITUTE(IFERROR(TRIM(SUBSTITUTE(A19,MID(A19,FIND("[",A19),FIND("]",A19)-FIND("[",A19)+1),"")),A19)," ",""),"-",""))&amp;CHAR(34)&amp;",")</f>
        <v>"lets17",</v>
      </c>
      <c r="DE19" s="48" t="str">
        <f>CHAR(34)&amp;"start"&amp;IFERROR(LEFT(SUBSTITUTE(A19,"["&amp;MID(A19,FIND("[",A19)+1,FIND("]",A19)-FIND("[",A19)-1)&amp;"] ",""),1),LEFT(A19,1))&amp;CHAR(34)&amp;","</f>
        <v>"startS",</v>
      </c>
      <c r="DF19" s="48" t="str">
        <f>IFERROR(IF(SEARCH("tan",A19)&gt;0,CHAR(34)&amp;"withtn"&amp;CHAR(34)&amp;",",""),"")</f>
        <v/>
      </c>
      <c r="DG19" s="48" t="str">
        <f>IFERROR(IF(SEARCH("q",A19)&gt;0,CHAR(34)&amp;"with_q"&amp;CHAR(34)&amp;",",""),"")</f>
        <v/>
      </c>
      <c r="DH19" s="48" t="str">
        <f>IFERROR(IF(SEARCH("v",A19)&gt;0,CHAR(34)&amp;"with_v"&amp;CHAR(34)&amp;",",""),"")</f>
        <v/>
      </c>
      <c r="DI19" s="48" t="str">
        <f>IFERROR(IF(SEARCH("w",A19)&gt;0,CHAR(34)&amp;"with_w"&amp;CHAR(34)&amp;",",""),"")</f>
        <v/>
      </c>
      <c r="DJ19" s="48" t="str">
        <f>IFERROR(IF(SEARCH("y",A19)&gt;0,CHAR(34)&amp;"with_y"&amp;CHAR(34)&amp;",",""),"")</f>
        <v/>
      </c>
      <c r="DK19" s="48" t="str">
        <f>IFERROR(IF(SEARCH("z",A19)&gt;0,CHAR(34)&amp;"with_z"&amp;CHAR(34)&amp;",",""),"")</f>
        <v/>
      </c>
      <c r="DL19" s="48" t="str">
        <f>IF(CG19=2, CHAR(34) &amp; _xlfn.TEXTJOIN("", TRUE, _xlfn._xlws.SORT(HP19:HX19)) &amp; CHAR(34) &amp; ",", "")</f>
        <v>"BLUWHI",</v>
      </c>
      <c r="DM19" s="48" t="str" cm="1">
        <f t="array" ref="DM19">IF(CG19=3,CHAR(34) &amp; _xlfn.TEXTJOIN("", TRUE, RIGHT(HP19:HX19, 2)) &amp; CHAR(34) &amp; ",", "")</f>
        <v/>
      </c>
      <c r="DN19" s="48" t="str">
        <f>IF(AND(ISNUMBER(SEARCH("18", O19)), ISERROR(SEARCH("1918", O19)), ISERROR(SEARCH("2018", O19))), CHAR(34) &amp; "year18" &amp; CHAR(34) &amp; ",", "")</f>
        <v/>
      </c>
      <c r="DO19" s="48" t="str">
        <f>IF(AND(ISNUMBER(SEARCH("19", O19)), ISERROR(SEARCH("1819", O19)),  ISERROR(SEARCH("1219", O19)),ISERROR(SEARCH("1119", O19)),ISERROR(SEARCH("1190", O19)),ISERROR(SEARCH("2019", O19))), CHAR(34) &amp; "year19" &amp; CHAR(34) &amp; ",", "")</f>
        <v>"year19",</v>
      </c>
      <c r="DP19" s="6" t="str">
        <f>IF(AND(ISNUMBER(SEARCH("20", O19)), ISERROR(SEARCH("1920", O19))), CHAR(34)&amp;"year00"&amp;CHAR(34)&amp;",", "")</f>
        <v/>
      </c>
      <c r="DQ19" s="6" t="str">
        <f>IF(CC19="y",CHAR(34)&amp;"soviet"&amp;CHAR(34)&amp;",","")</f>
        <v/>
      </c>
      <c r="DR19" s="6" t="str">
        <f>IF(BY19="y",CHAR(34)&amp;"dgband"&amp;CHAR(34)&amp;",","")</f>
        <v/>
      </c>
      <c r="DS19" s="6" t="str">
        <f>IF(W19="y",IF(AND(V19="n",BY19&lt;&gt;"y"),CHAR(34)&amp;"allver"&amp;CHAR(34)&amp;",",""),"")</f>
        <v>"allver",</v>
      </c>
      <c r="DT19" s="6" t="str">
        <f>IF(V19="y",IF(AND(W19="n",BY19&lt;&gt;"y"),CHAR(34)&amp;"allhor"&amp;CHAR(34)&amp;",",""),"")</f>
        <v/>
      </c>
      <c r="DU19" s="6" t="str">
        <f>IF(BY19="y",IF(AND(W19="n",V19="n"),CHAR(34)&amp;"alldia"&amp;CHAR(34)&amp;",",""),"")</f>
        <v/>
      </c>
      <c r="DW19" s="48" t="str">
        <f t="shared" si="109"/>
        <v/>
      </c>
      <c r="DX19" s="48" t="str">
        <f t="shared" si="109"/>
        <v/>
      </c>
      <c r="DY19" s="48" t="str">
        <f t="shared" si="109"/>
        <v/>
      </c>
      <c r="DZ19" s="48" t="str">
        <f t="shared" si="109"/>
        <v>"4+Band",</v>
      </c>
      <c r="EA19" s="48" t="str">
        <f t="shared" si="110"/>
        <v/>
      </c>
      <c r="EB19" s="48" t="str">
        <f t="shared" si="110"/>
        <v/>
      </c>
      <c r="EC19" s="48" t="str">
        <f t="shared" si="110"/>
        <v/>
      </c>
      <c r="ED19" s="48" t="str">
        <f t="shared" si="110"/>
        <v>"Vertic",</v>
      </c>
      <c r="EE19" s="48" t="str">
        <f t="shared" si="110"/>
        <v>"Circle",</v>
      </c>
      <c r="EF19" s="48" t="str">
        <f>IF(AND(Y19&lt;&gt;"n",Y19&lt;&gt;""),CHAR(34)&amp;Y$1&amp;CHAR(34)&amp;",","")</f>
        <v/>
      </c>
      <c r="EG19" s="48" t="str">
        <f t="shared" si="107"/>
        <v/>
      </c>
      <c r="EH19" s="48" t="str">
        <f t="shared" si="107"/>
        <v/>
      </c>
      <c r="EI19" s="48" t="str">
        <f t="shared" si="107"/>
        <v/>
      </c>
      <c r="EJ19" s="48" t="str">
        <f t="shared" si="107"/>
        <v>"Weapon",</v>
      </c>
      <c r="EK19" s="48" t="str">
        <f t="shared" si="107"/>
        <v>"HasSun",</v>
      </c>
      <c r="EL19" s="48" t="str">
        <f t="shared" si="107"/>
        <v/>
      </c>
      <c r="EM19" s="48" t="str">
        <f t="shared" si="107"/>
        <v/>
      </c>
      <c r="EN19" s="48" t="str">
        <f t="shared" si="107"/>
        <v/>
      </c>
      <c r="EO19" s="48" t="str">
        <f t="shared" si="107"/>
        <v>"Center",</v>
      </c>
      <c r="EP19" s="48" t="str">
        <f t="shared" si="107"/>
        <v/>
      </c>
      <c r="EQ19" s="48" t="str">
        <f t="shared" si="107"/>
        <v/>
      </c>
      <c r="ER19" s="48" t="str">
        <f t="shared" si="107"/>
        <v/>
      </c>
      <c r="ES19" s="48" t="str">
        <f t="shared" si="107"/>
        <v/>
      </c>
      <c r="ET19" s="48" t="str">
        <f t="shared" si="107"/>
        <v/>
      </c>
      <c r="EU19" s="48" t="str">
        <f t="shared" si="107"/>
        <v/>
      </c>
      <c r="EV19" s="48" t="str">
        <f t="shared" si="107"/>
        <v/>
      </c>
      <c r="EW19" s="48" t="str">
        <f t="shared" si="106"/>
        <v/>
      </c>
      <c r="EX19" s="48" t="str">
        <f t="shared" si="106"/>
        <v/>
      </c>
      <c r="EY19" s="48" t="str">
        <f t="shared" si="106"/>
        <v/>
      </c>
      <c r="EZ19" s="48" t="str">
        <f t="shared" si="106"/>
        <v/>
      </c>
      <c r="FA19" s="48" t="str">
        <f>IF(AT19&gt;0,CHAR(34)&amp;"sta"&amp;AZ19&amp;CHAR(34)&amp;",","")</f>
        <v/>
      </c>
      <c r="FB19" s="48" t="str">
        <f>IF(AND(AT19&gt;0,BA19&lt;&gt;""),CHAR(34)&amp;"sta"&amp;BA19&amp;CHAR(34)&amp;",","")</f>
        <v/>
      </c>
      <c r="FD19" s="48" t="str">
        <f>IF(BV19="n",CHAR(34)&amp;"tcWHYE"&amp;CHAR(34)&amp;",",IF(BV19="y",CHAR(34)&amp;FD$1&amp;CHAR(34)&amp;",",""))</f>
        <v/>
      </c>
      <c r="FE19" s="48" t="str">
        <f>IF(COUNTIF(BL19:BT19,"BLU")=0,CHAR(34)&amp;"NO_BLU"&amp;CHAR(34)&amp;",", "")</f>
        <v/>
      </c>
      <c r="FF19" s="48" t="str">
        <f>IF(COUNTIF(BL19:BT19,"WHI")=0,CHAR(34)&amp;"NO_WHI"&amp;CHAR(34)&amp;",", "")</f>
        <v/>
      </c>
      <c r="FG19" s="48" t="str">
        <f>IF(COUNTIF(BL19:BT19,"RED")=0,CHAR(34)&amp;"NO_RED"&amp;CHAR(34)&amp;",", "")</f>
        <v>"NO_RED",</v>
      </c>
      <c r="FH19" s="48" t="str">
        <f>IF(COUNTIF(BL19:BS19,"GRE")=0,CHAR(34)&amp;"NO_GRE"&amp;CHAR(34)&amp;",", "")</f>
        <v>"NO_GRE",</v>
      </c>
      <c r="FI19" s="48" t="str">
        <f>IF(COUNTIF(BL19:BT19,"YEL")=0,CHAR(34)&amp;"NO_YEL"&amp;CHAR(34)&amp;",", "")</f>
        <v>"NO_YEL",</v>
      </c>
      <c r="FJ19" s="48" t="str">
        <f>IF(COUNTIF(BL19:BT19,"BLA")=0,CHAR(34)&amp;"NO_BLA"&amp;CHAR(34)&amp;",", "")</f>
        <v>"NO_BLA",</v>
      </c>
      <c r="FK19" s="48" t="str">
        <f>IF(AND(FH19&lt;&gt;"",FF19&lt;&gt;""),CHAR(34)&amp;"WHGRNO"&amp;CHAR(34)&amp;",","")</f>
        <v/>
      </c>
      <c r="FL19" s="48" t="str">
        <f>IF(AND(FI19&lt;&gt;"",FF19&lt;&gt;""),CHAR(34)&amp;"WHYENO"&amp;CHAR(34)&amp;",","")</f>
        <v/>
      </c>
      <c r="FM19" s="48" t="str">
        <f>IF(AND(FJ19&lt;&gt;"",FF19&lt;&gt;""),CHAR(34)&amp;"BAWHNO"&amp;CHAR(34)&amp;",","")</f>
        <v/>
      </c>
      <c r="FN19" s="48" t="str">
        <f>IF(AND(FE19&lt;&gt;"",FF19&lt;&gt;""),CHAR(34)&amp;"BLWHNO"&amp;CHAR(34)&amp;",","")</f>
        <v/>
      </c>
      <c r="FO19" s="48" t="str">
        <f>IF(AND(FE19&lt;&gt;"",FG19&lt;&gt;""),CHAR(34)&amp;"BLRENO"&amp;CHAR(34)&amp;",","")</f>
        <v/>
      </c>
      <c r="FP19" s="48" t="str">
        <f>IF(AND(FF19&lt;&gt;"",FF19&lt;&gt;""),CHAR(34)&amp;"WHRENO"&amp;CHAR(34)&amp;",","")</f>
        <v/>
      </c>
      <c r="FQ19" s="48" t="str">
        <f>IF(LEN(BF19)=3,CHAR(34)&amp;"001"&amp;BF19&amp;CHAR(34)&amp;",","")</f>
        <v/>
      </c>
      <c r="FR19" s="48" t="str">
        <f>IF(LEN(BG19)=3,CHAR(34)&amp;"002"&amp;BG19&amp;CHAR(34)&amp;",","")</f>
        <v/>
      </c>
      <c r="FS19" s="48" t="str">
        <f>IF(LEN(BH19)=3,CHAR(34)&amp;"003"&amp;BH19&amp;CHAR(34)&amp;",","")</f>
        <v/>
      </c>
      <c r="FT19" s="48" t="str">
        <f>CHAR(34)&amp;"myr"&amp;BD19&amp;CHAR(34)&amp;","</f>
        <v>"myrBLU",</v>
      </c>
      <c r="FU19" s="48" t="str">
        <f>IF(AY19="y",CHAR(34)&amp;"island"&amp;CHAR(34)&amp;",","")</f>
        <v/>
      </c>
      <c r="FV19" s="48" t="str">
        <f>IF(BZ19="y",CHAR(34)&amp;"landlo"&amp;CHAR(34)&amp;",","")</f>
        <v/>
      </c>
      <c r="FW19" s="48" t="str">
        <f>IF(CA19="y",CHAR(34)&amp;"eunion"&amp;CHAR(34)&amp;",","")</f>
        <v/>
      </c>
      <c r="FY19" s="48" t="str">
        <f>IFERROR(IF(SEARCH("Arabic",CB19)&gt;0,CHAR(34)&amp;"arabic"&amp;CHAR(34)&amp;",",""),"")</f>
        <v/>
      </c>
      <c r="FZ19" s="48" t="str">
        <f>IFERROR(IF(SEARCH("English",CB19)&gt;0,CHAR(34)&amp;"englis"&amp;CHAR(34)&amp;",",""),"")</f>
        <v/>
      </c>
      <c r="GA19" s="48" t="str">
        <f>IFERROR(IF(SEARCH("French",CB19)&gt;0,CHAR(34)&amp;"french"&amp;CHAR(34)&amp;",",""),"")</f>
        <v/>
      </c>
      <c r="GB19" s="48" t="str">
        <f>IFERROR(IF(SEARCH("Spanish",CB19)&gt;0,CHAR(34)&amp;"spanis"&amp;CHAR(34)&amp;",",""),"")</f>
        <v/>
      </c>
      <c r="GE19" s="48" t="str">
        <f>IFERROR(IF(SEARCH("Dutch",CB19)&gt;0,CHAR(34)&amp;"dutchs"&amp;CHAR(34)&amp;",",""),"")</f>
        <v/>
      </c>
      <c r="GF19" s="48" t="str">
        <f>IFERROR(IF(SEARCH("Historical",AU19)&gt;0,CHAR(34)&amp;"histor"&amp;CHAR(34)&amp;",",""),"")</f>
        <v/>
      </c>
      <c r="GG19" s="48" t="str">
        <f>IF(BU19="y",CHAR(34)&amp;"unjack"&amp;CHAR(34)&amp;",","")</f>
        <v/>
      </c>
      <c r="GH19" s="48" t="str">
        <f>IF(CD19=1,CHAR(34)&amp;"southc"&amp;CHAR(34)&amp;",","")</f>
        <v/>
      </c>
      <c r="GI19" s="48" t="str">
        <f>IF(CE19=1,CHAR(34)&amp;"hasmap"&amp;CHAR(34)&amp;",","")</f>
        <v/>
      </c>
      <c r="GJ19" s="48" t="str">
        <f>IF(CP19="y",CHAR(34)&amp;CP$1&amp;CHAR(34)&amp;",","")</f>
        <v>"NoStar",</v>
      </c>
      <c r="GK19" s="48" t="str">
        <f>IF(GJ19="",CHAR(34)&amp;"HasSta"&amp;CHAR(34)&amp;",","")</f>
        <v/>
      </c>
      <c r="GL19" s="48" t="str">
        <f t="shared" si="111"/>
        <v/>
      </c>
      <c r="GM19" s="48" t="str">
        <f t="shared" si="111"/>
        <v/>
      </c>
      <c r="GN19" s="48" t="str">
        <f t="shared" si="111"/>
        <v/>
      </c>
      <c r="GP19" s="48" t="str">
        <f>CHAR(34)&amp;AU19&amp;CHAR(34)</f>
        <v>"Province"</v>
      </c>
      <c r="GS19" s="48" t="str">
        <f>SUBSTITUTE("["&amp;_xlfn.CONCAT(CW19:GN19)&amp;"]",",]","]")</f>
        <v>["2Color","words2","words3","lets17","startS","BLUWHI","year19","allver","4+Band","Vertic","Circle","Weapon","HasSun","Center","NO_RED","NO_GRE","NO_YEL","NO_BLA","myrBLU","NoStar"]</v>
      </c>
      <c r="GT19" s="48" t="str">
        <f t="shared" si="112"/>
        <v/>
      </c>
      <c r="GU19" s="48" t="str">
        <f t="shared" si="112"/>
        <v>"cl_BLU",</v>
      </c>
      <c r="GV19" s="48" t="str">
        <f t="shared" si="112"/>
        <v/>
      </c>
      <c r="GW19" s="48" t="str">
        <f t="shared" si="112"/>
        <v/>
      </c>
      <c r="GX19" s="48" t="str">
        <f t="shared" si="112"/>
        <v/>
      </c>
      <c r="GY19" s="48" t="str">
        <f t="shared" si="112"/>
        <v/>
      </c>
      <c r="GZ19" s="48" t="str">
        <f t="shared" si="112"/>
        <v/>
      </c>
      <c r="HA19" s="48" t="str">
        <f t="shared" si="112"/>
        <v/>
      </c>
      <c r="HB19" s="48" t="str">
        <f t="shared" si="112"/>
        <v>"cl_WHI",</v>
      </c>
      <c r="HC19" s="48" t="str">
        <f>SUBSTITUTE("["&amp;_xlfn.CONCAT(GT19:HB19)&amp;"]",",]","]")</f>
        <v>["cl_BLU","cl_WHI"]</v>
      </c>
      <c r="HE19" s="71"/>
      <c r="HF19" s="72" t="str">
        <f>"{couname:"&amp;CT19&amp;(IF(HK19&lt;&gt;"",",subtype:"&amp;CHAR(34)&amp;HK19&amp;CHAR(34),""))&amp;",year:"&amp;HJ19&amp;",region:"&amp;CU19&amp;",Colors:"&amp;HC19&amp;",Items:"&amp;GS19&amp;",Flag:"&amp;CV19&amp;",HDFlag:"&amp;CHAR(34)&amp;E19&amp;CHAR(34)&amp;",type:"&amp;GP19&amp;", describe: "&amp;HH19&amp;", isnew:"&amp;CHAR(34)&amp;F19&amp;CHAR(34)&amp;", links: "&amp;HL19&amp;"},"</f>
        <v>{couname:"[ARG] Santiago del Estero",year:"1985",region:"rgn_South America",Colors:["cl_BLU","cl_WHI"],Items:["2Color","words2","words3","lets17","startS","BLUWHI","year19","allver","4+Band","Vertic","Circle","Weapon","HasSun","Center","NO_RED","NO_GRE","NO_YEL","NO_BLA","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links: "https://en.wikipedia.org/wiki/Flag_of_Santiago_del_Estero_Province"},</v>
      </c>
      <c r="HG19" s="73" t="str">
        <f>"{couname:"&amp;CT19&amp;(IF(HK19&lt;&gt;"",",subtype:"&amp;CHAR(34)&amp;HK19&amp;CHAR(34),""))&amp;",year:"&amp;HJ19&amp;",region:"&amp;CU19&amp;",Colors:"&amp;HC19&amp;",Items:"&amp;GS19&amp;",Flag:"&amp;CV19&amp;",HDFlag:"&amp;CHAR(34)&amp;E19&amp;CHAR(34)&amp;",type:"&amp;GP19&amp;", describe: "&amp;HI19&amp;", links: "&amp;HL19&amp;"},"</f>
        <v>{couname:"[ARG] Santiago del Estero",year:"1985",region:"rgn_South America",Colors:["cl_BLU","cl_WHI"],Items:["2Color","words2","words3","lets17","startS","BLUWHI","year19","allver","4+Band","Vertic","Circle","Weapon","HasSun","Center","NO_RED","NO_GRE","NO_YEL","NO_BLA","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links: "https://en.wikipedia.org/wiki/Flag_of_Santiago_del_Estero_Province"},</v>
      </c>
      <c r="HH19" s="48" t="str">
        <f>IF(P19&lt;&gt;"",CHAR(34)&amp;"\n"&amp;P19&amp;CHAR(34),CHAR(34)&amp;CHAR(34))</f>
        <v>"\nLight blue and white are the Argentine national colors, while red represents the Federalist Party to which the province owes its autonomy. The sun refers to the Sun of May present on the national flag. The cross represents the Catholic and Spanish heritage of the region."</v>
      </c>
      <c r="HI19" s="48" t="str">
        <f>IF(J19=0,CHAR(34)&amp;CHAR(34),HH19)</f>
        <v>"\nLight blue and white are the Argentine national colors, while red represents the Federalist Party to which the province owes its autonomy. The sun refers to the Sun of May present on the national flag. The cross represents the Catholic and Spanish heritage of the region."</v>
      </c>
      <c r="HJ19" s="48" t="str">
        <f>CHAR(34)&amp;O19&amp;CHAR(34)</f>
        <v>"1985"</v>
      </c>
      <c r="HL19" s="48" t="str">
        <f>CHAR(34)&amp;I19&amp;CHAR(34)</f>
        <v>"https://en.wikipedia.org/wiki/Flag_of_Santiago_del_Estero_Province"</v>
      </c>
      <c r="HM19" s="72"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"&amp;HH19&amp;", "&amp;CHAR(34)&amp;"isnew"&amp;CHAR(34)&amp;": "&amp;CHAR(34)&amp;F19&amp;CHAR(34)&amp;", "&amp;CHAR(34)&amp;"links"&amp;CHAR(34)&amp;": "&amp;HL19&amp;"},"</f>
        <v>{"couname":"[ARG] Santiago del Estero","year":"1985","region":"rgn_South America","Colors":["cl_BLU","cl_WHI"],"Items":["2Color","words2","words3","lets17","startS","BLUWHI","year19","allver","4+Band","Vertic","Circle","Weapon","HasSun","Center","NO_RED","NO_GRE","NO_YEL","NO_BLA","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 "links": "https://en.wikipedia.org/wiki/Flag_of_Santiago_del_Estero_Province"},</v>
      </c>
      <c r="HN19" s="74"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"&amp;HI19&amp;", "&amp;CHAR(34)&amp;"isnew"&amp;CHAR(34)&amp;": "&amp;CHAR(34)&amp;F19&amp;CHAR(34)&amp;", "&amp;CHAR(34)&amp;"links"&amp;CHAR(34)&amp;": "&amp;HL19&amp;"},"</f>
        <v>{"couname":"[ARG] Santiago del Estero","year":"1985","region":"rgn_South America","Colors":["cl_BLU","cl_WHI"],"Items":["2Color","words2","words3","lets17","startS","BLUWHI","year19","allver","4+Band","Vertic","Circle","Weapon","HasSun","Center","NO_RED","NO_GRE","NO_YEL","NO_BLA","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 "links": "https://en.wikipedia.org/wiki/Flag_of_Santiago_del_Estero_Province"},</v>
      </c>
      <c r="HO19" s="75">
        <v>45610</v>
      </c>
      <c r="HP19" s="48" t="str" cm="1">
        <f t="array" ref="HP19">IF(_xlfn.TEXTJOIN(", ", TRUE, IF(ISNUMBER(SEARCH("BLA", BL19:BT19)), COLUMN(BL19:BT19) - COLUMN(BL19) + 1, ""))&lt;&gt;"","BLA","")</f>
        <v/>
      </c>
      <c r="HQ19" s="48" t="str" cm="1">
        <f t="array" ref="HQ19">IF(_xlfn.TEXTJOIN(", ", TRUE, IF(ISNUMBER(SEARCH("BLU", BL19:BT19)), COLUMN(BL19:BT19) - COLUMN(BL19) + 1, ""))&lt;&gt;"","BLU","")</f>
        <v>BLU</v>
      </c>
      <c r="HR19" s="48" t="str" cm="1">
        <f t="array" ref="HR19">IF(_xlfn.TEXTJOIN(", ", TRUE, IF(ISNUMBER(SEARCH("GRE", BL19:BT19)), COLUMN(BL19:BT19) - COLUMN(BL19) + 1, ""))&lt;&gt;"","GRE","")</f>
        <v/>
      </c>
      <c r="HS19" s="48" t="str" cm="1">
        <f t="array" ref="HS19">IF(_xlfn.TEXTJOIN(", ", TRUE, IF(ISNUMBER(SEARCH("RED", BL19:BT19)), COLUMN(BL19:BT19) - COLUMN(BL19) + 1, ""))&lt;&gt;"","RED","")</f>
        <v/>
      </c>
      <c r="HT19" s="48" t="str" cm="1">
        <f t="array" ref="HT19">IF(_xlfn.TEXTJOIN(", ", TRUE, IF(ISNUMBER(SEARCH("YEL", BL19:BT19)), COLUMN(BL19:BT19) - COLUMN(BL19) + 1, ""))&lt;&gt;"","YEL","")</f>
        <v/>
      </c>
      <c r="HU19" s="48" t="str" cm="1">
        <f t="array" ref="HU19">IF(_xlfn.TEXTJOIN(", ", TRUE, IF(ISNUMBER(SEARCH("ORA", BL19:BT19)), COLUMN(BL19:BT19) - COLUMN(BL19) + 1, ""))&lt;&gt;"","ORA","")</f>
        <v/>
      </c>
      <c r="HV19" s="48" t="str" cm="1">
        <f t="array" ref="HV19">IF(_xlfn.TEXTJOIN(", ", TRUE, IF(ISNUMBER(SEARCH("BRO", BL19:BT19)), COLUMN(BL19:BT19) - COLUMN(BL19) + 1, ""))&lt;&gt;"","BRO","")</f>
        <v/>
      </c>
      <c r="HW19" s="48" t="str" cm="1">
        <f t="array" ref="HW19">IF(_xlfn.TEXTJOIN(", ", TRUE, IF(ISNUMBER(SEARCH("PUR", BL19:BT19)), COLUMN(BL19:BT19) - COLUMN(BL19) + 1, ""))&lt;&gt;"","PUR","")</f>
        <v/>
      </c>
      <c r="HX19" s="48" t="str" cm="1">
        <f t="array" ref="HX19">IF(_xlfn.TEXTJOIN(", ", TRUE, IF(ISNUMBER(SEARCH("WHI", BL19:BT19)), COLUMN(BL19:BT19) - COLUMN(BL19) + 1, ""))&lt;&gt;"","WHI","")</f>
        <v>WHI</v>
      </c>
      <c r="HY19" s="76"/>
      <c r="HZ19" s="76"/>
      <c r="IA19" s="6"/>
      <c r="IB19" s="6"/>
      <c r="IC19" s="77"/>
      <c r="ID19" s="77"/>
      <c r="IE19" s="77"/>
      <c r="IF19" s="77"/>
      <c r="IG19" s="77"/>
      <c r="IH19" s="77"/>
      <c r="II19" s="77"/>
      <c r="IJ19" s="77"/>
      <c r="IK19" s="77"/>
      <c r="IM19" s="45">
        <f>COUNTIF(IC19:IK19,"&gt;0")-CG19</f>
        <v>-2</v>
      </c>
      <c r="IN19" s="78" t="str">
        <f>"http://mkweb.bcgsc.ca/color-summarizer/?url="&amp;D19&amp;"&amp;precision=low&amp;num_clusters="&amp;CG19&amp;"&amp;text=1"</f>
        <v>http://mkweb.bcgsc.ca/color-summarizer/?url=https://upload.wikimedia.org/wikipedia/commons/thumb/0/07/Bandera_de_la_Provincia_de_Santiago_del_Estero.svg/320px-Bandera_de_la_Provincia_de_Santiago_del_Estero.svg.png&amp;precision=low&amp;num_clusters=2&amp;text=1</v>
      </c>
      <c r="IO19" s="48" t="str">
        <f>IF(HP19&lt;&gt;"",CHAR(34)&amp;"black"&amp;CHAR(34),"")</f>
        <v/>
      </c>
      <c r="IP19" s="48" t="str">
        <f>IF(HQ19&lt;&gt;"",CHAR(34)&amp;"blue"&amp;CHAR(34),"")</f>
        <v>"blue"</v>
      </c>
      <c r="IQ19" s="48" t="str">
        <f>IF(HR19&lt;&gt;"",CHAR(34)&amp;"green"&amp;CHAR(34),"")</f>
        <v/>
      </c>
      <c r="IR19" s="48" t="str">
        <f>IF(HS19&lt;&gt;"",CHAR(34)&amp;"red"&amp;CHAR(34),"")</f>
        <v/>
      </c>
      <c r="IS19" s="48" t="str">
        <f>IF(HT19&lt;&gt;"",CHAR(34)&amp;"yellow"&amp;CHAR(34),"")</f>
        <v/>
      </c>
      <c r="IT19" s="48" t="str">
        <f>IF(HU19&lt;&gt;"",CHAR(34)&amp;"orange"&amp;CHAR(34),"")</f>
        <v/>
      </c>
      <c r="IU19" s="48" t="str">
        <f>IF(HV19&lt;&gt;"",CHAR(34)&amp;"brown"&amp;CHAR(34),"")</f>
        <v/>
      </c>
      <c r="IV19" s="48" t="str">
        <f>IF(HW19&lt;&gt;"",CHAR(34)&amp;"purple"&amp;CHAR(34),"")</f>
        <v/>
      </c>
      <c r="IW19" s="48" t="str">
        <f>IF(HX19&lt;&gt;"",CHAR(34)&amp;"white"&amp;CHAR(34),"")</f>
        <v>"white"</v>
      </c>
      <c r="IX19" s="48" t="str">
        <f>"{"&amp;CHAR(34)&amp;"url"&amp;CHAR(34)&amp;":"&amp;CHAR(34)&amp;IN19&amp;CHAR(34)&amp;","&amp;CHAR(34)&amp;"name"&amp;CHAR(34)&amp;":"&amp;CHAR(34)&amp;A19&amp;CHAR(34)&amp;"},"</f>
        <v>{"url":"http://mkweb.bcgsc.ca/color-summarizer/?url=https://upload.wikimedia.org/wikipedia/commons/thumb/0/07/Bandera_de_la_Provincia_de_Santiago_del_Estero.svg/320px-Bandera_de_la_Provincia_de_Santiago_del_Estero.svg.png&amp;precision=low&amp;num_clusters=2&amp;text=1","name":"[ARG] Santiago del Estero"},</v>
      </c>
      <c r="IY19" s="48">
        <v>1349</v>
      </c>
    </row>
    <row r="20" spans="1:259" s="48" customFormat="1" ht="38.4" customHeight="1" thickBot="1" x14ac:dyDescent="0.35">
      <c r="A20" s="79" t="s">
        <v>366</v>
      </c>
      <c r="B20" s="40" t="e" vm="19">
        <v>#VALUE!</v>
      </c>
      <c r="C20" s="41">
        <v>2</v>
      </c>
      <c r="D20" s="42" t="s">
        <v>367</v>
      </c>
      <c r="E20" s="43" t="s">
        <v>368</v>
      </c>
      <c r="F20" s="44" t="s">
        <v>166</v>
      </c>
      <c r="G20" s="45">
        <f>COUNTIF($A$1:$A$9999,A20)</f>
        <v>1</v>
      </c>
      <c r="H20" s="46" t="s">
        <v>369</v>
      </c>
      <c r="I20" s="47" t="s">
        <v>370</v>
      </c>
      <c r="J20" s="48" t="str">
        <f>""</f>
        <v/>
      </c>
      <c r="K20" s="49"/>
      <c r="L20" s="50"/>
      <c r="M20" s="50"/>
      <c r="N20" s="51" t="s">
        <v>169</v>
      </c>
      <c r="O20" s="52" t="s">
        <v>215</v>
      </c>
      <c r="P20" s="53" t="s">
        <v>371</v>
      </c>
      <c r="Q20" s="54">
        <v>3</v>
      </c>
      <c r="R20" s="55" t="s">
        <v>372</v>
      </c>
      <c r="S20" s="56">
        <v>3</v>
      </c>
      <c r="T20" s="57" t="s">
        <v>173</v>
      </c>
      <c r="U20" s="58" t="s">
        <v>172</v>
      </c>
      <c r="V20" s="58" t="s">
        <v>172</v>
      </c>
      <c r="W20" s="58" t="s">
        <v>172</v>
      </c>
      <c r="X20" s="58" t="s">
        <v>172</v>
      </c>
      <c r="Y20" s="58" t="s">
        <v>173</v>
      </c>
      <c r="Z20" s="58" t="s">
        <v>173</v>
      </c>
      <c r="AA20" s="58" t="s">
        <v>172</v>
      </c>
      <c r="AB20" s="58" t="s">
        <v>172</v>
      </c>
      <c r="AC20" s="58" t="s">
        <v>172</v>
      </c>
      <c r="AD20" s="58" t="s">
        <v>172</v>
      </c>
      <c r="AE20" s="58" t="s">
        <v>172</v>
      </c>
      <c r="AF20" s="59" t="s">
        <v>172</v>
      </c>
      <c r="AG20" s="59" t="s">
        <v>172</v>
      </c>
      <c r="AH20" s="59" t="s">
        <v>172</v>
      </c>
      <c r="AI20" s="59" t="s">
        <v>172</v>
      </c>
      <c r="AJ20" s="59" t="s">
        <v>172</v>
      </c>
      <c r="AK20" s="59" t="s">
        <v>172</v>
      </c>
      <c r="AL20" s="59" t="s">
        <v>172</v>
      </c>
      <c r="AM20" s="59" t="s">
        <v>172</v>
      </c>
      <c r="AN20" s="59" t="s">
        <v>172</v>
      </c>
      <c r="AO20" s="59" t="s">
        <v>172</v>
      </c>
      <c r="AP20" s="59" t="s">
        <v>172</v>
      </c>
      <c r="AQ20" s="59" t="s">
        <v>172</v>
      </c>
      <c r="AR20" s="59" t="s">
        <v>172</v>
      </c>
      <c r="AS20" s="59" t="s">
        <v>172</v>
      </c>
      <c r="AT20" s="60">
        <v>5</v>
      </c>
      <c r="AU20" s="59" t="s">
        <v>277</v>
      </c>
      <c r="AV20" s="59" t="str">
        <f>IF(LEFT(A20,1)="[",LEFT(A20,5)&amp;AU20&amp;A20,"")</f>
        <v>[ARG]Province[ARG] [ANT] Tierra del Fuego</v>
      </c>
      <c r="AW20" s="59" t="str">
        <f>C20&amp;IFERROR(SUBSTITUTE(A20, " [ANT]",""),"")</f>
        <v>2[ARG] Tierra del Fuego</v>
      </c>
      <c r="AX20" s="61"/>
      <c r="AY20" s="61"/>
      <c r="AZ20" s="62" t="s">
        <v>159</v>
      </c>
      <c r="BA20" s="62" t="s">
        <v>174</v>
      </c>
      <c r="BB20" s="62"/>
      <c r="BC20" s="63"/>
      <c r="BD20" s="64" t="s">
        <v>152</v>
      </c>
      <c r="BE20" s="47"/>
      <c r="BF20" s="64" t="s">
        <v>174</v>
      </c>
      <c r="BG20" s="64" t="s">
        <v>174</v>
      </c>
      <c r="BH20" s="64" t="s">
        <v>174</v>
      </c>
      <c r="BI20" s="64"/>
      <c r="BJ20" s="64"/>
      <c r="BK20" s="47"/>
      <c r="BL20" s="64" t="s">
        <v>151</v>
      </c>
      <c r="BM20" s="64" t="s">
        <v>152</v>
      </c>
      <c r="BN20" s="64" t="s">
        <v>153</v>
      </c>
      <c r="BO20" s="64" t="s">
        <v>154</v>
      </c>
      <c r="BP20" s="64" t="s">
        <v>155</v>
      </c>
      <c r="BQ20" s="64" t="s">
        <v>156</v>
      </c>
      <c r="BR20" s="64" t="s">
        <v>174</v>
      </c>
      <c r="BS20" s="64" t="s">
        <v>158</v>
      </c>
      <c r="BT20" s="64" t="s">
        <v>159</v>
      </c>
      <c r="BU20" s="65"/>
      <c r="BV20" s="66"/>
      <c r="BW20" s="66">
        <v>0</v>
      </c>
      <c r="BX20" s="47"/>
      <c r="CB20" s="6"/>
      <c r="CC20" s="6"/>
      <c r="CD20" s="67">
        <v>0</v>
      </c>
      <c r="CE20" s="67">
        <v>0</v>
      </c>
      <c r="CF20" s="67" t="e">
        <v>#REF!</v>
      </c>
      <c r="CG20" s="68" cm="1">
        <f t="array" ref="CG20">SUMPRODUCT(--(LEN(TRIM(BL20:BT20))&gt;0))</f>
        <v>8</v>
      </c>
      <c r="CH20" s="59" t="str">
        <f>IF(CG20=2,"y","n")</f>
        <v>n</v>
      </c>
      <c r="CI20" s="59" t="str">
        <f>IF(CG20=3,"y","n")</f>
        <v>n</v>
      </c>
      <c r="CJ20" s="59" t="str">
        <f>IF(CG20=4,"y","n")</f>
        <v>n</v>
      </c>
      <c r="CK20" s="59" t="str">
        <f>IF(CG20&gt;4,"y","n")</f>
        <v>y</v>
      </c>
      <c r="CL20" s="59" t="str">
        <f>IF(S20=0,"y","n")</f>
        <v>n</v>
      </c>
      <c r="CM20" s="59" t="str">
        <f>IF(S20=2,"y","n")</f>
        <v>n</v>
      </c>
      <c r="CN20" s="59" t="str">
        <f>IF(S20=3,"y","n")</f>
        <v>y</v>
      </c>
      <c r="CO20" s="59" t="str">
        <f>IF(S20&gt;=4,"y","n")</f>
        <v>n</v>
      </c>
      <c r="CP20" s="59" t="str">
        <f>IF(AT20=0,"y","n")</f>
        <v>n</v>
      </c>
      <c r="CQ20" s="59" t="str">
        <f>IF(AT20=1,"y","n")</f>
        <v>n</v>
      </c>
      <c r="CR20" s="59" t="str">
        <f>IF(AT20=2,"y","n")</f>
        <v>n</v>
      </c>
      <c r="CS20" s="59" t="str">
        <f>IF(AT20&gt;=3,"y","n")</f>
        <v>y</v>
      </c>
      <c r="CT20" s="69" t="str">
        <f>CHAR(34)&amp;A20&amp;CHAR(34)</f>
        <v>"[ARG] [ANT] Tierra del Fuego"</v>
      </c>
      <c r="CU20" s="70" t="str">
        <f>CHAR(34)&amp;"rgn_"&amp;R20&amp;CHAR(34)</f>
        <v>"rgn_Antarctica, rgn_South America"</v>
      </c>
      <c r="CV20" s="48" t="str">
        <f>CHAR(34)&amp;D20&amp;CHAR(34)</f>
        <v>"https://upload.wikimedia.org/wikipedia/commons/thumb/9/94/Bandera_de_la_Provincia_de_Tierra_del_Fuego.svg/640px-Bandera_de_la_Provincia_de_Tierra_del_Fuego.svg.png"</v>
      </c>
      <c r="CW20" s="48" t="str">
        <f t="shared" si="108"/>
        <v/>
      </c>
      <c r="CX20" s="48" t="str">
        <f t="shared" si="108"/>
        <v/>
      </c>
      <c r="CY20" s="48" t="str">
        <f t="shared" si="108"/>
        <v/>
      </c>
      <c r="CZ20" s="48" t="str">
        <f t="shared" si="108"/>
        <v>"5+Colo",</v>
      </c>
      <c r="DA20" s="48" t="str">
        <f>IF(Q20&gt;1,CHAR(34)&amp;"words2"&amp;CHAR(34)&amp;",","")</f>
        <v>"words2",</v>
      </c>
      <c r="DB20" s="48" t="str">
        <f>IF(Q20&gt;2,CHAR(34)&amp;"words3"&amp;CHAR(34)&amp;",","")</f>
        <v>"words3",</v>
      </c>
      <c r="DD20" s="48" t="str">
        <f>IF(LEN(CHAR(34)&amp;"lets"&amp;LEN(SUBSTITUTE(SUBSTITUTE(IFERROR(TRIM(SUBSTITUTE(A20,MID(A20,FIND("[",A20),FIND("]",A20)-FIND("[",A20)+1),"")),A20)," ",""),"-",""))&amp;CHAR(34)&amp;",")=9,CHAR(34)&amp;"lets"&amp;LEN(SUBSTITUTE(SUBSTITUTE(IFERROR(TRIM(SUBSTITUTE(A20,MID(A20,FIND("[",A20),FIND("]",A20)-FIND("[",A20)+1),"")),A20)," ",""),"-",""))&amp;CHAR(34)&amp;",",CHAR(34)&amp;"lets0"&amp;LEN(SUBSTITUTE(SUBSTITUTE(IFERROR(TRIM(SUBSTITUTE(A20,MID(A20,FIND("[",A20),FIND("]",A20)-FIND("[",A20)+1),"")),A20)," ",""),"-",""))&amp;CHAR(34)&amp;",")</f>
        <v>"lets19",</v>
      </c>
      <c r="DE20" s="48" t="str">
        <f>CHAR(34)&amp;"start"&amp;IFERROR(LEFT(SUBSTITUTE(A20,"["&amp;MID(A20,FIND("[",A20)+1,FIND("]",A20)-FIND("[",A20)-1)&amp;"] ",""),1),LEFT(A20,1))&amp;CHAR(34)&amp;","</f>
        <v>"start[",</v>
      </c>
      <c r="DF20" s="48" t="str">
        <f>IFERROR(IF(SEARCH("tan",A20)&gt;0,CHAR(34)&amp;"withtn"&amp;CHAR(34)&amp;",",""),"")</f>
        <v/>
      </c>
      <c r="DG20" s="48" t="str">
        <f>IFERROR(IF(SEARCH("q",A20)&gt;0,CHAR(34)&amp;"with_q"&amp;CHAR(34)&amp;",",""),"")</f>
        <v/>
      </c>
      <c r="DH20" s="48" t="str">
        <f>IFERROR(IF(SEARCH("v",A20)&gt;0,CHAR(34)&amp;"with_v"&amp;CHAR(34)&amp;",",""),"")</f>
        <v/>
      </c>
      <c r="DI20" s="48" t="str">
        <f>IFERROR(IF(SEARCH("w",A20)&gt;0,CHAR(34)&amp;"with_w"&amp;CHAR(34)&amp;",",""),"")</f>
        <v/>
      </c>
      <c r="DJ20" s="48" t="str">
        <f>IFERROR(IF(SEARCH("y",A20)&gt;0,CHAR(34)&amp;"with_y"&amp;CHAR(34)&amp;",",""),"")</f>
        <v/>
      </c>
      <c r="DK20" s="48" t="str">
        <f>IFERROR(IF(SEARCH("z",A20)&gt;0,CHAR(34)&amp;"with_z"&amp;CHAR(34)&amp;",",""),"")</f>
        <v/>
      </c>
      <c r="DL20" s="48" t="str">
        <f>IF(CG20=2, CHAR(34) &amp; _xlfn.TEXTJOIN("", TRUE, _xlfn._xlws.SORT(HP20:HX20)) &amp; CHAR(34) &amp; ",", "")</f>
        <v/>
      </c>
      <c r="DM20" s="48" t="str" cm="1">
        <f t="array" ref="DM20">IF(CG20=3,CHAR(34) &amp; _xlfn.TEXTJOIN("", TRUE, RIGHT(HP20:HX20, 2)) &amp; CHAR(34) &amp; ",", "")</f>
        <v/>
      </c>
      <c r="DN20" s="48" t="str">
        <f>IF(AND(ISNUMBER(SEARCH("18", O20)), ISERROR(SEARCH("1918", O20)), ISERROR(SEARCH("2018", O20))), CHAR(34) &amp; "year18" &amp; CHAR(34) &amp; ",", "")</f>
        <v/>
      </c>
      <c r="DO20" s="48" t="str">
        <f>IF(AND(ISNUMBER(SEARCH("19", O20)), ISERROR(SEARCH("1819", O20)),  ISERROR(SEARCH("1219", O20)),ISERROR(SEARCH("1119", O20)),ISERROR(SEARCH("1190", O20)),ISERROR(SEARCH("2019", O20))), CHAR(34) &amp; "year19" &amp; CHAR(34) &amp; ",", "")</f>
        <v>"year19",</v>
      </c>
      <c r="DP20" s="6" t="str">
        <f>IF(AND(ISNUMBER(SEARCH("20", O20)), ISERROR(SEARCH("1920", O20))), CHAR(34)&amp;"year00"&amp;CHAR(34)&amp;",", "")</f>
        <v/>
      </c>
      <c r="DQ20" s="6" t="str">
        <f>IF(CC20="y",CHAR(34)&amp;"soviet"&amp;CHAR(34)&amp;",","")</f>
        <v/>
      </c>
      <c r="DR20" s="6" t="str">
        <f>IF(BY20="y",CHAR(34)&amp;"dgband"&amp;CHAR(34)&amp;",","")</f>
        <v/>
      </c>
      <c r="DS20" s="6" t="str">
        <f>IF(W20="y",IF(AND(V20="n",BY20&lt;&gt;"y"),CHAR(34)&amp;"allver"&amp;CHAR(34)&amp;",",""),"")</f>
        <v/>
      </c>
      <c r="DT20" s="6" t="str">
        <f>IF(V20="y",IF(AND(W20="n",BY20&lt;&gt;"y"),CHAR(34)&amp;"allhor"&amp;CHAR(34)&amp;",",""),"")</f>
        <v/>
      </c>
      <c r="DU20" s="6" t="str">
        <f>IF(BY20="y",IF(AND(W20="n",V20="n"),CHAR(34)&amp;"alldia"&amp;CHAR(34)&amp;",",""),"")</f>
        <v/>
      </c>
      <c r="DW20" s="48" t="str">
        <f t="shared" si="109"/>
        <v/>
      </c>
      <c r="DX20" s="48" t="str">
        <f t="shared" si="109"/>
        <v/>
      </c>
      <c r="DY20" s="48" t="str">
        <f t="shared" si="109"/>
        <v>"3Bands",</v>
      </c>
      <c r="DZ20" s="48" t="str">
        <f t="shared" si="109"/>
        <v/>
      </c>
      <c r="EA20" s="48" t="str">
        <f t="shared" si="110"/>
        <v>"Diagon",</v>
      </c>
      <c r="EB20" s="48" t="str">
        <f t="shared" si="110"/>
        <v/>
      </c>
      <c r="EC20" s="48" t="str">
        <f t="shared" si="110"/>
        <v/>
      </c>
      <c r="ED20" s="48" t="str">
        <f t="shared" si="110"/>
        <v/>
      </c>
      <c r="EE20" s="48" t="str">
        <f t="shared" si="110"/>
        <v/>
      </c>
      <c r="EF20" s="48" t="str">
        <f>IF(AND(Y20&lt;&gt;"n",Y20&lt;&gt;""),CHAR(34)&amp;Y$1&amp;CHAR(34)&amp;",","")</f>
        <v>"Animal",</v>
      </c>
      <c r="EG20" s="48" t="str">
        <f t="shared" si="107"/>
        <v>"Bird",</v>
      </c>
      <c r="EH20" s="48" t="str">
        <f t="shared" si="107"/>
        <v/>
      </c>
      <c r="EI20" s="48" t="str">
        <f t="shared" si="107"/>
        <v/>
      </c>
      <c r="EJ20" s="48" t="str">
        <f t="shared" si="107"/>
        <v/>
      </c>
      <c r="EK20" s="48" t="str">
        <f t="shared" si="107"/>
        <v/>
      </c>
      <c r="EL20" s="48" t="str">
        <f t="shared" si="107"/>
        <v/>
      </c>
      <c r="EM20" s="48" t="str">
        <f t="shared" si="107"/>
        <v/>
      </c>
      <c r="EN20" s="48" t="str">
        <f t="shared" si="107"/>
        <v/>
      </c>
      <c r="EO20" s="48" t="str">
        <f t="shared" si="107"/>
        <v/>
      </c>
      <c r="EP20" s="48" t="str">
        <f t="shared" si="107"/>
        <v/>
      </c>
      <c r="EQ20" s="48" t="str">
        <f t="shared" si="107"/>
        <v/>
      </c>
      <c r="ER20" s="48" t="str">
        <f t="shared" si="107"/>
        <v/>
      </c>
      <c r="ES20" s="48" t="str">
        <f t="shared" si="107"/>
        <v/>
      </c>
      <c r="ET20" s="48" t="str">
        <f t="shared" si="107"/>
        <v/>
      </c>
      <c r="EU20" s="48" t="str">
        <f t="shared" si="107"/>
        <v/>
      </c>
      <c r="EV20" s="48" t="str">
        <f t="shared" si="107"/>
        <v/>
      </c>
      <c r="EW20" s="48" t="str">
        <f t="shared" si="106"/>
        <v/>
      </c>
      <c r="EX20" s="48" t="str">
        <f t="shared" si="106"/>
        <v/>
      </c>
      <c r="EY20" s="48" t="str">
        <f t="shared" si="106"/>
        <v/>
      </c>
      <c r="EZ20" s="48" t="str">
        <f t="shared" si="106"/>
        <v/>
      </c>
      <c r="FA20" s="48" t="str">
        <f>IF(AT20&gt;0,CHAR(34)&amp;"sta"&amp;AZ20&amp;CHAR(34)&amp;",","")</f>
        <v>"staWHI",</v>
      </c>
      <c r="FB20" s="48" t="str">
        <f>IF(AND(AT20&gt;0,BA20&lt;&gt;""),CHAR(34)&amp;"sta"&amp;BA20&amp;CHAR(34)&amp;",","")</f>
        <v/>
      </c>
      <c r="FD20" s="48" t="str">
        <f>IF(BV20="n",CHAR(34)&amp;"tcWHYE"&amp;CHAR(34)&amp;",",IF(BV20="y",CHAR(34)&amp;FD$1&amp;CHAR(34)&amp;",",""))</f>
        <v/>
      </c>
      <c r="FE20" s="48" t="str">
        <f>IF(COUNTIF(BL20:BT20,"BLU")=0,CHAR(34)&amp;"NO_BLU"&amp;CHAR(34)&amp;",", "")</f>
        <v/>
      </c>
      <c r="FF20" s="48" t="str">
        <f>IF(COUNTIF(BL20:BT20,"WHI")=0,CHAR(34)&amp;"NO_WHI"&amp;CHAR(34)&amp;",", "")</f>
        <v/>
      </c>
      <c r="FG20" s="48" t="str">
        <f>IF(COUNTIF(BL20:BT20,"RED")=0,CHAR(34)&amp;"NO_RED"&amp;CHAR(34)&amp;",", "")</f>
        <v/>
      </c>
      <c r="FH20" s="48" t="str">
        <f>IF(COUNTIF(BL20:BS20,"GRE")=0,CHAR(34)&amp;"NO_GRE"&amp;CHAR(34)&amp;",", "")</f>
        <v/>
      </c>
      <c r="FI20" s="48" t="str">
        <f>IF(COUNTIF(BL20:BT20,"YEL")=0,CHAR(34)&amp;"NO_YEL"&amp;CHAR(34)&amp;",", "")</f>
        <v/>
      </c>
      <c r="FJ20" s="48" t="str">
        <f>IF(COUNTIF(BL20:BT20,"BLA")=0,CHAR(34)&amp;"NO_BLA"&amp;CHAR(34)&amp;",", "")</f>
        <v/>
      </c>
      <c r="FK20" s="48" t="str">
        <f>IF(AND(FH20&lt;&gt;"",FF20&lt;&gt;""),CHAR(34)&amp;"WHGRNO"&amp;CHAR(34)&amp;",","")</f>
        <v/>
      </c>
      <c r="FL20" s="48" t="str">
        <f>IF(AND(FI20&lt;&gt;"",FF20&lt;&gt;""),CHAR(34)&amp;"WHYENO"&amp;CHAR(34)&amp;",","")</f>
        <v/>
      </c>
      <c r="FM20" s="48" t="str">
        <f>IF(AND(FJ20&lt;&gt;"",FF20&lt;&gt;""),CHAR(34)&amp;"BAWHNO"&amp;CHAR(34)&amp;",","")</f>
        <v/>
      </c>
      <c r="FN20" s="48" t="str">
        <f>IF(AND(FE20&lt;&gt;"",FF20&lt;&gt;""),CHAR(34)&amp;"BLWHNO"&amp;CHAR(34)&amp;",","")</f>
        <v/>
      </c>
      <c r="FO20" s="48" t="str">
        <f>IF(AND(FE20&lt;&gt;"",FG20&lt;&gt;""),CHAR(34)&amp;"BLRENO"&amp;CHAR(34)&amp;",","")</f>
        <v/>
      </c>
      <c r="FP20" s="48" t="str">
        <f>IF(AND(FF20&lt;&gt;"",FF20&lt;&gt;""),CHAR(34)&amp;"WHRENO"&amp;CHAR(34)&amp;",","")</f>
        <v/>
      </c>
      <c r="FQ20" s="48" t="str">
        <f>IF(LEN(BF20)=3,CHAR(34)&amp;"001"&amp;BF20&amp;CHAR(34)&amp;",","")</f>
        <v/>
      </c>
      <c r="FR20" s="48" t="str">
        <f>IF(LEN(BG20)=3,CHAR(34)&amp;"002"&amp;BG20&amp;CHAR(34)&amp;",","")</f>
        <v/>
      </c>
      <c r="FS20" s="48" t="str">
        <f>IF(LEN(BH20)=3,CHAR(34)&amp;"003"&amp;BH20&amp;CHAR(34)&amp;",","")</f>
        <v/>
      </c>
      <c r="FT20" s="48" t="str">
        <f>CHAR(34)&amp;"myr"&amp;BD20&amp;CHAR(34)&amp;","</f>
        <v>"myrBLU",</v>
      </c>
      <c r="FU20" s="48" t="str">
        <f>IF(AY20="y",CHAR(34)&amp;"island"&amp;CHAR(34)&amp;",","")</f>
        <v/>
      </c>
      <c r="FV20" s="48" t="str">
        <f>IF(BZ20="y",CHAR(34)&amp;"landlo"&amp;CHAR(34)&amp;",","")</f>
        <v/>
      </c>
      <c r="FW20" s="48" t="str">
        <f>IF(CA20="y",CHAR(34)&amp;"eunion"&amp;CHAR(34)&amp;",","")</f>
        <v/>
      </c>
      <c r="FY20" s="48" t="str">
        <f>IFERROR(IF(SEARCH("Arabic",CB20)&gt;0,CHAR(34)&amp;"arabic"&amp;CHAR(34)&amp;",",""),"")</f>
        <v/>
      </c>
      <c r="FZ20" s="48" t="str">
        <f>IFERROR(IF(SEARCH("English",CB20)&gt;0,CHAR(34)&amp;"englis"&amp;CHAR(34)&amp;",",""),"")</f>
        <v/>
      </c>
      <c r="GA20" s="48" t="str">
        <f>IFERROR(IF(SEARCH("French",CB20)&gt;0,CHAR(34)&amp;"french"&amp;CHAR(34)&amp;",",""),"")</f>
        <v/>
      </c>
      <c r="GB20" s="48" t="str">
        <f>IFERROR(IF(SEARCH("Spanish",CB20)&gt;0,CHAR(34)&amp;"spanis"&amp;CHAR(34)&amp;",",""),"")</f>
        <v/>
      </c>
      <c r="GE20" s="48" t="str">
        <f>IFERROR(IF(SEARCH("Dutch",CB20)&gt;0,CHAR(34)&amp;"dutchs"&amp;CHAR(34)&amp;",",""),"")</f>
        <v/>
      </c>
      <c r="GF20" s="48" t="str">
        <f>IFERROR(IF(SEARCH("Historical",AU20)&gt;0,CHAR(34)&amp;"histor"&amp;CHAR(34)&amp;",",""),"")</f>
        <v/>
      </c>
      <c r="GG20" s="48" t="str">
        <f>IF(BU20="y",CHAR(34)&amp;"unjack"&amp;CHAR(34)&amp;",","")</f>
        <v/>
      </c>
      <c r="GH20" s="48" t="str">
        <f>IF(CD20=1,CHAR(34)&amp;"southc"&amp;CHAR(34)&amp;",","")</f>
        <v/>
      </c>
      <c r="GI20" s="48" t="str">
        <f>IF(CE20=1,CHAR(34)&amp;"hasmap"&amp;CHAR(34)&amp;",","")</f>
        <v/>
      </c>
      <c r="GJ20" s="48" t="str">
        <f>IF(CP20="y",CHAR(34)&amp;CP$1&amp;CHAR(34)&amp;",","")</f>
        <v/>
      </c>
      <c r="GK20" s="48" t="str">
        <f>IF(GJ20="",CHAR(34)&amp;"HasSta"&amp;CHAR(34)&amp;",","")</f>
        <v>"HasSta",</v>
      </c>
      <c r="GL20" s="48" t="str">
        <f t="shared" si="111"/>
        <v/>
      </c>
      <c r="GM20" s="48" t="str">
        <f t="shared" si="111"/>
        <v/>
      </c>
      <c r="GN20" s="48" t="str">
        <f t="shared" si="111"/>
        <v>"3+Star",</v>
      </c>
      <c r="GP20" s="48" t="str">
        <f>CHAR(34)&amp;AU20&amp;CHAR(34)</f>
        <v>"Province"</v>
      </c>
      <c r="GS20" s="48" t="str">
        <f>SUBSTITUTE("["&amp;_xlfn.CONCAT(CW20:GN20)&amp;"]",",]","]")</f>
        <v>["5+Colo","words2","words3","lets19","start[","year19","3Bands","Diagon","Animal","Bird","staWHI","myrBLU","HasSta","3+Star"]</v>
      </c>
      <c r="GT20" s="48" t="str">
        <f t="shared" si="112"/>
        <v>"cl_BLA",</v>
      </c>
      <c r="GU20" s="48" t="str">
        <f t="shared" si="112"/>
        <v>"cl_BLU",</v>
      </c>
      <c r="GV20" s="48" t="str">
        <f t="shared" si="112"/>
        <v>"cl_GRE",</v>
      </c>
      <c r="GW20" s="48" t="str">
        <f t="shared" si="112"/>
        <v>"cl_RED",</v>
      </c>
      <c r="GX20" s="48" t="str">
        <f t="shared" si="112"/>
        <v>"cl_YEL",</v>
      </c>
      <c r="GY20" s="48" t="str">
        <f t="shared" si="112"/>
        <v>"cl_ORA",</v>
      </c>
      <c r="GZ20" s="48" t="str">
        <f t="shared" si="112"/>
        <v/>
      </c>
      <c r="HA20" s="48" t="str">
        <f t="shared" si="112"/>
        <v>"cl_PUR",</v>
      </c>
      <c r="HB20" s="48" t="str">
        <f t="shared" si="112"/>
        <v>"cl_WHI",</v>
      </c>
      <c r="HC20" s="48" t="str">
        <f>SUBSTITUTE("["&amp;_xlfn.CONCAT(GT20:HB20)&amp;"]",",]","]")</f>
        <v>["cl_BLA","cl_BLU","cl_GRE","cl_RED","cl_YEL","cl_ORA","cl_PUR","cl_WHI"]</v>
      </c>
      <c r="HE20" s="71"/>
      <c r="HF20" s="72" t="str">
        <f>"{couname:"&amp;CT20&amp;(IF(HK20&lt;&gt;"",",subtype:"&amp;CHAR(34)&amp;HK20&amp;CHAR(34),""))&amp;",year:"&amp;HJ20&amp;",region:"&amp;CU20&amp;",Colors:"&amp;HC20&amp;",Items:"&amp;GS20&amp;",Flag:"&amp;CV20&amp;",HDFlag:"&amp;CHAR(34)&amp;E20&amp;CHAR(34)&amp;",type:"&amp;GP20&amp;", describe: "&amp;HH20&amp;", isnew:"&amp;CHAR(34)&amp;F20&amp;CHAR(34)&amp;", links: "&amp;HL20&amp;"},"</f>
        <v>{couname:"[ARG] [ANT] Tierra del Fuego",year:"1999 ",region:"rgn_Antarctica, rgn_South America",Colors:["cl_BLA","cl_BLU","cl_GRE","cl_RED","cl_YEL","cl_ORA","cl_PUR","cl_WHI"],Items:["5+Colo","words2","words3","lets19","start[","year19","3Bands","Diagon","Animal","Bird","staWHI","myrBLU","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links: "https://en.wikipedia.org/wiki/Flag_of_the_Tierra_del_Fuego_Province,_Argentina"},</v>
      </c>
      <c r="HG20" s="73" t="str">
        <f>"{couname:"&amp;CT20&amp;(IF(HK20&lt;&gt;"",",subtype:"&amp;CHAR(34)&amp;HK20&amp;CHAR(34),""))&amp;",year:"&amp;HJ20&amp;",region:"&amp;CU20&amp;",Colors:"&amp;HC20&amp;",Items:"&amp;GS20&amp;",Flag:"&amp;CV20&amp;",HDFlag:"&amp;CHAR(34)&amp;E20&amp;CHAR(34)&amp;",type:"&amp;GP20&amp;", describe: "&amp;HI20&amp;", links: "&amp;HL20&amp;"},"</f>
        <v>{couname:"[ARG] [ANT] Tierra del Fuego",year:"1999 ",region:"rgn_Antarctica, rgn_South America",Colors:["cl_BLA","cl_BLU","cl_GRE","cl_RED","cl_YEL","cl_ORA","cl_PUR","cl_WHI"],Items:["5+Colo","words2","words3","lets19","start[","year19","3Bands","Diagon","Animal","Bird","staWHI","myrBLU","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links: "https://en.wikipedia.org/wiki/Flag_of_the_Tierra_del_Fuego_Province,_Argentina"},</v>
      </c>
      <c r="HH20" s="48" t="str">
        <f>IF(P20&lt;&gt;"",CHAR(34)&amp;"\n"&amp;P20&amp;CHAR(34),CHAR(34)&amp;CHAR(34))</f>
        <v>"\nThe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v>
      </c>
      <c r="HI20" s="48" t="str">
        <f>IF(J20=0,CHAR(34)&amp;CHAR(34),HH20)</f>
        <v>"\nThe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v>
      </c>
      <c r="HJ20" s="48" t="str">
        <f>CHAR(34)&amp;O20&amp;CHAR(34)</f>
        <v>"1999 "</v>
      </c>
      <c r="HL20" s="48" t="str">
        <f>CHAR(34)&amp;I20&amp;CHAR(34)</f>
        <v>"https://en.wikipedia.org/wiki/Flag_of_the_Tierra_del_Fuego_Province,_Argentina"</v>
      </c>
      <c r="HM20" s="72"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"&amp;HH20&amp;", "&amp;CHAR(34)&amp;"isnew"&amp;CHAR(34)&amp;": "&amp;CHAR(34)&amp;F20&amp;CHAR(34)&amp;", "&amp;CHAR(34)&amp;"links"&amp;CHAR(34)&amp;": "&amp;HL20&amp;"},"</f>
        <v>{"couname":"[ARG] [ANT] Tierra del Fuego","subtype":"[·] Antarctica","year":"1999 ","region":"rgn_Antarctica, rgn_South America","Colors":["cl_BLA","cl_BLU","cl_GRE","cl_RED","cl_YEL","cl_ORA","cl_PUR","cl_WHI"],"Items":["5+Colo","words2","words3","lets19","start[","year19","3Bands","Diagon","Animal","Bird","staWHI","myrBLU","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 "links": "https://en.wikipedia.org/wiki/Flag_of_the_Tierra_del_Fuego_Province,_Argentina"},</v>
      </c>
      <c r="HN20" s="74"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"&amp;HI20&amp;", "&amp;CHAR(34)&amp;"isnew"&amp;CHAR(34)&amp;": "&amp;CHAR(34)&amp;F20&amp;CHAR(34)&amp;", "&amp;CHAR(34)&amp;"links"&amp;CHAR(34)&amp;": "&amp;HL20&amp;"},"</f>
        <v>{"couname":"[ARG] [ANT] Tierra del Fuego","subtype":"[·] Antarctica","year":"1999 ","region":"rgn_Antarctica, rgn_South America","Colors":["cl_BLA","cl_BLU","cl_GRE","cl_RED","cl_YEL","cl_ORA","cl_PUR","cl_WHI"],"Items":["5+Colo","words2","words3","lets19","start[","year19","3Bands","Diagon","Animal","Bird","staWHI","myrBLU","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 "links": "https://en.wikipedia.org/wiki/Flag_of_the_Tierra_del_Fuego_Province,_Argentina"},</v>
      </c>
      <c r="HO20" s="75">
        <v>45610</v>
      </c>
      <c r="HP20" s="48" t="str" cm="1">
        <f t="array" ref="HP20">IF(_xlfn.TEXTJOIN(", ", TRUE, IF(ISNUMBER(SEARCH("BLA", BL20:BT20)), COLUMN(BL20:BT20) - COLUMN(BL20) + 1, ""))&lt;&gt;"","BLA","")</f>
        <v>BLA</v>
      </c>
      <c r="HQ20" s="48" t="str" cm="1">
        <f t="array" ref="HQ20">IF(_xlfn.TEXTJOIN(", ", TRUE, IF(ISNUMBER(SEARCH("BLU", BL20:BT20)), COLUMN(BL20:BT20) - COLUMN(BL20) + 1, ""))&lt;&gt;"","BLU","")</f>
        <v>BLU</v>
      </c>
      <c r="HR20" s="48" t="str" cm="1">
        <f t="array" ref="HR20">IF(_xlfn.TEXTJOIN(", ", TRUE, IF(ISNUMBER(SEARCH("GRE", BL20:BT20)), COLUMN(BL20:BT20) - COLUMN(BL20) + 1, ""))&lt;&gt;"","GRE","")</f>
        <v>GRE</v>
      </c>
      <c r="HS20" s="48" t="str" cm="1">
        <f t="array" ref="HS20">IF(_xlfn.TEXTJOIN(", ", TRUE, IF(ISNUMBER(SEARCH("RED", BL20:BT20)), COLUMN(BL20:BT20) - COLUMN(BL20) + 1, ""))&lt;&gt;"","RED","")</f>
        <v>RED</v>
      </c>
      <c r="HT20" s="48" t="str" cm="1">
        <f t="array" ref="HT20">IF(_xlfn.TEXTJOIN(", ", TRUE, IF(ISNUMBER(SEARCH("YEL", BL20:BT20)), COLUMN(BL20:BT20) - COLUMN(BL20) + 1, ""))&lt;&gt;"","YEL","")</f>
        <v>YEL</v>
      </c>
      <c r="HU20" s="48" t="str" cm="1">
        <f t="array" ref="HU20">IF(_xlfn.TEXTJOIN(", ", TRUE, IF(ISNUMBER(SEARCH("ORA", BL20:BT20)), COLUMN(BL20:BT20) - COLUMN(BL20) + 1, ""))&lt;&gt;"","ORA","")</f>
        <v>ORA</v>
      </c>
      <c r="HV20" s="48" t="str" cm="1">
        <f t="array" ref="HV20">IF(_xlfn.TEXTJOIN(", ", TRUE, IF(ISNUMBER(SEARCH("BRO", BL20:BT20)), COLUMN(BL20:BT20) - COLUMN(BL20) + 1, ""))&lt;&gt;"","BRO","")</f>
        <v/>
      </c>
      <c r="HW20" s="48" t="str" cm="1">
        <f t="array" ref="HW20">IF(_xlfn.TEXTJOIN(", ", TRUE, IF(ISNUMBER(SEARCH("PUR", BL20:BT20)), COLUMN(BL20:BT20) - COLUMN(BL20) + 1, ""))&lt;&gt;"","PUR","")</f>
        <v>PUR</v>
      </c>
      <c r="HX20" s="48" t="str" cm="1">
        <f t="array" ref="HX20">IF(_xlfn.TEXTJOIN(", ", TRUE, IF(ISNUMBER(SEARCH("WHI", BL20:BT20)), COLUMN(BL20:BT20) - COLUMN(BL20) + 1, ""))&lt;&gt;"","WHI","")</f>
        <v>WHI</v>
      </c>
      <c r="HY20" s="76"/>
      <c r="HZ20" s="76"/>
      <c r="IA20" s="6"/>
      <c r="IB20" s="6"/>
      <c r="IC20" s="77"/>
      <c r="ID20" s="77"/>
      <c r="IE20" s="77"/>
      <c r="IF20" s="77"/>
      <c r="IG20" s="77"/>
      <c r="IH20" s="77"/>
      <c r="II20" s="77"/>
      <c r="IJ20" s="77"/>
      <c r="IK20" s="77"/>
      <c r="IM20" s="45">
        <f>COUNTIF(IC20:IK20,"&gt;0")-CG20</f>
        <v>-8</v>
      </c>
      <c r="IN20" s="78" t="str">
        <f>"http://mkweb.bcgsc.ca/color-summarizer/?url="&amp;D20&amp;"&amp;precision=low&amp;num_clusters="&amp;CG20&amp;"&amp;text=1"</f>
        <v>http://mkweb.bcgsc.ca/color-summarizer/?url=https://upload.wikimedia.org/wikipedia/commons/thumb/9/94/Bandera_de_la_Provincia_de_Tierra_del_Fuego.svg/640px-Bandera_de_la_Provincia_de_Tierra_del_Fuego.svg.png&amp;precision=low&amp;num_clusters=8&amp;text=1</v>
      </c>
      <c r="IO20" s="48" t="str">
        <f>IF(HP20&lt;&gt;"",CHAR(34)&amp;"black"&amp;CHAR(34),"")</f>
        <v>"black"</v>
      </c>
      <c r="IP20" s="48" t="str">
        <f>IF(HQ20&lt;&gt;"",CHAR(34)&amp;"blue"&amp;CHAR(34),"")</f>
        <v>"blue"</v>
      </c>
      <c r="IQ20" s="48" t="str">
        <f>IF(HR20&lt;&gt;"",CHAR(34)&amp;"green"&amp;CHAR(34),"")</f>
        <v>"green"</v>
      </c>
      <c r="IR20" s="48" t="str">
        <f>IF(HS20&lt;&gt;"",CHAR(34)&amp;"red"&amp;CHAR(34),"")</f>
        <v>"red"</v>
      </c>
      <c r="IS20" s="48" t="str">
        <f>IF(HT20&lt;&gt;"",CHAR(34)&amp;"yellow"&amp;CHAR(34),"")</f>
        <v>"yellow"</v>
      </c>
      <c r="IT20" s="48" t="str">
        <f>IF(HU20&lt;&gt;"",CHAR(34)&amp;"orange"&amp;CHAR(34),"")</f>
        <v>"orange"</v>
      </c>
      <c r="IU20" s="48" t="str">
        <f>IF(HV20&lt;&gt;"",CHAR(34)&amp;"brown"&amp;CHAR(34),"")</f>
        <v/>
      </c>
      <c r="IV20" s="48" t="str">
        <f>IF(HW20&lt;&gt;"",CHAR(34)&amp;"purple"&amp;CHAR(34),"")</f>
        <v>"purple"</v>
      </c>
      <c r="IW20" s="48" t="str">
        <f>IF(HX20&lt;&gt;"",CHAR(34)&amp;"white"&amp;CHAR(34),"")</f>
        <v>"white"</v>
      </c>
      <c r="IX20" s="48" t="str">
        <f>"{"&amp;CHAR(34)&amp;"url"&amp;CHAR(34)&amp;":"&amp;CHAR(34)&amp;IN20&amp;CHAR(34)&amp;","&amp;CHAR(34)&amp;"name"&amp;CHAR(34)&amp;":"&amp;CHAR(34)&amp;A20&amp;CHAR(34)&amp;"},"</f>
        <v>{"url":"http://mkweb.bcgsc.ca/color-summarizer/?url=https://upload.wikimedia.org/wikipedia/commons/thumb/9/94/Bandera_de_la_Provincia_de_Tierra_del_Fuego.svg/640px-Bandera_de_la_Provincia_de_Tierra_del_Fuego.svg.png&amp;precision=low&amp;num_clusters=8&amp;text=1","name":"[ARG] [ANT] Tierra del Fuego"},</v>
      </c>
      <c r="IY20" s="48">
        <v>1350</v>
      </c>
    </row>
    <row r="21" spans="1:259" s="48" customFormat="1" ht="38.4" customHeight="1" thickBot="1" x14ac:dyDescent="0.35">
      <c r="A21" s="79" t="s">
        <v>373</v>
      </c>
      <c r="B21" s="40" t="e" vm="20">
        <v>#VALUE!</v>
      </c>
      <c r="C21" s="41">
        <v>2</v>
      </c>
      <c r="D21" s="42" t="s">
        <v>374</v>
      </c>
      <c r="E21" s="43" t="s">
        <v>375</v>
      </c>
      <c r="F21" s="44" t="s">
        <v>166</v>
      </c>
      <c r="G21" s="45">
        <f>COUNTIF($A$1:$A$8299,A21)</f>
        <v>1</v>
      </c>
      <c r="H21" s="46"/>
      <c r="I21" s="47" t="s">
        <v>376</v>
      </c>
      <c r="J21" s="48" t="str">
        <f>""</f>
        <v/>
      </c>
      <c r="K21" s="49"/>
      <c r="L21" s="50"/>
      <c r="M21" s="50"/>
      <c r="N21" s="51" t="s">
        <v>169</v>
      </c>
      <c r="O21" s="52">
        <v>2010</v>
      </c>
      <c r="P21" s="53" t="s">
        <v>377</v>
      </c>
      <c r="Q21" s="54">
        <v>1</v>
      </c>
      <c r="R21" s="55" t="s">
        <v>169</v>
      </c>
      <c r="S21" s="56">
        <v>3</v>
      </c>
      <c r="T21" s="57" t="s">
        <v>172</v>
      </c>
      <c r="U21" s="58" t="s">
        <v>172</v>
      </c>
      <c r="V21" s="58" t="s">
        <v>173</v>
      </c>
      <c r="W21" s="58" t="s">
        <v>172</v>
      </c>
      <c r="X21" s="58" t="s">
        <v>172</v>
      </c>
      <c r="Y21" s="58" t="s">
        <v>172</v>
      </c>
      <c r="Z21" s="58" t="s">
        <v>172</v>
      </c>
      <c r="AA21" s="58" t="s">
        <v>172</v>
      </c>
      <c r="AB21" s="58" t="s">
        <v>172</v>
      </c>
      <c r="AC21" s="58" t="s">
        <v>172</v>
      </c>
      <c r="AD21" s="58" t="s">
        <v>172</v>
      </c>
      <c r="AE21" s="58" t="s">
        <v>172</v>
      </c>
      <c r="AF21" s="59" t="s">
        <v>172</v>
      </c>
      <c r="AG21" s="59" t="s">
        <v>173</v>
      </c>
      <c r="AH21" s="59" t="s">
        <v>172</v>
      </c>
      <c r="AI21" s="59" t="s">
        <v>172</v>
      </c>
      <c r="AJ21" s="59" t="s">
        <v>172</v>
      </c>
      <c r="AK21" s="59" t="s">
        <v>173</v>
      </c>
      <c r="AL21" s="59" t="s">
        <v>172</v>
      </c>
      <c r="AM21" s="59" t="s">
        <v>172</v>
      </c>
      <c r="AN21" s="59" t="s">
        <v>172</v>
      </c>
      <c r="AO21" s="59" t="s">
        <v>172</v>
      </c>
      <c r="AP21" s="59" t="s">
        <v>172</v>
      </c>
      <c r="AQ21" s="59" t="s">
        <v>172</v>
      </c>
      <c r="AR21" s="59" t="s">
        <v>173</v>
      </c>
      <c r="AS21" s="59" t="s">
        <v>172</v>
      </c>
      <c r="AT21" s="60">
        <v>0</v>
      </c>
      <c r="AU21" s="59" t="s">
        <v>277</v>
      </c>
      <c r="AV21" s="59" t="str">
        <f>IF(LEFT(A21,1)="[",LEFT(A21,5)&amp;AU21&amp;A21,"")</f>
        <v>[ARG]Province[ARG] Tucumán</v>
      </c>
      <c r="AW21" s="59" t="str">
        <f>C21&amp;IFERROR(SUBSTITUTE(A21, " [ANT]",""),"")</f>
        <v>2[ARG] Tucumán</v>
      </c>
      <c r="AX21" s="61" t="str">
        <f>_xlfn.TEXTJOIN(";",TRUE,AU21:AW21)</f>
        <v>Province;[ARG]Province[ARG] Tucumán;2[ARG] Tucumán</v>
      </c>
      <c r="AY21" s="61" t="s">
        <v>173</v>
      </c>
      <c r="AZ21" s="62"/>
      <c r="BA21" s="62"/>
      <c r="BB21" s="62"/>
      <c r="BC21" s="63"/>
      <c r="BD21" s="64" t="s">
        <v>217</v>
      </c>
      <c r="BE21" s="47"/>
      <c r="BF21" s="64" t="s">
        <v>152</v>
      </c>
      <c r="BG21" s="64" t="s">
        <v>154</v>
      </c>
      <c r="BH21" s="64" t="s">
        <v>153</v>
      </c>
      <c r="BI21" s="64"/>
      <c r="BJ21" s="64"/>
      <c r="BK21" s="47"/>
      <c r="BL21" s="64" t="s">
        <v>152</v>
      </c>
      <c r="BM21" s="64" t="s">
        <v>154</v>
      </c>
      <c r="BN21" s="64" t="s">
        <v>153</v>
      </c>
      <c r="BO21" s="64" t="s">
        <v>155</v>
      </c>
      <c r="BP21" s="64" t="s">
        <v>151</v>
      </c>
      <c r="BQ21" s="64"/>
      <c r="BR21" s="64"/>
      <c r="BS21" s="64"/>
      <c r="BT21" s="64"/>
      <c r="BU21" s="65"/>
      <c r="BV21" s="66" t="s">
        <v>278</v>
      </c>
      <c r="BW21" s="66">
        <v>0</v>
      </c>
      <c r="BX21" s="47"/>
      <c r="CB21" s="6" t="s">
        <v>137</v>
      </c>
      <c r="CC21" s="6"/>
      <c r="CD21" s="67">
        <v>0</v>
      </c>
      <c r="CE21" s="67">
        <v>0</v>
      </c>
      <c r="CF21" s="67" t="e">
        <v>#REF!</v>
      </c>
      <c r="CG21" s="68" cm="1">
        <f t="array" ref="CG21">SUMPRODUCT(--(LEN(TRIM(BL21:BT21))&gt;0))</f>
        <v>5</v>
      </c>
      <c r="CH21" s="59" t="str">
        <f>IF(CG21=2,"y","n")</f>
        <v>n</v>
      </c>
      <c r="CI21" s="59" t="str">
        <f>IF(CG21=3,"y","n")</f>
        <v>n</v>
      </c>
      <c r="CJ21" s="59" t="str">
        <f>IF(CG21=4,"y","n")</f>
        <v>n</v>
      </c>
      <c r="CK21" s="59" t="str">
        <f>IF(CG21&gt;4,"y","n")</f>
        <v>y</v>
      </c>
      <c r="CL21" s="59" t="str">
        <f>IF(S21=0,"y","n")</f>
        <v>n</v>
      </c>
      <c r="CM21" s="59" t="str">
        <f>IF(S21=2,"y","n")</f>
        <v>n</v>
      </c>
      <c r="CN21" s="59" t="str">
        <f>IF(S21=3,"y","n")</f>
        <v>y</v>
      </c>
      <c r="CO21" s="59" t="str">
        <f>IF(S21&gt;=4,"y","n")</f>
        <v>n</v>
      </c>
      <c r="CP21" s="59" t="str">
        <f>IF(AT21=0,"y","n")</f>
        <v>y</v>
      </c>
      <c r="CQ21" s="59" t="str">
        <f>IF(AT21=1,"y","n")</f>
        <v>n</v>
      </c>
      <c r="CR21" s="59" t="str">
        <f>IF(AT21=2,"y","n")</f>
        <v>n</v>
      </c>
      <c r="CS21" s="59" t="str">
        <f>IF(AT21&gt;=3,"y","n")</f>
        <v>n</v>
      </c>
      <c r="CT21" s="69" t="str">
        <f>CHAR(34)&amp;A21&amp;CHAR(34)</f>
        <v>"[ARG] Tucumán"</v>
      </c>
      <c r="CU21" s="70" t="str">
        <f>CHAR(34)&amp;"rgn_"&amp;R21&amp;CHAR(34)</f>
        <v>"rgn_South America"</v>
      </c>
      <c r="CV21" s="48" t="str">
        <f>CHAR(34)&amp;D21&amp;CHAR(34)</f>
        <v>"https://upload.wikimedia.org/wikipedia/commons/thumb/c/ce/Bandera_de_la_Provincia_de_Tucum%C3%A1n.svg/320px-Bandera_de_la_Provincia_de_Tucum%C3%A1n.svg.png"</v>
      </c>
      <c r="CW21" s="48" t="str">
        <f t="shared" si="108"/>
        <v/>
      </c>
      <c r="CX21" s="48" t="str">
        <f t="shared" si="108"/>
        <v/>
      </c>
      <c r="CY21" s="48" t="str">
        <f t="shared" si="108"/>
        <v/>
      </c>
      <c r="CZ21" s="48" t="str">
        <f t="shared" si="108"/>
        <v>"5+Colo",</v>
      </c>
      <c r="DA21" s="48" t="str">
        <f>IF(Q21&gt;1,CHAR(34)&amp;"words2"&amp;CHAR(34)&amp;",","")</f>
        <v/>
      </c>
      <c r="DB21" s="48" t="str">
        <f>IF(Q21&gt;2,CHAR(34)&amp;"words3"&amp;CHAR(34)&amp;",","")</f>
        <v/>
      </c>
      <c r="DC21" s="48" t="str">
        <f>IF(Q21=2,CHAR(34)&amp;"exact2"&amp;CHAR(34)&amp;",","")</f>
        <v/>
      </c>
      <c r="DD21" s="48" t="str">
        <f>IF(LEN(CHAR(34)&amp;"lets"&amp;LEN(SUBSTITUTE(SUBSTITUTE(IFERROR(TRIM(SUBSTITUTE(SUBSTITUTE(SUBSTITUTE(IFERROR(TRIM(SUBSTITUTE(A21,MID(A21,FIND("(",A21),FIND(")",A21)-FIND("(",A21)+1),"")),A21),"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",""),"-",""))&amp;CHAR(34)&amp;",")=9,CHAR(34)&amp;"lets"&amp;LEN(SUBSTITUTE(SUBSTITUTE(IFERROR(TRIM(SUBSTITUTE(SUBSTITUTE(SUBSTITUTE(IFERROR(TRIM(SUBSTITUTE(A21,MID(A21,FIND("(",A21),FIND(")",A21)-FIND("(",A21)+1),"")),A21),"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",""),"-",""))&amp;CHAR(34)&amp;",",CHAR(34)&amp;"lets0"&amp;LEN(SUBSTITUTE(SUBSTITUTE(IFERROR(TRIM(SUBSTITUTE(SUBSTITUTE(SUBSTITUTE(IFERROR(TRIM(SUBSTITUTE(A21,MID(A21,FIND("(",A21),FIND(")",A21)-FIND("(",A21)+1),"")),A21),"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f>
        <v>"lets07",</v>
      </c>
      <c r="DE21" s="48" t="str">
        <f>IFERROR(CHAR(34)&amp;"start"&amp;LEFT(TRIM(SUBSTITUTE(SUBSTITUTE(TRIM(SUBSTITUTE(SUBSTITUTE(A21, MID(A21, FIND("[", A21), FIND("]", A21) - FIND("[", A21) + 1), ""), "  ", " ")), MID(TRIM(SUBSTITUTE(SUBSTITUTE(A21, MID(A21, FIND("[", A21), FIND("]", A21) - FIND("[", A21) + 1), ""), "  ", " ")), FIND("[", TRIM(SUBSTITUTE(SUBSTITUTE(A21, MID(A21, FIND("[", A21), FIND("]", A21) - FIND("[", A21) + 1), ""), "  ", " "))), FIND("]", TRIM(SUBSTITUTE(SUBSTITUTE(A21, MID(A21, FIND("[", A21), FIND("]", A21) - FIND("[", A21) + 1), ""), "  ", " "))) - FIND("[", TRIM(SUBSTITUTE(SUBSTITUTE(A21, MID(A21, FIND("[", A21), FIND("]", A21) - FIND("[", A21) + 1), ""), "  ", " "))) + 1), ""), "  ", " ")),1)&amp;CHAR(34)&amp;",",CHAR(34)&amp;"start"&amp;IFERROR(LEFT(SUBSTITUTE(A21,"["&amp;MID(A21,FIND("[",A21)+1,FIND("]",A21)-FIND("[",A21)-1)&amp;"] ",""),1),LEFT(A21,1))&amp;CHAR(34)&amp;",")</f>
        <v>"startT",</v>
      </c>
      <c r="DF21" s="48" t="str">
        <f>IFERROR(IF(SEARCH("tan",A21)&gt;0,CHAR(34)&amp;"withtn"&amp;CHAR(34)&amp;",",""),"")</f>
        <v/>
      </c>
      <c r="DG21" s="48" t="str">
        <f>IFERROR(IF(SEARCH("q",A21)&gt;0,CHAR(34)&amp;"with_q"&amp;CHAR(34)&amp;",",""),"")</f>
        <v/>
      </c>
      <c r="DH21" s="48" t="str">
        <f>IFERROR(IF(SEARCH("v",A21)&gt;0,CHAR(34)&amp;"with_v"&amp;CHAR(34)&amp;",",""),"")</f>
        <v/>
      </c>
      <c r="DI21" s="48" t="str">
        <f>IFERROR(IF(SEARCH("w",A21)&gt;0,CHAR(34)&amp;"with_w"&amp;CHAR(34)&amp;",",""),"")</f>
        <v/>
      </c>
      <c r="DJ21" s="48" t="str">
        <f>IFERROR(IF(SEARCH("y",A21)&gt;0,CHAR(34)&amp;"with_y"&amp;CHAR(34)&amp;",",""),"")</f>
        <v/>
      </c>
      <c r="DK21" s="48" t="str">
        <f>IFERROR(IF(SEARCH("z",A21)&gt;0,CHAR(34)&amp;"with_z"&amp;CHAR(34)&amp;",",""),"")</f>
        <v/>
      </c>
      <c r="DL21" s="48" t="str">
        <f>IF(CG21=2, CHAR(34) &amp; _xlfn.TEXTJOIN("", TRUE, _xlfn._xlws.SORT(HP21:HX21)) &amp; CHAR(34) &amp; ",", "")</f>
        <v/>
      </c>
      <c r="DM21" s="48" t="str" cm="1">
        <f t="array" ref="DM21">IF(CG21=3,CHAR(34) &amp; _xlfn.TEXTJOIN("", TRUE, RIGHT(HP21:HX21, 2)) &amp; CHAR(34) &amp; ",", "")</f>
        <v/>
      </c>
      <c r="DN21" s="48" t="str">
        <f>IF(AND(ISNUMBER(SEARCH("18", O21)), ISERROR(SEARCH("1918", O21)), ISERROR(SEARCH("2018", O21))), CHAR(34) &amp; "year18" &amp; CHAR(34) &amp; ",", "")</f>
        <v/>
      </c>
      <c r="DO21" s="48" t="str">
        <f>IF(AND(ISNUMBER(SEARCH("19", O21)), ISERROR(SEARCH("1819", O21)),  ISERROR(SEARCH("1219", O21)),ISERROR(SEARCH("1119", O21)),ISERROR(SEARCH("1190", O21)),ISERROR(SEARCH("2019", O21))), CHAR(34) &amp; "year19" &amp; CHAR(34) &amp; ",", "")</f>
        <v/>
      </c>
      <c r="DP21" s="6" t="str">
        <f>IF(AND(ISNUMBER(SEARCH("20", O21)), ISERROR(SEARCH("1920", O21))), CHAR(34)&amp;"year00"&amp;CHAR(34)&amp;",", "")</f>
        <v>"year00",</v>
      </c>
      <c r="DQ21" s="6" t="str">
        <f>IF(CC21="y",CHAR(34)&amp;"soviet"&amp;CHAR(34)&amp;",","")</f>
        <v/>
      </c>
      <c r="DR21" s="6" t="str">
        <f>IF(BY21="y",CHAR(34)&amp;"dgband"&amp;CHAR(34)&amp;",","")</f>
        <v/>
      </c>
      <c r="DS21" s="6" t="str">
        <f>IF(W21="y",IF(AND(V21="n",BY21&lt;&gt;"y"),CHAR(34)&amp;"allver"&amp;CHAR(34)&amp;",",""),"")</f>
        <v/>
      </c>
      <c r="DT21" s="6" t="str">
        <f>IF(V21="y",IF(AND(W21="n",BY21&lt;&gt;"y"),CHAR(34)&amp;"allhor"&amp;CHAR(34)&amp;",",""),"")</f>
        <v>"allhor",</v>
      </c>
      <c r="DU21" s="6" t="str">
        <f>IF(BY21="y",IF(AND(W21="n",V21="n"),CHAR(34)&amp;"alldia"&amp;CHAR(34)&amp;",",""),"")</f>
        <v/>
      </c>
      <c r="DV21" s="48" t="str">
        <f>IF(IA21&lt;&gt;"",(IF(IA21="y",CHAR(34)&amp;"largec"&amp;CHAR(34)&amp;",",CHAR(34)&amp;"smallc"&amp;CHAR(34)&amp;",")),"")</f>
        <v/>
      </c>
      <c r="DW21" s="48" t="str">
        <f t="shared" si="109"/>
        <v/>
      </c>
      <c r="DX21" s="48" t="str">
        <f t="shared" si="109"/>
        <v/>
      </c>
      <c r="DY21" s="48" t="str">
        <f t="shared" si="109"/>
        <v>"3Bands",</v>
      </c>
      <c r="DZ21" s="48" t="str">
        <f t="shared" si="109"/>
        <v/>
      </c>
      <c r="EA21" s="48" t="str">
        <f t="shared" si="110"/>
        <v/>
      </c>
      <c r="EB21" s="48" t="str">
        <f t="shared" si="110"/>
        <v/>
      </c>
      <c r="EC21" s="48" t="str">
        <f t="shared" si="110"/>
        <v>"Horizo",</v>
      </c>
      <c r="ED21" s="48" t="str">
        <f t="shared" si="110"/>
        <v/>
      </c>
      <c r="EE21" s="48" t="str">
        <f t="shared" si="110"/>
        <v/>
      </c>
      <c r="EF21" s="48" t="str">
        <f>IF(AND(Y21&lt;&gt;"n",Y21&lt;&gt;""),CHAR(34)&amp;Y$1&amp;CHAR(34)&amp;",","")</f>
        <v/>
      </c>
      <c r="EG21" s="48" t="str">
        <f t="shared" si="107"/>
        <v/>
      </c>
      <c r="EH21" s="48" t="str">
        <f t="shared" si="107"/>
        <v/>
      </c>
      <c r="EI21" s="48" t="str">
        <f t="shared" si="107"/>
        <v/>
      </c>
      <c r="EJ21" s="48" t="str">
        <f t="shared" si="107"/>
        <v/>
      </c>
      <c r="EK21" s="48" t="str">
        <f t="shared" si="107"/>
        <v/>
      </c>
      <c r="EL21" s="48" t="str">
        <f t="shared" si="107"/>
        <v/>
      </c>
      <c r="EM21" s="48" t="str">
        <f t="shared" si="107"/>
        <v/>
      </c>
      <c r="EN21" s="48" t="str">
        <f t="shared" si="107"/>
        <v>"Unequa",</v>
      </c>
      <c r="EO21" s="48" t="str">
        <f t="shared" si="107"/>
        <v/>
      </c>
      <c r="EP21" s="48" t="str">
        <f t="shared" si="107"/>
        <v/>
      </c>
      <c r="EQ21" s="48" t="str">
        <f t="shared" si="107"/>
        <v/>
      </c>
      <c r="ER21" s="48" t="str">
        <f t="shared" si="107"/>
        <v>"OnlyBa",</v>
      </c>
      <c r="ES21" s="48" t="str">
        <f t="shared" si="107"/>
        <v/>
      </c>
      <c r="ET21" s="48" t="str">
        <f t="shared" si="107"/>
        <v/>
      </c>
      <c r="EU21" s="48" t="str">
        <f t="shared" si="107"/>
        <v/>
      </c>
      <c r="EV21" s="48" t="str">
        <f t="shared" si="107"/>
        <v/>
      </c>
      <c r="EW21" s="48" t="str">
        <f t="shared" si="106"/>
        <v/>
      </c>
      <c r="EX21" s="48" t="str">
        <f t="shared" si="106"/>
        <v/>
      </c>
      <c r="EY21" s="48" t="str">
        <f t="shared" si="106"/>
        <v>"Rotate",</v>
      </c>
      <c r="EZ21" s="48" t="str">
        <f t="shared" si="106"/>
        <v/>
      </c>
      <c r="FA21" s="48" t="str">
        <f>IF(AT21&gt;0,CHAR(34)&amp;"sta"&amp;AZ21&amp;CHAR(34)&amp;",","")</f>
        <v/>
      </c>
      <c r="FB21" s="48" t="str">
        <f>IF(AND(AT21&gt;0,BA21&lt;&gt;""),CHAR(34)&amp;"sta"&amp;BA21&amp;CHAR(34)&amp;",","")</f>
        <v/>
      </c>
      <c r="FC21" s="48" t="str">
        <f>IF(AND(AT21&gt;0,BB21&lt;&gt;""),CHAR(34)&amp;"sta"&amp;BB21&amp;CHAR(34)&amp;",","")</f>
        <v/>
      </c>
      <c r="FD21" s="48" t="str">
        <f>IF(BV21="n",CHAR(34)&amp;"tcWHYE"&amp;CHAR(34)&amp;",",IF(BV21="y",CHAR(34)&amp;FD$1&amp;CHAR(34)&amp;",",""))</f>
        <v/>
      </c>
      <c r="FE21" s="48" t="str">
        <f>IF(COUNTIF(BL21:BT21,"BLU")=0,CHAR(34)&amp;"NO_BLU"&amp;CHAR(34)&amp;",", "")</f>
        <v/>
      </c>
      <c r="FF21" s="48" t="str">
        <f>IF(COUNTIF(BL21:BT21,"WHI")=0,CHAR(34)&amp;"NO_WHI"&amp;CHAR(34)&amp;",", "")</f>
        <v>"NO_WHI",</v>
      </c>
      <c r="FG21" s="48" t="str">
        <f>IF(COUNTIF(BL21:BT21,"RED")=0,CHAR(34)&amp;"NO_RED"&amp;CHAR(34)&amp;",", "")</f>
        <v/>
      </c>
      <c r="FH21" s="48" t="str">
        <f>IF(COUNTIF(BL21:BS21,"GRE")=0,CHAR(34)&amp;"NO_GRE"&amp;CHAR(34)&amp;",", "")</f>
        <v/>
      </c>
      <c r="FI21" s="48" t="str">
        <f>IF(COUNTIF(BL21:BT21,"YEL")=0,CHAR(34)&amp;"NO_YEL"&amp;CHAR(34)&amp;",", "")</f>
        <v/>
      </c>
      <c r="FJ21" s="48" t="str">
        <f>IF(COUNTIF(BL21:BT21,"BLA")=0,CHAR(34)&amp;"NO_BLA"&amp;CHAR(34)&amp;",", "")</f>
        <v/>
      </c>
      <c r="FK21" s="48" t="str">
        <f>IF(AND(FH21&lt;&gt;"",FF21&lt;&gt;""),CHAR(34)&amp;"WHGRNO"&amp;CHAR(34)&amp;",","")</f>
        <v/>
      </c>
      <c r="FL21" s="48" t="str">
        <f>IF(AND(FI21&lt;&gt;"",FF21&lt;&gt;""),CHAR(34)&amp;"WHYENO"&amp;CHAR(34)&amp;",","")</f>
        <v/>
      </c>
      <c r="FM21" s="48" t="str">
        <f>IF(AND(FJ21&lt;&gt;"",FF21&lt;&gt;""),CHAR(34)&amp;"BAWHNO"&amp;CHAR(34)&amp;",","")</f>
        <v/>
      </c>
      <c r="FN21" s="48" t="str">
        <f>IF(AND(FE21&lt;&gt;"",FF21&lt;&gt;""),CHAR(34)&amp;"BLWHNO"&amp;CHAR(34)&amp;",","")</f>
        <v/>
      </c>
      <c r="FO21" s="48" t="str">
        <f>IF(AND(FE21&lt;&gt;"",FG21&lt;&gt;""),CHAR(34)&amp;"BLRENO"&amp;CHAR(34)&amp;",","")</f>
        <v/>
      </c>
      <c r="FP21" s="48" t="str">
        <f>IF(AND(FF21&lt;&gt;"",FF21&lt;&gt;""),CHAR(34)&amp;"WHRENO"&amp;CHAR(34)&amp;",","")</f>
        <v>"WHRENO",</v>
      </c>
      <c r="FQ21" s="48" t="str">
        <f>IF(LEN(BF21)=3,CHAR(34)&amp;"001"&amp;BF21&amp;CHAR(34)&amp;",","")</f>
        <v>"001BLU",</v>
      </c>
      <c r="FR21" s="48" t="str">
        <f>IF(LEN(BG21)=3,CHAR(34)&amp;"002"&amp;BG21&amp;CHAR(34)&amp;",","")</f>
        <v>"002RED",</v>
      </c>
      <c r="FS21" s="48" t="str">
        <f>IF(LEN(BH21)=3,CHAR(34)&amp;"003"&amp;BH21&amp;CHAR(34)&amp;",","")</f>
        <v>"003GRE",</v>
      </c>
      <c r="FT21" s="48" t="str">
        <f>CHAR(34)&amp;"myr"&amp;BD21&amp;CHAR(34)&amp;","</f>
        <v>"myrEQ",</v>
      </c>
      <c r="FU21" s="48" t="str">
        <f>IF(AY21="y",CHAR(34)&amp;"island"&amp;CHAR(34)&amp;",","")</f>
        <v>"island",</v>
      </c>
      <c r="FV21" s="48" t="str">
        <f>IF(BZ21="y",CHAR(34)&amp;"landlo"&amp;CHAR(34)&amp;",","")</f>
        <v/>
      </c>
      <c r="FW21" s="48" t="str">
        <f>IF(CA21="y",CHAR(34)&amp;"eunion"&amp;CHAR(34)&amp;",","")</f>
        <v/>
      </c>
      <c r="FX21" s="48" t="str">
        <f>SUBSTITUTE(IFERROR(SEARCH("[",A21),IFERROR(IF(AND(CA21&lt;&gt;"y",SEARCH("Europe",R21)&gt;0),CHAR(34)&amp;"noeuni"&amp;CHAR(34)&amp;",",""),"")),"1","")</f>
        <v/>
      </c>
      <c r="FY21" s="48" t="str">
        <f>IFERROR(IF(SEARCH("Arabic",CB21)&gt;0,CHAR(34)&amp;"arabic"&amp;CHAR(34)&amp;",",""),"")</f>
        <v/>
      </c>
      <c r="FZ21" s="48" t="str">
        <f>IFERROR(IF(SEARCH("English",CB21)&gt;0,CHAR(34)&amp;"englis"&amp;CHAR(34)&amp;",",""),"")</f>
        <v/>
      </c>
      <c r="GA21" s="48" t="str">
        <f>IFERROR(IF(SEARCH("French",CB21)&gt;0,CHAR(34)&amp;"french"&amp;CHAR(34)&amp;",",""),"")</f>
        <v>"french",</v>
      </c>
      <c r="GB21" s="48" t="str">
        <f>IFERROR(IF(SEARCH("Spanish",CB21)&gt;0,CHAR(34)&amp;"spanis"&amp;CHAR(34)&amp;",",""),"")</f>
        <v/>
      </c>
      <c r="GC21" s="48" t="str">
        <f>IFERROR(IF(SEARCH("Portuguese",CB21)&gt;0,CHAR(34)&amp;"portug"&amp;CHAR(34)&amp;",",""),"")</f>
        <v/>
      </c>
      <c r="GD21" s="48" t="str">
        <f>IFERROR(IF(SEARCH("German",CB21)&gt;0,CHAR(34)&amp;"german"&amp;CHAR(34)&amp;",",""),"")</f>
        <v/>
      </c>
      <c r="GE21" s="48" t="str">
        <f t="shared" ref="GE21" si="113">IFERROR(IF(SEARCH("Dutch",CB21)&gt;0,CHAR(34)&amp;"dutchs"&amp;CHAR(34)&amp;",",""),"")</f>
        <v/>
      </c>
      <c r="GF21" s="48" t="str">
        <f>IFERROR(IF(SEARCH("Histor",AU21)&gt;0,CHAR(34)&amp;"histor"&amp;CHAR(34)&amp;",",""),"")</f>
        <v/>
      </c>
      <c r="GG21" s="48" t="str">
        <f t="shared" ref="GG21" si="114">IF(BU21="y",CHAR(34)&amp;"unjack"&amp;CHAR(34)&amp;",","")</f>
        <v/>
      </c>
      <c r="GH21" s="48" t="str">
        <f t="shared" ref="GH21" si="115">IF(CD21=1,CHAR(34)&amp;"southc"&amp;CHAR(34)&amp;",","")</f>
        <v/>
      </c>
      <c r="GI21" s="48" t="str">
        <f t="shared" ref="GI21" si="116">IF(CE21=1,CHAR(34)&amp;"hasmap"&amp;CHAR(34)&amp;",","")</f>
        <v/>
      </c>
      <c r="GJ21" s="48" t="str">
        <f>IF(CP21="y",CHAR(34)&amp;CP$1&amp;CHAR(34)&amp;",","")</f>
        <v>"NoStar",</v>
      </c>
      <c r="GK21" s="48" t="str">
        <f>IF(GJ21="",CHAR(34)&amp;"HasSta"&amp;CHAR(34)&amp;",","")</f>
        <v/>
      </c>
      <c r="GL21" s="48" t="str">
        <f t="shared" si="111"/>
        <v/>
      </c>
      <c r="GM21" s="48" t="str">
        <f t="shared" si="111"/>
        <v/>
      </c>
      <c r="GN21" s="48" t="str">
        <f t="shared" si="111"/>
        <v/>
      </c>
      <c r="GP21" s="48" t="str">
        <f>CHAR(34)&amp;AU21&amp;CHAR(34)</f>
        <v>"Province"</v>
      </c>
      <c r="GS21" s="48" t="str">
        <f>SUBSTITUTE("["&amp;_xlfn.CONCAT(CW21:GN21)&amp;"]",",]","]")</f>
        <v>["5+Colo","lets07","startT","year00","allhor","3Bands","Horizo","Unequa","OnlyBa","Rotate","NO_WHI","WHRENO","001BLU","002RED","003GRE","myrEQ","island","french","NoStar"]</v>
      </c>
      <c r="GT21" s="48" t="str">
        <f t="shared" si="112"/>
        <v>"cl_BLU",</v>
      </c>
      <c r="GU21" s="48" t="str">
        <f t="shared" si="112"/>
        <v>"cl_RED",</v>
      </c>
      <c r="GV21" s="48" t="str">
        <f t="shared" si="112"/>
        <v>"cl_GRE",</v>
      </c>
      <c r="GW21" s="48" t="str">
        <f t="shared" si="112"/>
        <v>"cl_YEL",</v>
      </c>
      <c r="GX21" s="48" t="str">
        <f t="shared" si="112"/>
        <v>"cl_BLA",</v>
      </c>
      <c r="GY21" s="48" t="str">
        <f t="shared" si="112"/>
        <v/>
      </c>
      <c r="GZ21" s="48" t="str">
        <f t="shared" si="112"/>
        <v/>
      </c>
      <c r="HA21" s="48" t="str">
        <f t="shared" si="112"/>
        <v/>
      </c>
      <c r="HB21" s="48" t="str">
        <f t="shared" si="112"/>
        <v/>
      </c>
      <c r="HC21" s="48" t="str">
        <f>SUBSTITUTE("["&amp;_xlfn.CONCAT(GT21:HB21)&amp;"]",",]","]")</f>
        <v>["cl_BLU","cl_RED","cl_GRE","cl_YEL","cl_BLA"]</v>
      </c>
      <c r="HE21" s="71"/>
      <c r="HF21" s="72" t="str">
        <f>"{couname:"&amp;CT21&amp;(IF(HK21&lt;&gt;"",",subtype:"&amp;CHAR(34)&amp;HK21&amp;CHAR(34),""))&amp;",year:"&amp;HJ21&amp;",region:"&amp;CU21&amp;",Colors:"&amp;HC21&amp;",Items:"&amp;GS21&amp;",Flag:"&amp;CV21&amp;",HDFlag:"&amp;CHAR(34)&amp;E21&amp;CHAR(34)&amp;",type:"&amp;GP21&amp;", describe: "&amp;HH21&amp;", isnew:"&amp;CHAR(34)&amp;F21&amp;CHAR(34)&amp;", links: "&amp;HL21&amp;"},"</f>
        <v>{couname:"[ARG] Tucumán",year:"2010",region:"rgn_South America",Colors:["cl_BLU","cl_RED","cl_GRE","cl_YEL","cl_BLA"],Items:["5+Colo","lets07","startT","year00","allhor","3Bands","Horizo","Unequa","OnlyBa","Rotate","NO_WHI","WHRENO","001BLU","002RED","003GRE","myrEQ","island","french","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links: "https://en.wikipedia.org/wiki/Flag_of_Tucum%C3%A1n"},</v>
      </c>
      <c r="HG21" s="73" t="str">
        <f>"{couname:"&amp;CT21&amp;(IF(HK21&lt;&gt;"",",subtype:"&amp;CHAR(34)&amp;HK21&amp;CHAR(34),""))&amp;",year:"&amp;HJ21&amp;",region:"&amp;CU21&amp;",Colors:"&amp;HC21&amp;",Items:"&amp;GS21&amp;",Flag:"&amp;CV21&amp;",HDFlag:"&amp;CHAR(34)&amp;E21&amp;CHAR(34)&amp;",type:"&amp;GP21&amp;", describe: "&amp;HI21&amp;", links: "&amp;HL21&amp;"},"</f>
        <v>{couname:"[ARG] Tucumán",year:"2010",region:"rgn_South America",Colors:["cl_BLU","cl_RED","cl_GRE","cl_YEL","cl_BLA"],Items:["5+Colo","lets07","startT","year00","allhor","3Bands","Horizo","Unequa","OnlyBa","Rotate","NO_WHI","WHRENO","001BLU","002RED","003GRE","myrEQ","island","french","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links: "https://en.wikipedia.org/wiki/Flag_of_Tucum%C3%A1n"},</v>
      </c>
      <c r="HH21" s="48" t="str">
        <f>IF(P21&lt;&gt;"",CHAR(34)&amp;"\n"&amp;P21&amp;CHAR(34),CHAR(34)&amp;CHAR(34))</f>
        <v>"\nThe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v>
      </c>
      <c r="HI21" s="48" t="str">
        <f>IF(J21=0,CHAR(34)&amp;CHAR(34),HH21)</f>
        <v>"\nThe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v>
      </c>
      <c r="HJ21" s="48" t="str">
        <f>CHAR(34)&amp;O21&amp;CHAR(34)</f>
        <v>"2010"</v>
      </c>
      <c r="HL21" s="48" t="str">
        <f>CHAR(34)&amp;I21&amp;CHAR(34)</f>
        <v>"https://en.wikipedia.org/wiki/Flag_of_Tucum%C3%A1n"</v>
      </c>
      <c r="HM21" s="72"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"&amp;HH21&amp;", "&amp;CHAR(34)&amp;"isnew"&amp;CHAR(34)&amp;": "&amp;CHAR(34)&amp;F21&amp;CHAR(34)&amp;", "&amp;CHAR(34)&amp;"links"&amp;CHAR(34)&amp;": "&amp;HL21&amp;"},"</f>
        <v>{"couname":"[ARG] Tucumán","year":"2010","region":"rgn_South America","Colors":["cl_BLU","cl_RED","cl_GRE","cl_YEL","cl_BLA"],"Items":["5+Colo","lets07","startT","year00","allhor","3Bands","Horizo","Unequa","OnlyBa","Rotate","NO_WHI","WHRENO","001BLU","002RED","003GRE","myrEQ","island","french","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 "links": "https://en.wikipedia.org/wiki/Flag_of_Tucum%C3%A1n"},</v>
      </c>
      <c r="HN21" s="74"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"&amp;HI21&amp;", "&amp;CHAR(34)&amp;"isnew"&amp;CHAR(34)&amp;": "&amp;CHAR(34)&amp;F21&amp;CHAR(34)&amp;", "&amp;CHAR(34)&amp;"links"&amp;CHAR(34)&amp;": "&amp;HL21&amp;"},"</f>
        <v>{"couname":"[ARG] Tucumán","year":"2010","region":"rgn_South America","Colors":["cl_BLU","cl_RED","cl_GRE","cl_YEL","cl_BLA"],"Items":["5+Colo","lets07","startT","year00","allhor","3Bands","Horizo","Unequa","OnlyBa","Rotate","NO_WHI","WHRENO","001BLU","002RED","003GRE","myrEQ","island","french","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 "links": "https://en.wikipedia.org/wiki/Flag_of_Tucum%C3%A1n"},</v>
      </c>
      <c r="HO21" s="75"/>
      <c r="HP21" s="48" t="str" cm="1">
        <f t="array" ref="HP21">IF(_xlfn.TEXTJOIN(", ", TRUE, IF(ISNUMBER(SEARCH("BLA", BL21:BT21)), COLUMN(BL21:BT21) - COLUMN(BL21) + 1, ""))&lt;&gt;"","BLA","")</f>
        <v>BLA</v>
      </c>
      <c r="HQ21" s="48" t="str" cm="1">
        <f t="array" ref="HQ21">IF(_xlfn.TEXTJOIN(", ", TRUE, IF(ISNUMBER(SEARCH("BLU", BL21:BT21)), COLUMN(BL21:BT21) - COLUMN(BL21) + 1, ""))&lt;&gt;"","BLU","")</f>
        <v>BLU</v>
      </c>
      <c r="HR21" s="48" t="str" cm="1">
        <f t="array" ref="HR21">IF(_xlfn.TEXTJOIN(", ", TRUE, IF(ISNUMBER(SEARCH("GRE", BL21:BT21)), COLUMN(BL21:BT21) - COLUMN(BL21) + 1, ""))&lt;&gt;"","GRE","")</f>
        <v>GRE</v>
      </c>
      <c r="HS21" s="48" t="str" cm="1">
        <f t="array" ref="HS21">IF(_xlfn.TEXTJOIN(", ", TRUE, IF(ISNUMBER(SEARCH("RED", BL21:BT21)), COLUMN(BL21:BT21) - COLUMN(BL21) + 1, ""))&lt;&gt;"","RED","")</f>
        <v>RED</v>
      </c>
      <c r="HT21" s="48" t="str" cm="1">
        <f t="array" ref="HT21">IF(_xlfn.TEXTJOIN(", ", TRUE, IF(ISNUMBER(SEARCH("YEL", BL21:BT21)), COLUMN(BL21:BT21) - COLUMN(BL21) + 1, ""))&lt;&gt;"","YEL","")</f>
        <v>YEL</v>
      </c>
      <c r="HU21" s="48" t="str" cm="1">
        <f t="array" ref="HU21">IF(_xlfn.TEXTJOIN(", ", TRUE, IF(ISNUMBER(SEARCH("ORA", BL21:BT21)), COLUMN(BL21:BT21) - COLUMN(BL21) + 1, ""))&lt;&gt;"","ORA","")</f>
        <v/>
      </c>
      <c r="HV21" s="48" t="str" cm="1">
        <f t="array" ref="HV21">IF(_xlfn.TEXTJOIN(", ", TRUE, IF(ISNUMBER(SEARCH("BRO", BL21:BT21)), COLUMN(BL21:BT21) - COLUMN(BL21) + 1, ""))&lt;&gt;"","BRO","")</f>
        <v/>
      </c>
      <c r="HW21" s="48" t="str" cm="1">
        <f t="array" ref="HW21">IF(_xlfn.TEXTJOIN(", ", TRUE, IF(ISNUMBER(SEARCH("PUR", BL21:BT21)), COLUMN(BL21:BT21) - COLUMN(BL21) + 1, ""))&lt;&gt;"","PUR","")</f>
        <v/>
      </c>
      <c r="HX21" s="48" t="str" cm="1">
        <f t="array" ref="HX21">IF(_xlfn.TEXTJOIN(", ", TRUE, IF(ISNUMBER(SEARCH("WHI", BL21:BT21)), COLUMN(BL21:BT21) - COLUMN(BL21) + 1, ""))&lt;&gt;"","WHI","")</f>
        <v/>
      </c>
      <c r="HY21" s="76"/>
      <c r="HZ21" s="76"/>
      <c r="IA21" s="6"/>
      <c r="IB21" s="6"/>
      <c r="IC21" s="77"/>
      <c r="ID21" s="77"/>
      <c r="IE21" s="77"/>
      <c r="IF21" s="77"/>
      <c r="IG21" s="77"/>
      <c r="IH21" s="77"/>
      <c r="II21" s="77"/>
      <c r="IJ21" s="77"/>
      <c r="IK21" s="77"/>
      <c r="IL21" s="48">
        <f>SUM(IC21:IK21)</f>
        <v>0</v>
      </c>
      <c r="IM21" s="45">
        <f>COUNTIF(IC21:IK21,"&gt;0")-CG21</f>
        <v>-5</v>
      </c>
      <c r="IN21" s="78" t="str">
        <f>"http://mkweb.bcgsc.ca/color-summarizer/?url="&amp;D21&amp;"&amp;precision=low&amp;num_clusters="&amp;CG21&amp;"&amp;text=1"</f>
        <v>http://mkweb.bcgsc.ca/color-summarizer/?url=https://upload.wikimedia.org/wikipedia/commons/thumb/c/ce/Bandera_de_la_Provincia_de_Tucum%C3%A1n.svg/320px-Bandera_de_la_Provincia_de_Tucum%C3%A1n.svg.png&amp;precision=low&amp;num_clusters=5&amp;text=1</v>
      </c>
      <c r="IO21" s="48" t="str">
        <f>IF(HP21&lt;&gt;"",CHAR(34)&amp;"black"&amp;CHAR(34),"")</f>
        <v>"black"</v>
      </c>
      <c r="IP21" s="48" t="str">
        <f>IF(HQ21&lt;&gt;"",CHAR(34)&amp;"blue"&amp;CHAR(34),"")</f>
        <v>"blue"</v>
      </c>
      <c r="IQ21" s="48" t="str">
        <f>IF(HR21&lt;&gt;"",CHAR(34)&amp;"green"&amp;CHAR(34),"")</f>
        <v>"green"</v>
      </c>
      <c r="IR21" s="48" t="str">
        <f>IF(HS21&lt;&gt;"",CHAR(34)&amp;"red"&amp;CHAR(34),"")</f>
        <v>"red"</v>
      </c>
      <c r="IS21" s="48" t="str">
        <f>IF(HT21&lt;&gt;"",CHAR(34)&amp;"yellow"&amp;CHAR(34),"")</f>
        <v>"yellow"</v>
      </c>
      <c r="IT21" s="48" t="str">
        <f>IF(HU21&lt;&gt;"",CHAR(34)&amp;"orange"&amp;CHAR(34),"")</f>
        <v/>
      </c>
      <c r="IU21" s="48" t="str">
        <f>IF(HV21&lt;&gt;"",CHAR(34)&amp;"brown"&amp;CHAR(34),"")</f>
        <v/>
      </c>
      <c r="IV21" s="48" t="str">
        <f>IF(HW21&lt;&gt;"",CHAR(34)&amp;"purple"&amp;CHAR(34),"")</f>
        <v/>
      </c>
      <c r="IW21" s="48" t="str">
        <f>IF(HX21&lt;&gt;"",CHAR(34)&amp;"white"&amp;CHAR(34),"")</f>
        <v/>
      </c>
      <c r="IX21" s="48" t="str">
        <f>"{"&amp;CHAR(34)&amp;"url"&amp;CHAR(34)&amp;":"&amp;CHAR(34)&amp;IN21&amp;CHAR(34)&amp;","&amp;CHAR(34)&amp;"name"&amp;CHAR(34)&amp;":"&amp;CHAR(34)&amp;A21&amp;CHAR(34)&amp;"},"</f>
        <v>{"url":"http://mkweb.bcgsc.ca/color-summarizer/?url=https://upload.wikimedia.org/wikipedia/commons/thumb/c/ce/Bandera_de_la_Provincia_de_Tucum%C3%A1n.svg/320px-Bandera_de_la_Provincia_de_Tucum%C3%A1n.svg.png&amp;precision=low&amp;num_clusters=5&amp;text=1","name":"[ARG] Tucumán"},</v>
      </c>
      <c r="IY21" s="48">
        <v>152</v>
      </c>
    </row>
    <row r="22" spans="1:259" s="48" customFormat="1" ht="38.4" customHeight="1" thickBot="1" x14ac:dyDescent="0.35">
      <c r="A22" s="81" t="s">
        <v>816</v>
      </c>
      <c r="B22" s="40" t="e" vm="21">
        <v>#VALUE!</v>
      </c>
      <c r="C22" s="41">
        <v>3</v>
      </c>
      <c r="D22" s="42" t="s">
        <v>817</v>
      </c>
      <c r="E22" s="43" t="s">
        <v>818</v>
      </c>
      <c r="F22" s="44" t="s">
        <v>166</v>
      </c>
      <c r="G22" s="45">
        <f>COUNTIF($A$1:$A$8405,A22)</f>
        <v>1</v>
      </c>
      <c r="H22" s="46" t="s">
        <v>819</v>
      </c>
      <c r="I22" s="47" t="s">
        <v>820</v>
      </c>
      <c r="J22" s="48" t="str">
        <f>""</f>
        <v/>
      </c>
      <c r="K22" s="49"/>
      <c r="L22" s="50"/>
      <c r="M22" s="50"/>
      <c r="N22" s="51" t="s">
        <v>169</v>
      </c>
      <c r="O22" s="52">
        <v>1991</v>
      </c>
      <c r="P22" s="53" t="s">
        <v>821</v>
      </c>
      <c r="Q22" s="54">
        <v>2</v>
      </c>
      <c r="R22" s="55" t="s">
        <v>169</v>
      </c>
      <c r="S22" s="56">
        <v>3</v>
      </c>
      <c r="T22" s="57" t="s">
        <v>172</v>
      </c>
      <c r="U22" s="58" t="s">
        <v>172</v>
      </c>
      <c r="V22" s="58" t="s">
        <v>173</v>
      </c>
      <c r="W22" s="58" t="s">
        <v>172</v>
      </c>
      <c r="X22" s="58" t="s">
        <v>172</v>
      </c>
      <c r="Y22" s="58" t="s">
        <v>172</v>
      </c>
      <c r="Z22" s="58" t="s">
        <v>172</v>
      </c>
      <c r="AA22" s="58" t="s">
        <v>172</v>
      </c>
      <c r="AB22" s="58" t="s">
        <v>172</v>
      </c>
      <c r="AC22" s="58" t="s">
        <v>173</v>
      </c>
      <c r="AD22" s="58" t="s">
        <v>172</v>
      </c>
      <c r="AE22" s="58" t="s">
        <v>172</v>
      </c>
      <c r="AF22" s="59" t="s">
        <v>172</v>
      </c>
      <c r="AG22" s="59" t="s">
        <v>173</v>
      </c>
      <c r="AH22" s="59" t="s">
        <v>173</v>
      </c>
      <c r="AI22" s="59" t="s">
        <v>172</v>
      </c>
      <c r="AJ22" s="59" t="s">
        <v>172</v>
      </c>
      <c r="AK22" s="59" t="s">
        <v>172</v>
      </c>
      <c r="AL22" s="59" t="s">
        <v>172</v>
      </c>
      <c r="AM22" s="59" t="s">
        <v>172</v>
      </c>
      <c r="AN22" s="59" t="s">
        <v>172</v>
      </c>
      <c r="AO22" s="59" t="s">
        <v>172</v>
      </c>
      <c r="AP22" s="59" t="s">
        <v>172</v>
      </c>
      <c r="AQ22" s="59" t="s">
        <v>172</v>
      </c>
      <c r="AR22" s="59" t="s">
        <v>172</v>
      </c>
      <c r="AS22" s="59" t="s">
        <v>172</v>
      </c>
      <c r="AT22" s="60">
        <v>0</v>
      </c>
      <c r="AU22" s="59" t="s">
        <v>822</v>
      </c>
      <c r="AV22" s="59" t="str">
        <f>IF(LEFT(A22,1)="[",LEFT(A22,5)&amp;AU22&amp;A22,"")</f>
        <v>[ARG]People[ARG] Mapuche-Tehuelche</v>
      </c>
      <c r="AW22" s="59" t="str">
        <f>C22&amp;IFERROR(SUBSTITUTE(A22, " [ANT]",""),"")</f>
        <v>3[ARG] Mapuche-Tehuelche</v>
      </c>
      <c r="AX22" s="61" t="str">
        <f>_xlfn.TEXTJOIN(";",TRUE,AU22:AW22)</f>
        <v>People;[ARG]People[ARG] Mapuche-Tehuelche;3[ARG] Mapuche-Tehuelche</v>
      </c>
      <c r="AY22" s="61" t="s">
        <v>173</v>
      </c>
      <c r="AZ22" s="62" t="s">
        <v>154</v>
      </c>
      <c r="BA22" s="62" t="s">
        <v>151</v>
      </c>
      <c r="BB22" s="62"/>
      <c r="BC22" s="63"/>
      <c r="BD22" s="64" t="s">
        <v>152</v>
      </c>
      <c r="BE22" s="47"/>
      <c r="BF22" s="64"/>
      <c r="BG22" s="64"/>
      <c r="BH22" s="64"/>
      <c r="BI22" s="64"/>
      <c r="BJ22" s="64"/>
      <c r="BK22" s="47"/>
      <c r="BL22" s="64" t="s">
        <v>152</v>
      </c>
      <c r="BM22" s="64" t="s">
        <v>159</v>
      </c>
      <c r="BN22" s="64" t="s">
        <v>154</v>
      </c>
      <c r="BO22" s="64" t="s">
        <v>153</v>
      </c>
      <c r="BP22" s="64" t="s">
        <v>155</v>
      </c>
      <c r="BQ22" s="64" t="s">
        <v>151</v>
      </c>
      <c r="BR22" s="64"/>
      <c r="BS22" s="64"/>
      <c r="BT22" s="64"/>
      <c r="BU22" s="65" t="s">
        <v>173</v>
      </c>
      <c r="BV22" s="66" t="s">
        <v>173</v>
      </c>
      <c r="BW22" s="66" t="s">
        <v>270</v>
      </c>
      <c r="BX22" s="47"/>
      <c r="CB22" s="6" t="s">
        <v>136</v>
      </c>
      <c r="CC22" s="6"/>
      <c r="CD22" s="67">
        <v>0</v>
      </c>
      <c r="CE22" s="67">
        <v>0</v>
      </c>
      <c r="CF22" s="67" t="e">
        <v>#REF!</v>
      </c>
      <c r="CG22" s="68" cm="1">
        <f t="array" ref="CG22">SUMPRODUCT(--(LEN(TRIM(BL22:BT22))&gt;0))</f>
        <v>6</v>
      </c>
      <c r="CH22" s="59" t="str">
        <f>IF(CG22=2,"y","n")</f>
        <v>n</v>
      </c>
      <c r="CI22" s="59" t="str">
        <f>IF(CG22=3,"y","n")</f>
        <v>n</v>
      </c>
      <c r="CJ22" s="59" t="str">
        <f>IF(CG22=4,"y","n")</f>
        <v>n</v>
      </c>
      <c r="CK22" s="59" t="str">
        <f>IF(CG22&gt;4,"y","n")</f>
        <v>y</v>
      </c>
      <c r="CL22" s="59" t="str">
        <f>IF(S22=0,"y","n")</f>
        <v>n</v>
      </c>
      <c r="CM22" s="59" t="str">
        <f>IF(S22=2,"y","n")</f>
        <v>n</v>
      </c>
      <c r="CN22" s="59" t="str">
        <f>IF(S22=3,"y","n")</f>
        <v>y</v>
      </c>
      <c r="CO22" s="59" t="str">
        <f>IF(S22&gt;=4,"y","n")</f>
        <v>n</v>
      </c>
      <c r="CP22" s="59" t="str">
        <f>IF(AT22=0,"y","n")</f>
        <v>y</v>
      </c>
      <c r="CQ22" s="59" t="str">
        <f>IF(AT22=1,"y","n")</f>
        <v>n</v>
      </c>
      <c r="CR22" s="59" t="str">
        <f>IF(AT22=2,"y","n")</f>
        <v>n</v>
      </c>
      <c r="CS22" s="59" t="str">
        <f>IF(AT22&gt;=3,"y","n")</f>
        <v>n</v>
      </c>
      <c r="CT22" s="69" t="str">
        <f>CHAR(34)&amp;A22&amp;CHAR(34)</f>
        <v>"[ARG] Mapuche-Tehuelche"</v>
      </c>
      <c r="CU22" s="70" t="str">
        <f>CHAR(34)&amp;"rgn_"&amp;R22&amp;CHAR(34)</f>
        <v>"rgn_South America"</v>
      </c>
      <c r="CV22" s="48" t="str">
        <f>CHAR(34)&amp;D22&amp;CHAR(34)</f>
        <v>"https://upload.wikimedia.org/wikipedia/commons/thumb/2/25/Tehuelche_flag.svg/320px-Tehuelche_flag.svg.png"</v>
      </c>
      <c r="CW22" s="48" t="str">
        <f t="shared" si="108"/>
        <v/>
      </c>
      <c r="CX22" s="48" t="str">
        <f t="shared" si="108"/>
        <v/>
      </c>
      <c r="CY22" s="48" t="str">
        <f t="shared" si="108"/>
        <v/>
      </c>
      <c r="CZ22" s="48" t="str">
        <f t="shared" si="108"/>
        <v>"5+Colo",</v>
      </c>
      <c r="DA22" s="48" t="str">
        <f>IF(Q22&gt;1,CHAR(34)&amp;"words2"&amp;CHAR(34)&amp;",","")</f>
        <v>"words2",</v>
      </c>
      <c r="DB22" s="48" t="str">
        <f>IF(Q22&gt;2,CHAR(34)&amp;"words3"&amp;CHAR(34)&amp;",","")</f>
        <v/>
      </c>
      <c r="DC22" s="48" t="str">
        <f>IF(Q22=2,CHAR(34)&amp;"exact2"&amp;CHAR(34)&amp;",","")</f>
        <v>"exact2",</v>
      </c>
      <c r="DD22" s="48" t="str">
        <f>IF(LEN(CHAR(34)&amp;"lets"&amp;LEN(SUBSTITUTE(SUBSTITUTE(IFERROR(TRIM(SUBSTITUTE(SUBSTITUTE(SUBSTITUTE(IFERROR(TRIM(SUBSTITUTE(A22,MID(A22,FIND("(",A22),FIND(")",A22)-FIND("(",A22)+1),"")),A22),"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",""),"-",""))&amp;CHAR(34)&amp;",")=9,CHAR(34)&amp;"lets"&amp;LEN(SUBSTITUTE(SUBSTITUTE(IFERROR(TRIM(SUBSTITUTE(SUBSTITUTE(SUBSTITUTE(IFERROR(TRIM(SUBSTITUTE(A22,MID(A22,FIND("(",A22),FIND(")",A22)-FIND("(",A22)+1),"")),A22),"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",""),"-",""))&amp;CHAR(34)&amp;",",CHAR(34)&amp;"lets0"&amp;LEN(SUBSTITUTE(SUBSTITUTE(IFERROR(TRIM(SUBSTITUTE(SUBSTITUTE(SUBSTITUTE(IFERROR(TRIM(SUBSTITUTE(A22,MID(A22,FIND("(",A22),FIND(")",A22)-FIND("(",A22)+1),"")),A22),"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f>
        <v>"lets16",</v>
      </c>
      <c r="DE22" s="48" t="str">
        <f>IFERROR(CHAR(34)&amp;"start"&amp;LEFT(TRIM(SUBSTITUTE(SUBSTITUTE(TRIM(SUBSTITUTE(SUBSTITUTE(A22, MID(A22, FIND("[", A22), FIND("]", A22) - FIND("[", A22) + 1), ""), "  ", " ")), MID(TRIM(SUBSTITUTE(SUBSTITUTE(A22, MID(A22, FIND("[", A22), FIND("]", A22) - FIND("[", A22) + 1), ""), "  ", " ")), FIND("[", TRIM(SUBSTITUTE(SUBSTITUTE(A22, MID(A22, FIND("[", A22), FIND("]", A22) - FIND("[", A22) + 1), ""), "  ", " "))), FIND("]", TRIM(SUBSTITUTE(SUBSTITUTE(A22, MID(A22, FIND("[", A22), FIND("]", A22) - FIND("[", A22) + 1), ""), "  ", " "))) - FIND("[", TRIM(SUBSTITUTE(SUBSTITUTE(A22, MID(A22, FIND("[", A22), FIND("]", A22) - FIND("[", A22) + 1), ""), "  ", " "))) + 1), ""), "  ", " ")),1)&amp;CHAR(34)&amp;",",CHAR(34)&amp;"start"&amp;IFERROR(LEFT(SUBSTITUTE(A22,"["&amp;MID(A22,FIND("[",A22)+1,FIND("]",A22)-FIND("[",A22)-1)&amp;"] ",""),1),LEFT(A22,1))&amp;CHAR(34)&amp;",")</f>
        <v>"startM",</v>
      </c>
      <c r="DF22" s="48" t="str">
        <f>IFERROR(IF(SEARCH("tan",A22)&gt;0,CHAR(34)&amp;"withtn"&amp;CHAR(34)&amp;",",""),"")</f>
        <v/>
      </c>
      <c r="DG22" s="48" t="str">
        <f>IFERROR(IF(SEARCH("q",A22)&gt;0,CHAR(34)&amp;"with_q"&amp;CHAR(34)&amp;",",""),"")</f>
        <v/>
      </c>
      <c r="DH22" s="48" t="str">
        <f>IFERROR(IF(SEARCH("v",A22)&gt;0,CHAR(34)&amp;"with_v"&amp;CHAR(34)&amp;",",""),"")</f>
        <v/>
      </c>
      <c r="DI22" s="48" t="str">
        <f>IFERROR(IF(SEARCH("w",A22)&gt;0,CHAR(34)&amp;"with_w"&amp;CHAR(34)&amp;",",""),"")</f>
        <v/>
      </c>
      <c r="DJ22" s="48" t="str">
        <f>IFERROR(IF(SEARCH("y",A22)&gt;0,CHAR(34)&amp;"with_y"&amp;CHAR(34)&amp;",",""),"")</f>
        <v/>
      </c>
      <c r="DK22" s="48" t="str">
        <f>IFERROR(IF(SEARCH("z",A22)&gt;0,CHAR(34)&amp;"with_z"&amp;CHAR(34)&amp;",",""),"")</f>
        <v/>
      </c>
      <c r="DL22" s="48" t="str">
        <f>IF(CG22=2, CHAR(34) &amp; _xlfn.TEXTJOIN("", TRUE, _xlfn._xlws.SORT(HP22:HX22)) &amp; CHAR(34) &amp; ",", "")</f>
        <v/>
      </c>
      <c r="DM22" s="48" t="str" cm="1">
        <f t="array" ref="DM22">IF(CG22=3,CHAR(34) &amp; _xlfn.TEXTJOIN("", TRUE, RIGHT(HP22:HX22, 2)) &amp; CHAR(34) &amp; ",", "")</f>
        <v/>
      </c>
      <c r="DN22" s="48" t="str">
        <f>IF(AND(ISNUMBER(SEARCH("18", O22)), ISERROR(SEARCH("1918", O22)), ISERROR(SEARCH("2018", O22))), CHAR(34) &amp; "year18" &amp; CHAR(34) &amp; ",", "")</f>
        <v/>
      </c>
      <c r="DO22" s="48" t="str">
        <f>IF(AND(ISNUMBER(SEARCH("19", O22)), ISERROR(SEARCH("1819", O22)),  ISERROR(SEARCH("1219", O22)),ISERROR(SEARCH("1119", O22)),ISERROR(SEARCH("1190", O22)),ISERROR(SEARCH("2019", O22))), CHAR(34) &amp; "year19" &amp; CHAR(34) &amp; ",", "")</f>
        <v>"year19",</v>
      </c>
      <c r="DP22" s="6" t="str">
        <f>IF(AND(ISNUMBER(SEARCH("20", O22)), ISERROR(SEARCH("1920", O22))), CHAR(34)&amp;"year00"&amp;CHAR(34)&amp;",", "")</f>
        <v/>
      </c>
      <c r="DQ22" s="6" t="str">
        <f>IF(CC22="y",CHAR(34)&amp;"soviet"&amp;CHAR(34)&amp;",","")</f>
        <v/>
      </c>
      <c r="DR22" s="6" t="str">
        <f>IF(BY22="y",CHAR(34)&amp;"dgband"&amp;CHAR(34)&amp;",","")</f>
        <v/>
      </c>
      <c r="DS22" s="6" t="str">
        <f>IF(W22="y",IF(AND(V22="n",BY22&lt;&gt;"y"),CHAR(34)&amp;"allver"&amp;CHAR(34)&amp;",",""),"")</f>
        <v/>
      </c>
      <c r="DT22" s="6" t="str">
        <f>IF(V22="y",IF(AND(W22="n",BY22&lt;&gt;"y"),CHAR(34)&amp;"allhor"&amp;CHAR(34)&amp;",",""),"")</f>
        <v>"allhor",</v>
      </c>
      <c r="DU22" s="6" t="str">
        <f>IF(BY22="y",IF(AND(W22="n",V22="n"),CHAR(34)&amp;"alldia"&amp;CHAR(34)&amp;",",""),"")</f>
        <v/>
      </c>
      <c r="DV22" s="48" t="str">
        <f>IF(IA22&lt;&gt;"",(IF(IA22="y",CHAR(34)&amp;"largec"&amp;CHAR(34)&amp;",",CHAR(34)&amp;"smallc"&amp;CHAR(34)&amp;",")),"")</f>
        <v>"smallc",</v>
      </c>
      <c r="DW22" s="48" t="str">
        <f t="shared" si="109"/>
        <v/>
      </c>
      <c r="DX22" s="48" t="str">
        <f t="shared" si="109"/>
        <v/>
      </c>
      <c r="DY22" s="48" t="str">
        <f t="shared" si="109"/>
        <v>"3Bands",</v>
      </c>
      <c r="DZ22" s="48" t="str">
        <f t="shared" si="109"/>
        <v/>
      </c>
      <c r="EA22" s="48" t="str">
        <f t="shared" si="110"/>
        <v/>
      </c>
      <c r="EB22" s="48" t="str">
        <f t="shared" si="110"/>
        <v/>
      </c>
      <c r="EC22" s="48" t="str">
        <f t="shared" si="110"/>
        <v>"Horizo",</v>
      </c>
      <c r="ED22" s="48" t="str">
        <f t="shared" si="110"/>
        <v/>
      </c>
      <c r="EE22" s="48" t="str">
        <f t="shared" si="110"/>
        <v/>
      </c>
      <c r="EF22" s="48" t="str">
        <f>IF(AND(Y22&lt;&gt;"n",Y22&lt;&gt;""),CHAR(34)&amp;Y$1&amp;CHAR(34)&amp;",","")</f>
        <v/>
      </c>
      <c r="EG22" s="48" t="str">
        <f t="shared" si="107"/>
        <v/>
      </c>
      <c r="EH22" s="48" t="str">
        <f t="shared" si="107"/>
        <v/>
      </c>
      <c r="EI22" s="48" t="str">
        <f t="shared" si="107"/>
        <v/>
      </c>
      <c r="EJ22" s="48" t="str">
        <f t="shared" si="107"/>
        <v>"Weapon",</v>
      </c>
      <c r="EK22" s="48" t="str">
        <f t="shared" si="107"/>
        <v/>
      </c>
      <c r="EL22" s="48" t="str">
        <f t="shared" si="107"/>
        <v/>
      </c>
      <c r="EM22" s="48" t="str">
        <f t="shared" si="107"/>
        <v/>
      </c>
      <c r="EN22" s="48" t="str">
        <f t="shared" si="107"/>
        <v>"Unequa",</v>
      </c>
      <c r="EO22" s="48" t="str">
        <f t="shared" si="107"/>
        <v>"Center",</v>
      </c>
      <c r="EP22" s="48" t="str">
        <f t="shared" si="107"/>
        <v/>
      </c>
      <c r="EQ22" s="48" t="str">
        <f t="shared" si="107"/>
        <v/>
      </c>
      <c r="ER22" s="48" t="str">
        <f t="shared" si="107"/>
        <v/>
      </c>
      <c r="ES22" s="48" t="str">
        <f t="shared" si="107"/>
        <v/>
      </c>
      <c r="ET22" s="48" t="str">
        <f t="shared" si="107"/>
        <v/>
      </c>
      <c r="EU22" s="48" t="str">
        <f t="shared" si="107"/>
        <v/>
      </c>
      <c r="EV22" s="48" t="str">
        <f t="shared" si="107"/>
        <v/>
      </c>
      <c r="EW22" s="48" t="str">
        <f t="shared" si="106"/>
        <v/>
      </c>
      <c r="EX22" s="48" t="str">
        <f t="shared" si="106"/>
        <v/>
      </c>
      <c r="EY22" s="48" t="str">
        <f t="shared" si="106"/>
        <v/>
      </c>
      <c r="EZ22" s="48" t="str">
        <f t="shared" si="106"/>
        <v/>
      </c>
      <c r="FA22" s="48" t="str">
        <f>IF(AT22&gt;0,CHAR(34)&amp;"sta"&amp;AZ22&amp;CHAR(34)&amp;",","")</f>
        <v/>
      </c>
      <c r="FB22" s="48" t="str">
        <f>IF(AND(AT22&gt;0,BA22&lt;&gt;""),CHAR(34)&amp;"sta"&amp;BA22&amp;CHAR(34)&amp;",","")</f>
        <v/>
      </c>
      <c r="FC22" s="48" t="str">
        <f>IF(AND(AT22&gt;0,BB22&lt;&gt;""),CHAR(34)&amp;"sta"&amp;BB22&amp;CHAR(34)&amp;",","")</f>
        <v/>
      </c>
      <c r="FD22" s="48" t="str">
        <f>IF(BV22="n",CHAR(34)&amp;"tcWHYE"&amp;CHAR(34)&amp;",",IF(BV22="y",CHAR(34)&amp;FD$1&amp;CHAR(34)&amp;",",""))</f>
        <v>"ntWHYE",</v>
      </c>
      <c r="FE22" s="48" t="str">
        <f>IF(COUNTIF(BL22:BT22,"BLU")=0,CHAR(34)&amp;"NO_BLU"&amp;CHAR(34)&amp;",", "")</f>
        <v/>
      </c>
      <c r="FF22" s="48" t="str">
        <f>IF(COUNTIF(BL22:BT22,"WHI")=0,CHAR(34)&amp;"NO_WHI"&amp;CHAR(34)&amp;",", "")</f>
        <v/>
      </c>
      <c r="FG22" s="48" t="str">
        <f>IF(COUNTIF(BL22:BT22,"RED")=0,CHAR(34)&amp;"NO_RED"&amp;CHAR(34)&amp;",", "")</f>
        <v/>
      </c>
      <c r="FH22" s="48" t="str">
        <f>IF(COUNTIF(BL22:BS22,"GRE")=0,CHAR(34)&amp;"NO_GRE"&amp;CHAR(34)&amp;",", "")</f>
        <v/>
      </c>
      <c r="FI22" s="48" t="str">
        <f>IF(COUNTIF(BL22:BT22,"YEL")=0,CHAR(34)&amp;"NO_YEL"&amp;CHAR(34)&amp;",", "")</f>
        <v/>
      </c>
      <c r="FJ22" s="48" t="str">
        <f>IF(COUNTIF(BL22:BT22,"BLA")=0,CHAR(34)&amp;"NO_BLA"&amp;CHAR(34)&amp;",", "")</f>
        <v/>
      </c>
      <c r="FK22" s="48" t="str">
        <f>IF(AND(FH22&lt;&gt;"",FF22&lt;&gt;""),CHAR(34)&amp;"WHGRNO"&amp;CHAR(34)&amp;",","")</f>
        <v/>
      </c>
      <c r="FL22" s="48" t="str">
        <f>IF(AND(FI22&lt;&gt;"",FF22&lt;&gt;""),CHAR(34)&amp;"WHYENO"&amp;CHAR(34)&amp;",","")</f>
        <v/>
      </c>
      <c r="FM22" s="48" t="str">
        <f>IF(AND(FJ22&lt;&gt;"",FF22&lt;&gt;""),CHAR(34)&amp;"BAWHNO"&amp;CHAR(34)&amp;",","")</f>
        <v/>
      </c>
      <c r="FN22" s="48" t="str">
        <f>IF(AND(FE22&lt;&gt;"",FF22&lt;&gt;""),CHAR(34)&amp;"BLWHNO"&amp;CHAR(34)&amp;",","")</f>
        <v/>
      </c>
      <c r="FO22" s="48" t="str">
        <f>IF(AND(FE22&lt;&gt;"",FG22&lt;&gt;""),CHAR(34)&amp;"BLRENO"&amp;CHAR(34)&amp;",","")</f>
        <v/>
      </c>
      <c r="FP22" s="48" t="str">
        <f>IF(AND(FF22&lt;&gt;"",FF22&lt;&gt;""),CHAR(34)&amp;"WHRENO"&amp;CHAR(34)&amp;",","")</f>
        <v/>
      </c>
      <c r="FQ22" s="48" t="str">
        <f>IF(LEN(BF22)=3,CHAR(34)&amp;"001"&amp;BF22&amp;CHAR(34)&amp;",","")</f>
        <v/>
      </c>
      <c r="FR22" s="48" t="str">
        <f>IF(LEN(BG22)=3,CHAR(34)&amp;"002"&amp;BG22&amp;CHAR(34)&amp;",","")</f>
        <v/>
      </c>
      <c r="FS22" s="48" t="str">
        <f>IF(LEN(BH22)=3,CHAR(34)&amp;"003"&amp;BH22&amp;CHAR(34)&amp;",","")</f>
        <v/>
      </c>
      <c r="FT22" s="48" t="str">
        <f>CHAR(34)&amp;"myr"&amp;BD22&amp;CHAR(34)&amp;","</f>
        <v>"myrBLU",</v>
      </c>
      <c r="FU22" s="48" t="str">
        <f>IF(AY22="y",CHAR(34)&amp;"island"&amp;CHAR(34)&amp;",","")</f>
        <v>"island",</v>
      </c>
      <c r="FV22" s="48" t="str">
        <f>IF(BZ22="y",CHAR(34)&amp;"landlo"&amp;CHAR(34)&amp;",","")</f>
        <v/>
      </c>
      <c r="FW22" s="48" t="str">
        <f>IF(CA22="y",CHAR(34)&amp;"eunion"&amp;CHAR(34)&amp;",","")</f>
        <v/>
      </c>
      <c r="FX22" s="48" t="str">
        <f>SUBSTITUTE(IFERROR(SEARCH("[",A22),IFERROR(IF(AND(CA22&lt;&gt;"y",SEARCH("Europe",R22)&gt;0),CHAR(34)&amp;"noeuni"&amp;CHAR(34)&amp;",",""),"")),"1","")</f>
        <v/>
      </c>
      <c r="FY22" s="48" t="str">
        <f>IFERROR(IF(SEARCH("Arabic",CB22)&gt;0,CHAR(34)&amp;"arabic"&amp;CHAR(34)&amp;",",""),"")</f>
        <v/>
      </c>
      <c r="FZ22" s="48" t="str">
        <f>IFERROR(IF(SEARCH("English",CB22)&gt;0,CHAR(34)&amp;"englis"&amp;CHAR(34)&amp;",",""),"")</f>
        <v>"englis",</v>
      </c>
      <c r="GA22" s="48" t="str">
        <f>IFERROR(IF(SEARCH("French",CB22)&gt;0,CHAR(34)&amp;"french"&amp;CHAR(34)&amp;",",""),"")</f>
        <v/>
      </c>
      <c r="GB22" s="48" t="str">
        <f>IFERROR(IF(SEARCH("Spanish",CB22)&gt;0,CHAR(34)&amp;"spanis"&amp;CHAR(34)&amp;",",""),"")</f>
        <v/>
      </c>
      <c r="GC22" s="48" t="str">
        <f>IFERROR(IF(SEARCH("Portuguese",CB22)&gt;0,CHAR(34)&amp;"portug"&amp;CHAR(34)&amp;",",""),"")</f>
        <v/>
      </c>
      <c r="GD22" s="48" t="str">
        <f>IFERROR(IF(SEARCH("German",CB22)&gt;0,CHAR(34)&amp;"german"&amp;CHAR(34)&amp;",",""),"")</f>
        <v/>
      </c>
      <c r="GE22" s="48" t="str">
        <f>IFERROR(IF(SEARCH("Dutch",CB22)&gt;0,CHAR(34)&amp;"dutchs"&amp;CHAR(34)&amp;",",""),"")</f>
        <v/>
      </c>
      <c r="GF22" s="48" t="str">
        <f>IFERROR(IF(SEARCH("Histor",AU22)&gt;0,CHAR(34)&amp;"histor"&amp;CHAR(34)&amp;",",""),"")</f>
        <v/>
      </c>
      <c r="GG22" s="48" t="str">
        <f>IF(BU22="y",CHAR(34)&amp;"unjack"&amp;CHAR(34)&amp;",","")</f>
        <v>"unjack",</v>
      </c>
      <c r="GH22" s="48" t="str">
        <f>IF(CD22=1,CHAR(34)&amp;"southc"&amp;CHAR(34)&amp;",","")</f>
        <v/>
      </c>
      <c r="GI22" s="48" t="str">
        <f>IF(CE22=1,CHAR(34)&amp;"hasmap"&amp;CHAR(34)&amp;",","")</f>
        <v/>
      </c>
      <c r="GJ22" s="48" t="str">
        <f>IF(CP22="y",CHAR(34)&amp;CP$1&amp;CHAR(34)&amp;",","")</f>
        <v>"NoStar",</v>
      </c>
      <c r="GK22" s="48" t="str">
        <f>IF(GJ22="",CHAR(34)&amp;"HasSta"&amp;CHAR(34)&amp;",","")</f>
        <v/>
      </c>
      <c r="GL22" s="48" t="str">
        <f t="shared" si="111"/>
        <v/>
      </c>
      <c r="GM22" s="48" t="str">
        <f t="shared" si="111"/>
        <v/>
      </c>
      <c r="GN22" s="48" t="str">
        <f t="shared" si="111"/>
        <v/>
      </c>
      <c r="GP22" s="48" t="str">
        <f>CHAR(34)&amp;AU22&amp;CHAR(34)</f>
        <v>"People"</v>
      </c>
      <c r="GS22" s="48" t="str">
        <f>SUBSTITUTE("["&amp;_xlfn.CONCAT(CW22:GN22)&amp;"]",",]","]")</f>
        <v>["5+Colo","words2","exact2","lets16","startM","year19","allhor","smallc","3Bands","Horizo","Weapon","Unequa","Center","ntWHYE","myrBLU","island","englis","unjack","NoStar"]</v>
      </c>
      <c r="GT22" s="48" t="str">
        <f t="shared" si="112"/>
        <v>"cl_BLU",</v>
      </c>
      <c r="GU22" s="48" t="str">
        <f t="shared" si="112"/>
        <v>"cl_WHI",</v>
      </c>
      <c r="GV22" s="48" t="str">
        <f t="shared" si="112"/>
        <v>"cl_RED",</v>
      </c>
      <c r="GW22" s="48" t="str">
        <f t="shared" si="112"/>
        <v>"cl_GRE",</v>
      </c>
      <c r="GX22" s="48" t="str">
        <f t="shared" si="112"/>
        <v>"cl_YEL",</v>
      </c>
      <c r="GY22" s="48" t="str">
        <f t="shared" si="112"/>
        <v>"cl_BLA",</v>
      </c>
      <c r="GZ22" s="48" t="str">
        <f t="shared" si="112"/>
        <v/>
      </c>
      <c r="HA22" s="48" t="str">
        <f t="shared" si="112"/>
        <v/>
      </c>
      <c r="HB22" s="48" t="str">
        <f t="shared" si="112"/>
        <v/>
      </c>
      <c r="HC22" s="48" t="str">
        <f>SUBSTITUTE("["&amp;_xlfn.CONCAT(GT22:HB22)&amp;"]",",]","]")</f>
        <v>["cl_BLU","cl_WHI","cl_RED","cl_GRE","cl_YEL","cl_BLA"]</v>
      </c>
      <c r="HE22" s="71"/>
      <c r="HF22" s="72" t="str">
        <f>"{couname:"&amp;CT22&amp;(IF(HK22&lt;&gt;"",",subtype:"&amp;CHAR(34)&amp;HK22&amp;CHAR(34),""))&amp;",year:"&amp;HJ22&amp;",region:"&amp;CU22&amp;",Colors:"&amp;HC22&amp;",Items:"&amp;GS22&amp;",Flag:"&amp;CV22&amp;",HDFlag:"&amp;CHAR(34)&amp;E22&amp;CHAR(34)&amp;",type:"&amp;GP22&amp;", describe: "&amp;HH22&amp;", isnew:"&amp;CHAR(34)&amp;F22&amp;CHAR(34)&amp;", links: "&amp;HL22&amp;"},"</f>
        <v>{couname:"[ARG] Mapuche-Tehuelche",year:"1991",region:"rgn_South America",Colors:["cl_BLU","cl_WHI","cl_RED","cl_GRE","cl_YEL","cl_BLA"],Items:["5+Colo","words2","exact2","lets16","startM","year19","allhor","smallc","3Bands","Horizo","Weapon","Unequa","Center","ntWHYE","myrBLU","island","englis","unjack","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links: "https://en.wikipedia.org/wiki/Flag_of_the_Mapuches#In_Argentina"},</v>
      </c>
      <c r="HG22" s="73" t="str">
        <f>"{couname:"&amp;CT22&amp;(IF(HK22&lt;&gt;"",",subtype:"&amp;CHAR(34)&amp;HK22&amp;CHAR(34),""))&amp;",year:"&amp;HJ22&amp;",region:"&amp;CU22&amp;",Colors:"&amp;HC22&amp;",Items:"&amp;GS22&amp;",Flag:"&amp;CV22&amp;",HDFlag:"&amp;CHAR(34)&amp;E22&amp;CHAR(34)&amp;",type:"&amp;GP22&amp;", describe: "&amp;HI22&amp;", links: "&amp;HL22&amp;"},"</f>
        <v>{couname:"[ARG] Mapuche-Tehuelche",year:"1991",region:"rgn_South America",Colors:["cl_BLU","cl_WHI","cl_RED","cl_GRE","cl_YEL","cl_BLA"],Items:["5+Colo","words2","exact2","lets16","startM","year19","allhor","smallc","3Bands","Horizo","Weapon","Unequa","Center","ntWHYE","myrBLU","island","englis","unjack","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links: "https://en.wikipedia.org/wiki/Flag_of_the_Mapuches#In_Argentina"},</v>
      </c>
      <c r="HH22" s="48" t="str">
        <f>IF(P22&lt;&gt;"",CHAR(34)&amp;"\n"&amp;P22&amp;CHAR(34),CHAR(34)&amp;CHAR(34))</f>
        <v>"\nThe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v>
      </c>
      <c r="HI22" s="48" t="str">
        <f>IF(J22=0,CHAR(34)&amp;CHAR(34),HH22)</f>
        <v>"\nThe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v>
      </c>
      <c r="HJ22" s="48" t="str">
        <f>CHAR(34)&amp;O22&amp;CHAR(34)</f>
        <v>"1991"</v>
      </c>
      <c r="HL22" s="48" t="str">
        <f>CHAR(34)&amp;I22&amp;CHAR(34)</f>
        <v>"https://en.wikipedia.org/wiki/Flag_of_the_Mapuches#In_Argentina"</v>
      </c>
      <c r="HM22" s="72"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"&amp;HH22&amp;", "&amp;CHAR(34)&amp;"isnew"&amp;CHAR(34)&amp;": "&amp;CHAR(34)&amp;F22&amp;CHAR(34)&amp;", "&amp;CHAR(34)&amp;"links"&amp;CHAR(34)&amp;": "&amp;HL22&amp;"},"</f>
        <v>{"couname":"[ARG] Mapuche-Tehuelche","subtype":"[ARG] Other","year":"1991","region":"rgn_South America","Colors":["cl_BLU","cl_WHI","cl_RED","cl_GRE","cl_YEL","cl_BLA"],"Items":["5+Colo","words2","exact2","lets16","startM","year19","allhor","smallc","3Bands","Horizo","Weapon","Unequa","Center","ntWHYE","myrBLU","island","englis","unjack","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 "links": "https://en.wikipedia.org/wiki/Flag_of_the_Mapuches#In_Argentina"},</v>
      </c>
      <c r="HN22" s="74"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"&amp;HI22&amp;", "&amp;CHAR(34)&amp;"isnew"&amp;CHAR(34)&amp;": "&amp;CHAR(34)&amp;F22&amp;CHAR(34)&amp;", "&amp;CHAR(34)&amp;"links"&amp;CHAR(34)&amp;": "&amp;HL22&amp;"},"</f>
        <v>{"couname":"[ARG] Mapuche-Tehuelche","subtype":"[ARG] Other","year":"1991","region":"rgn_South America","Colors":["cl_BLU","cl_WHI","cl_RED","cl_GRE","cl_YEL","cl_BLA"],"Items":["5+Colo","words2","exact2","lets16","startM","year19","allhor","smallc","3Bands","Horizo","Weapon","Unequa","Center","ntWHYE","myrBLU","island","englis","unjack","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 "links": "https://en.wikipedia.org/wiki/Flag_of_the_Mapuches#In_Argentina"},</v>
      </c>
      <c r="HO22" s="75"/>
      <c r="HP22" s="48" t="str" cm="1">
        <f t="array" ref="HP22">IF(_xlfn.TEXTJOIN(", ", TRUE, IF(ISNUMBER(SEARCH("BLA", BL22:BT22)), COLUMN(BL22:BT22) - COLUMN(BL22) + 1, ""))&lt;&gt;"","BLA","")</f>
        <v>BLA</v>
      </c>
      <c r="HQ22" s="48" t="str" cm="1">
        <f t="array" ref="HQ22">IF(_xlfn.TEXTJOIN(", ", TRUE, IF(ISNUMBER(SEARCH("BLU", BL22:BT22)), COLUMN(BL22:BT22) - COLUMN(BL22) + 1, ""))&lt;&gt;"","BLU","")</f>
        <v>BLU</v>
      </c>
      <c r="HR22" s="48" t="str" cm="1">
        <f t="array" ref="HR22">IF(_xlfn.TEXTJOIN(", ", TRUE, IF(ISNUMBER(SEARCH("GRE", BL22:BT22)), COLUMN(BL22:BT22) - COLUMN(BL22) + 1, ""))&lt;&gt;"","GRE","")</f>
        <v>GRE</v>
      </c>
      <c r="HS22" s="48" t="str" cm="1">
        <f t="array" ref="HS22">IF(_xlfn.TEXTJOIN(", ", TRUE, IF(ISNUMBER(SEARCH("RED", BL22:BT22)), COLUMN(BL22:BT22) - COLUMN(BL22) + 1, ""))&lt;&gt;"","RED","")</f>
        <v>RED</v>
      </c>
      <c r="HT22" s="48" t="str" cm="1">
        <f t="array" ref="HT22">IF(_xlfn.TEXTJOIN(", ", TRUE, IF(ISNUMBER(SEARCH("YEL", BL22:BT22)), COLUMN(BL22:BT22) - COLUMN(BL22) + 1, ""))&lt;&gt;"","YEL","")</f>
        <v>YEL</v>
      </c>
      <c r="HU22" s="48" t="str" cm="1">
        <f t="array" ref="HU22">IF(_xlfn.TEXTJOIN(", ", TRUE, IF(ISNUMBER(SEARCH("ORA", BL22:BT22)), COLUMN(BL22:BT22) - COLUMN(BL22) + 1, ""))&lt;&gt;"","ORA","")</f>
        <v/>
      </c>
      <c r="HV22" s="48" t="str" cm="1">
        <f t="array" ref="HV22">IF(_xlfn.TEXTJOIN(", ", TRUE, IF(ISNUMBER(SEARCH("BRO", BL22:BT22)), COLUMN(BL22:BT22) - COLUMN(BL22) + 1, ""))&lt;&gt;"","BRO","")</f>
        <v/>
      </c>
      <c r="HW22" s="48" t="str" cm="1">
        <f t="array" ref="HW22">IF(_xlfn.TEXTJOIN(", ", TRUE, IF(ISNUMBER(SEARCH("PUR", BL22:BT22)), COLUMN(BL22:BT22) - COLUMN(BL22) + 1, ""))&lt;&gt;"","PUR","")</f>
        <v/>
      </c>
      <c r="HX22" s="48" t="str" cm="1">
        <f t="array" ref="HX22">IF(_xlfn.TEXTJOIN(", ", TRUE, IF(ISNUMBER(SEARCH("WHI", BL22:BT22)), COLUMN(BL22:BT22) - COLUMN(BL22) + 1, ""))&lt;&gt;"","WHI","")</f>
        <v>WHI</v>
      </c>
      <c r="HY22" s="76"/>
      <c r="HZ22" s="76"/>
      <c r="IA22" s="6" t="s">
        <v>172</v>
      </c>
      <c r="IB22" s="6" t="s">
        <v>172</v>
      </c>
      <c r="IC22" s="77"/>
      <c r="ID22" s="77"/>
      <c r="IE22" s="77"/>
      <c r="IF22" s="77"/>
      <c r="IG22" s="77"/>
      <c r="IH22" s="77"/>
      <c r="II22" s="77"/>
      <c r="IJ22" s="77"/>
      <c r="IK22" s="77"/>
      <c r="IL22" s="48">
        <f>SUM(IC22:IK22)</f>
        <v>0</v>
      </c>
      <c r="IM22" s="45">
        <f>COUNTIF(IC22:IK22,"&gt;0")-CG22</f>
        <v>-6</v>
      </c>
      <c r="IN22" s="78" t="str">
        <f>"http://mkweb.bcgsc.ca/color-summarizer/?url="&amp;D22&amp;"&amp;precision=low&amp;num_clusters="&amp;CG22&amp;"&amp;text=1"</f>
        <v>http://mkweb.bcgsc.ca/color-summarizer/?url=https://upload.wikimedia.org/wikipedia/commons/thumb/2/25/Tehuelche_flag.svg/320px-Tehuelche_flag.svg.png&amp;precision=low&amp;num_clusters=6&amp;text=1</v>
      </c>
      <c r="IO22" s="48" t="str">
        <f>IF(HP22&lt;&gt;"",CHAR(34)&amp;"black"&amp;CHAR(34),"")</f>
        <v>"black"</v>
      </c>
      <c r="IP22" s="48" t="str">
        <f>IF(HQ22&lt;&gt;"",CHAR(34)&amp;"blue"&amp;CHAR(34),"")</f>
        <v>"blue"</v>
      </c>
      <c r="IQ22" s="48" t="str">
        <f>IF(HR22&lt;&gt;"",CHAR(34)&amp;"green"&amp;CHAR(34),"")</f>
        <v>"green"</v>
      </c>
      <c r="IR22" s="48" t="str">
        <f>IF(HS22&lt;&gt;"",CHAR(34)&amp;"red"&amp;CHAR(34),"")</f>
        <v>"red"</v>
      </c>
      <c r="IS22" s="48" t="str">
        <f>IF(HT22&lt;&gt;"",CHAR(34)&amp;"yellow"&amp;CHAR(34),"")</f>
        <v>"yellow"</v>
      </c>
      <c r="IT22" s="48" t="str">
        <f>IF(HU22&lt;&gt;"",CHAR(34)&amp;"orange"&amp;CHAR(34),"")</f>
        <v/>
      </c>
      <c r="IU22" s="48" t="str">
        <f>IF(HV22&lt;&gt;"",CHAR(34)&amp;"brown"&amp;CHAR(34),"")</f>
        <v/>
      </c>
      <c r="IV22" s="48" t="str">
        <f>IF(HW22&lt;&gt;"",CHAR(34)&amp;"purple"&amp;CHAR(34),"")</f>
        <v/>
      </c>
      <c r="IW22" s="48" t="str">
        <f>IF(HX22&lt;&gt;"",CHAR(34)&amp;"white"&amp;CHAR(34),"")</f>
        <v>"white"</v>
      </c>
      <c r="IX22" s="48" t="str">
        <f>"{"&amp;CHAR(34)&amp;"url"&amp;CHAR(34)&amp;":"&amp;CHAR(34)&amp;IN22&amp;CHAR(34)&amp;","&amp;CHAR(34)&amp;"name"&amp;CHAR(34)&amp;":"&amp;CHAR(34)&amp;A22&amp;CHAR(34)&amp;"},"</f>
        <v>{"url":"http://mkweb.bcgsc.ca/color-summarizer/?url=https://upload.wikimedia.org/wikipedia/commons/thumb/2/25/Tehuelche_flag.svg/320px-Tehuelche_flag.svg.png&amp;precision=low&amp;num_clusters=6&amp;text=1","name":"[ARG] Mapuche-Tehuelche"},</v>
      </c>
      <c r="IY22" s="48">
        <v>73</v>
      </c>
    </row>
  </sheetData>
  <conditionalFormatting sqref="H1 CW1:GS1 IA1:IB1">
    <cfRule type="cellIs" dxfId="4577" priority="791" operator="greaterThan">
      <formula>0</formula>
    </cfRule>
  </conditionalFormatting>
  <conditionalFormatting sqref="H1">
    <cfRule type="cellIs" dxfId="4576" priority="757" stopIfTrue="1" operator="notEqual">
      <formula>""</formula>
    </cfRule>
  </conditionalFormatting>
  <conditionalFormatting sqref="T1:BK1">
    <cfRule type="cellIs" dxfId="4575" priority="794" operator="greaterThan">
      <formula>0</formula>
    </cfRule>
  </conditionalFormatting>
  <conditionalFormatting sqref="BV1:BW1">
    <cfRule type="cellIs" dxfId="4574" priority="793" operator="equal">
      <formula>"nc"</formula>
    </cfRule>
  </conditionalFormatting>
  <conditionalFormatting sqref="HF1:HG1">
    <cfRule type="cellIs" dxfId="4573" priority="795" operator="greaterThan">
      <formula>0</formula>
    </cfRule>
  </conditionalFormatting>
  <conditionalFormatting sqref="HK1">
    <cfRule type="cellIs" dxfId="4572" priority="792" operator="greaterThan">
      <formula>0</formula>
    </cfRule>
  </conditionalFormatting>
  <conditionalFormatting sqref="HP1:HX1">
    <cfRule type="cellIs" dxfId="4571" priority="769" operator="equal">
      <formula>"PIN"</formula>
    </cfRule>
    <cfRule type="cellIs" dxfId="4570" priority="770" operator="equal">
      <formula>"ORA"</formula>
    </cfRule>
    <cfRule type="cellIs" dxfId="4569" priority="771" operator="equal">
      <formula>"GRA"</formula>
    </cfRule>
    <cfRule type="cellIs" dxfId="4568" priority="772" operator="equal">
      <formula>"PUR"</formula>
    </cfRule>
    <cfRule type="cellIs" dxfId="4567" priority="773" operator="equal">
      <formula>"BRO"</formula>
    </cfRule>
    <cfRule type="cellIs" dxfId="4566" priority="774" operator="equal">
      <formula>"YEL"</formula>
    </cfRule>
    <cfRule type="cellIs" dxfId="4565" priority="775" operator="equal">
      <formula>"BLU"</formula>
    </cfRule>
    <cfRule type="cellIs" dxfId="4564" priority="776" operator="equal">
      <formula>"WHI"</formula>
    </cfRule>
    <cfRule type="cellIs" dxfId="4563" priority="777" operator="equal">
      <formula>"GRE"</formula>
    </cfRule>
    <cfRule type="cellIs" dxfId="4562" priority="778" operator="equal">
      <formula>"RED"</formula>
    </cfRule>
    <cfRule type="cellIs" dxfId="4561" priority="779" operator="equal">
      <formula>"BLA"</formula>
    </cfRule>
  </conditionalFormatting>
  <conditionalFormatting sqref="IC1:IK1">
    <cfRule type="cellIs" dxfId="4560" priority="780" operator="equal">
      <formula>"PIN"</formula>
    </cfRule>
    <cfRule type="cellIs" dxfId="4559" priority="781" operator="equal">
      <formula>"ORA"</formula>
    </cfRule>
    <cfRule type="cellIs" dxfId="4558" priority="782" operator="equal">
      <formula>"GRA"</formula>
    </cfRule>
    <cfRule type="cellIs" dxfId="4557" priority="783" operator="equal">
      <formula>"PUR"</formula>
    </cfRule>
    <cfRule type="cellIs" dxfId="4556" priority="784" operator="equal">
      <formula>"BRO"</formula>
    </cfRule>
    <cfRule type="cellIs" dxfId="4555" priority="785" operator="equal">
      <formula>"YEL"</formula>
    </cfRule>
    <cfRule type="cellIs" dxfId="4554" priority="786" operator="equal">
      <formula>"BLU"</formula>
    </cfRule>
    <cfRule type="cellIs" dxfId="4553" priority="787" operator="equal">
      <formula>"WHI"</formula>
    </cfRule>
    <cfRule type="cellIs" dxfId="4552" priority="788" operator="equal">
      <formula>"GRE"</formula>
    </cfRule>
    <cfRule type="cellIs" dxfId="4551" priority="789" operator="equal">
      <formula>"RED"</formula>
    </cfRule>
    <cfRule type="cellIs" dxfId="4550" priority="790" operator="equal">
      <formula>"BLA"</formula>
    </cfRule>
  </conditionalFormatting>
  <conditionalFormatting sqref="IO1:IW1">
    <cfRule type="cellIs" dxfId="4549" priority="758" operator="equal">
      <formula>"PIN"</formula>
    </cfRule>
    <cfRule type="cellIs" dxfId="4548" priority="759" operator="equal">
      <formula>"ORA"</formula>
    </cfRule>
    <cfRule type="cellIs" dxfId="4547" priority="760" operator="equal">
      <formula>"GRA"</formula>
    </cfRule>
    <cfRule type="cellIs" dxfId="4546" priority="761" operator="equal">
      <formula>"PUR"</formula>
    </cfRule>
    <cfRule type="cellIs" dxfId="4545" priority="762" operator="equal">
      <formula>"BRO"</formula>
    </cfRule>
    <cfRule type="cellIs" dxfId="4544" priority="763" operator="equal">
      <formula>"YEL"</formula>
    </cfRule>
    <cfRule type="cellIs" dxfId="4543" priority="764" operator="equal">
      <formula>"BLU"</formula>
    </cfRule>
    <cfRule type="cellIs" dxfId="4542" priority="765" operator="equal">
      <formula>"WHI"</formula>
    </cfRule>
    <cfRule type="cellIs" dxfId="4541" priority="766" operator="equal">
      <formula>"GRE"</formula>
    </cfRule>
    <cfRule type="cellIs" dxfId="4540" priority="767" operator="equal">
      <formula>"RED"</formula>
    </cfRule>
    <cfRule type="cellIs" dxfId="4539" priority="768" operator="equal">
      <formula>"BLA"</formula>
    </cfRule>
  </conditionalFormatting>
  <conditionalFormatting sqref="H2">
    <cfRule type="cellIs" dxfId="4538" priority="725" stopIfTrue="1" operator="notEqual">
      <formula>""</formula>
    </cfRule>
  </conditionalFormatting>
  <conditionalFormatting sqref="R2 CU2">
    <cfRule type="cellIs" dxfId="4537" priority="727" operator="greaterThan">
      <formula>0</formula>
    </cfRule>
  </conditionalFormatting>
  <conditionalFormatting sqref="T2:AS2 CH2:CS2">
    <cfRule type="cellIs" dxfId="4536" priority="722" stopIfTrue="1" operator="equal">
      <formula>"n"</formula>
    </cfRule>
    <cfRule type="cellIs" dxfId="4535" priority="723" stopIfTrue="1" operator="equal">
      <formula>"y"</formula>
    </cfRule>
    <cfRule type="cellIs" dxfId="4534" priority="724" operator="greaterThan">
      <formula>0</formula>
    </cfRule>
  </conditionalFormatting>
  <conditionalFormatting sqref="AZ2:BB2">
    <cfRule type="expression" dxfId="4533" priority="721">
      <formula>$AT2=0</formula>
    </cfRule>
  </conditionalFormatting>
  <conditionalFormatting sqref="AZ2:BU2">
    <cfRule type="cellIs" dxfId="4532" priority="730" operator="equal">
      <formula>"PIN"</formula>
    </cfRule>
    <cfRule type="cellIs" dxfId="4531" priority="731" operator="equal">
      <formula>"ORA"</formula>
    </cfRule>
    <cfRule type="cellIs" dxfId="4530" priority="732" operator="equal">
      <formula>"GRA"</formula>
    </cfRule>
    <cfRule type="cellIs" dxfId="4529" priority="733" operator="equal">
      <formula>"PUR"</formula>
    </cfRule>
    <cfRule type="cellIs" dxfId="4528" priority="734" operator="equal">
      <formula>"BRO"</formula>
    </cfRule>
    <cfRule type="cellIs" dxfId="4527" priority="735" operator="equal">
      <formula>"YEL"</formula>
    </cfRule>
    <cfRule type="cellIs" dxfId="4526" priority="736" operator="equal">
      <formula>"BLU"</formula>
    </cfRule>
    <cfRule type="cellIs" dxfId="4525" priority="737" operator="equal">
      <formula>"WHI"</formula>
    </cfRule>
    <cfRule type="cellIs" dxfId="4524" priority="738" operator="equal">
      <formula>"GRE"</formula>
    </cfRule>
    <cfRule type="cellIs" dxfId="4523" priority="739" operator="equal">
      <formula>"RED"</formula>
    </cfRule>
    <cfRule type="cellIs" dxfId="4522" priority="740" operator="equal">
      <formula>"BLA"</formula>
    </cfRule>
  </conditionalFormatting>
  <conditionalFormatting sqref="BV2:BW2">
    <cfRule type="cellIs" dxfId="4521" priority="752" operator="equal">
      <formula>"nc"</formula>
    </cfRule>
  </conditionalFormatting>
  <conditionalFormatting sqref="BX2:CA2 CD2:CF2">
    <cfRule type="cellIs" dxfId="4520" priority="726" operator="equal">
      <formula>"y"</formula>
    </cfRule>
    <cfRule type="cellIs" dxfId="4519" priority="741" operator="equal">
      <formula>"PIN"</formula>
    </cfRule>
    <cfRule type="cellIs" dxfId="4518" priority="742" operator="equal">
      <formula>"ORA"</formula>
    </cfRule>
    <cfRule type="cellIs" dxfId="4517" priority="743" operator="equal">
      <formula>"GRA"</formula>
    </cfRule>
    <cfRule type="cellIs" dxfId="4516" priority="744" operator="equal">
      <formula>"PUR"</formula>
    </cfRule>
    <cfRule type="cellIs" dxfId="4515" priority="745" operator="equal">
      <formula>"BRO"</formula>
    </cfRule>
    <cfRule type="cellIs" dxfId="4514" priority="746" operator="equal">
      <formula>"YEL"</formula>
    </cfRule>
    <cfRule type="cellIs" dxfId="4513" priority="747" operator="equal">
      <formula>"BLU"</formula>
    </cfRule>
    <cfRule type="cellIs" dxfId="4512" priority="748" operator="equal">
      <formula>"WHI"</formula>
    </cfRule>
    <cfRule type="cellIs" dxfId="4511" priority="749" operator="equal">
      <formula>"GRE"</formula>
    </cfRule>
    <cfRule type="cellIs" dxfId="4510" priority="750" operator="equal">
      <formula>"RED"</formula>
    </cfRule>
    <cfRule type="cellIs" dxfId="4509" priority="751" operator="equal">
      <formula>"BLA"</formula>
    </cfRule>
  </conditionalFormatting>
  <conditionalFormatting sqref="BZ2:CA2 CD2:CF2">
    <cfRule type="cellIs" dxfId="4508" priority="728" operator="greaterThan">
      <formula>0</formula>
    </cfRule>
  </conditionalFormatting>
  <conditionalFormatting sqref="IC2:IK2">
    <cfRule type="expression" dxfId="4507" priority="729">
      <formula>$IL2&gt;0</formula>
    </cfRule>
  </conditionalFormatting>
  <conditionalFormatting sqref="J2">
    <cfRule type="colorScale" priority="753">
      <colorScale>
        <cfvo type="min"/>
        <cfvo type="percentile" val="50"/>
        <cfvo type="max"/>
        <color rgb="FFF8696B"/>
        <color rgb="FFFFEB84"/>
        <color rgb="FF63BE7B"/>
      </colorScale>
    </cfRule>
  </conditionalFormatting>
  <conditionalFormatting sqref="S2">
    <cfRule type="colorScale" priority="754">
      <colorScale>
        <cfvo type="min"/>
        <cfvo type="max"/>
        <color rgb="FFFCFCFF"/>
        <color rgb="FF754BFB"/>
      </colorScale>
    </cfRule>
  </conditionalFormatting>
  <conditionalFormatting sqref="AT2">
    <cfRule type="colorScale" priority="755">
      <colorScale>
        <cfvo type="min"/>
        <cfvo type="max"/>
        <color rgb="FFFCFCFF"/>
        <color theme="8" tint="0.39997558519241921"/>
      </colorScale>
    </cfRule>
  </conditionalFormatting>
  <conditionalFormatting sqref="CG2">
    <cfRule type="colorScale" priority="756">
      <colorScale>
        <cfvo type="min"/>
        <cfvo type="max"/>
        <color rgb="FFFCFCFF"/>
        <color rgb="FF63BE7B"/>
      </colorScale>
    </cfRule>
  </conditionalFormatting>
  <conditionalFormatting sqref="H3">
    <cfRule type="cellIs" dxfId="3583" priority="690" stopIfTrue="1" operator="notEqual">
      <formula>""</formula>
    </cfRule>
  </conditionalFormatting>
  <conditionalFormatting sqref="R3 CU3">
    <cfRule type="cellIs" dxfId="3582" priority="692" operator="greaterThan">
      <formula>0</formula>
    </cfRule>
  </conditionalFormatting>
  <conditionalFormatting sqref="T3:AS3 CH3:CS3">
    <cfRule type="cellIs" dxfId="3581" priority="687" stopIfTrue="1" operator="equal">
      <formula>"n"</formula>
    </cfRule>
    <cfRule type="cellIs" dxfId="3580" priority="688" stopIfTrue="1" operator="equal">
      <formula>"y"</formula>
    </cfRule>
    <cfRule type="cellIs" dxfId="3579" priority="689" operator="greaterThan">
      <formula>0</formula>
    </cfRule>
  </conditionalFormatting>
  <conditionalFormatting sqref="AZ3:BB3">
    <cfRule type="expression" dxfId="3578" priority="686">
      <formula>$AT3=0</formula>
    </cfRule>
  </conditionalFormatting>
  <conditionalFormatting sqref="AZ3:BU3">
    <cfRule type="cellIs" dxfId="3577" priority="695" operator="equal">
      <formula>"PIN"</formula>
    </cfRule>
    <cfRule type="cellIs" dxfId="3576" priority="696" operator="equal">
      <formula>"ORA"</formula>
    </cfRule>
    <cfRule type="cellIs" dxfId="3575" priority="697" operator="equal">
      <formula>"GRA"</formula>
    </cfRule>
    <cfRule type="cellIs" dxfId="3574" priority="698" operator="equal">
      <formula>"PUR"</formula>
    </cfRule>
    <cfRule type="cellIs" dxfId="3573" priority="699" operator="equal">
      <formula>"BRO"</formula>
    </cfRule>
    <cfRule type="cellIs" dxfId="3572" priority="700" operator="equal">
      <formula>"YEL"</formula>
    </cfRule>
    <cfRule type="cellIs" dxfId="3571" priority="701" operator="equal">
      <formula>"BLU"</formula>
    </cfRule>
    <cfRule type="cellIs" dxfId="3570" priority="702" operator="equal">
      <formula>"WHI"</formula>
    </cfRule>
    <cfRule type="cellIs" dxfId="3569" priority="703" operator="equal">
      <formula>"GRE"</formula>
    </cfRule>
    <cfRule type="cellIs" dxfId="3568" priority="704" operator="equal">
      <formula>"RED"</formula>
    </cfRule>
    <cfRule type="cellIs" dxfId="3567" priority="705" operator="equal">
      <formula>"BLA"</formula>
    </cfRule>
  </conditionalFormatting>
  <conditionalFormatting sqref="BV3:BW3">
    <cfRule type="cellIs" dxfId="3566" priority="717" operator="equal">
      <formula>"nc"</formula>
    </cfRule>
  </conditionalFormatting>
  <conditionalFormatting sqref="BX3:CA3 CD3:CF3">
    <cfRule type="cellIs" dxfId="3565" priority="691" operator="equal">
      <formula>"y"</formula>
    </cfRule>
    <cfRule type="cellIs" dxfId="3564" priority="706" operator="equal">
      <formula>"PIN"</formula>
    </cfRule>
    <cfRule type="cellIs" dxfId="3563" priority="707" operator="equal">
      <formula>"ORA"</formula>
    </cfRule>
    <cfRule type="cellIs" dxfId="3562" priority="708" operator="equal">
      <formula>"GRA"</formula>
    </cfRule>
    <cfRule type="cellIs" dxfId="3561" priority="709" operator="equal">
      <formula>"PUR"</formula>
    </cfRule>
    <cfRule type="cellIs" dxfId="3560" priority="710" operator="equal">
      <formula>"BRO"</formula>
    </cfRule>
    <cfRule type="cellIs" dxfId="3559" priority="711" operator="equal">
      <formula>"YEL"</formula>
    </cfRule>
    <cfRule type="cellIs" dxfId="3558" priority="712" operator="equal">
      <formula>"BLU"</formula>
    </cfRule>
    <cfRule type="cellIs" dxfId="3557" priority="713" operator="equal">
      <formula>"WHI"</formula>
    </cfRule>
    <cfRule type="cellIs" dxfId="3556" priority="714" operator="equal">
      <formula>"GRE"</formula>
    </cfRule>
    <cfRule type="cellIs" dxfId="3555" priority="715" operator="equal">
      <formula>"RED"</formula>
    </cfRule>
    <cfRule type="cellIs" dxfId="3554" priority="716" operator="equal">
      <formula>"BLA"</formula>
    </cfRule>
  </conditionalFormatting>
  <conditionalFormatting sqref="BZ3:CA3 CD3:CF3">
    <cfRule type="cellIs" dxfId="3553" priority="693" operator="greaterThan">
      <formula>0</formula>
    </cfRule>
  </conditionalFormatting>
  <conditionalFormatting sqref="IC3:IK3">
    <cfRule type="expression" dxfId="3552" priority="694">
      <formula>$IL3&gt;0</formula>
    </cfRule>
  </conditionalFormatting>
  <conditionalFormatting sqref="S3">
    <cfRule type="colorScale" priority="718">
      <colorScale>
        <cfvo type="min"/>
        <cfvo type="max"/>
        <color rgb="FFFCFCFF"/>
        <color rgb="FF754BFB"/>
      </colorScale>
    </cfRule>
  </conditionalFormatting>
  <conditionalFormatting sqref="AT3">
    <cfRule type="colorScale" priority="719">
      <colorScale>
        <cfvo type="min"/>
        <cfvo type="max"/>
        <color rgb="FFFCFCFF"/>
        <color theme="8" tint="0.39997558519241921"/>
      </colorScale>
    </cfRule>
  </conditionalFormatting>
  <conditionalFormatting sqref="CG3">
    <cfRule type="colorScale" priority="720">
      <colorScale>
        <cfvo type="min"/>
        <cfvo type="max"/>
        <color rgb="FFFCFCFF"/>
        <color rgb="FF63BE7B"/>
      </colorScale>
    </cfRule>
  </conditionalFormatting>
  <conditionalFormatting sqref="J3">
    <cfRule type="colorScale" priority="685">
      <colorScale>
        <cfvo type="min"/>
        <cfvo type="percentile" val="50"/>
        <cfvo type="max"/>
        <color rgb="FFF8696B"/>
        <color rgb="FFFFEB84"/>
        <color rgb="FF63BE7B"/>
      </colorScale>
    </cfRule>
  </conditionalFormatting>
  <conditionalFormatting sqref="H4">
    <cfRule type="cellIs" dxfId="3551" priority="654" stopIfTrue="1" operator="notEqual">
      <formula>""</formula>
    </cfRule>
  </conditionalFormatting>
  <conditionalFormatting sqref="R4 CU4">
    <cfRule type="cellIs" dxfId="3550" priority="656" operator="greaterThan">
      <formula>0</formula>
    </cfRule>
  </conditionalFormatting>
  <conditionalFormatting sqref="T4:AS4 CH4:CS4">
    <cfRule type="cellIs" dxfId="3549" priority="651" stopIfTrue="1" operator="equal">
      <formula>"n"</formula>
    </cfRule>
    <cfRule type="cellIs" dxfId="3548" priority="652" stopIfTrue="1" operator="equal">
      <formula>"y"</formula>
    </cfRule>
    <cfRule type="cellIs" dxfId="3547" priority="653" operator="greaterThan">
      <formula>0</formula>
    </cfRule>
  </conditionalFormatting>
  <conditionalFormatting sqref="AZ4:BB4">
    <cfRule type="expression" dxfId="3546" priority="650">
      <formula>$AT4=0</formula>
    </cfRule>
  </conditionalFormatting>
  <conditionalFormatting sqref="AZ4:BU4">
    <cfRule type="cellIs" dxfId="3545" priority="659" operator="equal">
      <formula>"PIN"</formula>
    </cfRule>
    <cfRule type="cellIs" dxfId="3544" priority="660" operator="equal">
      <formula>"ORA"</formula>
    </cfRule>
    <cfRule type="cellIs" dxfId="3543" priority="661" operator="equal">
      <formula>"GRA"</formula>
    </cfRule>
    <cfRule type="cellIs" dxfId="3542" priority="662" operator="equal">
      <formula>"PUR"</formula>
    </cfRule>
    <cfRule type="cellIs" dxfId="3541" priority="663" operator="equal">
      <formula>"BRO"</formula>
    </cfRule>
    <cfRule type="cellIs" dxfId="3540" priority="664" operator="equal">
      <formula>"YEL"</formula>
    </cfRule>
    <cfRule type="cellIs" dxfId="3539" priority="665" operator="equal">
      <formula>"BLU"</formula>
    </cfRule>
    <cfRule type="cellIs" dxfId="3538" priority="666" operator="equal">
      <formula>"WHI"</formula>
    </cfRule>
    <cfRule type="cellIs" dxfId="3537" priority="667" operator="equal">
      <formula>"GRE"</formula>
    </cfRule>
    <cfRule type="cellIs" dxfId="3536" priority="668" operator="equal">
      <formula>"RED"</formula>
    </cfRule>
    <cfRule type="cellIs" dxfId="3535" priority="669" operator="equal">
      <formula>"BLA"</formula>
    </cfRule>
  </conditionalFormatting>
  <conditionalFormatting sqref="BV4:BW4">
    <cfRule type="cellIs" dxfId="3534" priority="681" operator="equal">
      <formula>"nc"</formula>
    </cfRule>
  </conditionalFormatting>
  <conditionalFormatting sqref="BX4:CA4 CD4:CF4">
    <cfRule type="cellIs" dxfId="3533" priority="655" operator="equal">
      <formula>"y"</formula>
    </cfRule>
    <cfRule type="cellIs" dxfId="3532" priority="670" operator="equal">
      <formula>"PIN"</formula>
    </cfRule>
    <cfRule type="cellIs" dxfId="3531" priority="671" operator="equal">
      <formula>"ORA"</formula>
    </cfRule>
    <cfRule type="cellIs" dxfId="3530" priority="672" operator="equal">
      <formula>"GRA"</formula>
    </cfRule>
    <cfRule type="cellIs" dxfId="3529" priority="673" operator="equal">
      <formula>"PUR"</formula>
    </cfRule>
    <cfRule type="cellIs" dxfId="3528" priority="674" operator="equal">
      <formula>"BRO"</formula>
    </cfRule>
    <cfRule type="cellIs" dxfId="3527" priority="675" operator="equal">
      <formula>"YEL"</formula>
    </cfRule>
    <cfRule type="cellIs" dxfId="3526" priority="676" operator="equal">
      <formula>"BLU"</formula>
    </cfRule>
    <cfRule type="cellIs" dxfId="3525" priority="677" operator="equal">
      <formula>"WHI"</formula>
    </cfRule>
    <cfRule type="cellIs" dxfId="3524" priority="678" operator="equal">
      <formula>"GRE"</formula>
    </cfRule>
    <cfRule type="cellIs" dxfId="3523" priority="679" operator="equal">
      <formula>"RED"</formula>
    </cfRule>
    <cfRule type="cellIs" dxfId="3522" priority="680" operator="equal">
      <formula>"BLA"</formula>
    </cfRule>
  </conditionalFormatting>
  <conditionalFormatting sqref="BZ4:CA4 CD4:CF4">
    <cfRule type="cellIs" dxfId="3521" priority="657" operator="greaterThan">
      <formula>0</formula>
    </cfRule>
  </conditionalFormatting>
  <conditionalFormatting sqref="IC4:IK4">
    <cfRule type="expression" dxfId="3520" priority="658">
      <formula>$IL4&gt;0</formula>
    </cfRule>
  </conditionalFormatting>
  <conditionalFormatting sqref="S4">
    <cfRule type="colorScale" priority="682">
      <colorScale>
        <cfvo type="min"/>
        <cfvo type="max"/>
        <color rgb="FFFCFCFF"/>
        <color rgb="FF754BFB"/>
      </colorScale>
    </cfRule>
  </conditionalFormatting>
  <conditionalFormatting sqref="AT4">
    <cfRule type="colorScale" priority="683">
      <colorScale>
        <cfvo type="min"/>
        <cfvo type="max"/>
        <color rgb="FFFCFCFF"/>
        <color theme="8" tint="0.39997558519241921"/>
      </colorScale>
    </cfRule>
  </conditionalFormatting>
  <conditionalFormatting sqref="CG4">
    <cfRule type="colorScale" priority="684">
      <colorScale>
        <cfvo type="min"/>
        <cfvo type="max"/>
        <color rgb="FFFCFCFF"/>
        <color rgb="FF63BE7B"/>
      </colorScale>
    </cfRule>
  </conditionalFormatting>
  <conditionalFormatting sqref="J4">
    <cfRule type="colorScale" priority="649">
      <colorScale>
        <cfvo type="min"/>
        <cfvo type="percentile" val="50"/>
        <cfvo type="max"/>
        <color rgb="FFF8696B"/>
        <color rgb="FFFFEB84"/>
        <color rgb="FF63BE7B"/>
      </colorScale>
    </cfRule>
  </conditionalFormatting>
  <conditionalFormatting sqref="H5">
    <cfRule type="cellIs" dxfId="3519" priority="618" stopIfTrue="1" operator="notEqual">
      <formula>""</formula>
    </cfRule>
  </conditionalFormatting>
  <conditionalFormatting sqref="R5 CU5">
    <cfRule type="cellIs" dxfId="3518" priority="620" operator="greaterThan">
      <formula>0</formula>
    </cfRule>
  </conditionalFormatting>
  <conditionalFormatting sqref="T5:AS5 CH5:CS5">
    <cfRule type="cellIs" dxfId="3517" priority="615" stopIfTrue="1" operator="equal">
      <formula>"n"</formula>
    </cfRule>
    <cfRule type="cellIs" dxfId="3516" priority="616" stopIfTrue="1" operator="equal">
      <formula>"y"</formula>
    </cfRule>
    <cfRule type="cellIs" dxfId="3515" priority="617" operator="greaterThan">
      <formula>0</formula>
    </cfRule>
  </conditionalFormatting>
  <conditionalFormatting sqref="AZ5:BB5">
    <cfRule type="expression" dxfId="3514" priority="614">
      <formula>$AT5=0</formula>
    </cfRule>
  </conditionalFormatting>
  <conditionalFormatting sqref="AZ5:BU5">
    <cfRule type="cellIs" dxfId="3513" priority="623" operator="equal">
      <formula>"PIN"</formula>
    </cfRule>
    <cfRule type="cellIs" dxfId="3512" priority="624" operator="equal">
      <formula>"ORA"</formula>
    </cfRule>
    <cfRule type="cellIs" dxfId="3511" priority="625" operator="equal">
      <formula>"GRA"</formula>
    </cfRule>
    <cfRule type="cellIs" dxfId="3510" priority="626" operator="equal">
      <formula>"PUR"</formula>
    </cfRule>
    <cfRule type="cellIs" dxfId="3509" priority="627" operator="equal">
      <formula>"BRO"</formula>
    </cfRule>
    <cfRule type="cellIs" dxfId="3508" priority="628" operator="equal">
      <formula>"YEL"</formula>
    </cfRule>
    <cfRule type="cellIs" dxfId="3507" priority="629" operator="equal">
      <formula>"BLU"</formula>
    </cfRule>
    <cfRule type="cellIs" dxfId="3506" priority="630" operator="equal">
      <formula>"WHI"</formula>
    </cfRule>
    <cfRule type="cellIs" dxfId="3505" priority="631" operator="equal">
      <formula>"GRE"</formula>
    </cfRule>
    <cfRule type="cellIs" dxfId="3504" priority="632" operator="equal">
      <formula>"RED"</formula>
    </cfRule>
    <cfRule type="cellIs" dxfId="3503" priority="633" operator="equal">
      <formula>"BLA"</formula>
    </cfRule>
  </conditionalFormatting>
  <conditionalFormatting sqref="BV5:BW5">
    <cfRule type="cellIs" dxfId="3502" priority="645" operator="equal">
      <formula>"nc"</formula>
    </cfRule>
  </conditionalFormatting>
  <conditionalFormatting sqref="BX5:CA5 CD5:CF5">
    <cfRule type="cellIs" dxfId="3501" priority="619" operator="equal">
      <formula>"y"</formula>
    </cfRule>
    <cfRule type="cellIs" dxfId="3500" priority="634" operator="equal">
      <formula>"PIN"</formula>
    </cfRule>
    <cfRule type="cellIs" dxfId="3499" priority="635" operator="equal">
      <formula>"ORA"</formula>
    </cfRule>
    <cfRule type="cellIs" dxfId="3498" priority="636" operator="equal">
      <formula>"GRA"</formula>
    </cfRule>
    <cfRule type="cellIs" dxfId="3497" priority="637" operator="equal">
      <formula>"PUR"</formula>
    </cfRule>
    <cfRule type="cellIs" dxfId="3496" priority="638" operator="equal">
      <formula>"BRO"</formula>
    </cfRule>
    <cfRule type="cellIs" dxfId="3495" priority="639" operator="equal">
      <formula>"YEL"</formula>
    </cfRule>
    <cfRule type="cellIs" dxfId="3494" priority="640" operator="equal">
      <formula>"BLU"</formula>
    </cfRule>
    <cfRule type="cellIs" dxfId="3493" priority="641" operator="equal">
      <formula>"WHI"</formula>
    </cfRule>
    <cfRule type="cellIs" dxfId="3492" priority="642" operator="equal">
      <formula>"GRE"</formula>
    </cfRule>
    <cfRule type="cellIs" dxfId="3491" priority="643" operator="equal">
      <formula>"RED"</formula>
    </cfRule>
    <cfRule type="cellIs" dxfId="3490" priority="644" operator="equal">
      <formula>"BLA"</formula>
    </cfRule>
  </conditionalFormatting>
  <conditionalFormatting sqref="BZ5:CA5 CD5:CF5">
    <cfRule type="cellIs" dxfId="3489" priority="621" operator="greaterThan">
      <formula>0</formula>
    </cfRule>
  </conditionalFormatting>
  <conditionalFormatting sqref="IC5:IK5">
    <cfRule type="expression" dxfId="3488" priority="622">
      <formula>$IL5&gt;0</formula>
    </cfRule>
  </conditionalFormatting>
  <conditionalFormatting sqref="S5">
    <cfRule type="colorScale" priority="646">
      <colorScale>
        <cfvo type="min"/>
        <cfvo type="max"/>
        <color rgb="FFFCFCFF"/>
        <color rgb="FF754BFB"/>
      </colorScale>
    </cfRule>
  </conditionalFormatting>
  <conditionalFormatting sqref="AT5">
    <cfRule type="colorScale" priority="647">
      <colorScale>
        <cfvo type="min"/>
        <cfvo type="max"/>
        <color rgb="FFFCFCFF"/>
        <color theme="8" tint="0.39997558519241921"/>
      </colorScale>
    </cfRule>
  </conditionalFormatting>
  <conditionalFormatting sqref="CG5">
    <cfRule type="colorScale" priority="648">
      <colorScale>
        <cfvo type="min"/>
        <cfvo type="max"/>
        <color rgb="FFFCFCFF"/>
        <color rgb="FF63BE7B"/>
      </colorScale>
    </cfRule>
  </conditionalFormatting>
  <conditionalFormatting sqref="J5">
    <cfRule type="colorScale" priority="613">
      <colorScale>
        <cfvo type="min"/>
        <cfvo type="percentile" val="50"/>
        <cfvo type="max"/>
        <color rgb="FFF8696B"/>
        <color rgb="FFFFEB84"/>
        <color rgb="FF63BE7B"/>
      </colorScale>
    </cfRule>
  </conditionalFormatting>
  <conditionalFormatting sqref="H6">
    <cfRule type="cellIs" dxfId="3487" priority="582" stopIfTrue="1" operator="notEqual">
      <formula>""</formula>
    </cfRule>
  </conditionalFormatting>
  <conditionalFormatting sqref="R6 CU6">
    <cfRule type="cellIs" dxfId="3486" priority="584" operator="greaterThan">
      <formula>0</formula>
    </cfRule>
  </conditionalFormatting>
  <conditionalFormatting sqref="T6:AS6 CH6:CS6">
    <cfRule type="cellIs" dxfId="3485" priority="579" stopIfTrue="1" operator="equal">
      <formula>"n"</formula>
    </cfRule>
    <cfRule type="cellIs" dxfId="3484" priority="580" stopIfTrue="1" operator="equal">
      <formula>"y"</formula>
    </cfRule>
    <cfRule type="cellIs" dxfId="3483" priority="581" operator="greaterThan">
      <formula>0</formula>
    </cfRule>
  </conditionalFormatting>
  <conditionalFormatting sqref="AZ6:BB6">
    <cfRule type="expression" dxfId="3482" priority="578">
      <formula>$AT6=0</formula>
    </cfRule>
  </conditionalFormatting>
  <conditionalFormatting sqref="AZ6:BU6">
    <cfRule type="cellIs" dxfId="3481" priority="587" operator="equal">
      <formula>"PIN"</formula>
    </cfRule>
    <cfRule type="cellIs" dxfId="3480" priority="588" operator="equal">
      <formula>"ORA"</formula>
    </cfRule>
    <cfRule type="cellIs" dxfId="3479" priority="589" operator="equal">
      <formula>"GRA"</formula>
    </cfRule>
    <cfRule type="cellIs" dxfId="3478" priority="590" operator="equal">
      <formula>"PUR"</formula>
    </cfRule>
    <cfRule type="cellIs" dxfId="3477" priority="591" operator="equal">
      <formula>"BRO"</formula>
    </cfRule>
    <cfRule type="cellIs" dxfId="3476" priority="592" operator="equal">
      <formula>"YEL"</formula>
    </cfRule>
    <cfRule type="cellIs" dxfId="3475" priority="593" operator="equal">
      <formula>"BLU"</formula>
    </cfRule>
    <cfRule type="cellIs" dxfId="3474" priority="594" operator="equal">
      <formula>"WHI"</formula>
    </cfRule>
    <cfRule type="cellIs" dxfId="3473" priority="595" operator="equal">
      <formula>"GRE"</formula>
    </cfRule>
    <cfRule type="cellIs" dxfId="3472" priority="596" operator="equal">
      <formula>"RED"</formula>
    </cfRule>
    <cfRule type="cellIs" dxfId="3471" priority="597" operator="equal">
      <formula>"BLA"</formula>
    </cfRule>
  </conditionalFormatting>
  <conditionalFormatting sqref="BV6:BW6">
    <cfRule type="cellIs" dxfId="3470" priority="609" operator="equal">
      <formula>"nc"</formula>
    </cfRule>
  </conditionalFormatting>
  <conditionalFormatting sqref="BX6:CA6 CD6:CF6">
    <cfRule type="cellIs" dxfId="3469" priority="583" operator="equal">
      <formula>"y"</formula>
    </cfRule>
    <cfRule type="cellIs" dxfId="3468" priority="598" operator="equal">
      <formula>"PIN"</formula>
    </cfRule>
    <cfRule type="cellIs" dxfId="3467" priority="599" operator="equal">
      <formula>"ORA"</formula>
    </cfRule>
    <cfRule type="cellIs" dxfId="3466" priority="600" operator="equal">
      <formula>"GRA"</formula>
    </cfRule>
    <cfRule type="cellIs" dxfId="3465" priority="601" operator="equal">
      <formula>"PUR"</formula>
    </cfRule>
    <cfRule type="cellIs" dxfId="3464" priority="602" operator="equal">
      <formula>"BRO"</formula>
    </cfRule>
    <cfRule type="cellIs" dxfId="3463" priority="603" operator="equal">
      <formula>"YEL"</formula>
    </cfRule>
    <cfRule type="cellIs" dxfId="3462" priority="604" operator="equal">
      <formula>"BLU"</formula>
    </cfRule>
    <cfRule type="cellIs" dxfId="3461" priority="605" operator="equal">
      <formula>"WHI"</formula>
    </cfRule>
    <cfRule type="cellIs" dxfId="3460" priority="606" operator="equal">
      <formula>"GRE"</formula>
    </cfRule>
    <cfRule type="cellIs" dxfId="3459" priority="607" operator="equal">
      <formula>"RED"</formula>
    </cfRule>
    <cfRule type="cellIs" dxfId="3458" priority="608" operator="equal">
      <formula>"BLA"</formula>
    </cfRule>
  </conditionalFormatting>
  <conditionalFormatting sqref="BZ6:CA6 CD6:CF6">
    <cfRule type="cellIs" dxfId="3457" priority="585" operator="greaterThan">
      <formula>0</formula>
    </cfRule>
  </conditionalFormatting>
  <conditionalFormatting sqref="IC6:IK6">
    <cfRule type="expression" dxfId="3456" priority="586">
      <formula>$IL6&gt;0</formula>
    </cfRule>
  </conditionalFormatting>
  <conditionalFormatting sqref="S6">
    <cfRule type="colorScale" priority="610">
      <colorScale>
        <cfvo type="min"/>
        <cfvo type="max"/>
        <color rgb="FFFCFCFF"/>
        <color rgb="FF754BFB"/>
      </colorScale>
    </cfRule>
  </conditionalFormatting>
  <conditionalFormatting sqref="AT6">
    <cfRule type="colorScale" priority="611">
      <colorScale>
        <cfvo type="min"/>
        <cfvo type="max"/>
        <color rgb="FFFCFCFF"/>
        <color theme="8" tint="0.39997558519241921"/>
      </colorScale>
    </cfRule>
  </conditionalFormatting>
  <conditionalFormatting sqref="CG6">
    <cfRule type="colorScale" priority="612">
      <colorScale>
        <cfvo type="min"/>
        <cfvo type="max"/>
        <color rgb="FFFCFCFF"/>
        <color rgb="FF63BE7B"/>
      </colorScale>
    </cfRule>
  </conditionalFormatting>
  <conditionalFormatting sqref="J6">
    <cfRule type="colorScale" priority="577">
      <colorScale>
        <cfvo type="min"/>
        <cfvo type="percentile" val="50"/>
        <cfvo type="max"/>
        <color rgb="FFF8696B"/>
        <color rgb="FFFFEB84"/>
        <color rgb="FF63BE7B"/>
      </colorScale>
    </cfRule>
  </conditionalFormatting>
  <conditionalFormatting sqref="H7">
    <cfRule type="cellIs" dxfId="3455" priority="546" stopIfTrue="1" operator="notEqual">
      <formula>""</formula>
    </cfRule>
  </conditionalFormatting>
  <conditionalFormatting sqref="R7 CU7">
    <cfRule type="cellIs" dxfId="3454" priority="548" operator="greaterThan">
      <formula>0</formula>
    </cfRule>
  </conditionalFormatting>
  <conditionalFormatting sqref="T7:AS7 CH7:CS7">
    <cfRule type="cellIs" dxfId="3453" priority="543" stopIfTrue="1" operator="equal">
      <formula>"n"</formula>
    </cfRule>
    <cfRule type="cellIs" dxfId="3452" priority="544" stopIfTrue="1" operator="equal">
      <formula>"y"</formula>
    </cfRule>
    <cfRule type="cellIs" dxfId="3451" priority="545" operator="greaterThan">
      <formula>0</formula>
    </cfRule>
  </conditionalFormatting>
  <conditionalFormatting sqref="AZ7:BB7">
    <cfRule type="expression" dxfId="3450" priority="542">
      <formula>$AT7=0</formula>
    </cfRule>
  </conditionalFormatting>
  <conditionalFormatting sqref="AZ7:BU7">
    <cfRule type="cellIs" dxfId="3449" priority="551" operator="equal">
      <formula>"PIN"</formula>
    </cfRule>
    <cfRule type="cellIs" dxfId="3448" priority="552" operator="equal">
      <formula>"ORA"</formula>
    </cfRule>
    <cfRule type="cellIs" dxfId="3447" priority="553" operator="equal">
      <formula>"GRA"</formula>
    </cfRule>
    <cfRule type="cellIs" dxfId="3446" priority="554" operator="equal">
      <formula>"PUR"</formula>
    </cfRule>
    <cfRule type="cellIs" dxfId="3445" priority="555" operator="equal">
      <formula>"BRO"</formula>
    </cfRule>
    <cfRule type="cellIs" dxfId="3444" priority="556" operator="equal">
      <formula>"YEL"</formula>
    </cfRule>
    <cfRule type="cellIs" dxfId="3443" priority="557" operator="equal">
      <formula>"BLU"</formula>
    </cfRule>
    <cfRule type="cellIs" dxfId="3442" priority="558" operator="equal">
      <formula>"WHI"</formula>
    </cfRule>
    <cfRule type="cellIs" dxfId="3441" priority="559" operator="equal">
      <formula>"GRE"</formula>
    </cfRule>
    <cfRule type="cellIs" dxfId="3440" priority="560" operator="equal">
      <formula>"RED"</formula>
    </cfRule>
    <cfRule type="cellIs" dxfId="3439" priority="561" operator="equal">
      <formula>"BLA"</formula>
    </cfRule>
  </conditionalFormatting>
  <conditionalFormatting sqref="BV7:BW7">
    <cfRule type="cellIs" dxfId="3438" priority="573" operator="equal">
      <formula>"nc"</formula>
    </cfRule>
  </conditionalFormatting>
  <conditionalFormatting sqref="BX7:CA7 CD7:CF7">
    <cfRule type="cellIs" dxfId="3437" priority="547" operator="equal">
      <formula>"y"</formula>
    </cfRule>
    <cfRule type="cellIs" dxfId="3436" priority="562" operator="equal">
      <formula>"PIN"</formula>
    </cfRule>
    <cfRule type="cellIs" dxfId="3435" priority="563" operator="equal">
      <formula>"ORA"</formula>
    </cfRule>
    <cfRule type="cellIs" dxfId="3434" priority="564" operator="equal">
      <formula>"GRA"</formula>
    </cfRule>
    <cfRule type="cellIs" dxfId="3433" priority="565" operator="equal">
      <formula>"PUR"</formula>
    </cfRule>
    <cfRule type="cellIs" dxfId="3432" priority="566" operator="equal">
      <formula>"BRO"</formula>
    </cfRule>
    <cfRule type="cellIs" dxfId="3431" priority="567" operator="equal">
      <formula>"YEL"</formula>
    </cfRule>
    <cfRule type="cellIs" dxfId="3430" priority="568" operator="equal">
      <formula>"BLU"</formula>
    </cfRule>
    <cfRule type="cellIs" dxfId="3429" priority="569" operator="equal">
      <formula>"WHI"</formula>
    </cfRule>
    <cfRule type="cellIs" dxfId="3428" priority="570" operator="equal">
      <formula>"GRE"</formula>
    </cfRule>
    <cfRule type="cellIs" dxfId="3427" priority="571" operator="equal">
      <formula>"RED"</formula>
    </cfRule>
    <cfRule type="cellIs" dxfId="3426" priority="572" operator="equal">
      <formula>"BLA"</formula>
    </cfRule>
  </conditionalFormatting>
  <conditionalFormatting sqref="BZ7:CA7 CD7:CF7">
    <cfRule type="cellIs" dxfId="3425" priority="549" operator="greaterThan">
      <formula>0</formula>
    </cfRule>
  </conditionalFormatting>
  <conditionalFormatting sqref="IC7:IK7">
    <cfRule type="expression" dxfId="3424" priority="550">
      <formula>$IL7&gt;0</formula>
    </cfRule>
  </conditionalFormatting>
  <conditionalFormatting sqref="S7">
    <cfRule type="colorScale" priority="574">
      <colorScale>
        <cfvo type="min"/>
        <cfvo type="max"/>
        <color rgb="FFFCFCFF"/>
        <color rgb="FF754BFB"/>
      </colorScale>
    </cfRule>
  </conditionalFormatting>
  <conditionalFormatting sqref="AT7">
    <cfRule type="colorScale" priority="575">
      <colorScale>
        <cfvo type="min"/>
        <cfvo type="max"/>
        <color rgb="FFFCFCFF"/>
        <color theme="8" tint="0.39997558519241921"/>
      </colorScale>
    </cfRule>
  </conditionalFormatting>
  <conditionalFormatting sqref="CG7">
    <cfRule type="colorScale" priority="576">
      <colorScale>
        <cfvo type="min"/>
        <cfvo type="max"/>
        <color rgb="FFFCFCFF"/>
        <color rgb="FF63BE7B"/>
      </colorScale>
    </cfRule>
  </conditionalFormatting>
  <conditionalFormatting sqref="J7">
    <cfRule type="colorScale" priority="541">
      <colorScale>
        <cfvo type="min"/>
        <cfvo type="percentile" val="50"/>
        <cfvo type="max"/>
        <color rgb="FFF8696B"/>
        <color rgb="FFFFEB84"/>
        <color rgb="FF63BE7B"/>
      </colorScale>
    </cfRule>
  </conditionalFormatting>
  <conditionalFormatting sqref="H8">
    <cfRule type="cellIs" dxfId="3423" priority="510" stopIfTrue="1" operator="notEqual">
      <formula>""</formula>
    </cfRule>
  </conditionalFormatting>
  <conditionalFormatting sqref="R8 CU8">
    <cfRule type="cellIs" dxfId="3422" priority="512" operator="greaterThan">
      <formula>0</formula>
    </cfRule>
  </conditionalFormatting>
  <conditionalFormatting sqref="T8:AS8 CH8:CS8">
    <cfRule type="cellIs" dxfId="3421" priority="507" stopIfTrue="1" operator="equal">
      <formula>"n"</formula>
    </cfRule>
    <cfRule type="cellIs" dxfId="3420" priority="508" stopIfTrue="1" operator="equal">
      <formula>"y"</formula>
    </cfRule>
    <cfRule type="cellIs" dxfId="3419" priority="509" operator="greaterThan">
      <formula>0</formula>
    </cfRule>
  </conditionalFormatting>
  <conditionalFormatting sqref="AZ8:BB8">
    <cfRule type="expression" dxfId="3418" priority="506">
      <formula>$AT8=0</formula>
    </cfRule>
  </conditionalFormatting>
  <conditionalFormatting sqref="AZ8:BU8">
    <cfRule type="cellIs" dxfId="3417" priority="515" operator="equal">
      <formula>"PIN"</formula>
    </cfRule>
    <cfRule type="cellIs" dxfId="3416" priority="516" operator="equal">
      <formula>"ORA"</formula>
    </cfRule>
    <cfRule type="cellIs" dxfId="3415" priority="517" operator="equal">
      <formula>"GRA"</formula>
    </cfRule>
    <cfRule type="cellIs" dxfId="3414" priority="518" operator="equal">
      <formula>"PUR"</formula>
    </cfRule>
    <cfRule type="cellIs" dxfId="3413" priority="519" operator="equal">
      <formula>"BRO"</formula>
    </cfRule>
    <cfRule type="cellIs" dxfId="3412" priority="520" operator="equal">
      <formula>"YEL"</formula>
    </cfRule>
    <cfRule type="cellIs" dxfId="3411" priority="521" operator="equal">
      <formula>"BLU"</formula>
    </cfRule>
    <cfRule type="cellIs" dxfId="3410" priority="522" operator="equal">
      <formula>"WHI"</formula>
    </cfRule>
    <cfRule type="cellIs" dxfId="3409" priority="523" operator="equal">
      <formula>"GRE"</formula>
    </cfRule>
    <cfRule type="cellIs" dxfId="3408" priority="524" operator="equal">
      <formula>"RED"</formula>
    </cfRule>
    <cfRule type="cellIs" dxfId="3407" priority="525" operator="equal">
      <formula>"BLA"</formula>
    </cfRule>
  </conditionalFormatting>
  <conditionalFormatting sqref="BV8:BW8">
    <cfRule type="cellIs" dxfId="3406" priority="537" operator="equal">
      <formula>"nc"</formula>
    </cfRule>
  </conditionalFormatting>
  <conditionalFormatting sqref="BX8:CA8 CD8:CF8">
    <cfRule type="cellIs" dxfId="3405" priority="511" operator="equal">
      <formula>"y"</formula>
    </cfRule>
    <cfRule type="cellIs" dxfId="3404" priority="526" operator="equal">
      <formula>"PIN"</formula>
    </cfRule>
    <cfRule type="cellIs" dxfId="3403" priority="527" operator="equal">
      <formula>"ORA"</formula>
    </cfRule>
    <cfRule type="cellIs" dxfId="3402" priority="528" operator="equal">
      <formula>"GRA"</formula>
    </cfRule>
    <cfRule type="cellIs" dxfId="3401" priority="529" operator="equal">
      <formula>"PUR"</formula>
    </cfRule>
    <cfRule type="cellIs" dxfId="3400" priority="530" operator="equal">
      <formula>"BRO"</formula>
    </cfRule>
    <cfRule type="cellIs" dxfId="3399" priority="531" operator="equal">
      <formula>"YEL"</formula>
    </cfRule>
    <cfRule type="cellIs" dxfId="3398" priority="532" operator="equal">
      <formula>"BLU"</formula>
    </cfRule>
    <cfRule type="cellIs" dxfId="3397" priority="533" operator="equal">
      <formula>"WHI"</formula>
    </cfRule>
    <cfRule type="cellIs" dxfId="3396" priority="534" operator="equal">
      <formula>"GRE"</formula>
    </cfRule>
    <cfRule type="cellIs" dxfId="3395" priority="535" operator="equal">
      <formula>"RED"</formula>
    </cfRule>
    <cfRule type="cellIs" dxfId="3394" priority="536" operator="equal">
      <formula>"BLA"</formula>
    </cfRule>
  </conditionalFormatting>
  <conditionalFormatting sqref="BZ8:CA8 CD8:CF8">
    <cfRule type="cellIs" dxfId="3393" priority="513" operator="greaterThan">
      <formula>0</formula>
    </cfRule>
  </conditionalFormatting>
  <conditionalFormatting sqref="IC8:IK8">
    <cfRule type="expression" dxfId="3392" priority="514">
      <formula>$IL8&gt;0</formula>
    </cfRule>
  </conditionalFormatting>
  <conditionalFormatting sqref="S8">
    <cfRule type="colorScale" priority="538">
      <colorScale>
        <cfvo type="min"/>
        <cfvo type="max"/>
        <color rgb="FFFCFCFF"/>
        <color rgb="FF754BFB"/>
      </colorScale>
    </cfRule>
  </conditionalFormatting>
  <conditionalFormatting sqref="AT8">
    <cfRule type="colorScale" priority="539">
      <colorScale>
        <cfvo type="min"/>
        <cfvo type="max"/>
        <color rgb="FFFCFCFF"/>
        <color theme="8" tint="0.39997558519241921"/>
      </colorScale>
    </cfRule>
  </conditionalFormatting>
  <conditionalFormatting sqref="CG8">
    <cfRule type="colorScale" priority="540">
      <colorScale>
        <cfvo type="min"/>
        <cfvo type="max"/>
        <color rgb="FFFCFCFF"/>
        <color rgb="FF63BE7B"/>
      </colorScale>
    </cfRule>
  </conditionalFormatting>
  <conditionalFormatting sqref="J8">
    <cfRule type="colorScale" priority="505">
      <colorScale>
        <cfvo type="min"/>
        <cfvo type="percentile" val="50"/>
        <cfvo type="max"/>
        <color rgb="FFF8696B"/>
        <color rgb="FFFFEB84"/>
        <color rgb="FF63BE7B"/>
      </colorScale>
    </cfRule>
  </conditionalFormatting>
  <conditionalFormatting sqref="H9">
    <cfRule type="cellIs" dxfId="3391" priority="498" stopIfTrue="1" operator="notEqual">
      <formula>""</formula>
    </cfRule>
  </conditionalFormatting>
  <conditionalFormatting sqref="R9 CU9">
    <cfRule type="cellIs" dxfId="3390" priority="499" operator="greaterThan">
      <formula>0</formula>
    </cfRule>
  </conditionalFormatting>
  <conditionalFormatting sqref="BV9:BW9">
    <cfRule type="cellIs" dxfId="3389" priority="500" operator="equal">
      <formula>"nc"</formula>
    </cfRule>
  </conditionalFormatting>
  <conditionalFormatting sqref="T9:AS9 CH9:CS9">
    <cfRule type="cellIs" dxfId="3388" priority="470" stopIfTrue="1" operator="equal">
      <formula>"n"</formula>
    </cfRule>
    <cfRule type="cellIs" dxfId="3387" priority="471" stopIfTrue="1" operator="equal">
      <formula>"y"</formula>
    </cfRule>
    <cfRule type="cellIs" dxfId="3386" priority="472" operator="greaterThan">
      <formula>0</formula>
    </cfRule>
  </conditionalFormatting>
  <conditionalFormatting sqref="AZ9:BB9">
    <cfRule type="expression" dxfId="3385" priority="469">
      <formula>$AT9=0</formula>
    </cfRule>
  </conditionalFormatting>
  <conditionalFormatting sqref="AZ9:BU9">
    <cfRule type="cellIs" dxfId="3384" priority="476" operator="equal">
      <formula>"PIN"</formula>
    </cfRule>
    <cfRule type="cellIs" dxfId="3383" priority="477" operator="equal">
      <formula>"ORA"</formula>
    </cfRule>
    <cfRule type="cellIs" dxfId="3382" priority="478" operator="equal">
      <formula>"GRA"</formula>
    </cfRule>
    <cfRule type="cellIs" dxfId="3381" priority="479" operator="equal">
      <formula>"PUR"</formula>
    </cfRule>
    <cfRule type="cellIs" dxfId="3380" priority="480" operator="equal">
      <formula>"BRO"</formula>
    </cfRule>
    <cfRule type="cellIs" dxfId="3379" priority="481" operator="equal">
      <formula>"YEL"</formula>
    </cfRule>
    <cfRule type="cellIs" dxfId="3378" priority="482" operator="equal">
      <formula>"BLU"</formula>
    </cfRule>
    <cfRule type="cellIs" dxfId="3377" priority="483" operator="equal">
      <formula>"WHI"</formula>
    </cfRule>
    <cfRule type="cellIs" dxfId="3376" priority="484" operator="equal">
      <formula>"GRE"</formula>
    </cfRule>
    <cfRule type="cellIs" dxfId="3375" priority="485" operator="equal">
      <formula>"RED"</formula>
    </cfRule>
    <cfRule type="cellIs" dxfId="3374" priority="486" operator="equal">
      <formula>"BLA"</formula>
    </cfRule>
  </conditionalFormatting>
  <conditionalFormatting sqref="BX9:CA9 CD9:CF9">
    <cfRule type="cellIs" dxfId="3373" priority="473" operator="equal">
      <formula>"y"</formula>
    </cfRule>
    <cfRule type="cellIs" dxfId="3372" priority="487" operator="equal">
      <formula>"PIN"</formula>
    </cfRule>
    <cfRule type="cellIs" dxfId="3371" priority="488" operator="equal">
      <formula>"ORA"</formula>
    </cfRule>
    <cfRule type="cellIs" dxfId="3370" priority="489" operator="equal">
      <formula>"GRA"</formula>
    </cfRule>
    <cfRule type="cellIs" dxfId="3369" priority="490" operator="equal">
      <formula>"PUR"</formula>
    </cfRule>
    <cfRule type="cellIs" dxfId="3368" priority="491" operator="equal">
      <formula>"BRO"</formula>
    </cfRule>
    <cfRule type="cellIs" dxfId="3367" priority="492" operator="equal">
      <formula>"YEL"</formula>
    </cfRule>
    <cfRule type="cellIs" dxfId="3366" priority="493" operator="equal">
      <formula>"BLU"</formula>
    </cfRule>
    <cfRule type="cellIs" dxfId="3365" priority="494" operator="equal">
      <formula>"WHI"</formula>
    </cfRule>
    <cfRule type="cellIs" dxfId="3364" priority="495" operator="equal">
      <formula>"GRE"</formula>
    </cfRule>
    <cfRule type="cellIs" dxfId="3363" priority="496" operator="equal">
      <formula>"RED"</formula>
    </cfRule>
    <cfRule type="cellIs" dxfId="3362" priority="497" operator="equal">
      <formula>"BLA"</formula>
    </cfRule>
  </conditionalFormatting>
  <conditionalFormatting sqref="BZ9:CA9 CD9:CF9">
    <cfRule type="cellIs" dxfId="3361" priority="474" operator="greaterThan">
      <formula>0</formula>
    </cfRule>
  </conditionalFormatting>
  <conditionalFormatting sqref="IC9:IK9">
    <cfRule type="expression" dxfId="3360" priority="475">
      <formula>$IL9&gt;0</formula>
    </cfRule>
  </conditionalFormatting>
  <conditionalFormatting sqref="J9">
    <cfRule type="colorScale" priority="501">
      <colorScale>
        <cfvo type="min"/>
        <cfvo type="percentile" val="50"/>
        <cfvo type="max"/>
        <color rgb="FFF8696B"/>
        <color rgb="FFFFEB84"/>
        <color rgb="FF63BE7B"/>
      </colorScale>
    </cfRule>
  </conditionalFormatting>
  <conditionalFormatting sqref="S9">
    <cfRule type="colorScale" priority="502">
      <colorScale>
        <cfvo type="min"/>
        <cfvo type="max"/>
        <color rgb="FFFCFCFF"/>
        <color rgb="FF754BFB"/>
      </colorScale>
    </cfRule>
  </conditionalFormatting>
  <conditionalFormatting sqref="AT9">
    <cfRule type="colorScale" priority="503">
      <colorScale>
        <cfvo type="min"/>
        <cfvo type="max"/>
        <color rgb="FFFCFCFF"/>
        <color theme="8" tint="0.39997558519241921"/>
      </colorScale>
    </cfRule>
  </conditionalFormatting>
  <conditionalFormatting sqref="CG9">
    <cfRule type="colorScale" priority="504">
      <colorScale>
        <cfvo type="min"/>
        <cfvo type="max"/>
        <color rgb="FFFCFCFF"/>
        <color rgb="FF63BE7B"/>
      </colorScale>
    </cfRule>
  </conditionalFormatting>
  <conditionalFormatting sqref="H10">
    <cfRule type="cellIs" dxfId="3359" priority="437" stopIfTrue="1" operator="notEqual">
      <formula>""</formula>
    </cfRule>
  </conditionalFormatting>
  <conditionalFormatting sqref="R10 CU10">
    <cfRule type="cellIs" dxfId="3358" priority="439" operator="greaterThan">
      <formula>0</formula>
    </cfRule>
  </conditionalFormatting>
  <conditionalFormatting sqref="T10:AS10 CH10:CS10">
    <cfRule type="cellIs" dxfId="3357" priority="434" stopIfTrue="1" operator="equal">
      <formula>"n"</formula>
    </cfRule>
    <cfRule type="cellIs" dxfId="3356" priority="435" stopIfTrue="1" operator="equal">
      <formula>"y"</formula>
    </cfRule>
    <cfRule type="cellIs" dxfId="3355" priority="436" operator="greaterThan">
      <formula>0</formula>
    </cfRule>
  </conditionalFormatting>
  <conditionalFormatting sqref="AZ10:BB10">
    <cfRule type="expression" dxfId="3354" priority="433">
      <formula>$AT10=0</formula>
    </cfRule>
  </conditionalFormatting>
  <conditionalFormatting sqref="AZ10:BU10">
    <cfRule type="cellIs" dxfId="3353" priority="442" operator="equal">
      <formula>"PIN"</formula>
    </cfRule>
    <cfRule type="cellIs" dxfId="3352" priority="443" operator="equal">
      <formula>"ORA"</formula>
    </cfRule>
    <cfRule type="cellIs" dxfId="3351" priority="444" operator="equal">
      <formula>"GRA"</formula>
    </cfRule>
    <cfRule type="cellIs" dxfId="3350" priority="445" operator="equal">
      <formula>"PUR"</formula>
    </cfRule>
    <cfRule type="cellIs" dxfId="3349" priority="446" operator="equal">
      <formula>"BRO"</formula>
    </cfRule>
    <cfRule type="cellIs" dxfId="3348" priority="447" operator="equal">
      <formula>"YEL"</formula>
    </cfRule>
    <cfRule type="cellIs" dxfId="3347" priority="448" operator="equal">
      <formula>"BLU"</formula>
    </cfRule>
    <cfRule type="cellIs" dxfId="3346" priority="449" operator="equal">
      <formula>"WHI"</formula>
    </cfRule>
    <cfRule type="cellIs" dxfId="3345" priority="450" operator="equal">
      <formula>"GRE"</formula>
    </cfRule>
    <cfRule type="cellIs" dxfId="3344" priority="451" operator="equal">
      <formula>"RED"</formula>
    </cfRule>
    <cfRule type="cellIs" dxfId="3343" priority="452" operator="equal">
      <formula>"BLA"</formula>
    </cfRule>
  </conditionalFormatting>
  <conditionalFormatting sqref="BV10:BW10">
    <cfRule type="cellIs" dxfId="3342" priority="464" operator="equal">
      <formula>"nc"</formula>
    </cfRule>
  </conditionalFormatting>
  <conditionalFormatting sqref="BX10:CA10 CD10:CF10">
    <cfRule type="cellIs" dxfId="3341" priority="438" operator="equal">
      <formula>"y"</formula>
    </cfRule>
    <cfRule type="cellIs" dxfId="3340" priority="453" operator="equal">
      <formula>"PIN"</formula>
    </cfRule>
    <cfRule type="cellIs" dxfId="3339" priority="454" operator="equal">
      <formula>"ORA"</formula>
    </cfRule>
    <cfRule type="cellIs" dxfId="3338" priority="455" operator="equal">
      <formula>"GRA"</formula>
    </cfRule>
    <cfRule type="cellIs" dxfId="3337" priority="456" operator="equal">
      <formula>"PUR"</formula>
    </cfRule>
    <cfRule type="cellIs" dxfId="3336" priority="457" operator="equal">
      <formula>"BRO"</formula>
    </cfRule>
    <cfRule type="cellIs" dxfId="3335" priority="458" operator="equal">
      <formula>"YEL"</formula>
    </cfRule>
    <cfRule type="cellIs" dxfId="3334" priority="459" operator="equal">
      <formula>"BLU"</formula>
    </cfRule>
    <cfRule type="cellIs" dxfId="3333" priority="460" operator="equal">
      <formula>"WHI"</formula>
    </cfRule>
    <cfRule type="cellIs" dxfId="3332" priority="461" operator="equal">
      <formula>"GRE"</formula>
    </cfRule>
    <cfRule type="cellIs" dxfId="3331" priority="462" operator="equal">
      <formula>"RED"</formula>
    </cfRule>
    <cfRule type="cellIs" dxfId="3330" priority="463" operator="equal">
      <formula>"BLA"</formula>
    </cfRule>
  </conditionalFormatting>
  <conditionalFormatting sqref="BZ10:CA10 CD10:CF10">
    <cfRule type="cellIs" dxfId="3329" priority="440" operator="greaterThan">
      <formula>0</formula>
    </cfRule>
  </conditionalFormatting>
  <conditionalFormatting sqref="IC10:IK10">
    <cfRule type="expression" dxfId="3328" priority="441">
      <formula>$IL10&gt;0</formula>
    </cfRule>
  </conditionalFormatting>
  <conditionalFormatting sqref="J10">
    <cfRule type="colorScale" priority="465">
      <colorScale>
        <cfvo type="min"/>
        <cfvo type="percentile" val="50"/>
        <cfvo type="max"/>
        <color rgb="FFF8696B"/>
        <color rgb="FFFFEB84"/>
        <color rgb="FF63BE7B"/>
      </colorScale>
    </cfRule>
  </conditionalFormatting>
  <conditionalFormatting sqref="S10">
    <cfRule type="colorScale" priority="466">
      <colorScale>
        <cfvo type="min"/>
        <cfvo type="max"/>
        <color rgb="FFFCFCFF"/>
        <color rgb="FF754BFB"/>
      </colorScale>
    </cfRule>
  </conditionalFormatting>
  <conditionalFormatting sqref="AT10">
    <cfRule type="colorScale" priority="467">
      <colorScale>
        <cfvo type="min"/>
        <cfvo type="max"/>
        <color rgb="FFFCFCFF"/>
        <color theme="8" tint="0.39997558519241921"/>
      </colorScale>
    </cfRule>
  </conditionalFormatting>
  <conditionalFormatting sqref="CG10">
    <cfRule type="colorScale" priority="468">
      <colorScale>
        <cfvo type="min"/>
        <cfvo type="max"/>
        <color rgb="FFFCFCFF"/>
        <color rgb="FF63BE7B"/>
      </colorScale>
    </cfRule>
  </conditionalFormatting>
  <conditionalFormatting sqref="H11">
    <cfRule type="cellIs" dxfId="3327" priority="401" stopIfTrue="1" operator="notEqual">
      <formula>""</formula>
    </cfRule>
  </conditionalFormatting>
  <conditionalFormatting sqref="R11 CU11">
    <cfRule type="cellIs" dxfId="3326" priority="403" operator="greaterThan">
      <formula>0</formula>
    </cfRule>
  </conditionalFormatting>
  <conditionalFormatting sqref="T11:AS11 CH11:CS11">
    <cfRule type="cellIs" dxfId="3325" priority="398" stopIfTrue="1" operator="equal">
      <formula>"n"</formula>
    </cfRule>
    <cfRule type="cellIs" dxfId="3324" priority="399" stopIfTrue="1" operator="equal">
      <formula>"y"</formula>
    </cfRule>
    <cfRule type="cellIs" dxfId="3323" priority="400" operator="greaterThan">
      <formula>0</formula>
    </cfRule>
  </conditionalFormatting>
  <conditionalFormatting sqref="AZ11:BB11">
    <cfRule type="expression" dxfId="3322" priority="397">
      <formula>$AT11=0</formula>
    </cfRule>
  </conditionalFormatting>
  <conditionalFormatting sqref="AZ11:BU11">
    <cfRule type="cellIs" dxfId="3321" priority="406" operator="equal">
      <formula>"PIN"</formula>
    </cfRule>
    <cfRule type="cellIs" dxfId="3320" priority="407" operator="equal">
      <formula>"ORA"</formula>
    </cfRule>
    <cfRule type="cellIs" dxfId="3319" priority="408" operator="equal">
      <formula>"GRA"</formula>
    </cfRule>
    <cfRule type="cellIs" dxfId="3318" priority="409" operator="equal">
      <formula>"PUR"</formula>
    </cfRule>
    <cfRule type="cellIs" dxfId="3317" priority="410" operator="equal">
      <formula>"BRO"</formula>
    </cfRule>
    <cfRule type="cellIs" dxfId="3316" priority="411" operator="equal">
      <formula>"YEL"</formula>
    </cfRule>
    <cfRule type="cellIs" dxfId="3315" priority="412" operator="equal">
      <formula>"BLU"</formula>
    </cfRule>
    <cfRule type="cellIs" dxfId="3314" priority="413" operator="equal">
      <formula>"WHI"</formula>
    </cfRule>
    <cfRule type="cellIs" dxfId="3313" priority="414" operator="equal">
      <formula>"GRE"</formula>
    </cfRule>
    <cfRule type="cellIs" dxfId="3312" priority="415" operator="equal">
      <formula>"RED"</formula>
    </cfRule>
    <cfRule type="cellIs" dxfId="3311" priority="416" operator="equal">
      <formula>"BLA"</formula>
    </cfRule>
  </conditionalFormatting>
  <conditionalFormatting sqref="BV11:BW11">
    <cfRule type="cellIs" dxfId="3310" priority="428" operator="equal">
      <formula>"nc"</formula>
    </cfRule>
  </conditionalFormatting>
  <conditionalFormatting sqref="BX11:CA11 CD11:CF11">
    <cfRule type="cellIs" dxfId="3309" priority="402" operator="equal">
      <formula>"y"</formula>
    </cfRule>
    <cfRule type="cellIs" dxfId="3308" priority="417" operator="equal">
      <formula>"PIN"</formula>
    </cfRule>
    <cfRule type="cellIs" dxfId="3307" priority="418" operator="equal">
      <formula>"ORA"</formula>
    </cfRule>
    <cfRule type="cellIs" dxfId="3306" priority="419" operator="equal">
      <formula>"GRA"</formula>
    </cfRule>
    <cfRule type="cellIs" dxfId="3305" priority="420" operator="equal">
      <formula>"PUR"</formula>
    </cfRule>
    <cfRule type="cellIs" dxfId="3304" priority="421" operator="equal">
      <formula>"BRO"</formula>
    </cfRule>
    <cfRule type="cellIs" dxfId="3303" priority="422" operator="equal">
      <formula>"YEL"</formula>
    </cfRule>
    <cfRule type="cellIs" dxfId="3302" priority="423" operator="equal">
      <formula>"BLU"</formula>
    </cfRule>
    <cfRule type="cellIs" dxfId="3301" priority="424" operator="equal">
      <formula>"WHI"</formula>
    </cfRule>
    <cfRule type="cellIs" dxfId="3300" priority="425" operator="equal">
      <formula>"GRE"</formula>
    </cfRule>
    <cfRule type="cellIs" dxfId="3299" priority="426" operator="equal">
      <formula>"RED"</formula>
    </cfRule>
    <cfRule type="cellIs" dxfId="3298" priority="427" operator="equal">
      <formula>"BLA"</formula>
    </cfRule>
  </conditionalFormatting>
  <conditionalFormatting sqref="BZ11:CA11 CD11:CF11">
    <cfRule type="cellIs" dxfId="3297" priority="404" operator="greaterThan">
      <formula>0</formula>
    </cfRule>
  </conditionalFormatting>
  <conditionalFormatting sqref="IC11:IK11">
    <cfRule type="expression" dxfId="3296" priority="405">
      <formula>$IL11&gt;0</formula>
    </cfRule>
  </conditionalFormatting>
  <conditionalFormatting sqref="J11">
    <cfRule type="colorScale" priority="429">
      <colorScale>
        <cfvo type="min"/>
        <cfvo type="percentile" val="50"/>
        <cfvo type="max"/>
        <color rgb="FFF8696B"/>
        <color rgb="FFFFEB84"/>
        <color rgb="FF63BE7B"/>
      </colorScale>
    </cfRule>
  </conditionalFormatting>
  <conditionalFormatting sqref="S11">
    <cfRule type="colorScale" priority="430">
      <colorScale>
        <cfvo type="min"/>
        <cfvo type="max"/>
        <color rgb="FFFCFCFF"/>
        <color rgb="FF754BFB"/>
      </colorScale>
    </cfRule>
  </conditionalFormatting>
  <conditionalFormatting sqref="AT11">
    <cfRule type="colorScale" priority="431">
      <colorScale>
        <cfvo type="min"/>
        <cfvo type="max"/>
        <color rgb="FFFCFCFF"/>
        <color theme="8" tint="0.39997558519241921"/>
      </colorScale>
    </cfRule>
  </conditionalFormatting>
  <conditionalFormatting sqref="CG11">
    <cfRule type="colorScale" priority="432">
      <colorScale>
        <cfvo type="min"/>
        <cfvo type="max"/>
        <color rgb="FFFCFCFF"/>
        <color rgb="FF63BE7B"/>
      </colorScale>
    </cfRule>
  </conditionalFormatting>
  <conditionalFormatting sqref="H12">
    <cfRule type="cellIs" dxfId="3295" priority="365" stopIfTrue="1" operator="notEqual">
      <formula>""</formula>
    </cfRule>
  </conditionalFormatting>
  <conditionalFormatting sqref="R12 CU12">
    <cfRule type="cellIs" dxfId="3294" priority="367" operator="greaterThan">
      <formula>0</formula>
    </cfRule>
  </conditionalFormatting>
  <conditionalFormatting sqref="T12:AS12 CH12:CS12">
    <cfRule type="cellIs" dxfId="3293" priority="362" stopIfTrue="1" operator="equal">
      <formula>"n"</formula>
    </cfRule>
    <cfRule type="cellIs" dxfId="3292" priority="363" stopIfTrue="1" operator="equal">
      <formula>"y"</formula>
    </cfRule>
    <cfRule type="cellIs" dxfId="3291" priority="364" operator="greaterThan">
      <formula>0</formula>
    </cfRule>
  </conditionalFormatting>
  <conditionalFormatting sqref="AZ12:BB12">
    <cfRule type="expression" dxfId="3290" priority="361">
      <formula>$AT12=0</formula>
    </cfRule>
  </conditionalFormatting>
  <conditionalFormatting sqref="AZ12:BU12">
    <cfRule type="cellIs" dxfId="3289" priority="370" operator="equal">
      <formula>"PIN"</formula>
    </cfRule>
    <cfRule type="cellIs" dxfId="3288" priority="371" operator="equal">
      <formula>"ORA"</formula>
    </cfRule>
    <cfRule type="cellIs" dxfId="3287" priority="372" operator="equal">
      <formula>"GRA"</formula>
    </cfRule>
    <cfRule type="cellIs" dxfId="3286" priority="373" operator="equal">
      <formula>"PUR"</formula>
    </cfRule>
    <cfRule type="cellIs" dxfId="3285" priority="374" operator="equal">
      <formula>"BRO"</formula>
    </cfRule>
    <cfRule type="cellIs" dxfId="3284" priority="375" operator="equal">
      <formula>"YEL"</formula>
    </cfRule>
    <cfRule type="cellIs" dxfId="3283" priority="376" operator="equal">
      <formula>"BLU"</formula>
    </cfRule>
    <cfRule type="cellIs" dxfId="3282" priority="377" operator="equal">
      <formula>"WHI"</formula>
    </cfRule>
    <cfRule type="cellIs" dxfId="3281" priority="378" operator="equal">
      <formula>"GRE"</formula>
    </cfRule>
    <cfRule type="cellIs" dxfId="3280" priority="379" operator="equal">
      <formula>"RED"</formula>
    </cfRule>
    <cfRule type="cellIs" dxfId="3279" priority="380" operator="equal">
      <formula>"BLA"</formula>
    </cfRule>
  </conditionalFormatting>
  <conditionalFormatting sqref="BV12:BW12">
    <cfRule type="cellIs" dxfId="3278" priority="392" operator="equal">
      <formula>"nc"</formula>
    </cfRule>
  </conditionalFormatting>
  <conditionalFormatting sqref="BX12:CA12 CD12:CF12">
    <cfRule type="cellIs" dxfId="3277" priority="366" operator="equal">
      <formula>"y"</formula>
    </cfRule>
    <cfRule type="cellIs" dxfId="3276" priority="381" operator="equal">
      <formula>"PIN"</formula>
    </cfRule>
    <cfRule type="cellIs" dxfId="3275" priority="382" operator="equal">
      <formula>"ORA"</formula>
    </cfRule>
    <cfRule type="cellIs" dxfId="3274" priority="383" operator="equal">
      <formula>"GRA"</formula>
    </cfRule>
    <cfRule type="cellIs" dxfId="3273" priority="384" operator="equal">
      <formula>"PUR"</formula>
    </cfRule>
    <cfRule type="cellIs" dxfId="3272" priority="385" operator="equal">
      <formula>"BRO"</formula>
    </cfRule>
    <cfRule type="cellIs" dxfId="3271" priority="386" operator="equal">
      <formula>"YEL"</formula>
    </cfRule>
    <cfRule type="cellIs" dxfId="3270" priority="387" operator="equal">
      <formula>"BLU"</formula>
    </cfRule>
    <cfRule type="cellIs" dxfId="3269" priority="388" operator="equal">
      <formula>"WHI"</formula>
    </cfRule>
    <cfRule type="cellIs" dxfId="3268" priority="389" operator="equal">
      <formula>"GRE"</formula>
    </cfRule>
    <cfRule type="cellIs" dxfId="3267" priority="390" operator="equal">
      <formula>"RED"</formula>
    </cfRule>
    <cfRule type="cellIs" dxfId="3266" priority="391" operator="equal">
      <formula>"BLA"</formula>
    </cfRule>
  </conditionalFormatting>
  <conditionalFormatting sqref="BZ12:CA12 CD12:CF12">
    <cfRule type="cellIs" dxfId="3265" priority="368" operator="greaterThan">
      <formula>0</formula>
    </cfRule>
  </conditionalFormatting>
  <conditionalFormatting sqref="IC12:IK12">
    <cfRule type="expression" dxfId="3264" priority="369">
      <formula>$IL12&gt;0</formula>
    </cfRule>
  </conditionalFormatting>
  <conditionalFormatting sqref="J12">
    <cfRule type="colorScale" priority="393">
      <colorScale>
        <cfvo type="min"/>
        <cfvo type="percentile" val="50"/>
        <cfvo type="max"/>
        <color rgb="FFF8696B"/>
        <color rgb="FFFFEB84"/>
        <color rgb="FF63BE7B"/>
      </colorScale>
    </cfRule>
  </conditionalFormatting>
  <conditionalFormatting sqref="S12">
    <cfRule type="colorScale" priority="394">
      <colorScale>
        <cfvo type="min"/>
        <cfvo type="max"/>
        <color rgb="FFFCFCFF"/>
        <color rgb="FF754BFB"/>
      </colorScale>
    </cfRule>
  </conditionalFormatting>
  <conditionalFormatting sqref="AT12">
    <cfRule type="colorScale" priority="395">
      <colorScale>
        <cfvo type="min"/>
        <cfvo type="max"/>
        <color rgb="FFFCFCFF"/>
        <color theme="8" tint="0.39997558519241921"/>
      </colorScale>
    </cfRule>
  </conditionalFormatting>
  <conditionalFormatting sqref="CG12">
    <cfRule type="colorScale" priority="396">
      <colorScale>
        <cfvo type="min"/>
        <cfvo type="max"/>
        <color rgb="FFFCFCFF"/>
        <color rgb="FF63BE7B"/>
      </colorScale>
    </cfRule>
  </conditionalFormatting>
  <conditionalFormatting sqref="H13">
    <cfRule type="cellIs" dxfId="3263" priority="329" stopIfTrue="1" operator="notEqual">
      <formula>""</formula>
    </cfRule>
  </conditionalFormatting>
  <conditionalFormatting sqref="R13 CU13">
    <cfRule type="cellIs" dxfId="3262" priority="331" operator="greaterThan">
      <formula>0</formula>
    </cfRule>
  </conditionalFormatting>
  <conditionalFormatting sqref="T13:AS13 CH13:CS13">
    <cfRule type="cellIs" dxfId="3261" priority="326" stopIfTrue="1" operator="equal">
      <formula>"n"</formula>
    </cfRule>
    <cfRule type="cellIs" dxfId="3260" priority="327" stopIfTrue="1" operator="equal">
      <formula>"y"</formula>
    </cfRule>
    <cfRule type="cellIs" dxfId="3259" priority="328" operator="greaterThan">
      <formula>0</formula>
    </cfRule>
  </conditionalFormatting>
  <conditionalFormatting sqref="AZ13:BB13">
    <cfRule type="expression" dxfId="3258" priority="325">
      <formula>$AT13=0</formula>
    </cfRule>
  </conditionalFormatting>
  <conditionalFormatting sqref="AZ13:BU13">
    <cfRule type="cellIs" dxfId="3257" priority="334" operator="equal">
      <formula>"PIN"</formula>
    </cfRule>
    <cfRule type="cellIs" dxfId="3256" priority="335" operator="equal">
      <formula>"ORA"</formula>
    </cfRule>
    <cfRule type="cellIs" dxfId="3255" priority="336" operator="equal">
      <formula>"GRA"</formula>
    </cfRule>
    <cfRule type="cellIs" dxfId="3254" priority="337" operator="equal">
      <formula>"PUR"</formula>
    </cfRule>
    <cfRule type="cellIs" dxfId="3253" priority="338" operator="equal">
      <formula>"BRO"</formula>
    </cfRule>
    <cfRule type="cellIs" dxfId="3252" priority="339" operator="equal">
      <formula>"YEL"</formula>
    </cfRule>
    <cfRule type="cellIs" dxfId="3251" priority="340" operator="equal">
      <formula>"BLU"</formula>
    </cfRule>
    <cfRule type="cellIs" dxfId="3250" priority="341" operator="equal">
      <formula>"WHI"</formula>
    </cfRule>
    <cfRule type="cellIs" dxfId="3249" priority="342" operator="equal">
      <formula>"GRE"</formula>
    </cfRule>
    <cfRule type="cellIs" dxfId="3248" priority="343" operator="equal">
      <formula>"RED"</formula>
    </cfRule>
    <cfRule type="cellIs" dxfId="3247" priority="344" operator="equal">
      <formula>"BLA"</formula>
    </cfRule>
  </conditionalFormatting>
  <conditionalFormatting sqref="BV13:BW13">
    <cfRule type="cellIs" dxfId="3246" priority="356" operator="equal">
      <formula>"nc"</formula>
    </cfRule>
  </conditionalFormatting>
  <conditionalFormatting sqref="BX13:CA13 CD13:CF13">
    <cfRule type="cellIs" dxfId="3245" priority="330" operator="equal">
      <formula>"y"</formula>
    </cfRule>
    <cfRule type="cellIs" dxfId="3244" priority="345" operator="equal">
      <formula>"PIN"</formula>
    </cfRule>
    <cfRule type="cellIs" dxfId="3243" priority="346" operator="equal">
      <formula>"ORA"</formula>
    </cfRule>
    <cfRule type="cellIs" dxfId="3242" priority="347" operator="equal">
      <formula>"GRA"</formula>
    </cfRule>
    <cfRule type="cellIs" dxfId="3241" priority="348" operator="equal">
      <formula>"PUR"</formula>
    </cfRule>
    <cfRule type="cellIs" dxfId="3240" priority="349" operator="equal">
      <formula>"BRO"</formula>
    </cfRule>
    <cfRule type="cellIs" dxfId="3239" priority="350" operator="equal">
      <formula>"YEL"</formula>
    </cfRule>
    <cfRule type="cellIs" dxfId="3238" priority="351" operator="equal">
      <formula>"BLU"</formula>
    </cfRule>
    <cfRule type="cellIs" dxfId="3237" priority="352" operator="equal">
      <formula>"WHI"</formula>
    </cfRule>
    <cfRule type="cellIs" dxfId="3236" priority="353" operator="equal">
      <formula>"GRE"</formula>
    </cfRule>
    <cfRule type="cellIs" dxfId="3235" priority="354" operator="equal">
      <formula>"RED"</formula>
    </cfRule>
    <cfRule type="cellIs" dxfId="3234" priority="355" operator="equal">
      <formula>"BLA"</formula>
    </cfRule>
  </conditionalFormatting>
  <conditionalFormatting sqref="BZ13:CA13 CD13:CF13">
    <cfRule type="cellIs" dxfId="3233" priority="332" operator="greaterThan">
      <formula>0</formula>
    </cfRule>
  </conditionalFormatting>
  <conditionalFormatting sqref="IC13:IK13">
    <cfRule type="expression" dxfId="3232" priority="333">
      <formula>$IL13&gt;0</formula>
    </cfRule>
  </conditionalFormatting>
  <conditionalFormatting sqref="J13">
    <cfRule type="colorScale" priority="357">
      <colorScale>
        <cfvo type="min"/>
        <cfvo type="percentile" val="50"/>
        <cfvo type="max"/>
        <color rgb="FFF8696B"/>
        <color rgb="FFFFEB84"/>
        <color rgb="FF63BE7B"/>
      </colorScale>
    </cfRule>
  </conditionalFormatting>
  <conditionalFormatting sqref="S13">
    <cfRule type="colorScale" priority="358">
      <colorScale>
        <cfvo type="min"/>
        <cfvo type="max"/>
        <color rgb="FFFCFCFF"/>
        <color rgb="FF754BFB"/>
      </colorScale>
    </cfRule>
  </conditionalFormatting>
  <conditionalFormatting sqref="AT13">
    <cfRule type="colorScale" priority="359">
      <colorScale>
        <cfvo type="min"/>
        <cfvo type="max"/>
        <color rgb="FFFCFCFF"/>
        <color theme="8" tint="0.39997558519241921"/>
      </colorScale>
    </cfRule>
  </conditionalFormatting>
  <conditionalFormatting sqref="CG13">
    <cfRule type="colorScale" priority="360">
      <colorScale>
        <cfvo type="min"/>
        <cfvo type="max"/>
        <color rgb="FFFCFCFF"/>
        <color rgb="FF63BE7B"/>
      </colorScale>
    </cfRule>
  </conditionalFormatting>
  <conditionalFormatting sqref="H14">
    <cfRule type="cellIs" dxfId="3231" priority="293" stopIfTrue="1" operator="notEqual">
      <formula>""</formula>
    </cfRule>
  </conditionalFormatting>
  <conditionalFormatting sqref="R14 CU14">
    <cfRule type="cellIs" dxfId="3230" priority="295" operator="greaterThan">
      <formula>0</formula>
    </cfRule>
  </conditionalFormatting>
  <conditionalFormatting sqref="T14:AS14 CH14:CS14">
    <cfRule type="cellIs" dxfId="3229" priority="290" stopIfTrue="1" operator="equal">
      <formula>"n"</formula>
    </cfRule>
    <cfRule type="cellIs" dxfId="3228" priority="291" stopIfTrue="1" operator="equal">
      <formula>"y"</formula>
    </cfRule>
    <cfRule type="cellIs" dxfId="3227" priority="292" operator="greaterThan">
      <formula>0</formula>
    </cfRule>
  </conditionalFormatting>
  <conditionalFormatting sqref="AZ14:BB14">
    <cfRule type="expression" dxfId="3226" priority="289">
      <formula>$AT14=0</formula>
    </cfRule>
  </conditionalFormatting>
  <conditionalFormatting sqref="AZ14:BU14">
    <cfRule type="cellIs" dxfId="3225" priority="298" operator="equal">
      <formula>"PIN"</formula>
    </cfRule>
    <cfRule type="cellIs" dxfId="3224" priority="299" operator="equal">
      <formula>"ORA"</formula>
    </cfRule>
    <cfRule type="cellIs" dxfId="3223" priority="300" operator="equal">
      <formula>"GRA"</formula>
    </cfRule>
    <cfRule type="cellIs" dxfId="3222" priority="301" operator="equal">
      <formula>"PUR"</formula>
    </cfRule>
    <cfRule type="cellIs" dxfId="3221" priority="302" operator="equal">
      <formula>"BRO"</formula>
    </cfRule>
    <cfRule type="cellIs" dxfId="3220" priority="303" operator="equal">
      <formula>"YEL"</formula>
    </cfRule>
    <cfRule type="cellIs" dxfId="3219" priority="304" operator="equal">
      <formula>"BLU"</formula>
    </cfRule>
    <cfRule type="cellIs" dxfId="3218" priority="305" operator="equal">
      <formula>"WHI"</formula>
    </cfRule>
    <cfRule type="cellIs" dxfId="3217" priority="306" operator="equal">
      <formula>"GRE"</formula>
    </cfRule>
    <cfRule type="cellIs" dxfId="3216" priority="307" operator="equal">
      <formula>"RED"</formula>
    </cfRule>
    <cfRule type="cellIs" dxfId="3215" priority="308" operator="equal">
      <formula>"BLA"</formula>
    </cfRule>
  </conditionalFormatting>
  <conditionalFormatting sqref="BV14:BW14">
    <cfRule type="cellIs" dxfId="3214" priority="320" operator="equal">
      <formula>"nc"</formula>
    </cfRule>
  </conditionalFormatting>
  <conditionalFormatting sqref="BX14:CA14 CD14:CF14">
    <cfRule type="cellIs" dxfId="3213" priority="294" operator="equal">
      <formula>"y"</formula>
    </cfRule>
    <cfRule type="cellIs" dxfId="3212" priority="309" operator="equal">
      <formula>"PIN"</formula>
    </cfRule>
    <cfRule type="cellIs" dxfId="3211" priority="310" operator="equal">
      <formula>"ORA"</formula>
    </cfRule>
    <cfRule type="cellIs" dxfId="3210" priority="311" operator="equal">
      <formula>"GRA"</formula>
    </cfRule>
    <cfRule type="cellIs" dxfId="3209" priority="312" operator="equal">
      <formula>"PUR"</formula>
    </cfRule>
    <cfRule type="cellIs" dxfId="3208" priority="313" operator="equal">
      <formula>"BRO"</formula>
    </cfRule>
    <cfRule type="cellIs" dxfId="3207" priority="314" operator="equal">
      <formula>"YEL"</formula>
    </cfRule>
    <cfRule type="cellIs" dxfId="3206" priority="315" operator="equal">
      <formula>"BLU"</formula>
    </cfRule>
    <cfRule type="cellIs" dxfId="3205" priority="316" operator="equal">
      <formula>"WHI"</formula>
    </cfRule>
    <cfRule type="cellIs" dxfId="3204" priority="317" operator="equal">
      <formula>"GRE"</formula>
    </cfRule>
    <cfRule type="cellIs" dxfId="3203" priority="318" operator="equal">
      <formula>"RED"</formula>
    </cfRule>
    <cfRule type="cellIs" dxfId="3202" priority="319" operator="equal">
      <formula>"BLA"</formula>
    </cfRule>
  </conditionalFormatting>
  <conditionalFormatting sqref="BZ14:CA14 CD14:CF14">
    <cfRule type="cellIs" dxfId="3201" priority="296" operator="greaterThan">
      <formula>0</formula>
    </cfRule>
  </conditionalFormatting>
  <conditionalFormatting sqref="IC14:IK14">
    <cfRule type="expression" dxfId="3200" priority="297">
      <formula>$IL14&gt;0</formula>
    </cfRule>
  </conditionalFormatting>
  <conditionalFormatting sqref="J14">
    <cfRule type="colorScale" priority="321">
      <colorScale>
        <cfvo type="min"/>
        <cfvo type="percentile" val="50"/>
        <cfvo type="max"/>
        <color rgb="FFF8696B"/>
        <color rgb="FFFFEB84"/>
        <color rgb="FF63BE7B"/>
      </colorScale>
    </cfRule>
  </conditionalFormatting>
  <conditionalFormatting sqref="S14">
    <cfRule type="colorScale" priority="322">
      <colorScale>
        <cfvo type="min"/>
        <cfvo type="max"/>
        <color rgb="FFFCFCFF"/>
        <color rgb="FF754BFB"/>
      </colorScale>
    </cfRule>
  </conditionalFormatting>
  <conditionalFormatting sqref="AT14">
    <cfRule type="colorScale" priority="323">
      <colorScale>
        <cfvo type="min"/>
        <cfvo type="max"/>
        <color rgb="FFFCFCFF"/>
        <color theme="8" tint="0.39997558519241921"/>
      </colorScale>
    </cfRule>
  </conditionalFormatting>
  <conditionalFormatting sqref="CG14">
    <cfRule type="colorScale" priority="324">
      <colorScale>
        <cfvo type="min"/>
        <cfvo type="max"/>
        <color rgb="FFFCFCFF"/>
        <color rgb="FF63BE7B"/>
      </colorScale>
    </cfRule>
  </conditionalFormatting>
  <conditionalFormatting sqref="H15">
    <cfRule type="cellIs" dxfId="3199" priority="257" stopIfTrue="1" operator="notEqual">
      <formula>""</formula>
    </cfRule>
  </conditionalFormatting>
  <conditionalFormatting sqref="R15 CU15">
    <cfRule type="cellIs" dxfId="3198" priority="259" operator="greaterThan">
      <formula>0</formula>
    </cfRule>
  </conditionalFormatting>
  <conditionalFormatting sqref="T15:AS15 CH15:CS15">
    <cfRule type="cellIs" dxfId="3197" priority="254" stopIfTrue="1" operator="equal">
      <formula>"n"</formula>
    </cfRule>
    <cfRule type="cellIs" dxfId="3196" priority="255" stopIfTrue="1" operator="equal">
      <formula>"y"</formula>
    </cfRule>
    <cfRule type="cellIs" dxfId="3195" priority="256" operator="greaterThan">
      <formula>0</formula>
    </cfRule>
  </conditionalFormatting>
  <conditionalFormatting sqref="AZ15:BB15">
    <cfRule type="expression" dxfId="3194" priority="253">
      <formula>$AT15=0</formula>
    </cfRule>
  </conditionalFormatting>
  <conditionalFormatting sqref="AZ15:BU15">
    <cfRule type="cellIs" dxfId="3193" priority="262" operator="equal">
      <formula>"PIN"</formula>
    </cfRule>
    <cfRule type="cellIs" dxfId="3192" priority="263" operator="equal">
      <formula>"ORA"</formula>
    </cfRule>
    <cfRule type="cellIs" dxfId="3191" priority="264" operator="equal">
      <formula>"GRA"</formula>
    </cfRule>
    <cfRule type="cellIs" dxfId="3190" priority="265" operator="equal">
      <formula>"PUR"</formula>
    </cfRule>
    <cfRule type="cellIs" dxfId="3189" priority="266" operator="equal">
      <formula>"BRO"</formula>
    </cfRule>
    <cfRule type="cellIs" dxfId="3188" priority="267" operator="equal">
      <formula>"YEL"</formula>
    </cfRule>
    <cfRule type="cellIs" dxfId="3187" priority="268" operator="equal">
      <formula>"BLU"</formula>
    </cfRule>
    <cfRule type="cellIs" dxfId="3186" priority="269" operator="equal">
      <formula>"WHI"</formula>
    </cfRule>
    <cfRule type="cellIs" dxfId="3185" priority="270" operator="equal">
      <formula>"GRE"</formula>
    </cfRule>
    <cfRule type="cellIs" dxfId="3184" priority="271" operator="equal">
      <formula>"RED"</formula>
    </cfRule>
    <cfRule type="cellIs" dxfId="3183" priority="272" operator="equal">
      <formula>"BLA"</formula>
    </cfRule>
  </conditionalFormatting>
  <conditionalFormatting sqref="BV15:BW15">
    <cfRule type="cellIs" dxfId="3182" priority="284" operator="equal">
      <formula>"nc"</formula>
    </cfRule>
  </conditionalFormatting>
  <conditionalFormatting sqref="BX15:CA15 CD15:CF15">
    <cfRule type="cellIs" dxfId="3181" priority="258" operator="equal">
      <formula>"y"</formula>
    </cfRule>
    <cfRule type="cellIs" dxfId="3180" priority="273" operator="equal">
      <formula>"PIN"</formula>
    </cfRule>
    <cfRule type="cellIs" dxfId="3179" priority="274" operator="equal">
      <formula>"ORA"</formula>
    </cfRule>
    <cfRule type="cellIs" dxfId="3178" priority="275" operator="equal">
      <formula>"GRA"</formula>
    </cfRule>
    <cfRule type="cellIs" dxfId="3177" priority="276" operator="equal">
      <formula>"PUR"</formula>
    </cfRule>
    <cfRule type="cellIs" dxfId="3176" priority="277" operator="equal">
      <formula>"BRO"</formula>
    </cfRule>
    <cfRule type="cellIs" dxfId="3175" priority="278" operator="equal">
      <formula>"YEL"</formula>
    </cfRule>
    <cfRule type="cellIs" dxfId="3174" priority="279" operator="equal">
      <formula>"BLU"</formula>
    </cfRule>
    <cfRule type="cellIs" dxfId="3173" priority="280" operator="equal">
      <formula>"WHI"</formula>
    </cfRule>
    <cfRule type="cellIs" dxfId="3172" priority="281" operator="equal">
      <formula>"GRE"</formula>
    </cfRule>
    <cfRule type="cellIs" dxfId="3171" priority="282" operator="equal">
      <formula>"RED"</formula>
    </cfRule>
    <cfRule type="cellIs" dxfId="3170" priority="283" operator="equal">
      <formula>"BLA"</formula>
    </cfRule>
  </conditionalFormatting>
  <conditionalFormatting sqref="BZ15:CA15 CD15:CF15">
    <cfRule type="cellIs" dxfId="3169" priority="260" operator="greaterThan">
      <formula>0</formula>
    </cfRule>
  </conditionalFormatting>
  <conditionalFormatting sqref="IC15:IK15">
    <cfRule type="expression" dxfId="3168" priority="261">
      <formula>$IL15&gt;0</formula>
    </cfRule>
  </conditionalFormatting>
  <conditionalFormatting sqref="J15">
    <cfRule type="colorScale" priority="285">
      <colorScale>
        <cfvo type="min"/>
        <cfvo type="percentile" val="50"/>
        <cfvo type="max"/>
        <color rgb="FFF8696B"/>
        <color rgb="FFFFEB84"/>
        <color rgb="FF63BE7B"/>
      </colorScale>
    </cfRule>
  </conditionalFormatting>
  <conditionalFormatting sqref="S15">
    <cfRule type="colorScale" priority="286">
      <colorScale>
        <cfvo type="min"/>
        <cfvo type="max"/>
        <color rgb="FFFCFCFF"/>
        <color rgb="FF754BFB"/>
      </colorScale>
    </cfRule>
  </conditionalFormatting>
  <conditionalFormatting sqref="AT15">
    <cfRule type="colorScale" priority="287">
      <colorScale>
        <cfvo type="min"/>
        <cfvo type="max"/>
        <color rgb="FFFCFCFF"/>
        <color theme="8" tint="0.39997558519241921"/>
      </colorScale>
    </cfRule>
  </conditionalFormatting>
  <conditionalFormatting sqref="CG15">
    <cfRule type="colorScale" priority="288">
      <colorScale>
        <cfvo type="min"/>
        <cfvo type="max"/>
        <color rgb="FFFCFCFF"/>
        <color rgb="FF63BE7B"/>
      </colorScale>
    </cfRule>
  </conditionalFormatting>
  <conditionalFormatting sqref="H16">
    <cfRule type="cellIs" dxfId="3167" priority="221" stopIfTrue="1" operator="notEqual">
      <formula>""</formula>
    </cfRule>
  </conditionalFormatting>
  <conditionalFormatting sqref="R16 CU16">
    <cfRule type="cellIs" dxfId="3166" priority="223" operator="greaterThan">
      <formula>0</formula>
    </cfRule>
  </conditionalFormatting>
  <conditionalFormatting sqref="T16:AS16 CH16:CS16">
    <cfRule type="cellIs" dxfId="3165" priority="218" stopIfTrue="1" operator="equal">
      <formula>"n"</formula>
    </cfRule>
    <cfRule type="cellIs" dxfId="3164" priority="219" stopIfTrue="1" operator="equal">
      <formula>"y"</formula>
    </cfRule>
    <cfRule type="cellIs" dxfId="3163" priority="220" operator="greaterThan">
      <formula>0</formula>
    </cfRule>
  </conditionalFormatting>
  <conditionalFormatting sqref="AZ16:BB16">
    <cfRule type="expression" dxfId="3162" priority="217">
      <formula>$AT16=0</formula>
    </cfRule>
  </conditionalFormatting>
  <conditionalFormatting sqref="AZ16:BU16">
    <cfRule type="cellIs" dxfId="3161" priority="226" operator="equal">
      <formula>"PIN"</formula>
    </cfRule>
    <cfRule type="cellIs" dxfId="3160" priority="227" operator="equal">
      <formula>"ORA"</formula>
    </cfRule>
    <cfRule type="cellIs" dxfId="3159" priority="228" operator="equal">
      <formula>"GRA"</formula>
    </cfRule>
    <cfRule type="cellIs" dxfId="3158" priority="229" operator="equal">
      <formula>"PUR"</formula>
    </cfRule>
    <cfRule type="cellIs" dxfId="3157" priority="230" operator="equal">
      <formula>"BRO"</formula>
    </cfRule>
    <cfRule type="cellIs" dxfId="3156" priority="231" operator="equal">
      <formula>"YEL"</formula>
    </cfRule>
    <cfRule type="cellIs" dxfId="3155" priority="232" operator="equal">
      <formula>"BLU"</formula>
    </cfRule>
    <cfRule type="cellIs" dxfId="3154" priority="233" operator="equal">
      <formula>"WHI"</formula>
    </cfRule>
    <cfRule type="cellIs" dxfId="3153" priority="234" operator="equal">
      <formula>"GRE"</formula>
    </cfRule>
    <cfRule type="cellIs" dxfId="3152" priority="235" operator="equal">
      <formula>"RED"</formula>
    </cfRule>
    <cfRule type="cellIs" dxfId="3151" priority="236" operator="equal">
      <formula>"BLA"</formula>
    </cfRule>
  </conditionalFormatting>
  <conditionalFormatting sqref="BV16:BW16">
    <cfRule type="cellIs" dxfId="3150" priority="248" operator="equal">
      <formula>"nc"</formula>
    </cfRule>
  </conditionalFormatting>
  <conditionalFormatting sqref="BX16:CA16 CD16:CF16">
    <cfRule type="cellIs" dxfId="3149" priority="222" operator="equal">
      <formula>"y"</formula>
    </cfRule>
    <cfRule type="cellIs" dxfId="3148" priority="237" operator="equal">
      <formula>"PIN"</formula>
    </cfRule>
    <cfRule type="cellIs" dxfId="3147" priority="238" operator="equal">
      <formula>"ORA"</formula>
    </cfRule>
    <cfRule type="cellIs" dxfId="3146" priority="239" operator="equal">
      <formula>"GRA"</formula>
    </cfRule>
    <cfRule type="cellIs" dxfId="3145" priority="240" operator="equal">
      <formula>"PUR"</formula>
    </cfRule>
    <cfRule type="cellIs" dxfId="3144" priority="241" operator="equal">
      <formula>"BRO"</formula>
    </cfRule>
    <cfRule type="cellIs" dxfId="3143" priority="242" operator="equal">
      <formula>"YEL"</formula>
    </cfRule>
    <cfRule type="cellIs" dxfId="3142" priority="243" operator="equal">
      <formula>"BLU"</formula>
    </cfRule>
    <cfRule type="cellIs" dxfId="3141" priority="244" operator="equal">
      <formula>"WHI"</formula>
    </cfRule>
    <cfRule type="cellIs" dxfId="3140" priority="245" operator="equal">
      <formula>"GRE"</formula>
    </cfRule>
    <cfRule type="cellIs" dxfId="3139" priority="246" operator="equal">
      <formula>"RED"</formula>
    </cfRule>
    <cfRule type="cellIs" dxfId="3138" priority="247" operator="equal">
      <formula>"BLA"</formula>
    </cfRule>
  </conditionalFormatting>
  <conditionalFormatting sqref="BZ16:CA16 CD16:CF16">
    <cfRule type="cellIs" dxfId="3137" priority="224" operator="greaterThan">
      <formula>0</formula>
    </cfRule>
  </conditionalFormatting>
  <conditionalFormatting sqref="IC16:IK16">
    <cfRule type="expression" dxfId="3136" priority="225">
      <formula>$IL16&gt;0</formula>
    </cfRule>
  </conditionalFormatting>
  <conditionalFormatting sqref="J16">
    <cfRule type="colorScale" priority="249">
      <colorScale>
        <cfvo type="min"/>
        <cfvo type="percentile" val="50"/>
        <cfvo type="max"/>
        <color rgb="FFF8696B"/>
        <color rgb="FFFFEB84"/>
        <color rgb="FF63BE7B"/>
      </colorScale>
    </cfRule>
  </conditionalFormatting>
  <conditionalFormatting sqref="S16">
    <cfRule type="colorScale" priority="250">
      <colorScale>
        <cfvo type="min"/>
        <cfvo type="max"/>
        <color rgb="FFFCFCFF"/>
        <color rgb="FF754BFB"/>
      </colorScale>
    </cfRule>
  </conditionalFormatting>
  <conditionalFormatting sqref="AT16">
    <cfRule type="colorScale" priority="251">
      <colorScale>
        <cfvo type="min"/>
        <cfvo type="max"/>
        <color rgb="FFFCFCFF"/>
        <color theme="8" tint="0.39997558519241921"/>
      </colorScale>
    </cfRule>
  </conditionalFormatting>
  <conditionalFormatting sqref="CG16">
    <cfRule type="colorScale" priority="252">
      <colorScale>
        <cfvo type="min"/>
        <cfvo type="max"/>
        <color rgb="FFFCFCFF"/>
        <color rgb="FF63BE7B"/>
      </colorScale>
    </cfRule>
  </conditionalFormatting>
  <conditionalFormatting sqref="H17">
    <cfRule type="cellIs" dxfId="3135" priority="210" stopIfTrue="1" operator="notEqual">
      <formula>""</formula>
    </cfRule>
  </conditionalFormatting>
  <conditionalFormatting sqref="R17 CU17">
    <cfRule type="cellIs" dxfId="3134" priority="211" operator="greaterThan">
      <formula>0</formula>
    </cfRule>
  </conditionalFormatting>
  <conditionalFormatting sqref="BV17:BW17">
    <cfRule type="cellIs" dxfId="3133" priority="212" operator="equal">
      <formula>"nc"</formula>
    </cfRule>
  </conditionalFormatting>
  <conditionalFormatting sqref="T17:AS17 CH17:CS17">
    <cfRule type="cellIs" dxfId="3132" priority="182" stopIfTrue="1" operator="equal">
      <formula>"n"</formula>
    </cfRule>
    <cfRule type="cellIs" dxfId="3131" priority="183" stopIfTrue="1" operator="equal">
      <formula>"y"</formula>
    </cfRule>
    <cfRule type="cellIs" dxfId="3130" priority="184" operator="greaterThan">
      <formula>0</formula>
    </cfRule>
  </conditionalFormatting>
  <conditionalFormatting sqref="AZ17:BB17">
    <cfRule type="expression" dxfId="3129" priority="181">
      <formula>$AT17=0</formula>
    </cfRule>
  </conditionalFormatting>
  <conditionalFormatting sqref="AZ17:BU17">
    <cfRule type="cellIs" dxfId="3128" priority="188" operator="equal">
      <formula>"PIN"</formula>
    </cfRule>
    <cfRule type="cellIs" dxfId="3127" priority="189" operator="equal">
      <formula>"ORA"</formula>
    </cfRule>
    <cfRule type="cellIs" dxfId="3126" priority="190" operator="equal">
      <formula>"GRA"</formula>
    </cfRule>
    <cfRule type="cellIs" dxfId="3125" priority="191" operator="equal">
      <formula>"PUR"</formula>
    </cfRule>
    <cfRule type="cellIs" dxfId="3124" priority="192" operator="equal">
      <formula>"BRO"</formula>
    </cfRule>
    <cfRule type="cellIs" dxfId="3123" priority="193" operator="equal">
      <formula>"YEL"</formula>
    </cfRule>
    <cfRule type="cellIs" dxfId="3122" priority="194" operator="equal">
      <formula>"BLU"</formula>
    </cfRule>
    <cfRule type="cellIs" dxfId="3121" priority="195" operator="equal">
      <formula>"WHI"</formula>
    </cfRule>
    <cfRule type="cellIs" dxfId="3120" priority="196" operator="equal">
      <formula>"GRE"</formula>
    </cfRule>
    <cfRule type="cellIs" dxfId="3119" priority="197" operator="equal">
      <formula>"RED"</formula>
    </cfRule>
    <cfRule type="cellIs" dxfId="3118" priority="198" operator="equal">
      <formula>"BLA"</formula>
    </cfRule>
  </conditionalFormatting>
  <conditionalFormatting sqref="BX17:CA17 CD17:CF17">
    <cfRule type="cellIs" dxfId="3117" priority="185" operator="equal">
      <formula>"y"</formula>
    </cfRule>
    <cfRule type="cellIs" dxfId="3116" priority="199" operator="equal">
      <formula>"PIN"</formula>
    </cfRule>
    <cfRule type="cellIs" dxfId="3115" priority="200" operator="equal">
      <formula>"ORA"</formula>
    </cfRule>
    <cfRule type="cellIs" dxfId="3114" priority="201" operator="equal">
      <formula>"GRA"</formula>
    </cfRule>
    <cfRule type="cellIs" dxfId="3113" priority="202" operator="equal">
      <formula>"PUR"</formula>
    </cfRule>
    <cfRule type="cellIs" dxfId="3112" priority="203" operator="equal">
      <formula>"BRO"</formula>
    </cfRule>
    <cfRule type="cellIs" dxfId="3111" priority="204" operator="equal">
      <formula>"YEL"</formula>
    </cfRule>
    <cfRule type="cellIs" dxfId="3110" priority="205" operator="equal">
      <formula>"BLU"</formula>
    </cfRule>
    <cfRule type="cellIs" dxfId="3109" priority="206" operator="equal">
      <formula>"WHI"</formula>
    </cfRule>
    <cfRule type="cellIs" dxfId="3108" priority="207" operator="equal">
      <formula>"GRE"</formula>
    </cfRule>
    <cfRule type="cellIs" dxfId="3107" priority="208" operator="equal">
      <formula>"RED"</formula>
    </cfRule>
    <cfRule type="cellIs" dxfId="3106" priority="209" operator="equal">
      <formula>"BLA"</formula>
    </cfRule>
  </conditionalFormatting>
  <conditionalFormatting sqref="BZ17:CA17 CD17:CF17">
    <cfRule type="cellIs" dxfId="3105" priority="186" operator="greaterThan">
      <formula>0</formula>
    </cfRule>
  </conditionalFormatting>
  <conditionalFormatting sqref="IC17:IK17">
    <cfRule type="expression" dxfId="3104" priority="187">
      <formula>$IL17&gt;0</formula>
    </cfRule>
  </conditionalFormatting>
  <conditionalFormatting sqref="J17">
    <cfRule type="colorScale" priority="213">
      <colorScale>
        <cfvo type="min"/>
        <cfvo type="percentile" val="50"/>
        <cfvo type="max"/>
        <color rgb="FFF8696B"/>
        <color rgb="FFFFEB84"/>
        <color rgb="FF63BE7B"/>
      </colorScale>
    </cfRule>
  </conditionalFormatting>
  <conditionalFormatting sqref="S17">
    <cfRule type="colorScale" priority="214">
      <colorScale>
        <cfvo type="min"/>
        <cfvo type="max"/>
        <color rgb="FFFCFCFF"/>
        <color rgb="FF754BFB"/>
      </colorScale>
    </cfRule>
  </conditionalFormatting>
  <conditionalFormatting sqref="AT17">
    <cfRule type="colorScale" priority="215">
      <colorScale>
        <cfvo type="min"/>
        <cfvo type="max"/>
        <color rgb="FFFCFCFF"/>
        <color theme="8" tint="0.39997558519241921"/>
      </colorScale>
    </cfRule>
  </conditionalFormatting>
  <conditionalFormatting sqref="CG17">
    <cfRule type="colorScale" priority="216">
      <colorScale>
        <cfvo type="min"/>
        <cfvo type="max"/>
        <color rgb="FFFCFCFF"/>
        <color rgb="FF63BE7B"/>
      </colorScale>
    </cfRule>
  </conditionalFormatting>
  <conditionalFormatting sqref="H18">
    <cfRule type="cellIs" dxfId="3103" priority="150" stopIfTrue="1" operator="notEqual">
      <formula>""</formula>
    </cfRule>
  </conditionalFormatting>
  <conditionalFormatting sqref="R18 CU18">
    <cfRule type="cellIs" dxfId="3102" priority="152" operator="greaterThan">
      <formula>0</formula>
    </cfRule>
  </conditionalFormatting>
  <conditionalFormatting sqref="T18:AS18 CH18:CS18">
    <cfRule type="cellIs" dxfId="3101" priority="147" stopIfTrue="1" operator="equal">
      <formula>"n"</formula>
    </cfRule>
    <cfRule type="cellIs" dxfId="3100" priority="148" stopIfTrue="1" operator="equal">
      <formula>"y"</formula>
    </cfRule>
    <cfRule type="cellIs" dxfId="3099" priority="149" operator="greaterThan">
      <formula>0</formula>
    </cfRule>
  </conditionalFormatting>
  <conditionalFormatting sqref="AZ18:BB18">
    <cfRule type="expression" dxfId="3098" priority="146">
      <formula>$AT18=0</formula>
    </cfRule>
  </conditionalFormatting>
  <conditionalFormatting sqref="AZ18:BU18">
    <cfRule type="cellIs" dxfId="3097" priority="155" operator="equal">
      <formula>"PIN"</formula>
    </cfRule>
    <cfRule type="cellIs" dxfId="3096" priority="156" operator="equal">
      <formula>"ORA"</formula>
    </cfRule>
    <cfRule type="cellIs" dxfId="3095" priority="157" operator="equal">
      <formula>"GRA"</formula>
    </cfRule>
    <cfRule type="cellIs" dxfId="3094" priority="158" operator="equal">
      <formula>"PUR"</formula>
    </cfRule>
    <cfRule type="cellIs" dxfId="3093" priority="159" operator="equal">
      <formula>"BRO"</formula>
    </cfRule>
    <cfRule type="cellIs" dxfId="3092" priority="160" operator="equal">
      <formula>"YEL"</formula>
    </cfRule>
    <cfRule type="cellIs" dxfId="3091" priority="161" operator="equal">
      <formula>"BLU"</formula>
    </cfRule>
    <cfRule type="cellIs" dxfId="3090" priority="162" operator="equal">
      <formula>"WHI"</formula>
    </cfRule>
    <cfRule type="cellIs" dxfId="3089" priority="163" operator="equal">
      <formula>"GRE"</formula>
    </cfRule>
    <cfRule type="cellIs" dxfId="3088" priority="164" operator="equal">
      <formula>"RED"</formula>
    </cfRule>
    <cfRule type="cellIs" dxfId="3087" priority="165" operator="equal">
      <formula>"BLA"</formula>
    </cfRule>
  </conditionalFormatting>
  <conditionalFormatting sqref="BV18:BW18">
    <cfRule type="cellIs" dxfId="3086" priority="177" operator="equal">
      <formula>"nc"</formula>
    </cfRule>
  </conditionalFormatting>
  <conditionalFormatting sqref="BX18:CA18 CD18:CF18">
    <cfRule type="cellIs" dxfId="3085" priority="151" operator="equal">
      <formula>"y"</formula>
    </cfRule>
    <cfRule type="cellIs" dxfId="3084" priority="166" operator="equal">
      <formula>"PIN"</formula>
    </cfRule>
    <cfRule type="cellIs" dxfId="3083" priority="167" operator="equal">
      <formula>"ORA"</formula>
    </cfRule>
    <cfRule type="cellIs" dxfId="3082" priority="168" operator="equal">
      <formula>"GRA"</formula>
    </cfRule>
    <cfRule type="cellIs" dxfId="3081" priority="169" operator="equal">
      <formula>"PUR"</formula>
    </cfRule>
    <cfRule type="cellIs" dxfId="3080" priority="170" operator="equal">
      <formula>"BRO"</formula>
    </cfRule>
    <cfRule type="cellIs" dxfId="3079" priority="171" operator="equal">
      <formula>"YEL"</formula>
    </cfRule>
    <cfRule type="cellIs" dxfId="3078" priority="172" operator="equal">
      <formula>"BLU"</formula>
    </cfRule>
    <cfRule type="cellIs" dxfId="3077" priority="173" operator="equal">
      <formula>"WHI"</formula>
    </cfRule>
    <cfRule type="cellIs" dxfId="3076" priority="174" operator="equal">
      <formula>"GRE"</formula>
    </cfRule>
    <cfRule type="cellIs" dxfId="3075" priority="175" operator="equal">
      <formula>"RED"</formula>
    </cfRule>
    <cfRule type="cellIs" dxfId="3074" priority="176" operator="equal">
      <formula>"BLA"</formula>
    </cfRule>
  </conditionalFormatting>
  <conditionalFormatting sqref="BZ18:CA18 CD18:CF18">
    <cfRule type="cellIs" dxfId="3073" priority="153" operator="greaterThan">
      <formula>0</formula>
    </cfRule>
  </conditionalFormatting>
  <conditionalFormatting sqref="IC18:IK18">
    <cfRule type="expression" dxfId="3072" priority="154">
      <formula>$IL18&gt;0</formula>
    </cfRule>
  </conditionalFormatting>
  <conditionalFormatting sqref="S18">
    <cfRule type="colorScale" priority="178">
      <colorScale>
        <cfvo type="min"/>
        <cfvo type="max"/>
        <color rgb="FFFCFCFF"/>
        <color rgb="FF754BFB"/>
      </colorScale>
    </cfRule>
  </conditionalFormatting>
  <conditionalFormatting sqref="AT18">
    <cfRule type="colorScale" priority="179">
      <colorScale>
        <cfvo type="min"/>
        <cfvo type="max"/>
        <color rgb="FFFCFCFF"/>
        <color theme="8" tint="0.39997558519241921"/>
      </colorScale>
    </cfRule>
  </conditionalFormatting>
  <conditionalFormatting sqref="CG18">
    <cfRule type="colorScale" priority="180">
      <colorScale>
        <cfvo type="min"/>
        <cfvo type="max"/>
        <color rgb="FFFCFCFF"/>
        <color rgb="FF63BE7B"/>
      </colorScale>
    </cfRule>
  </conditionalFormatting>
  <conditionalFormatting sqref="J18">
    <cfRule type="colorScale" priority="145">
      <colorScale>
        <cfvo type="min"/>
        <cfvo type="percentile" val="50"/>
        <cfvo type="max"/>
        <color rgb="FFF8696B"/>
        <color rgb="FFFFEB84"/>
        <color rgb="FF63BE7B"/>
      </colorScale>
    </cfRule>
  </conditionalFormatting>
  <conditionalFormatting sqref="H19">
    <cfRule type="cellIs" dxfId="3071" priority="114" stopIfTrue="1" operator="notEqual">
      <formula>""</formula>
    </cfRule>
  </conditionalFormatting>
  <conditionalFormatting sqref="R19 CU19">
    <cfRule type="cellIs" dxfId="3070" priority="116" operator="greaterThan">
      <formula>0</formula>
    </cfRule>
  </conditionalFormatting>
  <conditionalFormatting sqref="T19:AS19 CH19:CS19">
    <cfRule type="cellIs" dxfId="3069" priority="111" stopIfTrue="1" operator="equal">
      <formula>"n"</formula>
    </cfRule>
    <cfRule type="cellIs" dxfId="3068" priority="112" stopIfTrue="1" operator="equal">
      <formula>"y"</formula>
    </cfRule>
    <cfRule type="cellIs" dxfId="3067" priority="113" operator="greaterThan">
      <formula>0</formula>
    </cfRule>
  </conditionalFormatting>
  <conditionalFormatting sqref="AZ19:BB19">
    <cfRule type="expression" dxfId="3066" priority="110">
      <formula>$AT19=0</formula>
    </cfRule>
  </conditionalFormatting>
  <conditionalFormatting sqref="AZ19:BU19">
    <cfRule type="cellIs" dxfId="3065" priority="119" operator="equal">
      <formula>"PIN"</formula>
    </cfRule>
    <cfRule type="cellIs" dxfId="3064" priority="120" operator="equal">
      <formula>"ORA"</formula>
    </cfRule>
    <cfRule type="cellIs" dxfId="3063" priority="121" operator="equal">
      <formula>"GRA"</formula>
    </cfRule>
    <cfRule type="cellIs" dxfId="3062" priority="122" operator="equal">
      <formula>"PUR"</formula>
    </cfRule>
    <cfRule type="cellIs" dxfId="3061" priority="123" operator="equal">
      <formula>"BRO"</formula>
    </cfRule>
    <cfRule type="cellIs" dxfId="3060" priority="124" operator="equal">
      <formula>"YEL"</formula>
    </cfRule>
    <cfRule type="cellIs" dxfId="3059" priority="125" operator="equal">
      <formula>"BLU"</formula>
    </cfRule>
    <cfRule type="cellIs" dxfId="3058" priority="126" operator="equal">
      <formula>"WHI"</formula>
    </cfRule>
    <cfRule type="cellIs" dxfId="3057" priority="127" operator="equal">
      <formula>"GRE"</formula>
    </cfRule>
    <cfRule type="cellIs" dxfId="3056" priority="128" operator="equal">
      <formula>"RED"</formula>
    </cfRule>
    <cfRule type="cellIs" dxfId="3055" priority="129" operator="equal">
      <formula>"BLA"</formula>
    </cfRule>
  </conditionalFormatting>
  <conditionalFormatting sqref="BV19:BW19">
    <cfRule type="cellIs" dxfId="3054" priority="141" operator="equal">
      <formula>"nc"</formula>
    </cfRule>
  </conditionalFormatting>
  <conditionalFormatting sqref="BX19:CA19 CD19:CF19">
    <cfRule type="cellIs" dxfId="3053" priority="115" operator="equal">
      <formula>"y"</formula>
    </cfRule>
    <cfRule type="cellIs" dxfId="3052" priority="130" operator="equal">
      <formula>"PIN"</formula>
    </cfRule>
    <cfRule type="cellIs" dxfId="3051" priority="131" operator="equal">
      <formula>"ORA"</formula>
    </cfRule>
    <cfRule type="cellIs" dxfId="3050" priority="132" operator="equal">
      <formula>"GRA"</formula>
    </cfRule>
    <cfRule type="cellIs" dxfId="3049" priority="133" operator="equal">
      <formula>"PUR"</formula>
    </cfRule>
    <cfRule type="cellIs" dxfId="3048" priority="134" operator="equal">
      <formula>"BRO"</formula>
    </cfRule>
    <cfRule type="cellIs" dxfId="3047" priority="135" operator="equal">
      <formula>"YEL"</formula>
    </cfRule>
    <cfRule type="cellIs" dxfId="3046" priority="136" operator="equal">
      <formula>"BLU"</formula>
    </cfRule>
    <cfRule type="cellIs" dxfId="3045" priority="137" operator="equal">
      <formula>"WHI"</formula>
    </cfRule>
    <cfRule type="cellIs" dxfId="3044" priority="138" operator="equal">
      <formula>"GRE"</formula>
    </cfRule>
    <cfRule type="cellIs" dxfId="3043" priority="139" operator="equal">
      <formula>"RED"</formula>
    </cfRule>
    <cfRule type="cellIs" dxfId="3042" priority="140" operator="equal">
      <formula>"BLA"</formula>
    </cfRule>
  </conditionalFormatting>
  <conditionalFormatting sqref="BZ19:CA19 CD19:CF19">
    <cfRule type="cellIs" dxfId="3041" priority="117" operator="greaterThan">
      <formula>0</formula>
    </cfRule>
  </conditionalFormatting>
  <conditionalFormatting sqref="IC19:IK19">
    <cfRule type="expression" dxfId="3040" priority="118">
      <formula>$IL19&gt;0</formula>
    </cfRule>
  </conditionalFormatting>
  <conditionalFormatting sqref="S19">
    <cfRule type="colorScale" priority="142">
      <colorScale>
        <cfvo type="min"/>
        <cfvo type="max"/>
        <color rgb="FFFCFCFF"/>
        <color rgb="FF754BFB"/>
      </colorScale>
    </cfRule>
  </conditionalFormatting>
  <conditionalFormatting sqref="AT19">
    <cfRule type="colorScale" priority="143">
      <colorScale>
        <cfvo type="min"/>
        <cfvo type="max"/>
        <color rgb="FFFCFCFF"/>
        <color theme="8" tint="0.39997558519241921"/>
      </colorScale>
    </cfRule>
  </conditionalFormatting>
  <conditionalFormatting sqref="CG19">
    <cfRule type="colorScale" priority="144">
      <colorScale>
        <cfvo type="min"/>
        <cfvo type="max"/>
        <color rgb="FFFCFCFF"/>
        <color rgb="FF63BE7B"/>
      </colorScale>
    </cfRule>
  </conditionalFormatting>
  <conditionalFormatting sqref="J19">
    <cfRule type="colorScale" priority="109">
      <colorScale>
        <cfvo type="min"/>
        <cfvo type="percentile" val="50"/>
        <cfvo type="max"/>
        <color rgb="FFF8696B"/>
        <color rgb="FFFFEB84"/>
        <color rgb="FF63BE7B"/>
      </colorScale>
    </cfRule>
  </conditionalFormatting>
  <conditionalFormatting sqref="H20">
    <cfRule type="cellIs" dxfId="3039" priority="103" stopIfTrue="1" operator="notEqual">
      <formula>""</formula>
    </cfRule>
  </conditionalFormatting>
  <conditionalFormatting sqref="R20 CU20">
    <cfRule type="cellIs" dxfId="3038" priority="104" operator="greaterThan">
      <formula>0</formula>
    </cfRule>
  </conditionalFormatting>
  <conditionalFormatting sqref="BV20:BW20">
    <cfRule type="cellIs" dxfId="3037" priority="105" operator="equal">
      <formula>"nc"</formula>
    </cfRule>
  </conditionalFormatting>
  <conditionalFormatting sqref="T20:AS20 CH20:CS20">
    <cfRule type="cellIs" dxfId="3036" priority="75" stopIfTrue="1" operator="equal">
      <formula>"n"</formula>
    </cfRule>
    <cfRule type="cellIs" dxfId="3035" priority="76" stopIfTrue="1" operator="equal">
      <formula>"y"</formula>
    </cfRule>
    <cfRule type="cellIs" dxfId="3034" priority="77" operator="greaterThan">
      <formula>0</formula>
    </cfRule>
  </conditionalFormatting>
  <conditionalFormatting sqref="AZ20:BB20">
    <cfRule type="expression" dxfId="3033" priority="74">
      <formula>$AT20=0</formula>
    </cfRule>
  </conditionalFormatting>
  <conditionalFormatting sqref="AZ20:BU20">
    <cfRule type="cellIs" dxfId="3032" priority="81" operator="equal">
      <formula>"PIN"</formula>
    </cfRule>
    <cfRule type="cellIs" dxfId="3031" priority="82" operator="equal">
      <formula>"ORA"</formula>
    </cfRule>
    <cfRule type="cellIs" dxfId="3030" priority="83" operator="equal">
      <formula>"GRA"</formula>
    </cfRule>
    <cfRule type="cellIs" dxfId="3029" priority="84" operator="equal">
      <formula>"PUR"</formula>
    </cfRule>
    <cfRule type="cellIs" dxfId="3028" priority="85" operator="equal">
      <formula>"BRO"</formula>
    </cfRule>
    <cfRule type="cellIs" dxfId="3027" priority="86" operator="equal">
      <formula>"YEL"</formula>
    </cfRule>
    <cfRule type="cellIs" dxfId="3026" priority="87" operator="equal">
      <formula>"BLU"</formula>
    </cfRule>
    <cfRule type="cellIs" dxfId="3025" priority="88" operator="equal">
      <formula>"WHI"</formula>
    </cfRule>
    <cfRule type="cellIs" dxfId="3024" priority="89" operator="equal">
      <formula>"GRE"</formula>
    </cfRule>
    <cfRule type="cellIs" dxfId="3023" priority="90" operator="equal">
      <formula>"RED"</formula>
    </cfRule>
    <cfRule type="cellIs" dxfId="3022" priority="91" operator="equal">
      <formula>"BLA"</formula>
    </cfRule>
  </conditionalFormatting>
  <conditionalFormatting sqref="BX20:CA20 CD20:CF20">
    <cfRule type="cellIs" dxfId="3021" priority="78" operator="equal">
      <formula>"y"</formula>
    </cfRule>
    <cfRule type="cellIs" dxfId="3020" priority="92" operator="equal">
      <formula>"PIN"</formula>
    </cfRule>
    <cfRule type="cellIs" dxfId="3019" priority="93" operator="equal">
      <formula>"ORA"</formula>
    </cfRule>
    <cfRule type="cellIs" dxfId="3018" priority="94" operator="equal">
      <formula>"GRA"</formula>
    </cfRule>
    <cfRule type="cellIs" dxfId="3017" priority="95" operator="equal">
      <formula>"PUR"</formula>
    </cfRule>
    <cfRule type="cellIs" dxfId="3016" priority="96" operator="equal">
      <formula>"BRO"</formula>
    </cfRule>
    <cfRule type="cellIs" dxfId="3015" priority="97" operator="equal">
      <formula>"YEL"</formula>
    </cfRule>
    <cfRule type="cellIs" dxfId="3014" priority="98" operator="equal">
      <formula>"BLU"</formula>
    </cfRule>
    <cfRule type="cellIs" dxfId="3013" priority="99" operator="equal">
      <formula>"WHI"</formula>
    </cfRule>
    <cfRule type="cellIs" dxfId="3012" priority="100" operator="equal">
      <formula>"GRE"</formula>
    </cfRule>
    <cfRule type="cellIs" dxfId="3011" priority="101" operator="equal">
      <formula>"RED"</formula>
    </cfRule>
    <cfRule type="cellIs" dxfId="3010" priority="102" operator="equal">
      <formula>"BLA"</formula>
    </cfRule>
  </conditionalFormatting>
  <conditionalFormatting sqref="BZ20:CA20 CD20:CF20">
    <cfRule type="cellIs" dxfId="3009" priority="79" operator="greaterThan">
      <formula>0</formula>
    </cfRule>
  </conditionalFormatting>
  <conditionalFormatting sqref="IC20:IK20">
    <cfRule type="expression" dxfId="3008" priority="80">
      <formula>$IL20&gt;0</formula>
    </cfRule>
  </conditionalFormatting>
  <conditionalFormatting sqref="S20">
    <cfRule type="colorScale" priority="106">
      <colorScale>
        <cfvo type="min"/>
        <cfvo type="max"/>
        <color rgb="FFFCFCFF"/>
        <color rgb="FF754BFB"/>
      </colorScale>
    </cfRule>
  </conditionalFormatting>
  <conditionalFormatting sqref="AT20">
    <cfRule type="colorScale" priority="107">
      <colorScale>
        <cfvo type="min"/>
        <cfvo type="max"/>
        <color rgb="FFFCFCFF"/>
        <color theme="8" tint="0.39997558519241921"/>
      </colorScale>
    </cfRule>
  </conditionalFormatting>
  <conditionalFormatting sqref="CG20">
    <cfRule type="colorScale" priority="108">
      <colorScale>
        <cfvo type="min"/>
        <cfvo type="max"/>
        <color rgb="FFFCFCFF"/>
        <color rgb="FF63BE7B"/>
      </colorScale>
    </cfRule>
  </conditionalFormatting>
  <conditionalFormatting sqref="J20">
    <cfRule type="colorScale" priority="73">
      <colorScale>
        <cfvo type="min"/>
        <cfvo type="percentile" val="50"/>
        <cfvo type="max"/>
        <color rgb="FFF8696B"/>
        <color rgb="FFFFEB84"/>
        <color rgb="FF63BE7B"/>
      </colorScale>
    </cfRule>
  </conditionalFormatting>
  <conditionalFormatting sqref="H21">
    <cfRule type="cellIs" dxfId="3007" priority="42" stopIfTrue="1" operator="notEqual">
      <formula>""</formula>
    </cfRule>
  </conditionalFormatting>
  <conditionalFormatting sqref="R21 CU21">
    <cfRule type="cellIs" dxfId="3006" priority="44" operator="greaterThan">
      <formula>0</formula>
    </cfRule>
  </conditionalFormatting>
  <conditionalFormatting sqref="T21:AS21 CH21:CS21">
    <cfRule type="cellIs" dxfId="3005" priority="39" stopIfTrue="1" operator="equal">
      <formula>"n"</formula>
    </cfRule>
    <cfRule type="cellIs" dxfId="3004" priority="40" stopIfTrue="1" operator="equal">
      <formula>"y"</formula>
    </cfRule>
    <cfRule type="cellIs" dxfId="3003" priority="41" operator="greaterThan">
      <formula>0</formula>
    </cfRule>
  </conditionalFormatting>
  <conditionalFormatting sqref="AZ21:BB21">
    <cfRule type="expression" dxfId="3002" priority="38">
      <formula>$AT21=0</formula>
    </cfRule>
  </conditionalFormatting>
  <conditionalFormatting sqref="AZ21:BU21">
    <cfRule type="cellIs" dxfId="3001" priority="47" operator="equal">
      <formula>"PIN"</formula>
    </cfRule>
    <cfRule type="cellIs" dxfId="3000" priority="48" operator="equal">
      <formula>"ORA"</formula>
    </cfRule>
    <cfRule type="cellIs" dxfId="2999" priority="49" operator="equal">
      <formula>"GRA"</formula>
    </cfRule>
    <cfRule type="cellIs" dxfId="2998" priority="50" operator="equal">
      <formula>"PUR"</formula>
    </cfRule>
    <cfRule type="cellIs" dxfId="2997" priority="51" operator="equal">
      <formula>"BRO"</formula>
    </cfRule>
    <cfRule type="cellIs" dxfId="2996" priority="52" operator="equal">
      <formula>"YEL"</formula>
    </cfRule>
    <cfRule type="cellIs" dxfId="2995" priority="53" operator="equal">
      <formula>"BLU"</formula>
    </cfRule>
    <cfRule type="cellIs" dxfId="2994" priority="54" operator="equal">
      <formula>"WHI"</formula>
    </cfRule>
    <cfRule type="cellIs" dxfId="2993" priority="55" operator="equal">
      <formula>"GRE"</formula>
    </cfRule>
    <cfRule type="cellIs" dxfId="2992" priority="56" operator="equal">
      <formula>"RED"</formula>
    </cfRule>
    <cfRule type="cellIs" dxfId="2991" priority="57" operator="equal">
      <formula>"BLA"</formula>
    </cfRule>
  </conditionalFormatting>
  <conditionalFormatting sqref="BV21:BW21">
    <cfRule type="cellIs" dxfId="2990" priority="69" operator="equal">
      <formula>"nc"</formula>
    </cfRule>
  </conditionalFormatting>
  <conditionalFormatting sqref="BX21:CA21 CD21:CF21">
    <cfRule type="cellIs" dxfId="2989" priority="43" operator="equal">
      <formula>"y"</formula>
    </cfRule>
    <cfRule type="cellIs" dxfId="2988" priority="58" operator="equal">
      <formula>"PIN"</formula>
    </cfRule>
    <cfRule type="cellIs" dxfId="2987" priority="59" operator="equal">
      <formula>"ORA"</formula>
    </cfRule>
    <cfRule type="cellIs" dxfId="2986" priority="60" operator="equal">
      <formula>"GRA"</formula>
    </cfRule>
    <cfRule type="cellIs" dxfId="2985" priority="61" operator="equal">
      <formula>"PUR"</formula>
    </cfRule>
    <cfRule type="cellIs" dxfId="2984" priority="62" operator="equal">
      <formula>"BRO"</formula>
    </cfRule>
    <cfRule type="cellIs" dxfId="2983" priority="63" operator="equal">
      <formula>"YEL"</formula>
    </cfRule>
    <cfRule type="cellIs" dxfId="2982" priority="64" operator="equal">
      <formula>"BLU"</formula>
    </cfRule>
    <cfRule type="cellIs" dxfId="2981" priority="65" operator="equal">
      <formula>"WHI"</formula>
    </cfRule>
    <cfRule type="cellIs" dxfId="2980" priority="66" operator="equal">
      <formula>"GRE"</formula>
    </cfRule>
    <cfRule type="cellIs" dxfId="2979" priority="67" operator="equal">
      <formula>"RED"</formula>
    </cfRule>
    <cfRule type="cellIs" dxfId="2978" priority="68" operator="equal">
      <formula>"BLA"</formula>
    </cfRule>
  </conditionalFormatting>
  <conditionalFormatting sqref="BZ21:CA21 CD21:CF21">
    <cfRule type="cellIs" dxfId="2977" priority="45" operator="greaterThan">
      <formula>0</formula>
    </cfRule>
  </conditionalFormatting>
  <conditionalFormatting sqref="IC21:IK21">
    <cfRule type="expression" dxfId="2976" priority="46">
      <formula>$IL21&gt;0</formula>
    </cfRule>
  </conditionalFormatting>
  <conditionalFormatting sqref="S21">
    <cfRule type="colorScale" priority="70">
      <colorScale>
        <cfvo type="min"/>
        <cfvo type="max"/>
        <color rgb="FFFCFCFF"/>
        <color rgb="FF754BFB"/>
      </colorScale>
    </cfRule>
  </conditionalFormatting>
  <conditionalFormatting sqref="AT21">
    <cfRule type="colorScale" priority="71">
      <colorScale>
        <cfvo type="min"/>
        <cfvo type="max"/>
        <color rgb="FFFCFCFF"/>
        <color theme="8" tint="0.39997558519241921"/>
      </colorScale>
    </cfRule>
  </conditionalFormatting>
  <conditionalFormatting sqref="CG21">
    <cfRule type="colorScale" priority="72">
      <colorScale>
        <cfvo type="min"/>
        <cfvo type="max"/>
        <color rgb="FFFCFCFF"/>
        <color rgb="FF63BE7B"/>
      </colorScale>
    </cfRule>
  </conditionalFormatting>
  <conditionalFormatting sqref="J21">
    <cfRule type="colorScale" priority="37">
      <colorScale>
        <cfvo type="min"/>
        <cfvo type="percentile" val="50"/>
        <cfvo type="max"/>
        <color rgb="FFF8696B"/>
        <color rgb="FFFFEB84"/>
        <color rgb="FF63BE7B"/>
      </colorScale>
    </cfRule>
  </conditionalFormatting>
  <conditionalFormatting sqref="H22">
    <cfRule type="cellIs" dxfId="383" priority="5" stopIfTrue="1" operator="notEqual">
      <formula>""</formula>
    </cfRule>
  </conditionalFormatting>
  <conditionalFormatting sqref="R22 CU22">
    <cfRule type="cellIs" dxfId="382" priority="7" operator="greaterThan">
      <formula>0</formula>
    </cfRule>
  </conditionalFormatting>
  <conditionalFormatting sqref="T22:AS22 CH22:CS22">
    <cfRule type="cellIs" dxfId="381" priority="2" stopIfTrue="1" operator="equal">
      <formula>"n"</formula>
    </cfRule>
    <cfRule type="cellIs" dxfId="380" priority="3" stopIfTrue="1" operator="equal">
      <formula>"y"</formula>
    </cfRule>
    <cfRule type="cellIs" dxfId="379" priority="4" operator="greaterThan">
      <formula>0</formula>
    </cfRule>
  </conditionalFormatting>
  <conditionalFormatting sqref="AZ22:BB22">
    <cfRule type="expression" dxfId="378" priority="1">
      <formula>$AT22=0</formula>
    </cfRule>
  </conditionalFormatting>
  <conditionalFormatting sqref="AZ22:BU22">
    <cfRule type="cellIs" dxfId="377" priority="10" operator="equal">
      <formula>"PIN"</formula>
    </cfRule>
    <cfRule type="cellIs" dxfId="376" priority="11" operator="equal">
      <formula>"ORA"</formula>
    </cfRule>
    <cfRule type="cellIs" dxfId="375" priority="12" operator="equal">
      <formula>"GRA"</formula>
    </cfRule>
    <cfRule type="cellIs" dxfId="374" priority="13" operator="equal">
      <formula>"PUR"</formula>
    </cfRule>
    <cfRule type="cellIs" dxfId="373" priority="14" operator="equal">
      <formula>"BRO"</formula>
    </cfRule>
    <cfRule type="cellIs" dxfId="372" priority="15" operator="equal">
      <formula>"YEL"</formula>
    </cfRule>
    <cfRule type="cellIs" dxfId="371" priority="16" operator="equal">
      <formula>"BLU"</formula>
    </cfRule>
    <cfRule type="cellIs" dxfId="370" priority="17" operator="equal">
      <formula>"WHI"</formula>
    </cfRule>
    <cfRule type="cellIs" dxfId="369" priority="18" operator="equal">
      <formula>"GRE"</formula>
    </cfRule>
    <cfRule type="cellIs" dxfId="368" priority="19" operator="equal">
      <formula>"RED"</formula>
    </cfRule>
    <cfRule type="cellIs" dxfId="367" priority="20" operator="equal">
      <formula>"BLA"</formula>
    </cfRule>
  </conditionalFormatting>
  <conditionalFormatting sqref="BV22">
    <cfRule type="cellIs" dxfId="366" priority="32" operator="equal">
      <formula>"nc"</formula>
    </cfRule>
  </conditionalFormatting>
  <conditionalFormatting sqref="BX22:CA22 CD22:CF22">
    <cfRule type="cellIs" dxfId="365" priority="6" operator="equal">
      <formula>"y"</formula>
    </cfRule>
    <cfRule type="cellIs" dxfId="364" priority="21" operator="equal">
      <formula>"PIN"</formula>
    </cfRule>
    <cfRule type="cellIs" dxfId="363" priority="22" operator="equal">
      <formula>"ORA"</formula>
    </cfRule>
    <cfRule type="cellIs" dxfId="362" priority="23" operator="equal">
      <formula>"GRA"</formula>
    </cfRule>
    <cfRule type="cellIs" dxfId="361" priority="24" operator="equal">
      <formula>"PUR"</formula>
    </cfRule>
    <cfRule type="cellIs" dxfId="360" priority="25" operator="equal">
      <formula>"BRO"</formula>
    </cfRule>
    <cfRule type="cellIs" dxfId="359" priority="26" operator="equal">
      <formula>"YEL"</formula>
    </cfRule>
    <cfRule type="cellIs" dxfId="358" priority="27" operator="equal">
      <formula>"BLU"</formula>
    </cfRule>
    <cfRule type="cellIs" dxfId="357" priority="28" operator="equal">
      <formula>"WHI"</formula>
    </cfRule>
    <cfRule type="cellIs" dxfId="356" priority="29" operator="equal">
      <formula>"GRE"</formula>
    </cfRule>
    <cfRule type="cellIs" dxfId="355" priority="30" operator="equal">
      <formula>"RED"</formula>
    </cfRule>
    <cfRule type="cellIs" dxfId="354" priority="31" operator="equal">
      <formula>"BLA"</formula>
    </cfRule>
  </conditionalFormatting>
  <conditionalFormatting sqref="BZ22:CA22 CD22:CF22">
    <cfRule type="cellIs" dxfId="353" priority="8" operator="greaterThan">
      <formula>0</formula>
    </cfRule>
  </conditionalFormatting>
  <conditionalFormatting sqref="IC22:IK22">
    <cfRule type="expression" dxfId="352" priority="9">
      <formula>$IL22&gt;0</formula>
    </cfRule>
  </conditionalFormatting>
  <conditionalFormatting sqref="J22">
    <cfRule type="colorScale" priority="33">
      <colorScale>
        <cfvo type="min"/>
        <cfvo type="percentile" val="50"/>
        <cfvo type="max"/>
        <color rgb="FFF8696B"/>
        <color rgb="FFFFEB84"/>
        <color rgb="FF63BE7B"/>
      </colorScale>
    </cfRule>
  </conditionalFormatting>
  <conditionalFormatting sqref="S22">
    <cfRule type="colorScale" priority="34">
      <colorScale>
        <cfvo type="min"/>
        <cfvo type="max"/>
        <color rgb="FFFCFCFF"/>
        <color rgb="FF754BFB"/>
      </colorScale>
    </cfRule>
  </conditionalFormatting>
  <conditionalFormatting sqref="AT22">
    <cfRule type="colorScale" priority="35">
      <colorScale>
        <cfvo type="min"/>
        <cfvo type="max"/>
        <color rgb="FFFCFCFF"/>
        <color theme="8" tint="0.39997558519241921"/>
      </colorScale>
    </cfRule>
  </conditionalFormatting>
  <conditionalFormatting sqref="CG22">
    <cfRule type="colorScale" priority="36">
      <colorScale>
        <cfvo type="min"/>
        <cfvo type="max"/>
        <color rgb="FFFCFCFF"/>
        <color rgb="FF63BE7B"/>
      </colorScale>
    </cfRule>
  </conditionalFormatting>
  <hyperlinks>
    <hyperlink ref="A2" r:id="rId1" display="https://fbref.com/en/country/ARG/Argentina-Football" xr:uid="{CEC61AAA-028B-416F-BD9C-C5186085CE01}"/>
    <hyperlink ref="E2" r:id="rId2" xr:uid="{40710B6D-21B4-4A4B-AD04-626A7B2B5F46}"/>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3569E-C078-49CD-ADB3-9D5536763481}">
  <dimension ref="A1:IY4"/>
  <sheetViews>
    <sheetView zoomScale="70" zoomScaleNormal="70" workbookViewId="0">
      <selection activeCell="A4" sqref="A4:XFD4"/>
    </sheetView>
  </sheetViews>
  <sheetFormatPr defaultRowHeight="14.4" x14ac:dyDescent="0.3"/>
  <cols>
    <col min="1" max="1" width="24.33203125" customWidth="1"/>
    <col min="2" max="2" width="10.109375" customWidth="1"/>
    <col min="3" max="3" width="9" bestFit="1" customWidth="1"/>
    <col min="7" max="7" width="9" bestFit="1" customWidth="1"/>
    <col min="11" max="11" width="9.88671875" bestFit="1" customWidth="1"/>
    <col min="12" max="12" width="9" bestFit="1" customWidth="1"/>
    <col min="17" max="17" width="9" bestFit="1" customWidth="1"/>
    <col min="19" max="19" width="9" bestFit="1"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175</v>
      </c>
      <c r="B2" s="40" t="e" vm="22">
        <v>#VALUE!</v>
      </c>
      <c r="C2" s="41">
        <v>1</v>
      </c>
      <c r="D2" s="42" t="s">
        <v>176</v>
      </c>
      <c r="E2" s="43" t="s">
        <v>177</v>
      </c>
      <c r="F2" s="44" t="s">
        <v>166</v>
      </c>
      <c r="G2" s="45">
        <f>COUNTIF($A$1:$A$8283,A2)</f>
        <v>1</v>
      </c>
      <c r="H2" s="46"/>
      <c r="I2" s="47" t="s">
        <v>178</v>
      </c>
      <c r="J2" s="48" t="str">
        <f>""</f>
        <v/>
      </c>
      <c r="K2" s="49">
        <v>12400000</v>
      </c>
      <c r="L2" s="50">
        <v>1240000</v>
      </c>
      <c r="M2" s="50" t="s">
        <v>179</v>
      </c>
      <c r="N2" s="51" t="s">
        <v>169</v>
      </c>
      <c r="O2" s="52" t="s">
        <v>180</v>
      </c>
      <c r="P2" s="53" t="s">
        <v>181</v>
      </c>
      <c r="Q2" s="54">
        <v>1</v>
      </c>
      <c r="R2" s="55" t="s">
        <v>169</v>
      </c>
      <c r="S2" s="56">
        <v>3</v>
      </c>
      <c r="T2" s="57" t="s">
        <v>172</v>
      </c>
      <c r="U2" s="58" t="s">
        <v>172</v>
      </c>
      <c r="V2" s="58" t="s">
        <v>173</v>
      </c>
      <c r="W2" s="58" t="s">
        <v>172</v>
      </c>
      <c r="X2" s="58" t="s">
        <v>172</v>
      </c>
      <c r="Y2" s="58" t="s">
        <v>172</v>
      </c>
      <c r="Z2" s="58" t="s">
        <v>172</v>
      </c>
      <c r="AA2" s="58" t="s">
        <v>172</v>
      </c>
      <c r="AB2" s="58" t="s">
        <v>172</v>
      </c>
      <c r="AC2" s="58" t="s">
        <v>172</v>
      </c>
      <c r="AD2" s="58" t="s">
        <v>172</v>
      </c>
      <c r="AE2" s="58" t="s">
        <v>172</v>
      </c>
      <c r="AF2" s="59" t="s">
        <v>172</v>
      </c>
      <c r="AG2" s="59" t="s">
        <v>172</v>
      </c>
      <c r="AH2" s="59" t="s">
        <v>172</v>
      </c>
      <c r="AI2" s="59" t="s">
        <v>172</v>
      </c>
      <c r="AJ2" s="59" t="s">
        <v>172</v>
      </c>
      <c r="AK2" s="59" t="s">
        <v>173</v>
      </c>
      <c r="AL2" s="59" t="s">
        <v>172</v>
      </c>
      <c r="AM2" s="59" t="s">
        <v>172</v>
      </c>
      <c r="AN2" s="59" t="s">
        <v>172</v>
      </c>
      <c r="AO2" s="59" t="s">
        <v>172</v>
      </c>
      <c r="AP2" s="59" t="s">
        <v>172</v>
      </c>
      <c r="AQ2" s="59" t="s">
        <v>172</v>
      </c>
      <c r="AR2" s="59" t="s">
        <v>172</v>
      </c>
      <c r="AS2" s="59" t="s">
        <v>172</v>
      </c>
      <c r="AT2" s="60">
        <v>0</v>
      </c>
      <c r="AU2" s="59"/>
      <c r="AV2" s="59" t="str">
        <f>IF(LEFT(A2,1)="[",LEFT(A2,5)&amp;AU2&amp;A2,"")</f>
        <v/>
      </c>
      <c r="AW2" s="59" t="str">
        <f>C2&amp;A2</f>
        <v>1Bolivia</v>
      </c>
      <c r="AX2" s="61"/>
      <c r="AY2" s="61"/>
      <c r="AZ2" s="62" t="s">
        <v>155</v>
      </c>
      <c r="BA2" s="62"/>
      <c r="BB2" s="62"/>
      <c r="BC2" s="63"/>
      <c r="BD2" s="64" t="s">
        <v>152</v>
      </c>
      <c r="BE2" s="47"/>
      <c r="BF2" s="64" t="s">
        <v>174</v>
      </c>
      <c r="BG2" s="64" t="s">
        <v>174</v>
      </c>
      <c r="BH2" s="64" t="s">
        <v>174</v>
      </c>
      <c r="BI2" s="64"/>
      <c r="BJ2" s="64"/>
      <c r="BK2" s="47"/>
      <c r="BL2" s="64" t="s">
        <v>151</v>
      </c>
      <c r="BM2" s="64" t="s">
        <v>152</v>
      </c>
      <c r="BN2" s="64" t="s">
        <v>174</v>
      </c>
      <c r="BO2" s="64" t="s">
        <v>154</v>
      </c>
      <c r="BP2" s="64" t="s">
        <v>155</v>
      </c>
      <c r="BQ2" s="64" t="s">
        <v>174</v>
      </c>
      <c r="BR2" s="64" t="s">
        <v>174</v>
      </c>
      <c r="BS2" s="64" t="s">
        <v>174</v>
      </c>
      <c r="BT2" s="64" t="s">
        <v>159</v>
      </c>
      <c r="BU2" s="65" t="s">
        <v>173</v>
      </c>
      <c r="BV2" s="66"/>
      <c r="BW2" s="66">
        <v>0</v>
      </c>
      <c r="BX2" s="47"/>
      <c r="CB2" s="6"/>
      <c r="CC2" s="6"/>
      <c r="CD2" s="67">
        <v>1</v>
      </c>
      <c r="CE2" s="67">
        <v>0</v>
      </c>
      <c r="CF2" s="67" t="e">
        <v>#REF!</v>
      </c>
      <c r="CG2" s="68" cm="1">
        <f t="array" ref="CG2">SUMPRODUCT(--(LEN(TRIM(BL2:BT2))&gt;0))</f>
        <v>5</v>
      </c>
      <c r="CH2" s="59" t="str">
        <f t="shared" ref="CH2" si="0">IF(CG2=2,"y","n")</f>
        <v>n</v>
      </c>
      <c r="CI2" s="59" t="str">
        <f t="shared" ref="CI2" si="1">IF(CG2=3,"y","n")</f>
        <v>n</v>
      </c>
      <c r="CJ2" s="59" t="str">
        <f t="shared" ref="CJ2" si="2">IF(CG2=4,"y","n")</f>
        <v>n</v>
      </c>
      <c r="CK2" s="59" t="str">
        <f t="shared" ref="CK2" si="3">IF(CG2&gt;4,"y","n")</f>
        <v>y</v>
      </c>
      <c r="CL2" s="59" t="str">
        <f t="shared" ref="CL2" si="4">IF(S2=0,"y","n")</f>
        <v>n</v>
      </c>
      <c r="CM2" s="59" t="str">
        <f t="shared" ref="CM2" si="5">IF(S2=2,"y","n")</f>
        <v>n</v>
      </c>
      <c r="CN2" s="59" t="str">
        <f t="shared" ref="CN2" si="6">IF(S2=3,"y","n")</f>
        <v>y</v>
      </c>
      <c r="CO2" s="59" t="str">
        <f t="shared" ref="CO2" si="7">IF(S2&gt;=4,"y","n")</f>
        <v>n</v>
      </c>
      <c r="CP2" s="59" t="str">
        <f t="shared" ref="CP2" si="8">IF(AT2=0,"y","n")</f>
        <v>y</v>
      </c>
      <c r="CQ2" s="59" t="str">
        <f t="shared" ref="CQ2" si="9">IF(AT2=1,"y","n")</f>
        <v>n</v>
      </c>
      <c r="CR2" s="59" t="str">
        <f t="shared" ref="CR2" si="10">IF(AT2=2,"y","n")</f>
        <v>n</v>
      </c>
      <c r="CS2" s="59" t="str">
        <f t="shared" ref="CS2" si="11">IF(AT2&gt;=3,"y","n")</f>
        <v>n</v>
      </c>
      <c r="CT2" s="69" t="str">
        <f t="shared" ref="CT2" si="12">CHAR(34)&amp;A2&amp;CHAR(34)</f>
        <v>"Bolivia"</v>
      </c>
      <c r="CU2" s="70" t="str">
        <f t="shared" ref="CU2" si="13">CHAR(34)&amp;"rgn_"&amp;R2&amp;CHAR(34)</f>
        <v>"rgn_South America"</v>
      </c>
      <c r="CV2" s="48" t="str">
        <f t="shared" ref="CV2" si="14">CHAR(34)&amp;D2&amp;CHAR(34)</f>
        <v>"https://i.ibb.co/DG7Drzn/Bolivia-Flag.png"</v>
      </c>
      <c r="CW2" s="48" t="str">
        <f t="shared" ref="CW2:CZ4" si="15">IF(CH2="y",CHAR(34)&amp;CH$1&amp;CHAR(34)&amp;",","")</f>
        <v/>
      </c>
      <c r="CX2" s="48" t="str">
        <f t="shared" si="15"/>
        <v/>
      </c>
      <c r="CY2" s="48" t="str">
        <f t="shared" si="15"/>
        <v/>
      </c>
      <c r="CZ2" s="48" t="str">
        <f t="shared" si="15"/>
        <v>"5+Colo",</v>
      </c>
      <c r="DA2" s="48" t="str">
        <f t="shared" ref="DA2" si="16">IF(Q2&gt;1,CHAR(34)&amp;"words2"&amp;CHAR(34)&amp;",","")</f>
        <v/>
      </c>
      <c r="DB2" s="48" t="str">
        <f t="shared" ref="DB2" si="17">IF(Q2&gt;2,CHAR(34)&amp;"words3"&amp;CHAR(34)&amp;",","")</f>
        <v/>
      </c>
      <c r="DC2" s="48" t="str">
        <f t="shared" ref="DC2" si="18">IF(Q2=2,CHAR(34)&amp;"exact2"&amp;CHAR(34)&amp;",","")</f>
        <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8" t="str">
        <f t="shared" ref="DF2" si="21">IFERROR(IF(SEARCH("tan",A2)&gt;0,CHAR(34)&amp;"withtn"&amp;CHAR(34)&amp;",",""),"")</f>
        <v/>
      </c>
      <c r="DG2" s="48" t="str">
        <f t="shared" ref="DG2" si="22">IFERROR(IF(SEARCH("q",A2)&gt;0,CHAR(34)&amp;"with_q"&amp;CHAR(34)&amp;",",""),"")</f>
        <v/>
      </c>
      <c r="DH2" s="48" t="str">
        <f t="shared" ref="DH2" si="23">IFERROR(IF(SEARCH("v",A2)&gt;0,CHAR(34)&amp;"with_v"&amp;CHAR(34)&amp;",",""),"")</f>
        <v>"with_v",</v>
      </c>
      <c r="DI2" s="48" t="str">
        <f t="shared" ref="DI2" si="24">IFERROR(IF(SEARCH("w",A2)&gt;0,CHAR(34)&amp;"with_w"&amp;CHAR(34)&amp;",",""),"")</f>
        <v/>
      </c>
      <c r="DJ2" s="48" t="str">
        <f t="shared" ref="DJ2" si="25">IFERROR(IF(SEARCH("y",A2)&gt;0,CHAR(34)&amp;"with_y"&amp;CHAR(34)&amp;",",""),"")</f>
        <v/>
      </c>
      <c r="DK2" s="48" t="str">
        <f t="shared" ref="DK2" si="26">IFERROR(IF(SEARCH("z",A2)&gt;0,CHAR(34)&amp;"with_z"&amp;CHAR(34)&amp;",",""),"")</f>
        <v/>
      </c>
      <c r="DL2" s="48" t="str">
        <f t="shared" ref="DL2" si="27">IF(CG2=2, CHAR(34) &amp; _xlfn.TEXTJOIN("", TRUE, _xlfn._xlws.SORT(HP2:HX2)) &amp; CHAR(34) &amp; ",", "")</f>
        <v/>
      </c>
      <c r="DM2" s="48" t="str" cm="1">
        <f t="array" ref="DM2">IF(CG2=3,CHAR(34) &amp; _xlfn.TEXTJOIN("", TRUE, RIGHT(HP2:HX2, 2)) &amp; CHAR(34) &amp; ",", "")</f>
        <v/>
      </c>
      <c r="DN2" s="48" t="str">
        <f t="shared" ref="DN2" si="28">IF(AND(ISNUMBER(SEARCH("18", O2)), ISERROR(SEARCH("1918", O2)), ISERROR(SEARCH("2018", O2))), CHAR(34) &amp; "year18" &amp; CHAR(34) &amp; ",", "")</f>
        <v>"year18",</v>
      </c>
      <c r="DO2" s="48" t="str">
        <f t="shared" ref="DO2" si="29">IF(AND(ISNUMBER(SEARCH("19", O2)), ISERROR(SEARCH("1819", O2)),  ISERROR(SEARCH("1219", O2)),ISERROR(SEARCH("1119", O2)),ISERROR(SEARCH("1190", O2)),ISERROR(SEARCH("2019", O2))), CHAR(34) &amp; "year19" &amp; CHAR(34) &amp; ",", "")</f>
        <v/>
      </c>
      <c r="DP2" s="6" t="str">
        <f t="shared" ref="DP2" si="30">IF(AND(ISNUMBER(SEARCH("20", O2)), ISERROR(SEARCH("1920", O2))), CHAR(34)&amp;"year00"&amp;CHAR(34)&amp;",", "")</f>
        <v/>
      </c>
      <c r="DQ2" s="6" t="str">
        <f t="shared" ref="DQ2" si="31">IF(CC2="y",CHAR(34)&amp;"soviet"&amp;CHAR(34)&amp;",","")</f>
        <v/>
      </c>
      <c r="DR2" s="6" t="str">
        <f t="shared" ref="DR2" si="32">IF(BY2="y",CHAR(34)&amp;"dgband"&amp;CHAR(34)&amp;",","")</f>
        <v/>
      </c>
      <c r="DS2" s="6" t="str">
        <f t="shared" ref="DS2" si="33">IF(W2="y",IF(AND(V2="n",BY2&lt;&gt;"y"),CHAR(34)&amp;"allver"&amp;CHAR(34)&amp;",",""),"")</f>
        <v/>
      </c>
      <c r="DT2" s="6" t="str">
        <f t="shared" ref="DT2" si="34">IF(V2="y",IF(AND(W2="n",BY2&lt;&gt;"y"),CHAR(34)&amp;"allhor"&amp;CHAR(34)&amp;",",""),"")</f>
        <v>"allhor",</v>
      </c>
      <c r="DU2" s="6" t="str">
        <f t="shared" ref="DU2" si="35">IF(BY2="y",IF(AND(W2="n",V2="n"),CHAR(34)&amp;"alldia"&amp;CHAR(34)&amp;",",""),"")</f>
        <v/>
      </c>
      <c r="DV2" s="48" t="str">
        <f t="shared" ref="DV2" si="36">IF(IA2&lt;&gt;"",(IF(IA2="y",CHAR(34)&amp;"largec"&amp;CHAR(34)&amp;",",CHAR(34)&amp;"smallc"&amp;CHAR(34)&amp;",")),"")</f>
        <v>"smallc",</v>
      </c>
      <c r="DW2" s="48" t="str">
        <f t="shared" ref="DW2:DZ4" si="37">IF(CL2="y",CHAR(34)&amp;CL$1&amp;CHAR(34)&amp;",","")</f>
        <v/>
      </c>
      <c r="DX2" s="48" t="str">
        <f t="shared" si="37"/>
        <v/>
      </c>
      <c r="DY2" s="48" t="str">
        <f t="shared" si="37"/>
        <v>"3Bands",</v>
      </c>
      <c r="DZ2" s="48" t="str">
        <f t="shared" si="37"/>
        <v/>
      </c>
      <c r="EA2" s="48" t="str">
        <f t="shared" ref="EA2:EE4" si="38">IF(T2="y",CHAR(34)&amp;T$1&amp;CHAR(34)&amp;",","")</f>
        <v/>
      </c>
      <c r="EB2" s="48" t="str">
        <f t="shared" si="38"/>
        <v/>
      </c>
      <c r="EC2" s="48" t="str">
        <f t="shared" si="38"/>
        <v>"Horizo",</v>
      </c>
      <c r="ED2" s="48" t="str">
        <f t="shared" si="38"/>
        <v/>
      </c>
      <c r="EE2" s="48" t="str">
        <f t="shared" si="38"/>
        <v/>
      </c>
      <c r="EF2" s="48" t="str">
        <f t="shared" ref="EF2" si="39">IF(AND(Y2&lt;&gt;"n",Y2&lt;&gt;""),CHAR(34)&amp;Y$1&amp;CHAR(34)&amp;",","")</f>
        <v/>
      </c>
      <c r="EG2" s="48" t="str">
        <f t="shared" ref="EG2:EZ4" si="40">IF(Z2="y",CHAR(34)&amp;Z$1&amp;CHAR(34)&amp;",","")</f>
        <v/>
      </c>
      <c r="EH2" s="48" t="str">
        <f t="shared" si="40"/>
        <v/>
      </c>
      <c r="EI2" s="48" t="str">
        <f t="shared" si="40"/>
        <v/>
      </c>
      <c r="EJ2" s="48" t="str">
        <f t="shared" si="40"/>
        <v/>
      </c>
      <c r="EK2" s="48" t="str">
        <f t="shared" si="40"/>
        <v/>
      </c>
      <c r="EL2" s="48" t="str">
        <f t="shared" si="40"/>
        <v/>
      </c>
      <c r="EM2" s="48" t="str">
        <f t="shared" si="40"/>
        <v/>
      </c>
      <c r="EN2" s="48" t="str">
        <f t="shared" si="40"/>
        <v/>
      </c>
      <c r="EO2" s="48" t="str">
        <f t="shared" si="40"/>
        <v/>
      </c>
      <c r="EP2" s="48" t="str">
        <f t="shared" si="40"/>
        <v/>
      </c>
      <c r="EQ2" s="48" t="str">
        <f t="shared" si="40"/>
        <v/>
      </c>
      <c r="ER2" s="48" t="str">
        <f t="shared" si="40"/>
        <v>"OnlyBa",</v>
      </c>
      <c r="ES2" s="48" t="str">
        <f t="shared" si="40"/>
        <v/>
      </c>
      <c r="ET2" s="48" t="str">
        <f t="shared" si="40"/>
        <v/>
      </c>
      <c r="EU2" s="48" t="str">
        <f t="shared" si="40"/>
        <v/>
      </c>
      <c r="EV2" s="48" t="str">
        <f t="shared" si="40"/>
        <v/>
      </c>
      <c r="EW2" s="48" t="str">
        <f t="shared" si="40"/>
        <v/>
      </c>
      <c r="EX2" s="48" t="str">
        <f t="shared" si="40"/>
        <v/>
      </c>
      <c r="EY2" s="48" t="str">
        <f t="shared" si="40"/>
        <v/>
      </c>
      <c r="EZ2" s="48" t="str">
        <f t="shared" si="40"/>
        <v/>
      </c>
      <c r="FA2" s="48" t="str">
        <f t="shared" ref="FA2" si="41">IF(AT2&gt;0,CHAR(34)&amp;"sta"&amp;AZ2&amp;CHAR(34)&amp;",","")</f>
        <v/>
      </c>
      <c r="FB2" s="48" t="str">
        <f t="shared" ref="FB2" si="42">IF(AND(AT2&gt;0,BA2&lt;&gt;""),CHAR(34)&amp;"sta"&amp;BA2&amp;CHAR(34)&amp;",","")</f>
        <v/>
      </c>
      <c r="FC2" s="48" t="str">
        <f t="shared" ref="FC2" si="43">IF(AND(AT2&gt;0,BB2&lt;&gt;""),CHAR(34)&amp;"sta"&amp;BB2&amp;CHAR(34)&amp;",","")</f>
        <v/>
      </c>
      <c r="FD2" s="48" t="str">
        <f t="shared" ref="FD2" si="44">IF(BV2="n",CHAR(34)&amp;"tcWHYE"&amp;CHAR(34)&amp;",",IF(BV2="y",CHAR(34)&amp;FD$1&amp;CHAR(34)&amp;",",""))</f>
        <v/>
      </c>
      <c r="FE2" s="48" t="str">
        <f t="shared" ref="FE2" si="45">IF(COUNTIF(BL2:BT2,"BLU")=0,CHAR(34)&amp;"NO_BLU"&amp;CHAR(34)&amp;",", "")</f>
        <v/>
      </c>
      <c r="FF2" s="48" t="str">
        <f t="shared" ref="FF2" si="46">IF(COUNTIF(BL2:BT2,"WHI")=0,CHAR(34)&amp;"NO_WHI"&amp;CHAR(34)&amp;",", "")</f>
        <v/>
      </c>
      <c r="FG2" s="48" t="str">
        <f t="shared" ref="FG2" si="47">IF(COUNTIF(BL2:BT2,"RED")=0,CHAR(34)&amp;"NO_RED"&amp;CHAR(34)&amp;",", "")</f>
        <v/>
      </c>
      <c r="FH2" s="48" t="str">
        <f t="shared" ref="FH2" si="48">IF(COUNTIF(BL2:BS2,"GRE")=0,CHAR(34)&amp;"NO_GRE"&amp;CHAR(34)&amp;",", "")</f>
        <v>"NO_GRE",</v>
      </c>
      <c r="FI2" s="48" t="str">
        <f t="shared" ref="FI2" si="49">IF(COUNTIF(BL2:BT2,"YEL")=0,CHAR(34)&amp;"NO_YEL"&amp;CHAR(34)&amp;",", "")</f>
        <v/>
      </c>
      <c r="FJ2" s="48" t="str">
        <f t="shared" ref="FJ2" si="50">IF(COUNTIF(BL2:BT2,"BLA")=0,CHAR(34)&amp;"NO_BLA"&amp;CHAR(34)&amp;",", "")</f>
        <v/>
      </c>
      <c r="FK2" s="48" t="str">
        <f t="shared" ref="FK2" si="51">IF(AND(FH2&lt;&gt;"",FF2&lt;&gt;""),CHAR(34)&amp;"WHGRNO"&amp;CHAR(34)&amp;",","")</f>
        <v/>
      </c>
      <c r="FL2" s="48" t="str">
        <f t="shared" ref="FL2" si="52">IF(AND(FI2&lt;&gt;"",FF2&lt;&gt;""),CHAR(34)&amp;"WHYENO"&amp;CHAR(34)&amp;",","")</f>
        <v/>
      </c>
      <c r="FM2" s="48" t="str">
        <f t="shared" ref="FM2" si="53">IF(AND(FJ2&lt;&gt;"",FF2&lt;&gt;""),CHAR(34)&amp;"BAWHNO"&amp;CHAR(34)&amp;",","")</f>
        <v/>
      </c>
      <c r="FN2" s="48" t="str">
        <f t="shared" ref="FN2" si="54">IF(AND(FE2&lt;&gt;"",FF2&lt;&gt;""),CHAR(34)&amp;"BLWHNO"&amp;CHAR(34)&amp;",","")</f>
        <v/>
      </c>
      <c r="FO2" s="48" t="str">
        <f t="shared" ref="FO2" si="55">IF(AND(FE2&lt;&gt;"",FG2&lt;&gt;""),CHAR(34)&amp;"BLRENO"&amp;CHAR(34)&amp;",","")</f>
        <v/>
      </c>
      <c r="FP2" s="48" t="str">
        <f t="shared" ref="FP2" si="56">IF(AND(FF2&lt;&gt;"",FF2&lt;&gt;""),CHAR(34)&amp;"WHRENO"&amp;CHAR(34)&amp;",","")</f>
        <v/>
      </c>
      <c r="FQ2" s="48" t="str">
        <f t="shared" ref="FQ2" si="57">IF(LEN(BF2)=3,CHAR(34)&amp;"001"&amp;BF2&amp;CHAR(34)&amp;",","")</f>
        <v/>
      </c>
      <c r="FR2" s="48" t="str">
        <f t="shared" ref="FR2" si="58">IF(LEN(BG2)=3,CHAR(34)&amp;"002"&amp;BG2&amp;CHAR(34)&amp;",","")</f>
        <v/>
      </c>
      <c r="FS2" s="48" t="str">
        <f t="shared" ref="FS2" si="59">IF(LEN(BH2)=3,CHAR(34)&amp;"003"&amp;BH2&amp;CHAR(34)&amp;",","")</f>
        <v/>
      </c>
      <c r="FT2" s="48" t="str">
        <f t="shared" ref="FT2" si="60">CHAR(34)&amp;"myr"&amp;BD2&amp;CHAR(34)&amp;","</f>
        <v>"myrBLU",</v>
      </c>
      <c r="FU2" s="48" t="str">
        <f t="shared" ref="FU2" si="61">IF(AY2="y",CHAR(34)&amp;"island"&amp;CHAR(34)&amp;",","")</f>
        <v/>
      </c>
      <c r="FV2" s="48" t="str">
        <f t="shared" ref="FV2" si="62">IF(BZ2="y",CHAR(34)&amp;"landlo"&amp;CHAR(34)&amp;",","")</f>
        <v/>
      </c>
      <c r="FW2" s="48" t="str">
        <f t="shared" ref="FW2" si="63">IF(CA2="y",CHAR(34)&amp;"eunion"&amp;CHAR(34)&amp;",","")</f>
        <v/>
      </c>
      <c r="FX2" s="48" t="str">
        <f t="shared" ref="FX2" si="64">SUBSTITUTE(IFERROR(SEARCH("[",A2),IFERROR(IF(AND(CA2&lt;&gt;"y",SEARCH("Europe",R2)&gt;0),CHAR(34)&amp;"noeuni"&amp;CHAR(34)&amp;",",""),"")),"1","")</f>
        <v/>
      </c>
      <c r="FY2" s="48" t="str">
        <f t="shared" ref="FY2" si="65">IFERROR(IF(SEARCH("Arabic",CB2)&gt;0,CHAR(34)&amp;"arabic"&amp;CHAR(34)&amp;",",""),"")</f>
        <v/>
      </c>
      <c r="FZ2" s="48" t="str">
        <f t="shared" ref="FZ2" si="66">IFERROR(IF(SEARCH("English",CB2)&gt;0,CHAR(34)&amp;"englis"&amp;CHAR(34)&amp;",",""),"")</f>
        <v/>
      </c>
      <c r="GA2" s="48" t="str">
        <f t="shared" ref="GA2" si="67">IFERROR(IF(SEARCH("French",CB2)&gt;0,CHAR(34)&amp;"french"&amp;CHAR(34)&amp;",",""),"")</f>
        <v/>
      </c>
      <c r="GB2" s="48" t="str">
        <f t="shared" ref="GB2"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 si="71">IFERROR(IF(SEARCH("Dutch",CB2)&gt;0,CHAR(34)&amp;"dutchs"&amp;CHAR(34)&amp;",",""),"")</f>
        <v/>
      </c>
      <c r="GF2" s="48" t="str">
        <f t="shared" ref="GF2" si="72">IFERROR(IF(SEARCH("Historical",AU2)&gt;0,CHAR(34)&amp;"histor"&amp;CHAR(34)&amp;",",""),"")</f>
        <v/>
      </c>
      <c r="GG2" s="48" t="str">
        <f t="shared" ref="GG2" si="73">IF(BU2="y",CHAR(34)&amp;"unjack"&amp;CHAR(34)&amp;",","")</f>
        <v>"unjack",</v>
      </c>
      <c r="GH2" s="48" t="str">
        <f t="shared" ref="GH2" si="74">IF(CD2=1,CHAR(34)&amp;"southc"&amp;CHAR(34)&amp;",","")</f>
        <v>"southc",</v>
      </c>
      <c r="GI2" s="48" t="str">
        <f t="shared" ref="GI2" si="75">IF(CE2=1,CHAR(34)&amp;"hasmap"&amp;CHAR(34)&amp;",","")</f>
        <v/>
      </c>
      <c r="GJ2" s="48" t="str">
        <f t="shared" ref="GJ2" si="76">IF(CP2="y",CHAR(34)&amp;CP$1&amp;CHAR(34)&amp;",","")</f>
        <v>"NoStar",</v>
      </c>
      <c r="GK2" s="48" t="str">
        <f t="shared" ref="GK2" si="77">IF(GJ2="",CHAR(34)&amp;"HasSta"&amp;CHAR(34)&amp;",","")</f>
        <v/>
      </c>
      <c r="GL2" s="48" t="str">
        <f t="shared" ref="GL2:GN4" si="78">IF(CQ2="y",CHAR(34)&amp;CQ$1&amp;CHAR(34)&amp;",","")</f>
        <v/>
      </c>
      <c r="GM2" s="48" t="str">
        <f t="shared" si="78"/>
        <v/>
      </c>
      <c r="GN2" s="48" t="str">
        <f t="shared" si="78"/>
        <v/>
      </c>
      <c r="GP2" s="48" t="str">
        <f t="shared" ref="GP2" si="79">CHAR(34)&amp;AU2&amp;CHAR(34)</f>
        <v>""</v>
      </c>
      <c r="GS2" s="48" t="str">
        <f t="shared" ref="GS2" si="80">SUBSTITUTE("["&amp;_xlfn.CONCAT(CW2:GN2)&amp;"]",",]","]")</f>
        <v>["5+Colo","lets07","startB","with_v","year18","allhor","smallc","3Bands","Horizo","OnlyBa","NO_GRE","myrBLU","unjack","southc","NoStar"]</v>
      </c>
      <c r="GT2" s="48" t="str">
        <f t="shared" ref="GT2:HB4" si="81">IF(BL2&lt;&gt;"",CHAR(34)&amp;"cl_"&amp;BL2&amp;CHAR(34)&amp;",","")</f>
        <v>"cl_BLA",</v>
      </c>
      <c r="GU2" s="48" t="str">
        <f t="shared" si="81"/>
        <v>"cl_BLU",</v>
      </c>
      <c r="GV2" s="48" t="str">
        <f t="shared" si="81"/>
        <v/>
      </c>
      <c r="GW2" s="48" t="str">
        <f t="shared" si="81"/>
        <v>"cl_RED",</v>
      </c>
      <c r="GX2" s="48" t="str">
        <f t="shared" si="81"/>
        <v>"cl_YEL",</v>
      </c>
      <c r="GY2" s="48" t="str">
        <f t="shared" si="81"/>
        <v/>
      </c>
      <c r="GZ2" s="48" t="str">
        <f t="shared" si="81"/>
        <v/>
      </c>
      <c r="HA2" s="48" t="str">
        <f t="shared" si="81"/>
        <v/>
      </c>
      <c r="HB2" s="48" t="str">
        <f t="shared" si="81"/>
        <v>"cl_WHI",</v>
      </c>
      <c r="HC2" s="48" t="str">
        <f t="shared" ref="HC2" si="82">SUBSTITUTE("["&amp;_xlfn.CONCAT(GT2:HB2)&amp;"]",",]","]")</f>
        <v>["cl_BLA","cl_BLU","cl_RED","cl_YEL","cl_WHI"]</v>
      </c>
      <c r="HE2" s="71"/>
      <c r="HF2" s="72" t="str">
        <f t="shared" ref="HF2" si="83">"{couname:"&amp;CT2&amp;(IF(HK2&lt;&gt;"",",subtype:"&amp;CHAR(34)&amp;HK2&amp;CHAR(34),""))&amp;",year:"&amp;HJ2&amp;",region:"&amp;CU2&amp;",Colors:"&amp;HC2&amp;",Items:"&amp;GS2&amp;",Flag:"&amp;CV2&amp;",HDFlag:"&amp;CHAR(34)&amp;E2&amp;CHAR(34)&amp;",type:"&amp;GP2&amp;", describe: "&amp;HH2&amp;", isnew:"&amp;CHAR(34)&amp;F2&amp;CHAR(34)&amp;", links: "&amp;HL2&amp;"},"</f>
        <v>{couname:"Bolivia",year:"1851 ",region:"rgn_South America",Colors:["cl_BLA","cl_BLU","cl_RED","cl_YEL","cl_WHI"],Items:["5+Colo","lets07","startB","with_v","year18","allhor","smallc","3Bands","Horizo","OnlyBa","NO_GRE","myrBLU","unjack","southc","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isnew:".", links: "https://en.wikipedia.org/wiki/Flag_of_Bolivia"},</v>
      </c>
      <c r="HG2" s="73" t="str">
        <f t="shared" ref="HG2" si="84">"{couname:"&amp;CT2&amp;(IF(HK2&lt;&gt;"",",subtype:"&amp;CHAR(34)&amp;HK2&amp;CHAR(34),""))&amp;",year:"&amp;HJ2&amp;",region:"&amp;CU2&amp;",Colors:"&amp;HC2&amp;",Items:"&amp;GS2&amp;",Flag:"&amp;CV2&amp;",HDFlag:"&amp;CHAR(34)&amp;E2&amp;CHAR(34)&amp;",type:"&amp;GP2&amp;", describe: "&amp;HI2&amp;", links: "&amp;HL2&amp;"},"</f>
        <v>{couname:"Bolivia",year:"1851 ",region:"rgn_South America",Colors:["cl_BLA","cl_BLU","cl_RED","cl_YEL","cl_WHI"],Items:["5+Colo","lets07","startB","with_v","year18","allhor","smallc","3Bands","Horizo","OnlyBa","NO_GRE","myrBLU","unjack","southc","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links: "https://en.wikipedia.org/wiki/Flag_of_Bolivia"},</v>
      </c>
      <c r="HH2" s="48" t="str">
        <f t="shared" ref="HH2" si="85">IF(P2&lt;&gt;"",CHAR(34)&amp;"\n"&amp;P2&amp;CHAR(34),CHAR(34)&amp;CHAR(34))</f>
        <v>"\nThe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v>
      </c>
      <c r="HI2" s="48" t="str">
        <f t="shared" ref="HI2" si="86">IF(J2=0,CHAR(34)&amp;CHAR(34),HH2)</f>
        <v>"\nThe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v>
      </c>
      <c r="HJ2" s="48" t="str">
        <f t="shared" ref="HJ2" si="87">CHAR(34)&amp;O2&amp;CHAR(34)</f>
        <v>"1851 "</v>
      </c>
      <c r="HL2" s="48" t="str">
        <f t="shared" ref="HL2" si="88">CHAR(34)&amp;I2&amp;CHAR(34)</f>
        <v>"https://en.wikipedia.org/wiki/Flag_of_Bolivia"</v>
      </c>
      <c r="HM2" s="72" t="str">
        <f t="shared" ref="HM2"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{"couname":"Bolivia","year":"1851 ","region":"rgn_South America","Colors":["cl_BLA","cl_BLU","cl_RED","cl_YEL","cl_WHI"],"Items":["5+Colo","lets07","startB","with_v","year18","allhor","smallc","3Bands","Horizo","OnlyBa","NO_GRE","myrBLU","unjack","southc","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"isnew": ".", "links": "https://en.wikipedia.org/wiki/Flag_of_Bolivia"},</v>
      </c>
      <c r="HN2" s="74" t="str">
        <f t="shared" ref="HN2" si="9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{"couname":"Bolivia","year":"1851 ","region":"rgn_South America","Colors":["cl_BLA","cl_BLU","cl_RED","cl_YEL","cl_WHI"],"Items":["5+Colo","lets07","startB","with_v","year18","allhor","smallc","3Bands","Horizo","OnlyBa","NO_GRE","myrBLU","unjack","southc","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"isnew": ".", "links": "https://en.wikipedia.org/wiki/Flag_of_Bolivia"},</v>
      </c>
      <c r="HO2" s="75">
        <v>45576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172</v>
      </c>
      <c r="IB2" s="6"/>
      <c r="IC2" s="77"/>
      <c r="ID2" s="77"/>
      <c r="IE2" s="77"/>
      <c r="IF2" s="77"/>
      <c r="IG2" s="77"/>
      <c r="IH2" s="77"/>
      <c r="II2" s="77"/>
      <c r="IJ2" s="77"/>
      <c r="IK2" s="77"/>
      <c r="IL2" s="48">
        <f t="shared" ref="IL2" si="91">SUM(IC2:IK2)</f>
        <v>0</v>
      </c>
      <c r="IM2" s="45">
        <f t="shared" ref="IM2" si="92">COUNTIF(IC2:IK2,"&gt;0")-CG2</f>
        <v>-5</v>
      </c>
      <c r="IN2" s="78" t="str">
        <f t="shared" ref="IN2" si="93">"http://mkweb.bcgsc.ca/color-summarizer/?url="&amp;D2&amp;"&amp;precision=low&amp;num_clusters="&amp;CG2&amp;"&amp;text=1"</f>
        <v>http://mkweb.bcgsc.ca/color-summarizer/?url=https://i.ibb.co/DG7Drzn/Bolivia-Flag.png&amp;precision=low&amp;num_clusters=5&amp;text=1</v>
      </c>
      <c r="IO2" s="48" t="str">
        <f t="shared" ref="IO2" si="94">IF(HP2&lt;&gt;"",CHAR(34)&amp;"black"&amp;CHAR(34),"")</f>
        <v>"black"</v>
      </c>
      <c r="IP2" s="48" t="str">
        <f t="shared" ref="IP2" si="95">IF(HQ2&lt;&gt;"",CHAR(34)&amp;"blue"&amp;CHAR(34),"")</f>
        <v>"blue"</v>
      </c>
      <c r="IQ2" s="48" t="str">
        <f t="shared" ref="IQ2" si="96">IF(HR2&lt;&gt;"",CHAR(34)&amp;"green"&amp;CHAR(34),"")</f>
        <v/>
      </c>
      <c r="IR2" s="48" t="str">
        <f t="shared" ref="IR2" si="97">IF(HS2&lt;&gt;"",CHAR(34)&amp;"red"&amp;CHAR(34),"")</f>
        <v>"red"</v>
      </c>
      <c r="IS2" s="48" t="str">
        <f t="shared" ref="IS2" si="98">IF(HT2&lt;&gt;"",CHAR(34)&amp;"yellow"&amp;CHAR(34),"")</f>
        <v>"yellow"</v>
      </c>
      <c r="IT2" s="48" t="str">
        <f t="shared" ref="IT2" si="99">IF(HU2&lt;&gt;"",CHAR(34)&amp;"orange"&amp;CHAR(34),"")</f>
        <v/>
      </c>
      <c r="IU2" s="48" t="str">
        <f t="shared" ref="IU2" si="100">IF(HV2&lt;&gt;"",CHAR(34)&amp;"brown"&amp;CHAR(34),"")</f>
        <v/>
      </c>
      <c r="IV2" s="48" t="str">
        <f t="shared" ref="IV2" si="101">IF(HW2&lt;&gt;"",CHAR(34)&amp;"purple"&amp;CHAR(34),"")</f>
        <v/>
      </c>
      <c r="IW2" s="48" t="str">
        <f t="shared" ref="IW2" si="102">IF(HX2&lt;&gt;"",CHAR(34)&amp;"white"&amp;CHAR(34),"")</f>
        <v>"white"</v>
      </c>
      <c r="IX2" s="48" t="str">
        <f t="shared" ref="IX2" si="103">"{"&amp;CHAR(34)&amp;"url"&amp;CHAR(34)&amp;":"&amp;CHAR(34)&amp;IN2&amp;CHAR(34)&amp;","&amp;CHAR(34)&amp;"name"&amp;CHAR(34)&amp;":"&amp;CHAR(34)&amp;A2&amp;CHAR(34)&amp;"},"</f>
        <v>{"url":"http://mkweb.bcgsc.ca/color-summarizer/?url=https://i.ibb.co/DG7Drzn/Bolivia-Flag.png&amp;precision=low&amp;num_clusters=5&amp;text=1","name":"Bolivia"},</v>
      </c>
      <c r="IY2" s="48">
        <v>296</v>
      </c>
    </row>
    <row r="3" spans="1:259" s="48" customFormat="1" ht="38.4" customHeight="1" thickBot="1" x14ac:dyDescent="0.35">
      <c r="A3" s="79" t="s">
        <v>378</v>
      </c>
      <c r="B3" s="40" t="e" vm="23">
        <v>#VALUE!</v>
      </c>
      <c r="C3" s="41">
        <v>2</v>
      </c>
      <c r="D3" s="42" t="s">
        <v>379</v>
      </c>
      <c r="E3" s="43" t="s">
        <v>380</v>
      </c>
      <c r="F3" s="44" t="s">
        <v>166</v>
      </c>
      <c r="G3" s="45">
        <f>COUNTIF($A$1:$A$8283,A3)</f>
        <v>1</v>
      </c>
      <c r="H3" s="46"/>
      <c r="I3" s="47" t="s">
        <v>178</v>
      </c>
      <c r="J3" s="48" t="str">
        <f>""</f>
        <v/>
      </c>
      <c r="K3" s="49"/>
      <c r="L3" s="50"/>
      <c r="M3" s="50"/>
      <c r="N3" s="51" t="s">
        <v>169</v>
      </c>
      <c r="O3" s="52" t="s">
        <v>381</v>
      </c>
      <c r="P3" s="53" t="s">
        <v>382</v>
      </c>
      <c r="Q3" s="54">
        <v>1</v>
      </c>
      <c r="R3" s="55" t="s">
        <v>169</v>
      </c>
      <c r="S3" s="56">
        <v>3</v>
      </c>
      <c r="T3" s="57" t="s">
        <v>172</v>
      </c>
      <c r="U3" s="58" t="s">
        <v>172</v>
      </c>
      <c r="V3" s="58" t="s">
        <v>173</v>
      </c>
      <c r="W3" s="58" t="s">
        <v>172</v>
      </c>
      <c r="X3" s="58" t="s">
        <v>172</v>
      </c>
      <c r="Y3" s="58" t="s">
        <v>173</v>
      </c>
      <c r="Z3" s="58" t="s">
        <v>173</v>
      </c>
      <c r="AA3" s="58" t="s">
        <v>173</v>
      </c>
      <c r="AB3" s="58" t="s">
        <v>173</v>
      </c>
      <c r="AC3" s="58" t="s">
        <v>173</v>
      </c>
      <c r="AD3" s="58" t="s">
        <v>173</v>
      </c>
      <c r="AE3" s="58" t="s">
        <v>172</v>
      </c>
      <c r="AF3" s="59" t="s">
        <v>172</v>
      </c>
      <c r="AG3" s="59" t="s">
        <v>172</v>
      </c>
      <c r="AH3" s="59" t="s">
        <v>173</v>
      </c>
      <c r="AI3" s="59" t="s">
        <v>172</v>
      </c>
      <c r="AJ3" s="59" t="s">
        <v>172</v>
      </c>
      <c r="AK3" s="59" t="s">
        <v>172</v>
      </c>
      <c r="AL3" s="59" t="s">
        <v>172</v>
      </c>
      <c r="AM3" s="59" t="s">
        <v>173</v>
      </c>
      <c r="AN3" s="59" t="s">
        <v>172</v>
      </c>
      <c r="AO3" s="59" t="s">
        <v>173</v>
      </c>
      <c r="AP3" s="59" t="s">
        <v>172</v>
      </c>
      <c r="AQ3" s="59" t="s">
        <v>172</v>
      </c>
      <c r="AR3" s="59" t="s">
        <v>172</v>
      </c>
      <c r="AS3" s="59" t="s">
        <v>172</v>
      </c>
      <c r="AT3" s="60">
        <v>10</v>
      </c>
      <c r="AU3" s="59" t="s">
        <v>383</v>
      </c>
      <c r="AV3" s="59" t="str">
        <f>IF(LEFT(A3,1)="[",LEFT(A3,5)&amp;AU3&amp;A3,"")</f>
        <v>[BOL]State[BOL] Bolivia (State Flag)</v>
      </c>
      <c r="AW3" s="59" t="str">
        <f>C3&amp;A3</f>
        <v>2[BOL] Bolivia (State Flag)</v>
      </c>
      <c r="AX3" s="61" t="str">
        <f>_xlfn.TEXTJOIN(";",TRUE,AU3:AW3)</f>
        <v>State;[BOL]State[BOL] Bolivia (State Flag);2[BOL] Bolivia (State Flag)</v>
      </c>
      <c r="AY3" s="61" t="s">
        <v>173</v>
      </c>
      <c r="AZ3" s="62" t="s">
        <v>159</v>
      </c>
      <c r="BA3" s="62"/>
      <c r="BB3" s="62"/>
      <c r="BC3" s="63"/>
      <c r="BD3" s="64" t="s">
        <v>152</v>
      </c>
      <c r="BE3" s="47"/>
      <c r="BF3" s="64" t="s">
        <v>152</v>
      </c>
      <c r="BG3" s="64" t="s">
        <v>155</v>
      </c>
      <c r="BH3" s="64" t="s">
        <v>152</v>
      </c>
      <c r="BI3" s="64"/>
      <c r="BJ3" s="64"/>
      <c r="BK3" s="47"/>
      <c r="BL3" s="64" t="s">
        <v>152</v>
      </c>
      <c r="BM3" s="64" t="s">
        <v>155</v>
      </c>
      <c r="BN3" s="64" t="s">
        <v>159</v>
      </c>
      <c r="BO3" s="64"/>
      <c r="BP3" s="64"/>
      <c r="BQ3" s="64"/>
      <c r="BR3" s="64"/>
      <c r="BS3" s="64"/>
      <c r="BT3" s="64"/>
      <c r="BU3" s="65"/>
      <c r="BV3" s="66" t="s">
        <v>173</v>
      </c>
      <c r="BW3" s="66">
        <v>0</v>
      </c>
      <c r="BX3" s="47"/>
      <c r="CB3" s="6" t="s">
        <v>384</v>
      </c>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n</v>
      </c>
      <c r="CN3" s="59" t="str">
        <f>IF(S3=3,"y","n")</f>
        <v>y</v>
      </c>
      <c r="CO3" s="59" t="str">
        <f>IF(S3&gt;=4,"y","n")</f>
        <v>n</v>
      </c>
      <c r="CP3" s="59" t="str">
        <f>IF(AT3=0,"y","n")</f>
        <v>n</v>
      </c>
      <c r="CQ3" s="59" t="str">
        <f>IF(AT3=1,"y","n")</f>
        <v>n</v>
      </c>
      <c r="CR3" s="59" t="str">
        <f>IF(AT3=2,"y","n")</f>
        <v>n</v>
      </c>
      <c r="CS3" s="59" t="str">
        <f>IF(AT3&gt;=3,"y","n")</f>
        <v>y</v>
      </c>
      <c r="CT3" s="69" t="str">
        <f>CHAR(34)&amp;A3&amp;CHAR(34)</f>
        <v>"[BOL] Bolivia (State Flag)"</v>
      </c>
      <c r="CU3" s="70" t="str">
        <f>CHAR(34)&amp;"rgn_"&amp;R3&amp;CHAR(34)</f>
        <v>"rgn_South America"</v>
      </c>
      <c r="CV3" s="48" t="str">
        <f>CHAR(34)&amp;D3&amp;CHAR(34)</f>
        <v>"https://upload.wikimedia.org/wikipedia/commons/thumb/b/b3/Bandera_de_Bolivia_%28Estado%29.svg/640px-Bandera_de_Bolivia_%28Estado%29.svg.png"</v>
      </c>
      <c r="CW3" s="48" t="str">
        <f t="shared" si="15"/>
        <v/>
      </c>
      <c r="CX3" s="48" t="str">
        <f t="shared" si="15"/>
        <v>"3Color",</v>
      </c>
      <c r="CY3" s="48" t="str">
        <f t="shared" si="15"/>
        <v/>
      </c>
      <c r="CZ3" s="48" t="str">
        <f t="shared" si="15"/>
        <v/>
      </c>
      <c r="DA3" s="48" t="str">
        <f>IF(Q3&gt;1,CHAR(34)&amp;"words2"&amp;CHAR(34)&amp;",","")</f>
        <v/>
      </c>
      <c r="DB3" s="48" t="str">
        <f>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"lets07",</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"startB",</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"LUELHI",</v>
      </c>
      <c r="DN3" s="48" t="str">
        <f>IF(AND(ISNUMBER(SEARCH("18", O3)), ISERROR(SEARCH("1918", O3)), ISERROR(SEARCH("2018", O3))), CHAR(34) &amp; "year18" &amp; CHAR(34) &amp; ",", "")</f>
        <v>"year18",</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V3" s="48" t="str">
        <f>IF(IA3&lt;&gt;"",(IF(IA3="y",CHAR(34)&amp;"largec"&amp;CHAR(34)&amp;",",CHAR(34)&amp;"smallc"&amp;CHAR(34)&amp;",")),"")</f>
        <v/>
      </c>
      <c r="DW3" s="48" t="str">
        <f t="shared" si="37"/>
        <v/>
      </c>
      <c r="DX3" s="48" t="str">
        <f t="shared" si="37"/>
        <v/>
      </c>
      <c r="DY3" s="48" t="str">
        <f t="shared" si="37"/>
        <v>"3Bands",</v>
      </c>
      <c r="DZ3" s="48" t="str">
        <f t="shared" si="37"/>
        <v/>
      </c>
      <c r="EA3" s="48" t="str">
        <f t="shared" si="38"/>
        <v/>
      </c>
      <c r="EB3" s="48" t="str">
        <f t="shared" si="38"/>
        <v/>
      </c>
      <c r="EC3" s="48" t="str">
        <f t="shared" si="38"/>
        <v>"Horizo",</v>
      </c>
      <c r="ED3" s="48" t="str">
        <f t="shared" si="38"/>
        <v/>
      </c>
      <c r="EE3" s="48" t="str">
        <f t="shared" si="38"/>
        <v/>
      </c>
      <c r="EF3" s="48" t="str">
        <f>IF(AND(Y3&lt;&gt;"n",Y3&lt;&gt;""),CHAR(34)&amp;Y$1&amp;CHAR(34)&amp;",","")</f>
        <v>"Animal",</v>
      </c>
      <c r="EG3" s="48" t="str">
        <f t="shared" si="40"/>
        <v>"Bird",</v>
      </c>
      <c r="EH3" s="48" t="str">
        <f t="shared" si="40"/>
        <v>"Plants",</v>
      </c>
      <c r="EI3" s="48" t="str">
        <f t="shared" si="40"/>
        <v>"Texted",</v>
      </c>
      <c r="EJ3" s="48" t="str">
        <f t="shared" si="40"/>
        <v>"Weapon",</v>
      </c>
      <c r="EK3" s="48" t="str">
        <f t="shared" si="40"/>
        <v>"HasSun",</v>
      </c>
      <c r="EL3" s="48" t="str">
        <f t="shared" si="40"/>
        <v/>
      </c>
      <c r="EM3" s="48" t="str">
        <f t="shared" si="40"/>
        <v/>
      </c>
      <c r="EN3" s="48" t="str">
        <f t="shared" si="40"/>
        <v/>
      </c>
      <c r="EO3" s="48" t="str">
        <f t="shared" si="40"/>
        <v>"Center",</v>
      </c>
      <c r="EP3" s="48" t="str">
        <f t="shared" si="40"/>
        <v/>
      </c>
      <c r="EQ3" s="48" t="str">
        <f t="shared" si="40"/>
        <v/>
      </c>
      <c r="ER3" s="48" t="str">
        <f t="shared" si="40"/>
        <v/>
      </c>
      <c r="ES3" s="48" t="str">
        <f t="shared" si="40"/>
        <v/>
      </c>
      <c r="ET3" s="48" t="str">
        <f t="shared" si="40"/>
        <v>"Geogrh",</v>
      </c>
      <c r="EU3" s="48" t="str">
        <f t="shared" si="40"/>
        <v/>
      </c>
      <c r="EV3" s="48" t="str">
        <f t="shared" si="40"/>
        <v>"Builds",</v>
      </c>
      <c r="EW3" s="48" t="str">
        <f t="shared" si="40"/>
        <v/>
      </c>
      <c r="EX3" s="48" t="str">
        <f t="shared" si="40"/>
        <v/>
      </c>
      <c r="EY3" s="48" t="str">
        <f t="shared" si="40"/>
        <v/>
      </c>
      <c r="EZ3" s="48" t="str">
        <f t="shared" si="40"/>
        <v/>
      </c>
      <c r="FA3" s="48" t="str">
        <f>IF(AT3&gt;0,CHAR(34)&amp;"sta"&amp;AZ3&amp;CHAR(34)&amp;",","")</f>
        <v>"staWHI",</v>
      </c>
      <c r="FB3" s="48" t="str">
        <f>IF(AND(AT3&gt;0,BA3&lt;&gt;""),CHAR(34)&amp;"sta"&amp;BA3&amp;CHAR(34)&amp;",","")</f>
        <v/>
      </c>
      <c r="FC3" s="48" t="str">
        <f>IF(AND(AT3&gt;0,BB3&lt;&gt;""),CHAR(34)&amp;"sta"&amp;BB3&amp;CHAR(34)&amp;",","")</f>
        <v/>
      </c>
      <c r="FD3" s="48" t="str">
        <f>IF(BV3="n",CHAR(34)&amp;"tcWHYE"&amp;CHAR(34)&amp;",",IF(BV3="y",CHAR(34)&amp;FD$1&amp;CHAR(34)&amp;",",""))</f>
        <v>"ntWHYE",</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"002YEL",</v>
      </c>
      <c r="FS3" s="48" t="str">
        <f>IF(LEN(BH3)=3,CHAR(34)&amp;"003"&amp;BH3&amp;CHAR(34)&amp;",","")</f>
        <v>"003BLU",</v>
      </c>
      <c r="FT3" s="48" t="str">
        <f>CHAR(34)&amp;"myr"&amp;BD3&amp;CHAR(34)&amp;","</f>
        <v>"myrBLU",</v>
      </c>
      <c r="FU3" s="48" t="str">
        <f>IF(AY3="y",CHAR(34)&amp;"island"&amp;CHAR(34)&amp;",","")</f>
        <v>"island",</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"englis",</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 t="shared" si="78"/>
        <v/>
      </c>
      <c r="GM3" s="48" t="str">
        <f t="shared" si="78"/>
        <v/>
      </c>
      <c r="GN3" s="48" t="str">
        <f t="shared" si="78"/>
        <v>"3+Star",</v>
      </c>
      <c r="GP3" s="48" t="str">
        <f>CHAR(34)&amp;AU3&amp;CHAR(34)</f>
        <v>"State"</v>
      </c>
      <c r="GS3" s="48" t="str">
        <f>SUBSTITUTE("["&amp;_xlfn.CONCAT(CW3:GN3)&amp;"]",",]","]")</f>
        <v>["3Color","lets07","startB","with_v","LUELHI","year18","allhor","3Bands","Horizo","Animal","Bird","Plants","Texted","Weapon","HasSun","Center","Geogrh","Builds","staWHI","ntWHYE","NO_RED","NO_GRE","NO_BLA","001BLU","002YEL","003BLU","myrBLU","island","englis","HasSta","3+Star"]</v>
      </c>
      <c r="GT3" s="48" t="str">
        <f t="shared" si="81"/>
        <v>"cl_BLU",</v>
      </c>
      <c r="GU3" s="48" t="str">
        <f t="shared" si="81"/>
        <v>"cl_YEL",</v>
      </c>
      <c r="GV3" s="48" t="str">
        <f t="shared" si="81"/>
        <v>"cl_WHI",</v>
      </c>
      <c r="GW3" s="48" t="str">
        <f t="shared" si="81"/>
        <v/>
      </c>
      <c r="GX3" s="48" t="str">
        <f t="shared" si="81"/>
        <v/>
      </c>
      <c r="GY3" s="48" t="str">
        <f t="shared" si="81"/>
        <v/>
      </c>
      <c r="GZ3" s="48" t="str">
        <f t="shared" si="81"/>
        <v/>
      </c>
      <c r="HA3" s="48" t="str">
        <f t="shared" si="81"/>
        <v/>
      </c>
      <c r="HB3" s="48" t="str">
        <f t="shared" si="81"/>
        <v/>
      </c>
      <c r="HC3" s="48" t="str">
        <f>SUBSTITUTE("["&amp;_xlfn.CONCAT(GT3:HB3)&amp;"]",",]","]")</f>
        <v>["cl_BLU","cl_YEL","cl_WHI"]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{couname:"[BOL] Bolivia (State Flag)",year:"1851",region:"rgn_South America",Colors:["cl_BLU","cl_YEL","cl_WHI"],Items:["3Color","lets07","startB","with_v","LUELHI","year18","allhor","3Bands","Horizo","Animal","Bird","Plants","Texted","Weapon","HasSun","Center","Geogrh","Builds","staWHI","ntWHYE","NO_RED","NO_GRE","NO_BLA","001BLU","002YEL","003BLU","myrBLU","island","englis","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isnew:".", links: "https://en.wikipedia.org/wiki/Flag_of_Bolivia"},</v>
      </c>
      <c r="HG3" s="73" t="str">
        <f>"{couname:"&amp;CT3&amp;(IF(HK3&lt;&gt;"",",subtype:"&amp;CHAR(34)&amp;HK3&amp;CHAR(34),""))&amp;",year:"&amp;HJ3&amp;",region:"&amp;CU3&amp;",Colors:"&amp;HC3&amp;",Items:"&amp;GS3&amp;",Flag:"&amp;CV3&amp;",HDFlag:"&amp;CHAR(34)&amp;E3&amp;CHAR(34)&amp;",type:"&amp;GP3&amp;", describe: "&amp;HI3&amp;", links: "&amp;HL3&amp;"},"</f>
        <v>{couname:"[BOL] Bolivia (State Flag)",year:"1851",region:"rgn_South America",Colors:["cl_BLU","cl_YEL","cl_WHI"],Items:["3Color","lets07","startB","with_v","LUELHI","year18","allhor","3Bands","Horizo","Animal","Bird","Plants","Texted","Weapon","HasSun","Center","Geogrh","Builds","staWHI","ntWHYE","NO_RED","NO_GRE","NO_BLA","001BLU","002YEL","003BLU","myrBLU","island","englis","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links: "https://en.wikipedia.org/wiki/Flag_of_Bolivia"},</v>
      </c>
      <c r="HH3" s="48" t="str">
        <f>IF(P3&lt;&gt;"",CHAR(34)&amp;"\n"&amp;P3&amp;CHAR(34),CHAR(34)&amp;CHAR(34))</f>
        <v>"\nThe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v>
      </c>
      <c r="HI3" s="48" t="str">
        <f>IF(J3=0,CHAR(34)&amp;CHAR(34),HH3)</f>
        <v>"\nThe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v>
      </c>
      <c r="HJ3" s="48" t="str">
        <f>CHAR(34)&amp;O3&amp;CHAR(34)</f>
        <v>"1851"</v>
      </c>
      <c r="HL3" s="48" t="str">
        <f>CHAR(34)&amp;I3&amp;CHAR(34)</f>
        <v>"https://en.wikipedia.org/wiki/Flag_of_Bolivia"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{"couname":"[BOL] Bolivia (State Flag)","year":"1851","region":"rgn_South America","Colors":["cl_BLU","cl_YEL","cl_WHI"],"Items":["3Color","lets07","startB","with_v","LUELHI","year18","allhor","3Bands","Horizo","Animal","Bird","Plants","Texted","Weapon","HasSun","Center","Geogrh","Builds","staWHI","ntWHYE","NO_RED","NO_GRE","NO_BLA","001BLU","002YEL","003BLU","myrBLU","island","englis","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"isnew": ".", "links": "https://en.wikipedia.org/wiki/Flag_of_Bolivia"},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{"couname":"[BOL] Bolivia (State Flag)","year":"1851","region":"rgn_South America","Colors":["cl_BLU","cl_YEL","cl_WHI"],"Items":["3Color","lets07","startB","with_v","LUELHI","year18","allhor","3Bands","Horizo","Animal","Bird","Plants","Texted","Weapon","HasSun","Center","Geogrh","Builds","staWHI","ntWHYE","NO_RED","NO_GRE","NO_BLA","001BLU","002YEL","003BLU","myrBLU","island","englis","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"isnew": ".", "links": "https://en.wikipedia.org/wiki/Flag_of_Bolivia"},</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-3</v>
      </c>
      <c r="IN3" s="78" t="str">
        <f>"http://mkweb.bcgsc.ca/color-summarizer/?url="&amp;D3&amp;"&amp;precision=low&amp;num_clusters="&amp;CG3&amp;"&amp;text=1"</f>
        <v>http://mkweb.bcgsc.ca/color-summarizer/?url=https://upload.wikimedia.org/wikipedia/commons/thumb/b/b3/Bandera_de_Bolivia_%28Estado%29.svg/640px-Bandera_de_Bolivia_%28Estado%29.svg.png&amp;precision=low&amp;num_clusters=3&amp;text=1</v>
      </c>
      <c r="IO3" s="48" t="str">
        <f>IF(HP3&lt;&gt;"",CHAR(34)&amp;"black"&amp;CHAR(34),"")</f>
        <v/>
      </c>
      <c r="IP3" s="48" t="str">
        <f>IF(HQ3&lt;&gt;"",CHAR(34)&amp;"blue"&amp;CHAR(34),"")</f>
        <v>"blue"</v>
      </c>
      <c r="IQ3" s="48" t="str">
        <f>IF(HR3&lt;&gt;"",CHAR(34)&amp;"green"&amp;CHAR(34),"")</f>
        <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{"url":"http://mkweb.bcgsc.ca/color-summarizer/?url=https://upload.wikimedia.org/wikipedia/commons/thumb/b/b3/Bandera_de_Bolivia_%28Estado%29.svg/640px-Bandera_de_Bolivia_%28Estado%29.svg.png&amp;precision=low&amp;num_clusters=3&amp;text=1","name":"[BOL] Bolivia (State Flag)"},</v>
      </c>
      <c r="IY3" s="48">
        <v>149</v>
      </c>
    </row>
    <row r="4" spans="1:259" s="48" customFormat="1" ht="38.4" customHeight="1" thickBot="1" x14ac:dyDescent="0.35">
      <c r="A4" s="81" t="s">
        <v>823</v>
      </c>
      <c r="B4" s="40"/>
      <c r="C4" s="41">
        <v>3</v>
      </c>
      <c r="D4" s="42" t="s">
        <v>824</v>
      </c>
      <c r="E4" s="43" t="s">
        <v>824</v>
      </c>
      <c r="F4" s="44" t="s">
        <v>638</v>
      </c>
      <c r="G4" s="45">
        <f>COUNTIF($A$1:$A$8283,A4)</f>
        <v>1</v>
      </c>
      <c r="H4" s="46"/>
      <c r="I4" s="47" t="s">
        <v>825</v>
      </c>
      <c r="J4" s="48" t="str">
        <f>""</f>
        <v/>
      </c>
      <c r="K4" s="49"/>
      <c r="L4" s="50"/>
      <c r="M4" s="50"/>
      <c r="N4" s="51" t="s">
        <v>169</v>
      </c>
      <c r="O4" s="52">
        <v>2019</v>
      </c>
      <c r="P4" s="53" t="s">
        <v>826</v>
      </c>
      <c r="Q4" s="54">
        <v>2</v>
      </c>
      <c r="R4" s="55" t="s">
        <v>169</v>
      </c>
      <c r="S4" s="56">
        <v>0</v>
      </c>
      <c r="T4" s="57" t="s">
        <v>172</v>
      </c>
      <c r="U4" s="58" t="s">
        <v>172</v>
      </c>
      <c r="V4" s="58" t="s">
        <v>172</v>
      </c>
      <c r="W4" s="58" t="s">
        <v>172</v>
      </c>
      <c r="X4" s="58" t="s">
        <v>172</v>
      </c>
      <c r="Y4" s="58" t="s">
        <v>172</v>
      </c>
      <c r="Z4" s="58" t="s">
        <v>172</v>
      </c>
      <c r="AA4" s="58" t="s">
        <v>173</v>
      </c>
      <c r="AB4" s="58" t="s">
        <v>172</v>
      </c>
      <c r="AC4" s="58" t="s">
        <v>172</v>
      </c>
      <c r="AD4" s="58" t="s">
        <v>172</v>
      </c>
      <c r="AE4" s="58" t="s">
        <v>172</v>
      </c>
      <c r="AF4" s="59" t="s">
        <v>172</v>
      </c>
      <c r="AG4" s="59" t="s">
        <v>172</v>
      </c>
      <c r="AH4" s="59" t="s">
        <v>173</v>
      </c>
      <c r="AI4" s="59" t="s">
        <v>172</v>
      </c>
      <c r="AJ4" s="59" t="s">
        <v>172</v>
      </c>
      <c r="AK4" s="59" t="s">
        <v>172</v>
      </c>
      <c r="AL4" s="59" t="s">
        <v>172</v>
      </c>
      <c r="AM4" s="59" t="s">
        <v>172</v>
      </c>
      <c r="AN4" s="59" t="s">
        <v>172</v>
      </c>
      <c r="AO4" s="59" t="s">
        <v>172</v>
      </c>
      <c r="AP4" s="59" t="s">
        <v>172</v>
      </c>
      <c r="AQ4" s="59" t="s">
        <v>172</v>
      </c>
      <c r="AR4" s="59" t="s">
        <v>172</v>
      </c>
      <c r="AS4" s="59" t="s">
        <v>172</v>
      </c>
      <c r="AT4" s="60">
        <v>0</v>
      </c>
      <c r="AU4" s="59" t="s">
        <v>827</v>
      </c>
      <c r="AV4" s="59" t="str">
        <f>IF(LEFT(A4,1)="[",LEFT(A4,5)&amp;AU4&amp;A4,"")</f>
        <v>[BOL]Civil flag[BOL] Patujú Florette</v>
      </c>
      <c r="AW4" s="59" t="str">
        <f>C4&amp;A4</f>
        <v>3[BOL] Patujú Florette</v>
      </c>
      <c r="AX4" s="61"/>
      <c r="AY4" s="61"/>
      <c r="AZ4" s="62" t="s">
        <v>155</v>
      </c>
      <c r="BA4" s="62"/>
      <c r="BB4" s="62"/>
      <c r="BC4" s="63"/>
      <c r="BD4" s="64" t="s">
        <v>152</v>
      </c>
      <c r="BE4" s="47"/>
      <c r="BF4" s="64" t="s">
        <v>152</v>
      </c>
      <c r="BG4" s="64" t="s">
        <v>154</v>
      </c>
      <c r="BH4" s="64" t="s">
        <v>152</v>
      </c>
      <c r="BI4" s="64"/>
      <c r="BJ4" s="64"/>
      <c r="BK4" s="47"/>
      <c r="BL4" s="64" t="s">
        <v>152</v>
      </c>
      <c r="BM4" s="64" t="s">
        <v>154</v>
      </c>
      <c r="BN4" s="64" t="s">
        <v>155</v>
      </c>
      <c r="BO4" s="64"/>
      <c r="BP4" s="64"/>
      <c r="BQ4" s="64"/>
      <c r="BR4" s="64"/>
      <c r="BS4" s="64"/>
      <c r="BT4" s="64"/>
      <c r="BU4" s="65"/>
      <c r="BV4" s="66"/>
      <c r="BW4" s="66">
        <v>0</v>
      </c>
      <c r="BX4" s="47"/>
      <c r="CB4" s="6"/>
      <c r="CC4" s="6"/>
      <c r="CD4" s="67">
        <v>0</v>
      </c>
      <c r="CE4" s="67">
        <v>0</v>
      </c>
      <c r="CF4" s="67" t="e">
        <v>#REF!</v>
      </c>
      <c r="CG4" s="68" cm="1">
        <f t="array" ref="CG4">SUMPRODUCT(--(LEN(TRIM(BL4:BT4))&gt;0))</f>
        <v>3</v>
      </c>
      <c r="CH4" s="59" t="str">
        <f>IF(CG4=2,"y","n")</f>
        <v>n</v>
      </c>
      <c r="CI4" s="59" t="str">
        <f>IF(CG4=3,"y","n")</f>
        <v>y</v>
      </c>
      <c r="CJ4" s="59" t="str">
        <f>IF(CG4=4,"y","n")</f>
        <v>n</v>
      </c>
      <c r="CK4" s="59" t="str">
        <f>IF(CG4&gt;4,"y","n")</f>
        <v>n</v>
      </c>
      <c r="CL4" s="59" t="str">
        <f>IF(S4=0,"y","n")</f>
        <v>y</v>
      </c>
      <c r="CM4" s="59" t="str">
        <f>IF(S4=2,"y","n")</f>
        <v>n</v>
      </c>
      <c r="CN4" s="59" t="str">
        <f>IF(S4=3,"y","n")</f>
        <v>n</v>
      </c>
      <c r="CO4" s="59" t="str">
        <f>IF(S4&gt;=4,"y","n")</f>
        <v>n</v>
      </c>
      <c r="CP4" s="59" t="str">
        <f>IF(AT4=0,"y","n")</f>
        <v>y</v>
      </c>
      <c r="CQ4" s="59" t="str">
        <f>IF(AT4=1,"y","n")</f>
        <v>n</v>
      </c>
      <c r="CR4" s="59" t="str">
        <f>IF(AT4=2,"y","n")</f>
        <v>n</v>
      </c>
      <c r="CS4" s="59" t="str">
        <f>IF(AT4&gt;=3,"y","n")</f>
        <v>n</v>
      </c>
      <c r="CT4" s="69" t="str">
        <f>CHAR(34)&amp;A4&amp;CHAR(34)</f>
        <v>"[BOL] Patujú Florette"</v>
      </c>
      <c r="CU4" s="70" t="str">
        <f>CHAR(34)&amp;"rgn_"&amp;R4&amp;CHAR(34)</f>
        <v>"rgn_South America"</v>
      </c>
      <c r="CV4" s="48" t="str">
        <f>CHAR(34)&amp;D4&amp;CHAR(34)</f>
        <v>"https://upload.wikimedia.org/wikipedia/commons/a/ac/Flag_of_the_Patuj%C3%BA_flower.svg"</v>
      </c>
      <c r="CW4" s="48" t="str">
        <f t="shared" si="15"/>
        <v/>
      </c>
      <c r="CX4" s="48" t="str">
        <f t="shared" si="15"/>
        <v>"3Color",</v>
      </c>
      <c r="CY4" s="48" t="str">
        <f t="shared" si="15"/>
        <v/>
      </c>
      <c r="CZ4" s="48" t="str">
        <f t="shared" si="15"/>
        <v/>
      </c>
      <c r="DA4" s="48" t="str">
        <f>IF(Q4&gt;1,CHAR(34)&amp;"words2"&amp;CHAR(34)&amp;",","")</f>
        <v>"words2",</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"lets14",</v>
      </c>
      <c r="DE4" s="48" t="str">
        <f>CHAR(34)&amp;"start"&amp;IFERROR(LEFT(SUBSTITUTE(A4,"["&amp;MID(A4,FIND("[",A4)+1,FIND("]",A4)-FIND("[",A4)-1)&amp;"] ",""),1),LEFT(A4,1))&amp;CHAR(34)&amp;","</f>
        <v>"startP",</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"LUEDEL",</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"year00",</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 t="shared" si="37"/>
        <v>"NoBand",</v>
      </c>
      <c r="DX4" s="48" t="str">
        <f t="shared" si="37"/>
        <v/>
      </c>
      <c r="DY4" s="48" t="str">
        <f t="shared" si="37"/>
        <v/>
      </c>
      <c r="DZ4" s="48" t="str">
        <f t="shared" si="37"/>
        <v/>
      </c>
      <c r="EA4" s="48" t="str">
        <f t="shared" si="38"/>
        <v/>
      </c>
      <c r="EB4" s="48" t="str">
        <f t="shared" si="38"/>
        <v/>
      </c>
      <c r="EC4" s="48" t="str">
        <f t="shared" si="38"/>
        <v/>
      </c>
      <c r="ED4" s="48" t="str">
        <f t="shared" si="38"/>
        <v/>
      </c>
      <c r="EE4" s="48" t="str">
        <f t="shared" si="38"/>
        <v/>
      </c>
      <c r="EF4" s="48" t="str">
        <f>IF(AND(Y4&lt;&gt;"n",Y4&lt;&gt;""),CHAR(34)&amp;Y$1&amp;CHAR(34)&amp;",","")</f>
        <v/>
      </c>
      <c r="EG4" s="48" t="str">
        <f t="shared" si="40"/>
        <v/>
      </c>
      <c r="EH4" s="48" t="str">
        <f t="shared" si="40"/>
        <v>"Plants",</v>
      </c>
      <c r="EI4" s="48" t="str">
        <f t="shared" si="40"/>
        <v/>
      </c>
      <c r="EJ4" s="48" t="str">
        <f t="shared" si="40"/>
        <v/>
      </c>
      <c r="EK4" s="48" t="str">
        <f t="shared" si="40"/>
        <v/>
      </c>
      <c r="EL4" s="48" t="str">
        <f t="shared" si="40"/>
        <v/>
      </c>
      <c r="EM4" s="48" t="str">
        <f t="shared" si="40"/>
        <v/>
      </c>
      <c r="EN4" s="48" t="str">
        <f t="shared" si="40"/>
        <v/>
      </c>
      <c r="EO4" s="48" t="str">
        <f t="shared" si="40"/>
        <v>"Center",</v>
      </c>
      <c r="EP4" s="48" t="str">
        <f t="shared" si="40"/>
        <v/>
      </c>
      <c r="EQ4" s="48" t="str">
        <f t="shared" si="40"/>
        <v/>
      </c>
      <c r="ER4" s="48" t="str">
        <f t="shared" si="40"/>
        <v/>
      </c>
      <c r="ES4" s="48" t="str">
        <f t="shared" si="40"/>
        <v/>
      </c>
      <c r="ET4" s="48" t="str">
        <f t="shared" si="40"/>
        <v/>
      </c>
      <c r="EU4" s="48" t="str">
        <f t="shared" si="40"/>
        <v/>
      </c>
      <c r="EV4" s="48" t="str">
        <f t="shared" si="40"/>
        <v/>
      </c>
      <c r="EW4" s="48" t="str">
        <f t="shared" si="40"/>
        <v/>
      </c>
      <c r="EX4" s="48" t="str">
        <f t="shared" si="40"/>
        <v/>
      </c>
      <c r="EY4" s="48" t="str">
        <f t="shared" si="40"/>
        <v/>
      </c>
      <c r="EZ4" s="48" t="str">
        <f t="shared" si="40"/>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"NO_WHI",</v>
      </c>
      <c r="FG4" s="48" t="str">
        <f>IF(COUNTIF(BL4:BT4,"RED")=0,CHAR(34)&amp;"NO_RED"&amp;CHAR(34)&amp;",", "")</f>
        <v/>
      </c>
      <c r="FH4" s="48" t="str">
        <f>IF(COUNTIF(BL4:BS4,"GRE")=0,CHAR(34)&amp;"NO_GRE"&amp;CHAR(34)&amp;",", "")</f>
        <v>"NO_GRE",</v>
      </c>
      <c r="FI4" s="48" t="str">
        <f>IF(COUNTIF(BL4:BT4,"YEL")=0,CHAR(34)&amp;"NO_YEL"&amp;CHAR(34)&amp;",", "")</f>
        <v/>
      </c>
      <c r="FJ4" s="48" t="str">
        <f>IF(COUNTIF(BL4:BT4,"BLA")=0,CHAR(34)&amp;"NO_BLA"&amp;CHAR(34)&amp;",", "")</f>
        <v>"NO_BLA",</v>
      </c>
      <c r="FK4" s="48" t="str">
        <f>IF(AND(FH4&lt;&gt;"",FF4&lt;&gt;""),CHAR(34)&amp;"WHGRNO"&amp;CHAR(34)&amp;",","")</f>
        <v>"WHGRNO",</v>
      </c>
      <c r="FL4" s="48" t="str">
        <f>IF(AND(FI4&lt;&gt;"",FF4&lt;&gt;""),CHAR(34)&amp;"WHYENO"&amp;CHAR(34)&amp;",","")</f>
        <v/>
      </c>
      <c r="FM4" s="48" t="str">
        <f>IF(AND(FJ4&lt;&gt;"",FF4&lt;&gt;""),CHAR(34)&amp;"BAWHNO"&amp;CHAR(34)&amp;",","")</f>
        <v>"BAWHNO",</v>
      </c>
      <c r="FN4" s="48" t="str">
        <f>IF(AND(FE4&lt;&gt;"",FF4&lt;&gt;""),CHAR(34)&amp;"BLWHNO"&amp;CHAR(34)&amp;",","")</f>
        <v/>
      </c>
      <c r="FO4" s="48" t="str">
        <f>IF(AND(FE4&lt;&gt;"",FG4&lt;&gt;""),CHAR(34)&amp;"BLRENO"&amp;CHAR(34)&amp;",","")</f>
        <v/>
      </c>
      <c r="FP4" s="48" t="str">
        <f>IF(AND(FF4&lt;&gt;"",FF4&lt;&gt;""),CHAR(34)&amp;"WHRENO"&amp;CHAR(34)&amp;",","")</f>
        <v>"WHRENO",</v>
      </c>
      <c r="FQ4" s="48" t="str">
        <f>IF(LEN(BF4)=3,CHAR(34)&amp;"001"&amp;BF4&amp;CHAR(34)&amp;",","")</f>
        <v>"001BLU",</v>
      </c>
      <c r="FR4" s="48" t="str">
        <f>IF(LEN(BG4)=3,CHAR(34)&amp;"002"&amp;BG4&amp;CHAR(34)&amp;",","")</f>
        <v>"002RED",</v>
      </c>
      <c r="FS4" s="48" t="str">
        <f>IF(LEN(BH4)=3,CHAR(34)&amp;"003"&amp;BH4&amp;CHAR(34)&amp;",","")</f>
        <v>"003BLU",</v>
      </c>
      <c r="FT4" s="48" t="str">
        <f>CHAR(34)&amp;"myr"&amp;BD4&amp;CHAR(34)&amp;","</f>
        <v>"myrBLU",</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 t="shared" si="78"/>
        <v/>
      </c>
      <c r="GM4" s="48" t="str">
        <f t="shared" si="78"/>
        <v/>
      </c>
      <c r="GN4" s="48" t="str">
        <f t="shared" si="78"/>
        <v/>
      </c>
      <c r="GP4" s="48" t="str">
        <f>CHAR(34)&amp;AU4&amp;CHAR(34)</f>
        <v>"Civil flag"</v>
      </c>
      <c r="GS4" s="48" t="str">
        <f>SUBSTITUTE("["&amp;_xlfn.CONCAT(CW4:GN4)&amp;"]",",]","]")</f>
        <v>["3Color","words2","lets14","startP","LUEDEL","year00","NoBand","Plants","Center","NO_WHI","NO_GRE","NO_BLA","WHGRNO","BAWHNO","WHRENO","001BLU","002RED","003BLU","myrBLU","NoStar"]</v>
      </c>
      <c r="GT4" s="48" t="str">
        <f t="shared" si="81"/>
        <v>"cl_BLU",</v>
      </c>
      <c r="GU4" s="48" t="str">
        <f t="shared" si="81"/>
        <v>"cl_RED",</v>
      </c>
      <c r="GV4" s="48" t="str">
        <f t="shared" si="81"/>
        <v>"cl_YEL",</v>
      </c>
      <c r="GW4" s="48" t="str">
        <f t="shared" si="81"/>
        <v/>
      </c>
      <c r="GX4" s="48" t="str">
        <f t="shared" si="81"/>
        <v/>
      </c>
      <c r="GY4" s="48" t="str">
        <f t="shared" si="81"/>
        <v/>
      </c>
      <c r="GZ4" s="48" t="str">
        <f t="shared" si="81"/>
        <v/>
      </c>
      <c r="HA4" s="48" t="str">
        <f t="shared" si="81"/>
        <v/>
      </c>
      <c r="HB4" s="48" t="str">
        <f t="shared" si="81"/>
        <v/>
      </c>
      <c r="HC4" s="48" t="str">
        <f>SUBSTITUTE("["&amp;_xlfn.CONCAT(GT4:HB4)&amp;"]",",]","]")</f>
        <v>["cl_BLU","cl_RED","cl_YEL"]</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{couname:"[BOL] Patujú Florette",year:"2019",region:"rgn_South America",Colors:["cl_BLU","cl_RED","cl_YEL"],Items:["3Color","words2","lets14","startP","LUEDEL","year00","NoBand","Plants","Center","NO_WHI","NO_GRE","NO_BLA","WHGRNO","BAWHNO","WHRENO","001BLU","002RED","003BLU","myrBLU","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isnew:"www", links: "https://en.wikipedia.org/wiki/Flag_of_the_patuj%C3%BA_flower"},</v>
      </c>
      <c r="HG4" s="73" t="str">
        <f>"{couname:"&amp;CT4&amp;(IF(HK4&lt;&gt;"",",subtype:"&amp;CHAR(34)&amp;HK4&amp;CHAR(34),""))&amp;",year:"&amp;HJ4&amp;",region:"&amp;CU4&amp;",Colors:"&amp;HC4&amp;",Items:"&amp;GS4&amp;",Flag:"&amp;CV4&amp;",HDFlag:"&amp;CHAR(34)&amp;E4&amp;CHAR(34)&amp;",type:"&amp;GP4&amp;", describe: "&amp;HI4&amp;", links: "&amp;HL4&amp;"},"</f>
        <v>{couname:"[BOL] Patujú Florette",year:"2019",region:"rgn_South America",Colors:["cl_BLU","cl_RED","cl_YEL"],Items:["3Color","words2","lets14","startP","LUEDEL","year00","NoBand","Plants","Center","NO_WHI","NO_GRE","NO_BLA","WHGRNO","BAWHNO","WHRENO","001BLU","002RED","003BLU","myrBLU","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links: "https://en.wikipedia.org/wiki/Flag_of_the_patuj%C3%BA_flower"},</v>
      </c>
      <c r="HH4" s="48" t="str">
        <f>IF(P4&lt;&gt;"",CHAR(34)&amp;"\n"&amp;P4&amp;CHAR(34),CHAR(34)&amp;CHAR(34))</f>
        <v>"\nThe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v>
      </c>
      <c r="HI4" s="48" t="str">
        <f>IF(J4=0,CHAR(34)&amp;CHAR(34),HH4)</f>
        <v>"\nThe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v>
      </c>
      <c r="HJ4" s="48" t="str">
        <f>CHAR(34)&amp;O4&amp;CHAR(34)</f>
        <v>"2019"</v>
      </c>
      <c r="HL4" s="48" t="str">
        <f>CHAR(34)&amp;I4&amp;CHAR(34)</f>
        <v>"https://en.wikipedia.org/wiki/Flag_of_the_patuj%C3%BA_flower"</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{"couname":"[BOL] Patujú Florette","year":"2019","region":"rgn_South America","Colors":["cl_BLU","cl_RED","cl_YEL"],"Items":["3Color","words2","lets14","startP","LUEDEL","year00","NoBand","Plants","Center","NO_WHI","NO_GRE","NO_BLA","WHGRNO","BAWHNO","WHRENO","001BLU","002RED","003BLU","myrBLU","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"isnew": "www", "links": "https://en.wikipedia.org/wiki/Flag_of_the_patuj%C3%BA_flower"},</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{"couname":"[BOL] Patujú Florette","year":"2019","region":"rgn_South America","Colors":["cl_BLU","cl_RED","cl_YEL"],"Items":["3Color","words2","lets14","startP","LUEDEL","year00","NoBand","Plants","Center","NO_WHI","NO_GRE","NO_BLA","WHGRNO","BAWHNO","WHRENO","001BLU","002RED","003BLU","myrBLU","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"isnew": "www", "links": "https://en.wikipedia.org/wiki/Flag_of_the_patuj%C3%BA_flower"},</v>
      </c>
      <c r="HO4" s="75">
        <v>45644</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
      </c>
      <c r="HY4" s="76"/>
      <c r="HZ4" s="76"/>
      <c r="IA4" s="6"/>
      <c r="IB4" s="6"/>
      <c r="IC4" s="77"/>
      <c r="ID4" s="77"/>
      <c r="IE4" s="77"/>
      <c r="IF4" s="77"/>
      <c r="IG4" s="77"/>
      <c r="IH4" s="77"/>
      <c r="II4" s="77"/>
      <c r="IJ4" s="77"/>
      <c r="IK4" s="77"/>
      <c r="IM4" s="45">
        <f>COUNTIF(IC4:IK4,"&gt;0")-CG4</f>
        <v>-3</v>
      </c>
      <c r="IN4" s="78" t="str">
        <f>"http://mkweb.bcgsc.ca/color-summarizer/?url="&amp;D4&amp;"&amp;precision=low&amp;num_clusters="&amp;CG4&amp;"&amp;text=1"</f>
        <v>http://mkweb.bcgsc.ca/color-summarizer/?url=https://upload.wikimedia.org/wikipedia/commons/a/ac/Flag_of_the_Patuj%C3%BA_flower.svg&amp;precision=low&amp;num_clusters=3&amp;text=1</v>
      </c>
      <c r="IO4" s="48" t="str">
        <f>IF(HP4&lt;&gt;"",CHAR(34)&amp;"black"&amp;CHAR(34),"")</f>
        <v/>
      </c>
      <c r="IP4" s="48" t="str">
        <f>IF(HQ4&lt;&gt;"",CHAR(34)&amp;"blue"&amp;CHAR(34),"")</f>
        <v>"blue"</v>
      </c>
      <c r="IQ4" s="48" t="str">
        <f>IF(HR4&lt;&gt;"",CHAR(34)&amp;"green"&amp;CHAR(34),"")</f>
        <v/>
      </c>
      <c r="IR4" s="48" t="str">
        <f>IF(HS4&lt;&gt;"",CHAR(34)&amp;"red"&amp;CHAR(34),"")</f>
        <v>"red"</v>
      </c>
      <c r="IS4" s="48" t="str">
        <f>IF(HT4&lt;&gt;"",CHAR(34)&amp;"yellow"&amp;CHAR(34),"")</f>
        <v>"yellow"</v>
      </c>
      <c r="IT4" s="48" t="str">
        <f>IF(HU4&lt;&gt;"",CHAR(34)&amp;"orange"&amp;CHAR(34),"")</f>
        <v/>
      </c>
      <c r="IU4" s="48" t="str">
        <f>IF(HV4&lt;&gt;"",CHAR(34)&amp;"brown"&amp;CHAR(34),"")</f>
        <v/>
      </c>
      <c r="IV4" s="48" t="str">
        <f>IF(HW4&lt;&gt;"",CHAR(34)&amp;"purple"&amp;CHAR(34),"")</f>
        <v/>
      </c>
      <c r="IW4" s="48" t="str">
        <f>IF(HX4&lt;&gt;"",CHAR(34)&amp;"white"&amp;CHAR(34),"")</f>
        <v/>
      </c>
      <c r="IX4" s="48" t="str">
        <f>"{"&amp;CHAR(34)&amp;"url"&amp;CHAR(34)&amp;":"&amp;CHAR(34)&amp;IN4&amp;CHAR(34)&amp;","&amp;CHAR(34)&amp;"name"&amp;CHAR(34)&amp;":"&amp;CHAR(34)&amp;A4&amp;CHAR(34)&amp;"},"</f>
        <v>{"url":"http://mkweb.bcgsc.ca/color-summarizer/?url=https://upload.wikimedia.org/wikipedia/commons/a/ac/Flag_of_the_Patuj%C3%BA_flower.svg&amp;precision=low&amp;num_clusters=3&amp;text=1","name":"[BOL] Patujú Florette"},</v>
      </c>
      <c r="IY4" s="48">
        <v>1503</v>
      </c>
    </row>
  </sheetData>
  <conditionalFormatting sqref="H1 CW1:GS1 IA1:IB1">
    <cfRule type="cellIs" dxfId="4506" priority="143" operator="greaterThan">
      <formula>0</formula>
    </cfRule>
  </conditionalFormatting>
  <conditionalFormatting sqref="H1">
    <cfRule type="cellIs" dxfId="4505" priority="109" stopIfTrue="1" operator="notEqual">
      <formula>""</formula>
    </cfRule>
  </conditionalFormatting>
  <conditionalFormatting sqref="T1:BK1">
    <cfRule type="cellIs" dxfId="4504" priority="146" operator="greaterThan">
      <formula>0</formula>
    </cfRule>
  </conditionalFormatting>
  <conditionalFormatting sqref="BV1:BW1">
    <cfRule type="cellIs" dxfId="4503" priority="145" operator="equal">
      <formula>"nc"</formula>
    </cfRule>
  </conditionalFormatting>
  <conditionalFormatting sqref="HF1:HG1">
    <cfRule type="cellIs" dxfId="4502" priority="147" operator="greaterThan">
      <formula>0</formula>
    </cfRule>
  </conditionalFormatting>
  <conditionalFormatting sqref="HK1">
    <cfRule type="cellIs" dxfId="4501" priority="144" operator="greaterThan">
      <formula>0</formula>
    </cfRule>
  </conditionalFormatting>
  <conditionalFormatting sqref="HP1:HX1">
    <cfRule type="cellIs" dxfId="4500" priority="121" operator="equal">
      <formula>"PIN"</formula>
    </cfRule>
    <cfRule type="cellIs" dxfId="4499" priority="122" operator="equal">
      <formula>"ORA"</formula>
    </cfRule>
    <cfRule type="cellIs" dxfId="4498" priority="123" operator="equal">
      <formula>"GRA"</formula>
    </cfRule>
    <cfRule type="cellIs" dxfId="4497" priority="124" operator="equal">
      <formula>"PUR"</formula>
    </cfRule>
    <cfRule type="cellIs" dxfId="4496" priority="125" operator="equal">
      <formula>"BRO"</formula>
    </cfRule>
    <cfRule type="cellIs" dxfId="4495" priority="126" operator="equal">
      <formula>"YEL"</formula>
    </cfRule>
    <cfRule type="cellIs" dxfId="4494" priority="127" operator="equal">
      <formula>"BLU"</formula>
    </cfRule>
    <cfRule type="cellIs" dxfId="4493" priority="128" operator="equal">
      <formula>"WHI"</formula>
    </cfRule>
    <cfRule type="cellIs" dxfId="4492" priority="129" operator="equal">
      <formula>"GRE"</formula>
    </cfRule>
    <cfRule type="cellIs" dxfId="4491" priority="130" operator="equal">
      <formula>"RED"</formula>
    </cfRule>
    <cfRule type="cellIs" dxfId="4490" priority="131" operator="equal">
      <formula>"BLA"</formula>
    </cfRule>
  </conditionalFormatting>
  <conditionalFormatting sqref="IC1:IK1">
    <cfRule type="cellIs" dxfId="4489" priority="132" operator="equal">
      <formula>"PIN"</formula>
    </cfRule>
    <cfRule type="cellIs" dxfId="4488" priority="133" operator="equal">
      <formula>"ORA"</formula>
    </cfRule>
    <cfRule type="cellIs" dxfId="4487" priority="134" operator="equal">
      <formula>"GRA"</formula>
    </cfRule>
    <cfRule type="cellIs" dxfId="4486" priority="135" operator="equal">
      <formula>"PUR"</formula>
    </cfRule>
    <cfRule type="cellIs" dxfId="4485" priority="136" operator="equal">
      <formula>"BRO"</formula>
    </cfRule>
    <cfRule type="cellIs" dxfId="4484" priority="137" operator="equal">
      <formula>"YEL"</formula>
    </cfRule>
    <cfRule type="cellIs" dxfId="4483" priority="138" operator="equal">
      <formula>"BLU"</formula>
    </cfRule>
    <cfRule type="cellIs" dxfId="4482" priority="139" operator="equal">
      <formula>"WHI"</formula>
    </cfRule>
    <cfRule type="cellIs" dxfId="4481" priority="140" operator="equal">
      <formula>"GRE"</formula>
    </cfRule>
    <cfRule type="cellIs" dxfId="4480" priority="141" operator="equal">
      <formula>"RED"</formula>
    </cfRule>
    <cfRule type="cellIs" dxfId="4479" priority="142" operator="equal">
      <formula>"BLA"</formula>
    </cfRule>
  </conditionalFormatting>
  <conditionalFormatting sqref="IO1:IW1">
    <cfRule type="cellIs" dxfId="4478" priority="110" operator="equal">
      <formula>"PIN"</formula>
    </cfRule>
    <cfRule type="cellIs" dxfId="4477" priority="111" operator="equal">
      <formula>"ORA"</formula>
    </cfRule>
    <cfRule type="cellIs" dxfId="4476" priority="112" operator="equal">
      <formula>"GRA"</formula>
    </cfRule>
    <cfRule type="cellIs" dxfId="4475" priority="113" operator="equal">
      <formula>"PUR"</formula>
    </cfRule>
    <cfRule type="cellIs" dxfId="4474" priority="114" operator="equal">
      <formula>"BRO"</formula>
    </cfRule>
    <cfRule type="cellIs" dxfId="4473" priority="115" operator="equal">
      <formula>"YEL"</formula>
    </cfRule>
    <cfRule type="cellIs" dxfId="4472" priority="116" operator="equal">
      <formula>"BLU"</formula>
    </cfRule>
    <cfRule type="cellIs" dxfId="4471" priority="117" operator="equal">
      <formula>"WHI"</formula>
    </cfRule>
    <cfRule type="cellIs" dxfId="4470" priority="118" operator="equal">
      <formula>"GRE"</formula>
    </cfRule>
    <cfRule type="cellIs" dxfId="4469" priority="119" operator="equal">
      <formula>"RED"</formula>
    </cfRule>
    <cfRule type="cellIs" dxfId="4468" priority="120" operator="equal">
      <formula>"BLA"</formula>
    </cfRule>
  </conditionalFormatting>
  <conditionalFormatting sqref="H2">
    <cfRule type="cellIs" dxfId="4467" priority="78" stopIfTrue="1" operator="notEqual">
      <formula>""</formula>
    </cfRule>
  </conditionalFormatting>
  <conditionalFormatting sqref="R2 CU2">
    <cfRule type="cellIs" dxfId="4466" priority="80" operator="greaterThan">
      <formula>0</formula>
    </cfRule>
  </conditionalFormatting>
  <conditionalFormatting sqref="T2:AS2 CH2:CS2">
    <cfRule type="cellIs" dxfId="4465" priority="75" stopIfTrue="1" operator="equal">
      <formula>"n"</formula>
    </cfRule>
    <cfRule type="cellIs" dxfId="4464" priority="76" stopIfTrue="1" operator="equal">
      <formula>"y"</formula>
    </cfRule>
    <cfRule type="cellIs" dxfId="4463" priority="77" operator="greaterThan">
      <formula>0</formula>
    </cfRule>
  </conditionalFormatting>
  <conditionalFormatting sqref="AZ2:BB2">
    <cfRule type="expression" dxfId="4462" priority="74">
      <formula>$AT2=0</formula>
    </cfRule>
  </conditionalFormatting>
  <conditionalFormatting sqref="AZ2:BU2">
    <cfRule type="cellIs" dxfId="4461" priority="83" operator="equal">
      <formula>"PIN"</formula>
    </cfRule>
    <cfRule type="cellIs" dxfId="4460" priority="84" operator="equal">
      <formula>"ORA"</formula>
    </cfRule>
    <cfRule type="cellIs" dxfId="4459" priority="85" operator="equal">
      <formula>"GRA"</formula>
    </cfRule>
    <cfRule type="cellIs" dxfId="4458" priority="86" operator="equal">
      <formula>"PUR"</formula>
    </cfRule>
    <cfRule type="cellIs" dxfId="4457" priority="87" operator="equal">
      <formula>"BRO"</formula>
    </cfRule>
    <cfRule type="cellIs" dxfId="4456" priority="88" operator="equal">
      <formula>"YEL"</formula>
    </cfRule>
    <cfRule type="cellIs" dxfId="4455" priority="89" operator="equal">
      <formula>"BLU"</formula>
    </cfRule>
    <cfRule type="cellIs" dxfId="4454" priority="90" operator="equal">
      <formula>"WHI"</formula>
    </cfRule>
    <cfRule type="cellIs" dxfId="4453" priority="91" operator="equal">
      <formula>"GRE"</formula>
    </cfRule>
    <cfRule type="cellIs" dxfId="4452" priority="92" operator="equal">
      <formula>"RED"</formula>
    </cfRule>
    <cfRule type="cellIs" dxfId="4451" priority="93" operator="equal">
      <formula>"BLA"</formula>
    </cfRule>
  </conditionalFormatting>
  <conditionalFormatting sqref="BV2">
    <cfRule type="cellIs" dxfId="4450" priority="105" operator="equal">
      <formula>"nc"</formula>
    </cfRule>
  </conditionalFormatting>
  <conditionalFormatting sqref="BX2:CA2 CD2:CF2">
    <cfRule type="cellIs" dxfId="4449" priority="79" operator="equal">
      <formula>"y"</formula>
    </cfRule>
    <cfRule type="cellIs" dxfId="4448" priority="94" operator="equal">
      <formula>"PIN"</formula>
    </cfRule>
    <cfRule type="cellIs" dxfId="4447" priority="95" operator="equal">
      <formula>"ORA"</formula>
    </cfRule>
    <cfRule type="cellIs" dxfId="4446" priority="96" operator="equal">
      <formula>"GRA"</formula>
    </cfRule>
    <cfRule type="cellIs" dxfId="4445" priority="97" operator="equal">
      <formula>"PUR"</formula>
    </cfRule>
    <cfRule type="cellIs" dxfId="4444" priority="98" operator="equal">
      <formula>"BRO"</formula>
    </cfRule>
    <cfRule type="cellIs" dxfId="4443" priority="99" operator="equal">
      <formula>"YEL"</formula>
    </cfRule>
    <cfRule type="cellIs" dxfId="4442" priority="100" operator="equal">
      <formula>"BLU"</formula>
    </cfRule>
    <cfRule type="cellIs" dxfId="4441" priority="101" operator="equal">
      <formula>"WHI"</formula>
    </cfRule>
    <cfRule type="cellIs" dxfId="4440" priority="102" operator="equal">
      <formula>"GRE"</formula>
    </cfRule>
    <cfRule type="cellIs" dxfId="4439" priority="103" operator="equal">
      <formula>"RED"</formula>
    </cfRule>
    <cfRule type="cellIs" dxfId="4438" priority="104" operator="equal">
      <formula>"BLA"</formula>
    </cfRule>
  </conditionalFormatting>
  <conditionalFormatting sqref="BZ2:CA2 CD2:CF2">
    <cfRule type="cellIs" dxfId="4437" priority="81" operator="greaterThan">
      <formula>0</formula>
    </cfRule>
  </conditionalFormatting>
  <conditionalFormatting sqref="IC2:IK2">
    <cfRule type="expression" dxfId="4436" priority="82">
      <formula>$IL2&gt;0</formula>
    </cfRule>
  </conditionalFormatting>
  <conditionalFormatting sqref="S2">
    <cfRule type="colorScale" priority="106">
      <colorScale>
        <cfvo type="min"/>
        <cfvo type="max"/>
        <color rgb="FFFCFCFF"/>
        <color rgb="FF754BFB"/>
      </colorScale>
    </cfRule>
  </conditionalFormatting>
  <conditionalFormatting sqref="AT2">
    <cfRule type="colorScale" priority="107">
      <colorScale>
        <cfvo type="min"/>
        <cfvo type="max"/>
        <color rgb="FFFCFCFF"/>
        <color theme="8" tint="0.39997558519241921"/>
      </colorScale>
    </cfRule>
  </conditionalFormatting>
  <conditionalFormatting sqref="CG2">
    <cfRule type="colorScale" priority="108">
      <colorScale>
        <cfvo type="min"/>
        <cfvo type="max"/>
        <color rgb="FFFCFCFF"/>
        <color rgb="FF63BE7B"/>
      </colorScale>
    </cfRule>
  </conditionalFormatting>
  <conditionalFormatting sqref="J2">
    <cfRule type="colorScale" priority="73">
      <colorScale>
        <cfvo type="min"/>
        <cfvo type="percentile" val="50"/>
        <cfvo type="max"/>
        <color rgb="FFF8696B"/>
        <color rgb="FFFFEB84"/>
        <color rgb="FF63BE7B"/>
      </colorScale>
    </cfRule>
  </conditionalFormatting>
  <conditionalFormatting sqref="H3">
    <cfRule type="cellIs" dxfId="2975" priority="42" stopIfTrue="1" operator="notEqual">
      <formula>""</formula>
    </cfRule>
  </conditionalFormatting>
  <conditionalFormatting sqref="R3 CU3">
    <cfRule type="cellIs" dxfId="2974" priority="44" operator="greaterThan">
      <formula>0</formula>
    </cfRule>
  </conditionalFormatting>
  <conditionalFormatting sqref="T3:AS3 CH3:CS3">
    <cfRule type="cellIs" dxfId="2973" priority="39" stopIfTrue="1" operator="equal">
      <formula>"n"</formula>
    </cfRule>
    <cfRule type="cellIs" dxfId="2972" priority="40" stopIfTrue="1" operator="equal">
      <formula>"y"</formula>
    </cfRule>
    <cfRule type="cellIs" dxfId="2971" priority="41" operator="greaterThan">
      <formula>0</formula>
    </cfRule>
  </conditionalFormatting>
  <conditionalFormatting sqref="AZ3:BB3">
    <cfRule type="expression" dxfId="2970" priority="38">
      <formula>$AT3=0</formula>
    </cfRule>
  </conditionalFormatting>
  <conditionalFormatting sqref="AZ3:BU3">
    <cfRule type="cellIs" dxfId="2969" priority="47" operator="equal">
      <formula>"PIN"</formula>
    </cfRule>
    <cfRule type="cellIs" dxfId="2968" priority="48" operator="equal">
      <formula>"ORA"</formula>
    </cfRule>
    <cfRule type="cellIs" dxfId="2967" priority="49" operator="equal">
      <formula>"GRA"</formula>
    </cfRule>
    <cfRule type="cellIs" dxfId="2966" priority="50" operator="equal">
      <formula>"PUR"</formula>
    </cfRule>
    <cfRule type="cellIs" dxfId="2965" priority="51" operator="equal">
      <formula>"BRO"</formula>
    </cfRule>
    <cfRule type="cellIs" dxfId="2964" priority="52" operator="equal">
      <formula>"YEL"</formula>
    </cfRule>
    <cfRule type="cellIs" dxfId="2963" priority="53" operator="equal">
      <formula>"BLU"</formula>
    </cfRule>
    <cfRule type="cellIs" dxfId="2962" priority="54" operator="equal">
      <formula>"WHI"</formula>
    </cfRule>
    <cfRule type="cellIs" dxfId="2961" priority="55" operator="equal">
      <formula>"GRE"</formula>
    </cfRule>
    <cfRule type="cellIs" dxfId="2960" priority="56" operator="equal">
      <formula>"RED"</formula>
    </cfRule>
    <cfRule type="cellIs" dxfId="2959" priority="57" operator="equal">
      <formula>"BLA"</formula>
    </cfRule>
  </conditionalFormatting>
  <conditionalFormatting sqref="BV3:BW3">
    <cfRule type="cellIs" dxfId="2958" priority="69" operator="equal">
      <formula>"nc"</formula>
    </cfRule>
  </conditionalFormatting>
  <conditionalFormatting sqref="BX3:CA3 CD3:CF3">
    <cfRule type="cellIs" dxfId="2957" priority="43" operator="equal">
      <formula>"y"</formula>
    </cfRule>
    <cfRule type="cellIs" dxfId="2956" priority="58" operator="equal">
      <formula>"PIN"</formula>
    </cfRule>
    <cfRule type="cellIs" dxfId="2955" priority="59" operator="equal">
      <formula>"ORA"</formula>
    </cfRule>
    <cfRule type="cellIs" dxfId="2954" priority="60" operator="equal">
      <formula>"GRA"</formula>
    </cfRule>
    <cfRule type="cellIs" dxfId="2953" priority="61" operator="equal">
      <formula>"PUR"</formula>
    </cfRule>
    <cfRule type="cellIs" dxfId="2952" priority="62" operator="equal">
      <formula>"BRO"</formula>
    </cfRule>
    <cfRule type="cellIs" dxfId="2951" priority="63" operator="equal">
      <formula>"YEL"</formula>
    </cfRule>
    <cfRule type="cellIs" dxfId="2950" priority="64" operator="equal">
      <formula>"BLU"</formula>
    </cfRule>
    <cfRule type="cellIs" dxfId="2949" priority="65" operator="equal">
      <formula>"WHI"</formula>
    </cfRule>
    <cfRule type="cellIs" dxfId="2948" priority="66" operator="equal">
      <formula>"GRE"</formula>
    </cfRule>
    <cfRule type="cellIs" dxfId="2947" priority="67" operator="equal">
      <formula>"RED"</formula>
    </cfRule>
    <cfRule type="cellIs" dxfId="2946" priority="68" operator="equal">
      <formula>"BLA"</formula>
    </cfRule>
  </conditionalFormatting>
  <conditionalFormatting sqref="BZ3:CA3 CD3:CF3">
    <cfRule type="cellIs" dxfId="2945" priority="45" operator="greaterThan">
      <formula>0</formula>
    </cfRule>
  </conditionalFormatting>
  <conditionalFormatting sqref="IC3:IK3">
    <cfRule type="expression" dxfId="2944" priority="46">
      <formula>$IL3&gt;0</formula>
    </cfRule>
  </conditionalFormatting>
  <conditionalFormatting sqref="S3">
    <cfRule type="colorScale" priority="70">
      <colorScale>
        <cfvo type="min"/>
        <cfvo type="max"/>
        <color rgb="FFFCFCFF"/>
        <color rgb="FF754BFB"/>
      </colorScale>
    </cfRule>
  </conditionalFormatting>
  <conditionalFormatting sqref="AT3">
    <cfRule type="colorScale" priority="71">
      <colorScale>
        <cfvo type="min"/>
        <cfvo type="max"/>
        <color rgb="FFFCFCFF"/>
        <color theme="8" tint="0.39997558519241921"/>
      </colorScale>
    </cfRule>
  </conditionalFormatting>
  <conditionalFormatting sqref="CG3">
    <cfRule type="colorScale" priority="72">
      <colorScale>
        <cfvo type="min"/>
        <cfvo type="max"/>
        <color rgb="FFFCFCFF"/>
        <color rgb="FF63BE7B"/>
      </colorScale>
    </cfRule>
  </conditionalFormatting>
  <conditionalFormatting sqref="J3">
    <cfRule type="colorScale" priority="37">
      <colorScale>
        <cfvo type="min"/>
        <cfvo type="percentile" val="50"/>
        <cfvo type="max"/>
        <color rgb="FFF8696B"/>
        <color rgb="FFFFEB84"/>
        <color rgb="FF63BE7B"/>
      </colorScale>
    </cfRule>
  </conditionalFormatting>
  <conditionalFormatting sqref="H4">
    <cfRule type="cellIs" dxfId="351" priority="5" stopIfTrue="1" operator="notEqual">
      <formula>""</formula>
    </cfRule>
  </conditionalFormatting>
  <conditionalFormatting sqref="R4 CU4">
    <cfRule type="cellIs" dxfId="350" priority="7" operator="greaterThan">
      <formula>0</formula>
    </cfRule>
  </conditionalFormatting>
  <conditionalFormatting sqref="T4:AS4 CH4:CS4">
    <cfRule type="cellIs" dxfId="349" priority="2" stopIfTrue="1" operator="equal">
      <formula>"n"</formula>
    </cfRule>
    <cfRule type="cellIs" dxfId="348" priority="3" stopIfTrue="1" operator="equal">
      <formula>"y"</formula>
    </cfRule>
    <cfRule type="cellIs" dxfId="347" priority="4" operator="greaterThan">
      <formula>0</formula>
    </cfRule>
  </conditionalFormatting>
  <conditionalFormatting sqref="AZ4:BB4">
    <cfRule type="expression" dxfId="346" priority="1">
      <formula>$AT4=0</formula>
    </cfRule>
  </conditionalFormatting>
  <conditionalFormatting sqref="AZ4:BU4">
    <cfRule type="cellIs" dxfId="345" priority="10" operator="equal">
      <formula>"PIN"</formula>
    </cfRule>
    <cfRule type="cellIs" dxfId="344" priority="11" operator="equal">
      <formula>"ORA"</formula>
    </cfRule>
    <cfRule type="cellIs" dxfId="343" priority="12" operator="equal">
      <formula>"GRA"</formula>
    </cfRule>
    <cfRule type="cellIs" dxfId="342" priority="13" operator="equal">
      <formula>"PUR"</formula>
    </cfRule>
    <cfRule type="cellIs" dxfId="341" priority="14" operator="equal">
      <formula>"BRO"</formula>
    </cfRule>
    <cfRule type="cellIs" dxfId="340" priority="15" operator="equal">
      <formula>"YEL"</formula>
    </cfRule>
    <cfRule type="cellIs" dxfId="339" priority="16" operator="equal">
      <formula>"BLU"</formula>
    </cfRule>
    <cfRule type="cellIs" dxfId="338" priority="17" operator="equal">
      <formula>"WHI"</formula>
    </cfRule>
    <cfRule type="cellIs" dxfId="337" priority="18" operator="equal">
      <formula>"GRE"</formula>
    </cfRule>
    <cfRule type="cellIs" dxfId="336" priority="19" operator="equal">
      <formula>"RED"</formula>
    </cfRule>
    <cfRule type="cellIs" dxfId="335" priority="20" operator="equal">
      <formula>"BLA"</formula>
    </cfRule>
  </conditionalFormatting>
  <conditionalFormatting sqref="BV4">
    <cfRule type="cellIs" dxfId="334" priority="32" operator="equal">
      <formula>"nc"</formula>
    </cfRule>
  </conditionalFormatting>
  <conditionalFormatting sqref="BX4:CA4 CD4:CF4">
    <cfRule type="cellIs" dxfId="333" priority="6" operator="equal">
      <formula>"y"</formula>
    </cfRule>
    <cfRule type="cellIs" dxfId="332" priority="21" operator="equal">
      <formula>"PIN"</formula>
    </cfRule>
    <cfRule type="cellIs" dxfId="331" priority="22" operator="equal">
      <formula>"ORA"</formula>
    </cfRule>
    <cfRule type="cellIs" dxfId="330" priority="23" operator="equal">
      <formula>"GRA"</formula>
    </cfRule>
    <cfRule type="cellIs" dxfId="329" priority="24" operator="equal">
      <formula>"PUR"</formula>
    </cfRule>
    <cfRule type="cellIs" dxfId="328" priority="25" operator="equal">
      <formula>"BRO"</formula>
    </cfRule>
    <cfRule type="cellIs" dxfId="327" priority="26" operator="equal">
      <formula>"YEL"</formula>
    </cfRule>
    <cfRule type="cellIs" dxfId="326" priority="27" operator="equal">
      <formula>"BLU"</formula>
    </cfRule>
    <cfRule type="cellIs" dxfId="325" priority="28" operator="equal">
      <formula>"WHI"</formula>
    </cfRule>
    <cfRule type="cellIs" dxfId="324" priority="29" operator="equal">
      <formula>"GRE"</formula>
    </cfRule>
    <cfRule type="cellIs" dxfId="323" priority="30" operator="equal">
      <formula>"RED"</formula>
    </cfRule>
    <cfRule type="cellIs" dxfId="322" priority="31" operator="equal">
      <formula>"BLA"</formula>
    </cfRule>
  </conditionalFormatting>
  <conditionalFormatting sqref="BZ4:CA4 CD4:CF4">
    <cfRule type="cellIs" dxfId="321" priority="8" operator="greaterThan">
      <formula>0</formula>
    </cfRule>
  </conditionalFormatting>
  <conditionalFormatting sqref="IC4:IK4">
    <cfRule type="expression" dxfId="320" priority="9">
      <formula>$IL4&gt;0</formula>
    </cfRule>
  </conditionalFormatting>
  <conditionalFormatting sqref="J4">
    <cfRule type="colorScale" priority="33">
      <colorScale>
        <cfvo type="min"/>
        <cfvo type="percentile" val="50"/>
        <cfvo type="max"/>
        <color rgb="FFF8696B"/>
        <color rgb="FFFFEB84"/>
        <color rgb="FF63BE7B"/>
      </colorScale>
    </cfRule>
  </conditionalFormatting>
  <conditionalFormatting sqref="S4">
    <cfRule type="colorScale" priority="34">
      <colorScale>
        <cfvo type="min"/>
        <cfvo type="max"/>
        <color rgb="FFFCFCFF"/>
        <color rgb="FF754BFB"/>
      </colorScale>
    </cfRule>
  </conditionalFormatting>
  <conditionalFormatting sqref="AT4">
    <cfRule type="colorScale" priority="35">
      <colorScale>
        <cfvo type="min"/>
        <cfvo type="max"/>
        <color rgb="FFFCFCFF"/>
        <color theme="8" tint="0.39997558519241921"/>
      </colorScale>
    </cfRule>
  </conditionalFormatting>
  <conditionalFormatting sqref="CG4">
    <cfRule type="colorScale" priority="36">
      <colorScale>
        <cfvo type="min"/>
        <cfvo type="max"/>
        <color rgb="FFFCFCFF"/>
        <color rgb="FF63BE7B"/>
      </colorScale>
    </cfRule>
  </conditionalFormatting>
  <hyperlinks>
    <hyperlink ref="A2" r:id="rId1" display="https://fbref.com/en/country/BOL/Bolivia-Football" xr:uid="{7F0B18F0-0EAA-40CA-A951-4E472DF43F9F}"/>
    <hyperlink ref="I3" r:id="rId2" xr:uid="{450386E7-0858-463D-A4BB-31D1D894362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8F4E5-953D-4A82-9B9A-32040D291B49}">
  <dimension ref="A1:IY33"/>
  <sheetViews>
    <sheetView zoomScale="70" zoomScaleNormal="70" workbookViewId="0">
      <selection activeCell="A33" sqref="A33:XFD33"/>
    </sheetView>
  </sheetViews>
  <sheetFormatPr defaultRowHeight="14.4" x14ac:dyDescent="0.3"/>
  <cols>
    <col min="1" max="1" width="24.33203125" customWidth="1"/>
    <col min="2" max="2" width="10.109375" customWidth="1"/>
    <col min="3" max="3" width="9" bestFit="1" customWidth="1"/>
    <col min="7" max="7" width="9" bestFit="1" customWidth="1"/>
    <col min="11" max="11" width="10.88671875" bestFit="1" customWidth="1"/>
    <col min="12" max="12" width="9" bestFit="1" customWidth="1"/>
    <col min="17" max="17" width="9" bestFit="1" customWidth="1"/>
    <col min="19" max="19" width="9" bestFit="1"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182</v>
      </c>
      <c r="B2" s="40" t="e" vm="24">
        <v>#VALUE!</v>
      </c>
      <c r="C2" s="41">
        <v>1</v>
      </c>
      <c r="D2" s="42" t="s">
        <v>183</v>
      </c>
      <c r="E2" s="43" t="s">
        <v>184</v>
      </c>
      <c r="F2" s="44" t="s">
        <v>166</v>
      </c>
      <c r="G2" s="45">
        <f>COUNTIF($A$1:$A$8312,A2)</f>
        <v>1</v>
      </c>
      <c r="H2" s="46"/>
      <c r="I2" s="47" t="s">
        <v>185</v>
      </c>
      <c r="J2" s="48" t="str">
        <f>""</f>
        <v/>
      </c>
      <c r="K2" s="49">
        <v>216422446</v>
      </c>
      <c r="L2" s="50">
        <v>6000000</v>
      </c>
      <c r="M2" s="50" t="s">
        <v>186</v>
      </c>
      <c r="N2" s="51" t="s">
        <v>169</v>
      </c>
      <c r="O2" s="52" t="s">
        <v>187</v>
      </c>
      <c r="P2" s="53" t="s">
        <v>188</v>
      </c>
      <c r="Q2" s="54">
        <v>1</v>
      </c>
      <c r="R2" s="55" t="s">
        <v>169</v>
      </c>
      <c r="S2" s="56">
        <v>0</v>
      </c>
      <c r="T2" s="57" t="s">
        <v>173</v>
      </c>
      <c r="U2" s="58" t="s">
        <v>172</v>
      </c>
      <c r="V2" s="58" t="s">
        <v>172</v>
      </c>
      <c r="W2" s="58" t="s">
        <v>172</v>
      </c>
      <c r="X2" s="58" t="s">
        <v>173</v>
      </c>
      <c r="Y2" s="58" t="s">
        <v>172</v>
      </c>
      <c r="Z2" s="58" t="s">
        <v>172</v>
      </c>
      <c r="AA2" s="58" t="s">
        <v>172</v>
      </c>
      <c r="AB2" s="58" t="s">
        <v>173</v>
      </c>
      <c r="AC2" s="58" t="s">
        <v>172</v>
      </c>
      <c r="AD2" s="58" t="s">
        <v>172</v>
      </c>
      <c r="AE2" s="58" t="s">
        <v>172</v>
      </c>
      <c r="AF2" s="59" t="s">
        <v>172</v>
      </c>
      <c r="AG2" s="59" t="s">
        <v>172</v>
      </c>
      <c r="AH2" s="59" t="s">
        <v>173</v>
      </c>
      <c r="AI2" s="59" t="s">
        <v>172</v>
      </c>
      <c r="AJ2" s="59" t="s">
        <v>172</v>
      </c>
      <c r="AK2" s="59" t="s">
        <v>172</v>
      </c>
      <c r="AL2" s="59" t="s">
        <v>172</v>
      </c>
      <c r="AM2" s="59" t="s">
        <v>172</v>
      </c>
      <c r="AN2" s="59" t="s">
        <v>172</v>
      </c>
      <c r="AO2" s="59" t="s">
        <v>172</v>
      </c>
      <c r="AP2" s="59" t="s">
        <v>172</v>
      </c>
      <c r="AQ2" s="59" t="s">
        <v>172</v>
      </c>
      <c r="AR2" s="59" t="s">
        <v>172</v>
      </c>
      <c r="AS2" s="59" t="s">
        <v>172</v>
      </c>
      <c r="AT2" s="60">
        <v>27</v>
      </c>
      <c r="AU2" s="59"/>
      <c r="AV2" s="59" t="str">
        <f>IF(LEFT(A2,1)="[",LEFT(A2,5)&amp;AU2&amp;A2,"")</f>
        <v/>
      </c>
      <c r="AW2" s="59" t="str">
        <f>C2&amp;H2&amp;A2</f>
        <v>1Brazil</v>
      </c>
      <c r="AX2" s="61"/>
      <c r="AY2" s="61"/>
      <c r="AZ2" s="62" t="s">
        <v>174</v>
      </c>
      <c r="BA2" s="62"/>
      <c r="BB2" s="62"/>
      <c r="BC2" s="63"/>
      <c r="BD2" s="64" t="s">
        <v>152</v>
      </c>
      <c r="BE2" s="47"/>
      <c r="BF2" s="64" t="s">
        <v>174</v>
      </c>
      <c r="BG2" s="64" t="s">
        <v>174</v>
      </c>
      <c r="BH2" s="64" t="s">
        <v>174</v>
      </c>
      <c r="BI2" s="64"/>
      <c r="BJ2" s="64"/>
      <c r="BK2" s="47"/>
      <c r="BL2" s="64" t="s">
        <v>151</v>
      </c>
      <c r="BM2" s="64" t="s">
        <v>152</v>
      </c>
      <c r="BN2" s="64" t="s">
        <v>153</v>
      </c>
      <c r="BO2" s="64" t="s">
        <v>154</v>
      </c>
      <c r="BP2" s="64" t="s">
        <v>155</v>
      </c>
      <c r="BQ2" s="64" t="s">
        <v>174</v>
      </c>
      <c r="BR2" s="64" t="s">
        <v>174</v>
      </c>
      <c r="BS2" s="64" t="s">
        <v>174</v>
      </c>
      <c r="BT2" s="64" t="s">
        <v>159</v>
      </c>
      <c r="BU2" s="65" t="s">
        <v>173</v>
      </c>
      <c r="BV2" s="66"/>
      <c r="BW2" s="66">
        <v>0</v>
      </c>
      <c r="BX2" s="47"/>
      <c r="CB2" s="6"/>
      <c r="CC2" s="6"/>
      <c r="CD2" s="67">
        <v>0</v>
      </c>
      <c r="CE2" s="67">
        <v>0</v>
      </c>
      <c r="CF2" s="67" t="e">
        <v>#REF!</v>
      </c>
      <c r="CG2" s="68" cm="1">
        <f t="array" ref="CG2">SUMPRODUCT(--(LEN(TRIM(BL2:BT2))&gt;0))</f>
        <v>6</v>
      </c>
      <c r="CH2" s="59" t="str">
        <f t="shared" ref="CH2" si="0">IF(CG2=2,"y","n")</f>
        <v>n</v>
      </c>
      <c r="CI2" s="59" t="str">
        <f t="shared" ref="CI2" si="1">IF(CG2=3,"y","n")</f>
        <v>n</v>
      </c>
      <c r="CJ2" s="59" t="str">
        <f t="shared" ref="CJ2" si="2">IF(CG2=4,"y","n")</f>
        <v>n</v>
      </c>
      <c r="CK2" s="59" t="str">
        <f t="shared" ref="CK2" si="3">IF(CG2&gt;4,"y","n")</f>
        <v>y</v>
      </c>
      <c r="CL2" s="59" t="str">
        <f t="shared" ref="CL2" si="4">IF(S2=0,"y","n")</f>
        <v>y</v>
      </c>
      <c r="CM2" s="59" t="str">
        <f t="shared" ref="CM2" si="5">IF(S2=2,"y","n")</f>
        <v>n</v>
      </c>
      <c r="CN2" s="59" t="str">
        <f t="shared" ref="CN2" si="6">IF(S2=3,"y","n")</f>
        <v>n</v>
      </c>
      <c r="CO2" s="59" t="str">
        <f t="shared" ref="CO2" si="7">IF(S2&gt;=4,"y","n")</f>
        <v>n</v>
      </c>
      <c r="CP2" s="59" t="str">
        <f t="shared" ref="CP2" si="8">IF(AT2=0,"y","n")</f>
        <v>n</v>
      </c>
      <c r="CQ2" s="59" t="str">
        <f t="shared" ref="CQ2" si="9">IF(AT2=1,"y","n")</f>
        <v>n</v>
      </c>
      <c r="CR2" s="59" t="str">
        <f t="shared" ref="CR2" si="10">IF(AT2=2,"y","n")</f>
        <v>n</v>
      </c>
      <c r="CS2" s="59" t="str">
        <f t="shared" ref="CS2" si="11">IF(AT2&gt;=3,"y","n")</f>
        <v>y</v>
      </c>
      <c r="CT2" s="69" t="str">
        <f t="shared" ref="CT2" si="12">CHAR(34)&amp;A2&amp;CHAR(34)</f>
        <v>"Brazil"</v>
      </c>
      <c r="CU2" s="70" t="str">
        <f t="shared" ref="CU2" si="13">CHAR(34)&amp;"rgn_"&amp;R2&amp;CHAR(34)</f>
        <v>"rgn_South America"</v>
      </c>
      <c r="CV2" s="48" t="str">
        <f t="shared" ref="CV2" si="14">CHAR(34)&amp;D2&amp;CHAR(34)</f>
        <v>"https://i.ibb.co/M5577xy/Brazil-Flag.png"</v>
      </c>
      <c r="CW2" s="48" t="str">
        <f t="shared" ref="CW2:CZ17" si="15">IF(CH2="y",CHAR(34)&amp;CH$1&amp;CHAR(34)&amp;",","")</f>
        <v/>
      </c>
      <c r="CX2" s="48" t="str">
        <f t="shared" si="15"/>
        <v/>
      </c>
      <c r="CY2" s="48" t="str">
        <f t="shared" si="15"/>
        <v/>
      </c>
      <c r="CZ2" s="48" t="str">
        <f t="shared" si="15"/>
        <v>"5+Colo",</v>
      </c>
      <c r="DA2" s="48" t="str">
        <f t="shared" ref="DA2" si="16">IF(Q2&gt;1,CHAR(34)&amp;"words2"&amp;CHAR(34)&amp;",","")</f>
        <v/>
      </c>
      <c r="DB2" s="48" t="str">
        <f t="shared" ref="DB2" si="17">IF(Q2&gt;2,CHAR(34)&amp;"words3"&amp;CHAR(34)&amp;",","")</f>
        <v/>
      </c>
      <c r="DC2" s="48" t="str">
        <f t="shared" ref="DC2" si="18">IF(Q2=2,CHAR(34)&amp;"exact2"&amp;CHAR(34)&amp;",","")</f>
        <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8" t="str">
        <f t="shared" ref="DF2" si="21">IFERROR(IF(SEARCH("tan",A2)&gt;0,CHAR(34)&amp;"withtn"&amp;CHAR(34)&amp;",",""),"")</f>
        <v/>
      </c>
      <c r="DG2" s="48" t="str">
        <f t="shared" ref="DG2" si="22">IFERROR(IF(SEARCH("q",A2)&gt;0,CHAR(34)&amp;"with_q"&amp;CHAR(34)&amp;",",""),"")</f>
        <v/>
      </c>
      <c r="DH2" s="48" t="str">
        <f t="shared" ref="DH2" si="23">IFERROR(IF(SEARCH("v",A2)&gt;0,CHAR(34)&amp;"with_v"&amp;CHAR(34)&amp;",",""),"")</f>
        <v/>
      </c>
      <c r="DI2" s="48" t="str">
        <f t="shared" ref="DI2" si="24">IFERROR(IF(SEARCH("w",A2)&gt;0,CHAR(34)&amp;"with_w"&amp;CHAR(34)&amp;",",""),"")</f>
        <v/>
      </c>
      <c r="DJ2" s="48" t="str">
        <f t="shared" ref="DJ2" si="25">IFERROR(IF(SEARCH("y",A2)&gt;0,CHAR(34)&amp;"with_y"&amp;CHAR(34)&amp;",",""),"")</f>
        <v/>
      </c>
      <c r="DK2" s="48" t="str">
        <f t="shared" ref="DK2" si="26">IFERROR(IF(SEARCH("z",A2)&gt;0,CHAR(34)&amp;"with_z"&amp;CHAR(34)&amp;",",""),"")</f>
        <v>"with_z",</v>
      </c>
      <c r="DL2" s="48" t="str">
        <f t="shared" ref="DL2" si="27">IF(CG2=2, CHAR(34) &amp; _xlfn.TEXTJOIN("", TRUE, _xlfn._xlws.SORT(HP2:HX2)) &amp; CHAR(34) &amp; ",", "")</f>
        <v/>
      </c>
      <c r="DM2" s="48" t="str" cm="1">
        <f t="array" ref="DM2">IF(CG2=3,CHAR(34) &amp; _xlfn.TEXTJOIN("", TRUE, RIGHT(HP2:HX2, 2)) &amp; CHAR(34) &amp; ",", "")</f>
        <v/>
      </c>
      <c r="DN2" s="48" t="str">
        <f t="shared" ref="DN2" si="28">IF(AND(ISNUMBER(SEARCH("18", O2)), ISERROR(SEARCH("1918", O2)), ISERROR(SEARCH("2018", O2))), CHAR(34) &amp; "year18" &amp; CHAR(34) &amp; ",", "")</f>
        <v>"year18",</v>
      </c>
      <c r="DO2" s="48" t="str">
        <f t="shared" ref="DO2" si="29">IF(AND(ISNUMBER(SEARCH("19", O2)), ISERROR(SEARCH("1819", O2)),  ISERROR(SEARCH("1219", O2)),ISERROR(SEARCH("1119", O2)),ISERROR(SEARCH("1190", O2)),ISERROR(SEARCH("2019", O2))), CHAR(34) &amp; "year19" &amp; CHAR(34) &amp; ",", "")</f>
        <v>"year19",</v>
      </c>
      <c r="DP2" s="6" t="str">
        <f t="shared" ref="DP2" si="30">IF(AND(ISNUMBER(SEARCH("20", O2)), ISERROR(SEARCH("1920", O2))), CHAR(34)&amp;"year00"&amp;CHAR(34)&amp;",", "")</f>
        <v/>
      </c>
      <c r="DQ2" s="6" t="str">
        <f t="shared" ref="DQ2" si="31">IF(CC2="y",CHAR(34)&amp;"soviet"&amp;CHAR(34)&amp;",","")</f>
        <v/>
      </c>
      <c r="DR2" s="6" t="str">
        <f t="shared" ref="DR2" si="32">IF(BY2="y",CHAR(34)&amp;"dgband"&amp;CHAR(34)&amp;",","")</f>
        <v/>
      </c>
      <c r="DS2" s="6" t="str">
        <f t="shared" ref="DS2" si="33">IF(W2="y",IF(AND(V2="n",BY2&lt;&gt;"y"),CHAR(34)&amp;"allver"&amp;CHAR(34)&amp;",",""),"")</f>
        <v/>
      </c>
      <c r="DT2" s="6" t="str">
        <f t="shared" ref="DT2" si="34">IF(V2="y",IF(AND(W2="n",BY2&lt;&gt;"y"),CHAR(34)&amp;"allhor"&amp;CHAR(34)&amp;",",""),"")</f>
        <v/>
      </c>
      <c r="DU2" s="6" t="str">
        <f t="shared" ref="DU2" si="35">IF(BY2="y",IF(AND(W2="n",V2="n"),CHAR(34)&amp;"alldia"&amp;CHAR(34)&amp;",",""),"")</f>
        <v/>
      </c>
      <c r="DV2" s="48" t="str">
        <f t="shared" ref="DV2" si="36">IF(IA2&lt;&gt;"",(IF(IA2="y",CHAR(34)&amp;"largec"&amp;CHAR(34)&amp;",",CHAR(34)&amp;"smallc"&amp;CHAR(34)&amp;",")),"")</f>
        <v>"smallc",</v>
      </c>
      <c r="DW2" s="48" t="str">
        <f t="shared" ref="DW2:DZ17" si="37">IF(CL2="y",CHAR(34)&amp;CL$1&amp;CHAR(34)&amp;",","")</f>
        <v>"NoBand",</v>
      </c>
      <c r="DX2" s="48" t="str">
        <f t="shared" si="37"/>
        <v/>
      </c>
      <c r="DY2" s="48" t="str">
        <f t="shared" si="37"/>
        <v/>
      </c>
      <c r="DZ2" s="48" t="str">
        <f t="shared" si="37"/>
        <v/>
      </c>
      <c r="EA2" s="48" t="str">
        <f t="shared" ref="EA2:EE17" si="38">IF(T2="y",CHAR(34)&amp;T$1&amp;CHAR(34)&amp;",","")</f>
        <v>"Diagon",</v>
      </c>
      <c r="EB2" s="48" t="str">
        <f t="shared" si="38"/>
        <v/>
      </c>
      <c r="EC2" s="48" t="str">
        <f t="shared" si="38"/>
        <v/>
      </c>
      <c r="ED2" s="48" t="str">
        <f t="shared" si="38"/>
        <v/>
      </c>
      <c r="EE2" s="48" t="str">
        <f t="shared" si="38"/>
        <v>"Circle",</v>
      </c>
      <c r="EF2" s="48" t="str">
        <f t="shared" ref="EF2" si="39">IF(AND(Y2&lt;&gt;"n",Y2&lt;&gt;""),CHAR(34)&amp;Y$1&amp;CHAR(34)&amp;",","")</f>
        <v/>
      </c>
      <c r="EG2" s="48" t="str">
        <f t="shared" ref="EG2:EZ14" si="40">IF(Z2="y",CHAR(34)&amp;Z$1&amp;CHAR(34)&amp;",","")</f>
        <v/>
      </c>
      <c r="EH2" s="48" t="str">
        <f t="shared" si="40"/>
        <v/>
      </c>
      <c r="EI2" s="48" t="str">
        <f t="shared" si="40"/>
        <v>"Texted",</v>
      </c>
      <c r="EJ2" s="48" t="str">
        <f t="shared" si="40"/>
        <v/>
      </c>
      <c r="EK2" s="48" t="str">
        <f t="shared" si="40"/>
        <v/>
      </c>
      <c r="EL2" s="48" t="str">
        <f t="shared" si="40"/>
        <v/>
      </c>
      <c r="EM2" s="48" t="str">
        <f t="shared" si="40"/>
        <v/>
      </c>
      <c r="EN2" s="48" t="str">
        <f t="shared" si="40"/>
        <v/>
      </c>
      <c r="EO2" s="48" t="str">
        <f t="shared" si="40"/>
        <v>"Center",</v>
      </c>
      <c r="EP2" s="48" t="str">
        <f t="shared" si="40"/>
        <v/>
      </c>
      <c r="EQ2" s="48" t="str">
        <f t="shared" si="40"/>
        <v/>
      </c>
      <c r="ER2" s="48" t="str">
        <f t="shared" si="40"/>
        <v/>
      </c>
      <c r="ES2" s="48" t="str">
        <f t="shared" si="40"/>
        <v/>
      </c>
      <c r="ET2" s="48" t="str">
        <f t="shared" si="40"/>
        <v/>
      </c>
      <c r="EU2" s="48" t="str">
        <f t="shared" si="40"/>
        <v/>
      </c>
      <c r="EV2" s="48" t="str">
        <f t="shared" si="40"/>
        <v/>
      </c>
      <c r="EW2" s="48" t="str">
        <f t="shared" si="40"/>
        <v/>
      </c>
      <c r="EX2" s="48" t="str">
        <f t="shared" si="40"/>
        <v/>
      </c>
      <c r="EY2" s="48" t="str">
        <f t="shared" si="40"/>
        <v/>
      </c>
      <c r="EZ2" s="48" t="str">
        <f t="shared" si="40"/>
        <v/>
      </c>
      <c r="FA2" s="48" t="str">
        <f t="shared" ref="FA2" si="41">IF(AT2&gt;0,CHAR(34)&amp;"sta"&amp;AZ2&amp;CHAR(34)&amp;",","")</f>
        <v>"sta",</v>
      </c>
      <c r="FB2" s="48" t="str">
        <f t="shared" ref="FB2" si="42">IF(AND(AT2&gt;0,BA2&lt;&gt;""),CHAR(34)&amp;"sta"&amp;BA2&amp;CHAR(34)&amp;",","")</f>
        <v/>
      </c>
      <c r="FC2" s="48" t="str">
        <f t="shared" ref="FC2" si="43">IF(AND(AT2&gt;0,BB2&lt;&gt;""),CHAR(34)&amp;"sta"&amp;BB2&amp;CHAR(34)&amp;",","")</f>
        <v/>
      </c>
      <c r="FD2" s="48" t="str">
        <f t="shared" ref="FD2" si="44">IF(BV2="n",CHAR(34)&amp;"tcWHYE"&amp;CHAR(34)&amp;",",IF(BV2="y",CHAR(34)&amp;FD$1&amp;CHAR(34)&amp;",",""))</f>
        <v/>
      </c>
      <c r="FE2" s="48" t="str">
        <f t="shared" ref="FE2" si="45">IF(COUNTIF(BL2:BT2,"BLU")=0,CHAR(34)&amp;"NO_BLU"&amp;CHAR(34)&amp;",", "")</f>
        <v/>
      </c>
      <c r="FF2" s="48" t="str">
        <f t="shared" ref="FF2" si="46">IF(COUNTIF(BL2:BT2,"WHI")=0,CHAR(34)&amp;"NO_WHI"&amp;CHAR(34)&amp;",", "")</f>
        <v/>
      </c>
      <c r="FG2" s="48" t="str">
        <f t="shared" ref="FG2" si="47">IF(COUNTIF(BL2:BT2,"RED")=0,CHAR(34)&amp;"NO_RED"&amp;CHAR(34)&amp;",", "")</f>
        <v/>
      </c>
      <c r="FH2" s="48" t="str">
        <f t="shared" ref="FH2" si="48">IF(COUNTIF(BL2:BS2,"GRE")=0,CHAR(34)&amp;"NO_GRE"&amp;CHAR(34)&amp;",", "")</f>
        <v/>
      </c>
      <c r="FI2" s="48" t="str">
        <f t="shared" ref="FI2" si="49">IF(COUNTIF(BL2:BT2,"YEL")=0,CHAR(34)&amp;"NO_YEL"&amp;CHAR(34)&amp;",", "")</f>
        <v/>
      </c>
      <c r="FJ2" s="48" t="str">
        <f t="shared" ref="FJ2" si="50">IF(COUNTIF(BL2:BT2,"BLA")=0,CHAR(34)&amp;"NO_BLA"&amp;CHAR(34)&amp;",", "")</f>
        <v/>
      </c>
      <c r="FK2" s="48" t="str">
        <f t="shared" ref="FK2" si="51">IF(AND(FH2&lt;&gt;"",FF2&lt;&gt;""),CHAR(34)&amp;"WHGRNO"&amp;CHAR(34)&amp;",","")</f>
        <v/>
      </c>
      <c r="FL2" s="48" t="str">
        <f t="shared" ref="FL2" si="52">IF(AND(FI2&lt;&gt;"",FF2&lt;&gt;""),CHAR(34)&amp;"WHYENO"&amp;CHAR(34)&amp;",","")</f>
        <v/>
      </c>
      <c r="FM2" s="48" t="str">
        <f t="shared" ref="FM2" si="53">IF(AND(FJ2&lt;&gt;"",FF2&lt;&gt;""),CHAR(34)&amp;"BAWHNO"&amp;CHAR(34)&amp;",","")</f>
        <v/>
      </c>
      <c r="FN2" s="48" t="str">
        <f t="shared" ref="FN2" si="54">IF(AND(FE2&lt;&gt;"",FF2&lt;&gt;""),CHAR(34)&amp;"BLWHNO"&amp;CHAR(34)&amp;",","")</f>
        <v/>
      </c>
      <c r="FO2" s="48" t="str">
        <f t="shared" ref="FO2" si="55">IF(AND(FE2&lt;&gt;"",FG2&lt;&gt;""),CHAR(34)&amp;"BLRENO"&amp;CHAR(34)&amp;",","")</f>
        <v/>
      </c>
      <c r="FP2" s="48" t="str">
        <f t="shared" ref="FP2" si="56">IF(AND(FF2&lt;&gt;"",FF2&lt;&gt;""),CHAR(34)&amp;"WHRENO"&amp;CHAR(34)&amp;",","")</f>
        <v/>
      </c>
      <c r="FQ2" s="48" t="str">
        <f t="shared" ref="FQ2" si="57">IF(LEN(BF2)=3,CHAR(34)&amp;"001"&amp;BF2&amp;CHAR(34)&amp;",","")</f>
        <v/>
      </c>
      <c r="FR2" s="48" t="str">
        <f t="shared" ref="FR2" si="58">IF(LEN(BG2)=3,CHAR(34)&amp;"002"&amp;BG2&amp;CHAR(34)&amp;",","")</f>
        <v/>
      </c>
      <c r="FS2" s="48" t="str">
        <f t="shared" ref="FS2" si="59">IF(LEN(BH2)=3,CHAR(34)&amp;"003"&amp;BH2&amp;CHAR(34)&amp;",","")</f>
        <v/>
      </c>
      <c r="FT2" s="48" t="str">
        <f t="shared" ref="FT2" si="60">CHAR(34)&amp;"myr"&amp;BD2&amp;CHAR(34)&amp;","</f>
        <v>"myrBLU",</v>
      </c>
      <c r="FU2" s="48" t="str">
        <f t="shared" ref="FU2" si="61">IF(AY2="y",CHAR(34)&amp;"island"&amp;CHAR(34)&amp;",","")</f>
        <v/>
      </c>
      <c r="FV2" s="48" t="str">
        <f t="shared" ref="FV2" si="62">IF(BZ2="y",CHAR(34)&amp;"landlo"&amp;CHAR(34)&amp;",","")</f>
        <v/>
      </c>
      <c r="FW2" s="48" t="str">
        <f t="shared" ref="FW2" si="63">IF(CA2="y",CHAR(34)&amp;"eunion"&amp;CHAR(34)&amp;",","")</f>
        <v/>
      </c>
      <c r="FX2" s="48" t="str">
        <f t="shared" ref="FX2" si="64">SUBSTITUTE(IFERROR(SEARCH("[",A2),IFERROR(IF(AND(CA2&lt;&gt;"y",SEARCH("Europe",R2)&gt;0),CHAR(34)&amp;"noeuni"&amp;CHAR(34)&amp;",",""),"")),"1","")</f>
        <v/>
      </c>
      <c r="FY2" s="48" t="str">
        <f t="shared" ref="FY2" si="65">IFERROR(IF(SEARCH("Arabic",CB2)&gt;0,CHAR(34)&amp;"arabic"&amp;CHAR(34)&amp;",",""),"")</f>
        <v/>
      </c>
      <c r="FZ2" s="48" t="str">
        <f t="shared" ref="FZ2" si="66">IFERROR(IF(SEARCH("English",CB2)&gt;0,CHAR(34)&amp;"englis"&amp;CHAR(34)&amp;",",""),"")</f>
        <v/>
      </c>
      <c r="GA2" s="48" t="str">
        <f t="shared" ref="GA2" si="67">IFERROR(IF(SEARCH("French",CB2)&gt;0,CHAR(34)&amp;"french"&amp;CHAR(34)&amp;",",""),"")</f>
        <v/>
      </c>
      <c r="GB2" s="48" t="str">
        <f t="shared" ref="GB2"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 si="71">IFERROR(IF(SEARCH("Dutch",CB2)&gt;0,CHAR(34)&amp;"dutchs"&amp;CHAR(34)&amp;",",""),"")</f>
        <v/>
      </c>
      <c r="GF2" s="48" t="str">
        <f t="shared" ref="GF2" si="72">IFERROR(IF(SEARCH("Historical",AU2)&gt;0,CHAR(34)&amp;"histor"&amp;CHAR(34)&amp;",",""),"")</f>
        <v/>
      </c>
      <c r="GG2" s="48" t="str">
        <f t="shared" ref="GG2" si="73">IF(BU2="y",CHAR(34)&amp;"unjack"&amp;CHAR(34)&amp;",","")</f>
        <v>"unjack",</v>
      </c>
      <c r="GH2" s="48" t="str">
        <f t="shared" ref="GH2" si="74">IF(CD2=1,CHAR(34)&amp;"southc"&amp;CHAR(34)&amp;",","")</f>
        <v/>
      </c>
      <c r="GI2" s="48" t="str">
        <f t="shared" ref="GI2" si="75">IF(CE2=1,CHAR(34)&amp;"hasmap"&amp;CHAR(34)&amp;",","")</f>
        <v/>
      </c>
      <c r="GJ2" s="48" t="str">
        <f t="shared" ref="GJ2" si="76">IF(CP2="y",CHAR(34)&amp;CP$1&amp;CHAR(34)&amp;",","")</f>
        <v/>
      </c>
      <c r="GK2" s="48" t="str">
        <f t="shared" ref="GK2" si="77">IF(GJ2="",CHAR(34)&amp;"HasSta"&amp;CHAR(34)&amp;",","")</f>
        <v>"HasSta",</v>
      </c>
      <c r="GL2" s="48" t="str">
        <f t="shared" ref="GL2:GN17" si="78">IF(CQ2="y",CHAR(34)&amp;CQ$1&amp;CHAR(34)&amp;",","")</f>
        <v/>
      </c>
      <c r="GM2" s="48" t="str">
        <f t="shared" si="78"/>
        <v/>
      </c>
      <c r="GN2" s="48" t="str">
        <f t="shared" si="78"/>
        <v>"3+Star",</v>
      </c>
      <c r="GP2" s="48" t="str">
        <f t="shared" ref="GP2" si="79">CHAR(34)&amp;AU2&amp;CHAR(34)</f>
        <v>""</v>
      </c>
      <c r="GS2" s="48" t="str">
        <f t="shared" ref="GS2" si="80">SUBSTITUTE("["&amp;_xlfn.CONCAT(CW2:GN2)&amp;"]",",]","]")</f>
        <v>["5+Colo","lets06","startB","with_z","year18","year19","smallc","NoBand","Diagon","Circle","Texted","Center","sta","myrBLU","unjack","HasSta","3+Star"]</v>
      </c>
      <c r="GT2" s="48" t="str">
        <f t="shared" ref="GT2:HB17" si="81">IF(BL2&lt;&gt;"",CHAR(34)&amp;"cl_"&amp;BL2&amp;CHAR(34)&amp;",","")</f>
        <v>"cl_BLA",</v>
      </c>
      <c r="GU2" s="48" t="str">
        <f t="shared" si="81"/>
        <v>"cl_BLU",</v>
      </c>
      <c r="GV2" s="48" t="str">
        <f t="shared" si="81"/>
        <v>"cl_GRE",</v>
      </c>
      <c r="GW2" s="48" t="str">
        <f t="shared" si="81"/>
        <v>"cl_RED",</v>
      </c>
      <c r="GX2" s="48" t="str">
        <f t="shared" si="81"/>
        <v>"cl_YEL",</v>
      </c>
      <c r="GY2" s="48" t="str">
        <f t="shared" si="81"/>
        <v/>
      </c>
      <c r="GZ2" s="48" t="str">
        <f t="shared" si="81"/>
        <v/>
      </c>
      <c r="HA2" s="48" t="str">
        <f t="shared" si="81"/>
        <v/>
      </c>
      <c r="HB2" s="48" t="str">
        <f t="shared" si="81"/>
        <v>"cl_WHI",</v>
      </c>
      <c r="HC2" s="48" t="str">
        <f t="shared" ref="HC2" si="82">SUBSTITUTE("["&amp;_xlfn.CONCAT(GT2:HB2)&amp;"]",",]","]")</f>
        <v>["cl_BLA","cl_BLU","cl_GRE","cl_RED","cl_YEL","cl_WHI"]</v>
      </c>
      <c r="HE2" s="71"/>
      <c r="HF2" s="72" t="str">
        <f t="shared" ref="HF2" si="83">"{couname:"&amp;CT2&amp;(IF(HK2&lt;&gt;"",",subtype:"&amp;CHAR(34)&amp;HK2&amp;CHAR(34),""))&amp;",year:"&amp;HJ2&amp;",region:"&amp;CU2&amp;",Colors:"&amp;HC2&amp;",Items:"&amp;GS2&amp;",Flag:"&amp;CV2&amp;",HDFlag:"&amp;CHAR(34)&amp;E2&amp;CHAR(34)&amp;",type:"&amp;GP2&amp;", describe: "&amp;HH2&amp;", isnew:"&amp;CHAR(34)&amp;F2&amp;CHAR(34)&amp;", links: "&amp;HL2&amp;"},"</f>
        <v>{couname:"Brazil",year:"1889, 1992 ",region:"rgn_South America",Colors:["cl_BLA","cl_BLU","cl_GRE","cl_RED","cl_YEL","cl_WHI"],Items:["5+Colo","lets06","startB","with_z","year18","year19","smallc","NoBand","Diagon","Circle","Texted","Center","sta","myrBLU","unjack","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links: "https://en.wikipedia.org/wiki/Flag_of_Brazil"},</v>
      </c>
      <c r="HG2" s="73" t="str">
        <f t="shared" ref="HG2" si="84">"{couname:"&amp;CT2&amp;(IF(HK2&lt;&gt;"",",subtype:"&amp;CHAR(34)&amp;HK2&amp;CHAR(34),""))&amp;",year:"&amp;HJ2&amp;",region:"&amp;CU2&amp;",Colors:"&amp;HC2&amp;",Items:"&amp;GS2&amp;",Flag:"&amp;CV2&amp;",HDFlag:"&amp;CHAR(34)&amp;E2&amp;CHAR(34)&amp;",type:"&amp;GP2&amp;", describe: "&amp;HI2&amp;", links: "&amp;HL2&amp;"},"</f>
        <v>{couname:"Brazil",year:"1889, 1992 ",region:"rgn_South America",Colors:["cl_BLA","cl_BLU","cl_GRE","cl_RED","cl_YEL","cl_WHI"],Items:["5+Colo","lets06","startB","with_z","year18","year19","smallc","NoBand","Diagon","Circle","Texted","Center","sta","myrBLU","unjack","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links: "https://en.wikipedia.org/wiki/Flag_of_Brazil"},</v>
      </c>
      <c r="HH2" s="48" t="str">
        <f t="shared" ref="HH2" si="85">IF(P2&lt;&gt;"",CHAR(34)&amp;"\n"&amp;P2&amp;CHAR(34),CHAR(34)&amp;CHAR(34))</f>
        <v>"\nThe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v>
      </c>
      <c r="HI2" s="48" t="str">
        <f t="shared" ref="HI2" si="86">IF(J2=0,CHAR(34)&amp;CHAR(34),HH2)</f>
        <v>"\nThe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v>
      </c>
      <c r="HJ2" s="48" t="str">
        <f t="shared" ref="HJ2" si="87">CHAR(34)&amp;O2&amp;CHAR(34)</f>
        <v>"1889, 1992 "</v>
      </c>
      <c r="HL2" s="48" t="str">
        <f t="shared" ref="HL2" si="88">CHAR(34)&amp;I2&amp;CHAR(34)</f>
        <v>"https://en.wikipedia.org/wiki/Flag_of_Brazil"</v>
      </c>
      <c r="HM2" s="72" t="str">
        <f t="shared" ref="HM2"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{"couname":"Brazil","year":"1889, 1992 ","region":"rgn_South America","Colors":["cl_BLA","cl_BLU","cl_GRE","cl_RED","cl_YEL","cl_WHI"],"Items":["5+Colo","lets06","startB","with_z","year18","year19","smallc","NoBand","Diagon","Circle","Texted","Center","sta","myrBLU","unjack","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 "links": "https://en.wikipedia.org/wiki/Flag_of_Brazil"},</v>
      </c>
      <c r="HN2" s="74" t="str">
        <f t="shared" ref="HN2" si="9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{"couname":"Brazil","year":"1889, 1992 ","region":"rgn_South America","Colors":["cl_BLA","cl_BLU","cl_GRE","cl_RED","cl_YEL","cl_WHI"],"Items":["5+Colo","lets06","startB","with_z","year18","year19","smallc","NoBand","Diagon","Circle","Texted","Center","sta","myrBLU","unjack","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 "links": "https://en.wikipedia.org/wiki/Flag_of_Brazil"},</v>
      </c>
      <c r="HO2" s="75">
        <v>45576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172</v>
      </c>
      <c r="IB2" s="6"/>
      <c r="IC2" s="77"/>
      <c r="ID2" s="77"/>
      <c r="IE2" s="77"/>
      <c r="IF2" s="77"/>
      <c r="IG2" s="77"/>
      <c r="IH2" s="77"/>
      <c r="II2" s="77"/>
      <c r="IJ2" s="77"/>
      <c r="IK2" s="77"/>
      <c r="IL2" s="48">
        <f t="shared" ref="IL2" si="91">SUM(IC2:IK2)</f>
        <v>0</v>
      </c>
      <c r="IM2" s="45">
        <f t="shared" ref="IM2" si="92">COUNTIF(IC2:IK2,"&gt;0")-CG2</f>
        <v>-6</v>
      </c>
      <c r="IN2" s="78" t="str">
        <f t="shared" ref="IN2" si="93">"http://mkweb.bcgsc.ca/color-summarizer/?url="&amp;D2&amp;"&amp;precision=low&amp;num_clusters="&amp;CG2&amp;"&amp;text=1"</f>
        <v>http://mkweb.bcgsc.ca/color-summarizer/?url=https://i.ibb.co/M5577xy/Brazil-Flag.png&amp;precision=low&amp;num_clusters=6&amp;text=1</v>
      </c>
      <c r="IO2" s="48" t="str">
        <f t="shared" ref="IO2" si="94">IF(HP2&lt;&gt;"",CHAR(34)&amp;"black"&amp;CHAR(34),"")</f>
        <v>"black"</v>
      </c>
      <c r="IP2" s="48" t="str">
        <f t="shared" ref="IP2" si="95">IF(HQ2&lt;&gt;"",CHAR(34)&amp;"blue"&amp;CHAR(34),"")</f>
        <v>"blue"</v>
      </c>
      <c r="IQ2" s="48" t="str">
        <f t="shared" ref="IQ2" si="96">IF(HR2&lt;&gt;"",CHAR(34)&amp;"green"&amp;CHAR(34),"")</f>
        <v>"green"</v>
      </c>
      <c r="IR2" s="48" t="str">
        <f t="shared" ref="IR2" si="97">IF(HS2&lt;&gt;"",CHAR(34)&amp;"red"&amp;CHAR(34),"")</f>
        <v>"red"</v>
      </c>
      <c r="IS2" s="48" t="str">
        <f t="shared" ref="IS2" si="98">IF(HT2&lt;&gt;"",CHAR(34)&amp;"yellow"&amp;CHAR(34),"")</f>
        <v>"yellow"</v>
      </c>
      <c r="IT2" s="48" t="str">
        <f t="shared" ref="IT2" si="99">IF(HU2&lt;&gt;"",CHAR(34)&amp;"orange"&amp;CHAR(34),"")</f>
        <v/>
      </c>
      <c r="IU2" s="48" t="str">
        <f t="shared" ref="IU2" si="100">IF(HV2&lt;&gt;"",CHAR(34)&amp;"brown"&amp;CHAR(34),"")</f>
        <v/>
      </c>
      <c r="IV2" s="48" t="str">
        <f t="shared" ref="IV2" si="101">IF(HW2&lt;&gt;"",CHAR(34)&amp;"purple"&amp;CHAR(34),"")</f>
        <v/>
      </c>
      <c r="IW2" s="48" t="str">
        <f t="shared" ref="IW2" si="102">IF(HX2&lt;&gt;"",CHAR(34)&amp;"white"&amp;CHAR(34),"")</f>
        <v>"white"</v>
      </c>
      <c r="IX2" s="48" t="str">
        <f t="shared" ref="IX2" si="103">"{"&amp;CHAR(34)&amp;"url"&amp;CHAR(34)&amp;":"&amp;CHAR(34)&amp;IN2&amp;CHAR(34)&amp;","&amp;CHAR(34)&amp;"name"&amp;CHAR(34)&amp;":"&amp;CHAR(34)&amp;A2&amp;CHAR(34)&amp;"},"</f>
        <v>{"url":"http://mkweb.bcgsc.ca/color-summarizer/?url=https://i.ibb.co/M5577xy/Brazil-Flag.png&amp;precision=low&amp;num_clusters=6&amp;text=1","name":"Brazil"},</v>
      </c>
      <c r="IY2" s="48">
        <v>297</v>
      </c>
    </row>
    <row r="3" spans="1:259" s="48" customFormat="1" ht="38.4" customHeight="1" thickBot="1" x14ac:dyDescent="0.35">
      <c r="A3" s="79" t="s">
        <v>385</v>
      </c>
      <c r="B3" s="40" t="e" vm="25">
        <v>#VALUE!</v>
      </c>
      <c r="C3" s="41">
        <v>2</v>
      </c>
      <c r="D3" s="42" t="s">
        <v>386</v>
      </c>
      <c r="E3" s="43" t="s">
        <v>387</v>
      </c>
      <c r="F3" s="44" t="s">
        <v>166</v>
      </c>
      <c r="G3" s="45">
        <f>COUNTIF($A$1:$A$8312,A3)</f>
        <v>1</v>
      </c>
      <c r="H3" s="46"/>
      <c r="I3" s="47" t="s">
        <v>388</v>
      </c>
      <c r="J3" s="48" t="str">
        <f>""</f>
        <v/>
      </c>
      <c r="K3" s="49"/>
      <c r="L3" s="50"/>
      <c r="M3" s="50"/>
      <c r="N3" s="51" t="s">
        <v>169</v>
      </c>
      <c r="O3" s="52" t="s">
        <v>389</v>
      </c>
      <c r="P3" s="53" t="s">
        <v>390</v>
      </c>
      <c r="Q3" s="54">
        <v>1</v>
      </c>
      <c r="R3" s="55" t="s">
        <v>169</v>
      </c>
      <c r="S3" s="56">
        <v>2</v>
      </c>
      <c r="T3" s="57" t="s">
        <v>173</v>
      </c>
      <c r="U3" s="58" t="s">
        <v>172</v>
      </c>
      <c r="V3" s="58" t="s">
        <v>172</v>
      </c>
      <c r="W3" s="58" t="s">
        <v>172</v>
      </c>
      <c r="X3" s="58" t="s">
        <v>172</v>
      </c>
      <c r="Y3" s="58" t="s">
        <v>172</v>
      </c>
      <c r="Z3" s="58" t="s">
        <v>172</v>
      </c>
      <c r="AA3" s="58" t="s">
        <v>172</v>
      </c>
      <c r="AB3" s="58" t="s">
        <v>172</v>
      </c>
      <c r="AC3" s="58" t="s">
        <v>172</v>
      </c>
      <c r="AD3" s="58" t="s">
        <v>172</v>
      </c>
      <c r="AE3" s="58" t="s">
        <v>172</v>
      </c>
      <c r="AF3" s="59" t="s">
        <v>172</v>
      </c>
      <c r="AG3" s="59" t="s">
        <v>172</v>
      </c>
      <c r="AH3" s="59" t="s">
        <v>172</v>
      </c>
      <c r="AI3" s="59" t="s">
        <v>172</v>
      </c>
      <c r="AJ3" s="59" t="s">
        <v>172</v>
      </c>
      <c r="AK3" s="59" t="s">
        <v>172</v>
      </c>
      <c r="AL3" s="59" t="s">
        <v>172</v>
      </c>
      <c r="AM3" s="59" t="s">
        <v>172</v>
      </c>
      <c r="AN3" s="59" t="s">
        <v>172</v>
      </c>
      <c r="AO3" s="59" t="s">
        <v>172</v>
      </c>
      <c r="AP3" s="59" t="s">
        <v>172</v>
      </c>
      <c r="AQ3" s="59" t="s">
        <v>172</v>
      </c>
      <c r="AR3" s="59" t="s">
        <v>172</v>
      </c>
      <c r="AS3" s="59" t="s">
        <v>172</v>
      </c>
      <c r="AT3" s="60">
        <v>1</v>
      </c>
      <c r="AU3" s="59" t="s">
        <v>383</v>
      </c>
      <c r="AV3" s="59" t="str">
        <f>IF(LEFT(A3,1)="[",LEFT(A3,5)&amp;AU3&amp;A3,"")</f>
        <v>[BRA]State[BRA] Acre</v>
      </c>
      <c r="AW3" s="59" t="str">
        <f>C3&amp;H3&amp;A3</f>
        <v>2[BRA] Acre</v>
      </c>
      <c r="AX3" s="61"/>
      <c r="AY3" s="61"/>
      <c r="AZ3" s="62" t="s">
        <v>159</v>
      </c>
      <c r="BA3" s="62"/>
      <c r="BB3" s="62"/>
      <c r="BC3" s="63"/>
      <c r="BD3" s="64" t="s">
        <v>152</v>
      </c>
      <c r="BE3" s="47"/>
      <c r="BF3" s="64"/>
      <c r="BG3" s="64"/>
      <c r="BH3" s="64"/>
      <c r="BI3" s="64"/>
      <c r="BJ3" s="64"/>
      <c r="BK3" s="47"/>
      <c r="BL3" s="64" t="s">
        <v>152</v>
      </c>
      <c r="BM3" s="64" t="s">
        <v>159</v>
      </c>
      <c r="BN3" s="64" t="s">
        <v>151</v>
      </c>
      <c r="BO3" s="64"/>
      <c r="BP3" s="64"/>
      <c r="BQ3" s="64"/>
      <c r="BR3" s="64"/>
      <c r="BS3" s="64"/>
      <c r="BT3" s="64"/>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y</v>
      </c>
      <c r="CN3" s="59" t="str">
        <f>IF(S3=3,"y","n")</f>
        <v>n</v>
      </c>
      <c r="CO3" s="59" t="str">
        <f>IF(S3&gt;=4,"y","n")</f>
        <v>n</v>
      </c>
      <c r="CP3" s="59" t="str">
        <f>IF(AT3=0,"y","n")</f>
        <v>n</v>
      </c>
      <c r="CQ3" s="59" t="str">
        <f>IF(AT3=1,"y","n")</f>
        <v>y</v>
      </c>
      <c r="CR3" s="59" t="str">
        <f>IF(AT3=2,"y","n")</f>
        <v>n</v>
      </c>
      <c r="CS3" s="59" t="str">
        <f>IF(AT3&gt;=3,"y","n")</f>
        <v>n</v>
      </c>
      <c r="CT3" s="69" t="str">
        <f>CHAR(34)&amp;A3&amp;CHAR(34)</f>
        <v>"[BRA] Acre"</v>
      </c>
      <c r="CU3" s="70" t="str">
        <f>CHAR(34)&amp;"rgn_"&amp;R3&amp;CHAR(34)</f>
        <v>"rgn_South America"</v>
      </c>
      <c r="CV3" s="48" t="str">
        <f>CHAR(34)&amp;D3&amp;CHAR(34)</f>
        <v>"https://upload.wikimedia.org/wikipedia/commons/thumb/4/4c/Bandeira_do_Acre.svg/640px-Bandeira_do_Acre.svg.png"</v>
      </c>
      <c r="CW3" s="48" t="str">
        <f t="shared" si="15"/>
        <v/>
      </c>
      <c r="CX3" s="48" t="str">
        <f t="shared" si="15"/>
        <v>"3Color",</v>
      </c>
      <c r="CY3" s="48" t="str">
        <f t="shared" si="15"/>
        <v/>
      </c>
      <c r="CZ3" s="48" t="str">
        <f t="shared" si="15"/>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"lets04",</v>
      </c>
      <c r="DE3" s="48" t="str">
        <f>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"LALUHI",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 t="shared" si="37"/>
        <v/>
      </c>
      <c r="DX3" s="48" t="str">
        <f t="shared" si="37"/>
        <v>"2Bands",</v>
      </c>
      <c r="DY3" s="48" t="str">
        <f t="shared" si="37"/>
        <v/>
      </c>
      <c r="DZ3" s="48" t="str">
        <f t="shared" si="37"/>
        <v/>
      </c>
      <c r="EA3" s="48" t="str">
        <f t="shared" si="38"/>
        <v>"Diagon",</v>
      </c>
      <c r="EB3" s="48" t="str">
        <f t="shared" si="38"/>
        <v/>
      </c>
      <c r="EC3" s="48" t="str">
        <f t="shared" si="38"/>
        <v/>
      </c>
      <c r="ED3" s="48" t="str">
        <f t="shared" si="38"/>
        <v/>
      </c>
      <c r="EE3" s="48" t="str">
        <f t="shared" si="38"/>
        <v/>
      </c>
      <c r="EF3" s="48" t="str">
        <f>IF(AND(Y3&lt;&gt;"n",Y3&lt;&gt;""),CHAR(34)&amp;Y$1&amp;CHAR(34)&amp;",","")</f>
        <v/>
      </c>
      <c r="EG3" s="48" t="str">
        <f t="shared" si="40"/>
        <v/>
      </c>
      <c r="EH3" s="48" t="str">
        <f t="shared" si="40"/>
        <v/>
      </c>
      <c r="EI3" s="48" t="str">
        <f t="shared" si="40"/>
        <v/>
      </c>
      <c r="EJ3" s="48" t="str">
        <f t="shared" si="40"/>
        <v/>
      </c>
      <c r="EK3" s="48" t="str">
        <f t="shared" si="40"/>
        <v/>
      </c>
      <c r="EL3" s="48" t="str">
        <f t="shared" si="40"/>
        <v/>
      </c>
      <c r="EM3" s="48" t="str">
        <f t="shared" si="40"/>
        <v/>
      </c>
      <c r="EN3" s="48" t="str">
        <f t="shared" si="40"/>
        <v/>
      </c>
      <c r="EO3" s="48" t="str">
        <f t="shared" si="40"/>
        <v/>
      </c>
      <c r="EP3" s="48" t="str">
        <f t="shared" si="40"/>
        <v/>
      </c>
      <c r="EQ3" s="48" t="str">
        <f t="shared" si="40"/>
        <v/>
      </c>
      <c r="ER3" s="48" t="str">
        <f t="shared" si="40"/>
        <v/>
      </c>
      <c r="ES3" s="48" t="str">
        <f t="shared" si="40"/>
        <v/>
      </c>
      <c r="ET3" s="48" t="str">
        <f t="shared" si="40"/>
        <v/>
      </c>
      <c r="EU3" s="48" t="str">
        <f t="shared" si="40"/>
        <v/>
      </c>
      <c r="EV3" s="48" t="str">
        <f t="shared" si="40"/>
        <v/>
      </c>
      <c r="EW3" s="48" t="str">
        <f t="shared" si="40"/>
        <v/>
      </c>
      <c r="EX3" s="48" t="str">
        <f t="shared" si="40"/>
        <v/>
      </c>
      <c r="EY3" s="48" t="str">
        <f t="shared" si="40"/>
        <v/>
      </c>
      <c r="EZ3" s="48" t="str">
        <f t="shared" si="40"/>
        <v/>
      </c>
      <c r="FA3" s="48" t="str">
        <f>IF(AT3&gt;0,CHAR(34)&amp;"sta"&amp;AZ3&amp;CHAR(34)&amp;",","")</f>
        <v>"staWHI",</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 t="shared" si="78"/>
        <v>"1Stars",</v>
      </c>
      <c r="GM3" s="48" t="str">
        <f t="shared" si="78"/>
        <v/>
      </c>
      <c r="GN3" s="48" t="str">
        <f t="shared" si="78"/>
        <v/>
      </c>
      <c r="GP3" s="48" t="str">
        <f>CHAR(34)&amp;AU3&amp;CHAR(34)</f>
        <v>"State"</v>
      </c>
      <c r="GS3" s="48" t="str">
        <f>SUBSTITUTE("["&amp;_xlfn.CONCAT(CW3:GN3)&amp;"]",",]","]")</f>
        <v>["3Color","lets04","startA","LALUHI","year19","2Bands","Diagon","staWHI","NO_RED","NO_GRE","NO_YEL","myrBLU","HasSta","1Stars"]</v>
      </c>
      <c r="GT3" s="48" t="str">
        <f t="shared" si="81"/>
        <v>"cl_BLU",</v>
      </c>
      <c r="GU3" s="48" t="str">
        <f t="shared" si="81"/>
        <v>"cl_WHI",</v>
      </c>
      <c r="GV3" s="48" t="str">
        <f t="shared" si="81"/>
        <v>"cl_BLA",</v>
      </c>
      <c r="GW3" s="48" t="str">
        <f t="shared" si="81"/>
        <v/>
      </c>
      <c r="GX3" s="48" t="str">
        <f t="shared" si="81"/>
        <v/>
      </c>
      <c r="GY3" s="48" t="str">
        <f t="shared" si="81"/>
        <v/>
      </c>
      <c r="GZ3" s="48" t="str">
        <f t="shared" si="81"/>
        <v/>
      </c>
      <c r="HA3" s="48" t="str">
        <f t="shared" si="81"/>
        <v/>
      </c>
      <c r="HB3" s="48" t="str">
        <f t="shared" si="81"/>
        <v/>
      </c>
      <c r="HC3" s="48" t="str">
        <f>SUBSTITUTE("["&amp;_xlfn.CONCAT(GT3:HB3)&amp;"]",",]","]")</f>
        <v>["cl_BLU","cl_WHI","cl_BLA"]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{couname:"[BRA] Acre",year:"1995 ",region:"rgn_South America",Colors:["cl_BLU","cl_WHI","cl_BLA"],Items:["3Color","lets04","startA","LALUHI","year19","2Bands","Diagon","staWHI","NO_RED","NO_GRE","NO_YEL","myrBLU","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links: "https://en.wikipedia.org/wiki/Flag_of_Acre"},</v>
      </c>
      <c r="HG3" s="73" t="str">
        <f>"{couname:"&amp;CT3&amp;(IF(HK3&lt;&gt;"",",subtype:"&amp;CHAR(34)&amp;HK3&amp;CHAR(34),""))&amp;",year:"&amp;HJ3&amp;",region:"&amp;CU3&amp;",Colors:"&amp;HC3&amp;",Items:"&amp;GS3&amp;",Flag:"&amp;CV3&amp;",HDFlag:"&amp;CHAR(34)&amp;E3&amp;CHAR(34)&amp;",type:"&amp;GP3&amp;", describe: "&amp;HI3&amp;", links: "&amp;HL3&amp;"},"</f>
        <v>{couname:"[BRA] Acre",year:"1995 ",region:"rgn_South America",Colors:["cl_BLU","cl_WHI","cl_BLA"],Items:["3Color","lets04","startA","LALUHI","year19","2Bands","Diagon","staWHI","NO_RED","NO_GRE","NO_YEL","myrBLU","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links: "https://en.wikipedia.org/wiki/Flag_of_Acre"},</v>
      </c>
      <c r="HH3" s="48" t="str">
        <f>IF(P3&lt;&gt;"",CHAR(34)&amp;"\n"&amp;P3&amp;CHAR(34),CHAR(34)&amp;CHAR(34))</f>
        <v>"\nThe yellow represents the riches of the earth, the green represents hope, the red star in the upper left, called the Altaneira Star, represents the blood of those who fought for the annexation of the current state of Acre to Brazil. "</v>
      </c>
      <c r="HI3" s="48" t="str">
        <f>IF(J3=0,CHAR(34)&amp;CHAR(34),HH3)</f>
        <v>"\nThe yellow represents the riches of the earth, the green represents hope, the red star in the upper left, called the Altaneira Star, represents the blood of those who fought for the annexation of the current state of Acre to Brazil. "</v>
      </c>
      <c r="HJ3" s="48" t="str">
        <f>CHAR(34)&amp;O3&amp;CHAR(34)</f>
        <v>"1995 "</v>
      </c>
      <c r="HL3" s="48" t="str">
        <f>CHAR(34)&amp;I3&amp;CHAR(34)</f>
        <v>"https://en.wikipedia.org/wiki/Flag_of_Acre"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{"couname":"[BRA] Acre","year":"1995 ","region":"rgn_South America","Colors":["cl_BLU","cl_WHI","cl_BLA"],"Items":["3Color","lets04","startA","LALUHI","year19","2Bands","Diagon","staWHI","NO_RED","NO_GRE","NO_YEL","myrBLU","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 "links": "https://en.wikipedia.org/wiki/Flag_of_Acre"},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{"couname":"[BRA] Acre","year":"1995 ","region":"rgn_South America","Colors":["cl_BLU","cl_WHI","cl_BLA"],"Items":["3Color","lets04","startA","LALUHI","year19","2Bands","Diagon","staWHI","NO_RED","NO_GRE","NO_YEL","myrBLU","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 "links": "https://en.wikipedia.org/wiki/Flag_of_Acre"},</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http://mkweb.bcgsc.ca/color-summarizer/?url=https://upload.wikimedia.org/wikipedia/commons/thumb/4/4c/Bandeira_do_Acre.svg/640px-Bandeira_do_Acre.svg.png&amp;precision=low&amp;num_clusters=3&amp;text=1</v>
      </c>
      <c r="IO3" s="48" t="str">
        <f>IF(HP3&lt;&gt;"",CHAR(34)&amp;"black"&amp;CHAR(34),"")</f>
        <v>"black"</v>
      </c>
      <c r="IP3" s="48" t="str">
        <f>IF(HQ3&lt;&gt;"",CHAR(34)&amp;"blue"&amp;CHAR(34),"")</f>
        <v>"blue"</v>
      </c>
      <c r="IQ3" s="48" t="str">
        <f>IF(HR3&lt;&gt;"",CHAR(34)&amp;"green"&amp;CHAR(34),"")</f>
        <v/>
      </c>
      <c r="IR3" s="48" t="str">
        <f>IF(HS3&lt;&gt;"",CHAR(34)&amp;"red"&amp;CHAR(34),"")</f>
        <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{"url":"http://mkweb.bcgsc.ca/color-summarizer/?url=https://upload.wikimedia.org/wikipedia/commons/thumb/4/4c/Bandeira_do_Acre.svg/640px-Bandeira_do_Acre.svg.png&amp;precision=low&amp;num_clusters=3&amp;text=1","name":"[BRA] Acre"},</v>
      </c>
      <c r="IY3" s="48">
        <v>1503</v>
      </c>
    </row>
    <row r="4" spans="1:259" s="48" customFormat="1" ht="38.4" customHeight="1" thickBot="1" x14ac:dyDescent="0.35">
      <c r="A4" s="79" t="s">
        <v>391</v>
      </c>
      <c r="B4" s="40" t="e" vm="26">
        <v>#VALUE!</v>
      </c>
      <c r="C4" s="41">
        <v>2</v>
      </c>
      <c r="D4" s="42" t="s">
        <v>392</v>
      </c>
      <c r="E4" s="43" t="s">
        <v>393</v>
      </c>
      <c r="F4" s="44" t="s">
        <v>166</v>
      </c>
      <c r="G4" s="45">
        <f>COUNTIF($A$1:$A$8312,A4)</f>
        <v>1</v>
      </c>
      <c r="H4" s="46"/>
      <c r="I4" s="47" t="s">
        <v>394</v>
      </c>
      <c r="J4" s="48" t="str">
        <f>""</f>
        <v/>
      </c>
      <c r="K4" s="49"/>
      <c r="L4" s="50"/>
      <c r="M4" s="50"/>
      <c r="N4" s="51" t="s">
        <v>169</v>
      </c>
      <c r="O4" s="52" t="s">
        <v>395</v>
      </c>
      <c r="P4" s="53" t="s">
        <v>396</v>
      </c>
      <c r="Q4" s="54">
        <v>1</v>
      </c>
      <c r="R4" s="55" t="s">
        <v>169</v>
      </c>
      <c r="S4" s="56">
        <v>3</v>
      </c>
      <c r="T4" s="57" t="s">
        <v>172</v>
      </c>
      <c r="U4" s="58" t="s">
        <v>172</v>
      </c>
      <c r="V4" s="58" t="s">
        <v>172</v>
      </c>
      <c r="W4" s="58" t="s">
        <v>173</v>
      </c>
      <c r="X4" s="58" t="s">
        <v>172</v>
      </c>
      <c r="Y4" s="58" t="s">
        <v>397</v>
      </c>
      <c r="Z4" s="58" t="s">
        <v>172</v>
      </c>
      <c r="AA4" s="58" t="s">
        <v>173</v>
      </c>
      <c r="AB4" s="58" t="s">
        <v>172</v>
      </c>
      <c r="AC4" s="58" t="s">
        <v>172</v>
      </c>
      <c r="AD4" s="58" t="s">
        <v>172</v>
      </c>
      <c r="AE4" s="58" t="s">
        <v>172</v>
      </c>
      <c r="AF4" s="59" t="s">
        <v>172</v>
      </c>
      <c r="AG4" s="59" t="s">
        <v>172</v>
      </c>
      <c r="AH4" s="59" t="s">
        <v>173</v>
      </c>
      <c r="AI4" s="59" t="s">
        <v>172</v>
      </c>
      <c r="AJ4" s="59" t="s">
        <v>172</v>
      </c>
      <c r="AK4" s="59" t="s">
        <v>172</v>
      </c>
      <c r="AL4" s="59" t="s">
        <v>173</v>
      </c>
      <c r="AM4" s="59" t="s">
        <v>172</v>
      </c>
      <c r="AN4" s="59" t="s">
        <v>172</v>
      </c>
      <c r="AO4" s="59" t="s">
        <v>173</v>
      </c>
      <c r="AP4" s="59" t="s">
        <v>172</v>
      </c>
      <c r="AQ4" s="59" t="s">
        <v>172</v>
      </c>
      <c r="AR4" s="59" t="s">
        <v>172</v>
      </c>
      <c r="AS4" s="59" t="s">
        <v>173</v>
      </c>
      <c r="AT4" s="60">
        <v>1</v>
      </c>
      <c r="AU4" s="59" t="s">
        <v>383</v>
      </c>
      <c r="AV4" s="59" t="str">
        <f>IF(LEFT(A4,1)="[",LEFT(A4,5)&amp;AU4&amp;A4,"")</f>
        <v>[BRA]State[BRA] Alagoas</v>
      </c>
      <c r="AW4" s="59" t="str">
        <f>C4&amp;H4&amp;A4</f>
        <v>2[BRA] Alagoas</v>
      </c>
      <c r="AX4" s="61" t="str">
        <f>_xlfn.TEXTJOIN(";",TRUE,AU4:AW4)</f>
        <v>State;[BRA]State[BRA] Alagoas;2[BRA] Alagoas</v>
      </c>
      <c r="AY4" s="61" t="s">
        <v>173</v>
      </c>
      <c r="AZ4" s="62" t="s">
        <v>154</v>
      </c>
      <c r="BA4" s="62" t="s">
        <v>159</v>
      </c>
      <c r="BB4" s="62"/>
      <c r="BC4" s="63"/>
      <c r="BD4" s="64" t="s">
        <v>152</v>
      </c>
      <c r="BE4" s="47"/>
      <c r="BF4" s="64"/>
      <c r="BG4" s="64"/>
      <c r="BH4" s="64"/>
      <c r="BI4" s="64"/>
      <c r="BJ4" s="64"/>
      <c r="BK4" s="47"/>
      <c r="BL4" s="64" t="s">
        <v>154</v>
      </c>
      <c r="BM4" s="64" t="s">
        <v>159</v>
      </c>
      <c r="BN4" s="64" t="s">
        <v>152</v>
      </c>
      <c r="BO4" s="64"/>
      <c r="BP4" s="64"/>
      <c r="BQ4" s="64"/>
      <c r="BR4" s="64"/>
      <c r="BS4" s="64"/>
      <c r="BT4" s="64"/>
      <c r="BU4" s="65" t="s">
        <v>173</v>
      </c>
      <c r="BV4" s="66" t="s">
        <v>278</v>
      </c>
      <c r="BW4" s="66" t="s">
        <v>270</v>
      </c>
      <c r="BX4" s="47"/>
      <c r="CB4" s="6" t="s">
        <v>398</v>
      </c>
      <c r="CC4" s="6"/>
      <c r="CD4" s="67">
        <v>1</v>
      </c>
      <c r="CE4" s="67">
        <v>0</v>
      </c>
      <c r="CF4" s="67" t="e">
        <v>#REF!</v>
      </c>
      <c r="CG4" s="68" cm="1">
        <f t="array" ref="CG4">SUMPRODUCT(--(LEN(TRIM(BL4:BT4))&gt;0))</f>
        <v>3</v>
      </c>
      <c r="CH4" s="59" t="str">
        <f t="shared" ref="CH4:CH28" si="104">IF(CG4=2,"y","n")</f>
        <v>n</v>
      </c>
      <c r="CI4" s="59" t="str">
        <f t="shared" ref="CI4:CI28" si="105">IF(CG4=3,"y","n")</f>
        <v>y</v>
      </c>
      <c r="CJ4" s="59" t="str">
        <f t="shared" ref="CJ4:CJ28" si="106">IF(CG4=4,"y","n")</f>
        <v>n</v>
      </c>
      <c r="CK4" s="59" t="str">
        <f t="shared" ref="CK4:CK28" si="107">IF(CG4&gt;4,"y","n")</f>
        <v>n</v>
      </c>
      <c r="CL4" s="59" t="str">
        <f t="shared" ref="CL4:CL28" si="108">IF(S4=0,"y","n")</f>
        <v>n</v>
      </c>
      <c r="CM4" s="59" t="str">
        <f t="shared" ref="CM4:CM28" si="109">IF(S4=2,"y","n")</f>
        <v>n</v>
      </c>
      <c r="CN4" s="59" t="str">
        <f t="shared" ref="CN4:CN28" si="110">IF(S4=3,"y","n")</f>
        <v>y</v>
      </c>
      <c r="CO4" s="59" t="str">
        <f t="shared" ref="CO4:CO28" si="111">IF(S4&gt;=4,"y","n")</f>
        <v>n</v>
      </c>
      <c r="CP4" s="59" t="str">
        <f t="shared" ref="CP4:CP28" si="112">IF(AT4=0,"y","n")</f>
        <v>n</v>
      </c>
      <c r="CQ4" s="59" t="str">
        <f t="shared" ref="CQ4:CQ28" si="113">IF(AT4=1,"y","n")</f>
        <v>y</v>
      </c>
      <c r="CR4" s="59" t="str">
        <f t="shared" ref="CR4:CR28" si="114">IF(AT4=2,"y","n")</f>
        <v>n</v>
      </c>
      <c r="CS4" s="59" t="str">
        <f t="shared" ref="CS4:CS28" si="115">IF(AT4&gt;=3,"y","n")</f>
        <v>n</v>
      </c>
      <c r="CT4" s="69" t="str">
        <f t="shared" ref="CT4:CT28" si="116">CHAR(34)&amp;A4&amp;CHAR(34)</f>
        <v>"[BRA] Alagoas"</v>
      </c>
      <c r="CU4" s="70" t="str">
        <f t="shared" ref="CU4:CU28" si="117">CHAR(34)&amp;"rgn_"&amp;R4&amp;CHAR(34)</f>
        <v>"rgn_South America"</v>
      </c>
      <c r="CV4" s="48" t="str">
        <f t="shared" ref="CV4:CV28" si="118">CHAR(34)&amp;D4&amp;CHAR(34)</f>
        <v>"https://upload.wikimedia.org/wikipedia/commons/thumb/8/88/Bandeira_de_Alagoas.svg/640px-Bandeira_de_Alagoas.svg.png"</v>
      </c>
      <c r="CW4" s="48" t="str">
        <f t="shared" si="15"/>
        <v/>
      </c>
      <c r="CX4" s="48" t="str">
        <f t="shared" si="15"/>
        <v>"3Color",</v>
      </c>
      <c r="CY4" s="48" t="str">
        <f t="shared" si="15"/>
        <v/>
      </c>
      <c r="CZ4" s="48" t="str">
        <f t="shared" si="15"/>
        <v/>
      </c>
      <c r="DA4" s="48" t="str">
        <f t="shared" ref="DA4:DA28" si="119">IF(Q4&gt;1,CHAR(34)&amp;"words2"&amp;CHAR(34)&amp;",","")</f>
        <v/>
      </c>
      <c r="DB4" s="48" t="str">
        <f t="shared" ref="DB4:DB13" si="120">IF(Q4&gt;2,CHAR(34)&amp;"words3"&amp;CHAR(34)&amp;",","")</f>
        <v/>
      </c>
      <c r="DC4" s="48" t="str">
        <f>IF(Q4=2,CHAR(34)&amp;"exact2"&amp;CHAR(34)&amp;",","")</f>
        <v/>
      </c>
      <c r="DD4" s="48"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"lets07",</v>
      </c>
      <c r="DE4" s="48"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"startA",</v>
      </c>
      <c r="DF4" s="48" t="str">
        <f t="shared" ref="DF4:DF28" si="121">IFERROR(IF(SEARCH("tan",A4)&gt;0,CHAR(34)&amp;"withtn"&amp;CHAR(34)&amp;",",""),"")</f>
        <v/>
      </c>
      <c r="DG4" s="48" t="str">
        <f t="shared" ref="DG4:DG28" si="122">IFERROR(IF(SEARCH("q",A4)&gt;0,CHAR(34)&amp;"with_q"&amp;CHAR(34)&amp;",",""),"")</f>
        <v/>
      </c>
      <c r="DH4" s="48" t="str">
        <f t="shared" ref="DH4:DH28" si="123">IFERROR(IF(SEARCH("v",A4)&gt;0,CHAR(34)&amp;"with_v"&amp;CHAR(34)&amp;",",""),"")</f>
        <v/>
      </c>
      <c r="DI4" s="48" t="str">
        <f t="shared" ref="DI4:DI28" si="124">IFERROR(IF(SEARCH("w",A4)&gt;0,CHAR(34)&amp;"with_w"&amp;CHAR(34)&amp;",",""),"")</f>
        <v/>
      </c>
      <c r="DJ4" s="48" t="str">
        <f t="shared" ref="DJ4:DJ28" si="125">IFERROR(IF(SEARCH("y",A4)&gt;0,CHAR(34)&amp;"with_y"&amp;CHAR(34)&amp;",",""),"")</f>
        <v/>
      </c>
      <c r="DK4" s="48" t="str">
        <f t="shared" ref="DK4:DK28" si="126">IFERROR(IF(SEARCH("z",A4)&gt;0,CHAR(34)&amp;"with_z"&amp;CHAR(34)&amp;",",""),"")</f>
        <v/>
      </c>
      <c r="DL4" s="48" t="str">
        <f t="shared" ref="DL4:DL28" si="127">IF(CG4=2, CHAR(34) &amp; _xlfn.TEXTJOIN("", TRUE, _xlfn._xlws.SORT(HP4:HX4)) &amp; CHAR(34) &amp; ",", "")</f>
        <v/>
      </c>
      <c r="DM4" s="48" t="str" cm="1">
        <f t="array" ref="DM4">IF(CG4=3,CHAR(34) &amp; _xlfn.TEXTJOIN("", TRUE, RIGHT(HP4:HX4, 2)) &amp; CHAR(34) &amp; ",", "")</f>
        <v>"LUEDHI",</v>
      </c>
      <c r="DN4" s="48" t="str">
        <f t="shared" ref="DN4:DN28" si="128">IF(AND(ISNUMBER(SEARCH("18", O4)), ISERROR(SEARCH("1918", O4)), ISERROR(SEARCH("2018", O4))), CHAR(34) &amp; "year18" &amp; CHAR(34) &amp; ",", "")</f>
        <v/>
      </c>
      <c r="DO4" s="48" t="str">
        <f t="shared" ref="DO4:DO28" si="129">IF(AND(ISNUMBER(SEARCH("19", O4)), ISERROR(SEARCH("1819", O4)),  ISERROR(SEARCH("1219", O4)),ISERROR(SEARCH("1119", O4)),ISERROR(SEARCH("1190", O4)),ISERROR(SEARCH("2019", O4))), CHAR(34) &amp; "year19" &amp; CHAR(34) &amp; ",", "")</f>
        <v>"year19",</v>
      </c>
      <c r="DP4" s="6" t="str">
        <f t="shared" ref="DP4:DP28" si="130">IF(AND(ISNUMBER(SEARCH("20", O4)), ISERROR(SEARCH("1920", O4))), CHAR(34)&amp;"year00"&amp;CHAR(34)&amp;",", "")</f>
        <v/>
      </c>
      <c r="DQ4" s="6" t="str">
        <f t="shared" ref="DQ4:DQ28" si="131">IF(CC4="y",CHAR(34)&amp;"soviet"&amp;CHAR(34)&amp;",","")</f>
        <v/>
      </c>
      <c r="DR4" s="6" t="str">
        <f t="shared" ref="DR4:DR28" si="132">IF(BY4="y",CHAR(34)&amp;"dgband"&amp;CHAR(34)&amp;",","")</f>
        <v/>
      </c>
      <c r="DS4" s="6" t="str">
        <f t="shared" ref="DS4:DS28" si="133">IF(W4="y",IF(AND(V4="n",BY4&lt;&gt;"y"),CHAR(34)&amp;"allver"&amp;CHAR(34)&amp;",",""),"")</f>
        <v>"allver",</v>
      </c>
      <c r="DT4" s="6" t="str">
        <f t="shared" ref="DT4:DT28" si="134">IF(V4="y",IF(AND(W4="n",BY4&lt;&gt;"y"),CHAR(34)&amp;"allhor"&amp;CHAR(34)&amp;",",""),"")</f>
        <v/>
      </c>
      <c r="DU4" s="6" t="str">
        <f t="shared" ref="DU4:DU28" si="135">IF(BY4="y",IF(AND(W4="n",V4="n"),CHAR(34)&amp;"alldia"&amp;CHAR(34)&amp;",",""),"")</f>
        <v/>
      </c>
      <c r="DV4" s="48" t="str">
        <f>IF(IA4&lt;&gt;"",(IF(IA4="y",CHAR(34)&amp;"largec"&amp;CHAR(34)&amp;",",CHAR(34)&amp;"smallc"&amp;CHAR(34)&amp;",")),"")</f>
        <v>"smallc",</v>
      </c>
      <c r="DW4" s="48" t="str">
        <f t="shared" si="37"/>
        <v/>
      </c>
      <c r="DX4" s="48" t="str">
        <f t="shared" si="37"/>
        <v/>
      </c>
      <c r="DY4" s="48" t="str">
        <f t="shared" si="37"/>
        <v>"3Bands",</v>
      </c>
      <c r="DZ4" s="48" t="str">
        <f t="shared" si="37"/>
        <v/>
      </c>
      <c r="EA4" s="48" t="str">
        <f t="shared" si="38"/>
        <v/>
      </c>
      <c r="EB4" s="48" t="str">
        <f t="shared" si="38"/>
        <v/>
      </c>
      <c r="EC4" s="48" t="str">
        <f t="shared" si="38"/>
        <v/>
      </c>
      <c r="ED4" s="48" t="str">
        <f t="shared" si="38"/>
        <v>"Vertic",</v>
      </c>
      <c r="EE4" s="48" t="str">
        <f t="shared" si="38"/>
        <v/>
      </c>
      <c r="EF4" s="48" t="str">
        <f t="shared" ref="EF4:EF28" si="136">IF(AND(Y4&lt;&gt;"n",Y4&lt;&gt;""),CHAR(34)&amp;Y$1&amp;CHAR(34)&amp;",","")</f>
        <v>"Animal",</v>
      </c>
      <c r="EG4" s="48" t="str">
        <f t="shared" si="40"/>
        <v/>
      </c>
      <c r="EH4" s="48" t="str">
        <f t="shared" si="40"/>
        <v>"Plants",</v>
      </c>
      <c r="EI4" s="48" t="str">
        <f t="shared" si="40"/>
        <v/>
      </c>
      <c r="EJ4" s="48" t="str">
        <f t="shared" si="40"/>
        <v/>
      </c>
      <c r="EK4" s="48" t="str">
        <f t="shared" si="40"/>
        <v/>
      </c>
      <c r="EL4" s="48" t="str">
        <f t="shared" si="40"/>
        <v/>
      </c>
      <c r="EM4" s="48" t="str">
        <f t="shared" si="40"/>
        <v/>
      </c>
      <c r="EN4" s="48" t="str">
        <f t="shared" si="40"/>
        <v/>
      </c>
      <c r="EO4" s="48" t="str">
        <f t="shared" si="40"/>
        <v>"Center",</v>
      </c>
      <c r="EP4" s="48" t="str">
        <f t="shared" si="40"/>
        <v/>
      </c>
      <c r="EQ4" s="48" t="str">
        <f t="shared" si="40"/>
        <v/>
      </c>
      <c r="ER4" s="48" t="str">
        <f t="shared" si="40"/>
        <v/>
      </c>
      <c r="ES4" s="48" t="str">
        <f t="shared" si="40"/>
        <v>"Wavess",</v>
      </c>
      <c r="ET4" s="48" t="str">
        <f t="shared" si="40"/>
        <v/>
      </c>
      <c r="EU4" s="48" t="str">
        <f t="shared" si="40"/>
        <v/>
      </c>
      <c r="EV4" s="48" t="str">
        <f t="shared" si="40"/>
        <v>"Builds",</v>
      </c>
      <c r="EW4" s="48" t="str">
        <f t="shared" si="40"/>
        <v/>
      </c>
      <c r="EX4" s="48" t="str">
        <f t="shared" si="40"/>
        <v/>
      </c>
      <c r="EY4" s="48" t="str">
        <f t="shared" si="40"/>
        <v/>
      </c>
      <c r="EZ4" s="48" t="str">
        <f t="shared" si="40"/>
        <v>"Waters",</v>
      </c>
      <c r="FA4" s="48" t="str">
        <f t="shared" ref="FA4:FA28" si="137">IF(AT4&gt;0,CHAR(34)&amp;"sta"&amp;AZ4&amp;CHAR(34)&amp;",","")</f>
        <v>"staRED",</v>
      </c>
      <c r="FB4" s="48" t="str">
        <f t="shared" ref="FB4:FB28" si="138">IF(AND(AT4&gt;0,BA4&lt;&gt;""),CHAR(34)&amp;"sta"&amp;BA4&amp;CHAR(34)&amp;",","")</f>
        <v>"staWHI",</v>
      </c>
      <c r="FC4" s="48" t="str">
        <f>IF(AND(AT4&gt;0,BB4&lt;&gt;""),CHAR(34)&amp;"sta"&amp;BB4&amp;CHAR(34)&amp;",","")</f>
        <v/>
      </c>
      <c r="FD4" s="48" t="str">
        <f t="shared" ref="FD4:FD28" si="139">IF(BV4="n",CHAR(34)&amp;"tcWHYE"&amp;CHAR(34)&amp;",",IF(BV4="y",CHAR(34)&amp;FD$1&amp;CHAR(34)&amp;",",""))</f>
        <v/>
      </c>
      <c r="FE4" s="48" t="str">
        <f t="shared" ref="FE4:FE28" si="140">IF(COUNTIF(BL4:BT4,"BLU")=0,CHAR(34)&amp;"NO_BLU"&amp;CHAR(34)&amp;",", "")</f>
        <v/>
      </c>
      <c r="FF4" s="48" t="str">
        <f t="shared" ref="FF4:FF28" si="141">IF(COUNTIF(BL4:BT4,"WHI")=0,CHAR(34)&amp;"NO_WHI"&amp;CHAR(34)&amp;",", "")</f>
        <v/>
      </c>
      <c r="FG4" s="48" t="str">
        <f t="shared" ref="FG4:FG28" si="142">IF(COUNTIF(BL4:BT4,"RED")=0,CHAR(34)&amp;"NO_RED"&amp;CHAR(34)&amp;",", "")</f>
        <v/>
      </c>
      <c r="FH4" s="48" t="str">
        <f t="shared" ref="FH4:FH28" si="143">IF(COUNTIF(BL4:BS4,"GRE")=0,CHAR(34)&amp;"NO_GRE"&amp;CHAR(34)&amp;",", "")</f>
        <v>"NO_GRE",</v>
      </c>
      <c r="FI4" s="48" t="str">
        <f t="shared" ref="FI4:FI28" si="144">IF(COUNTIF(BL4:BT4,"YEL")=0,CHAR(34)&amp;"NO_YEL"&amp;CHAR(34)&amp;",", "")</f>
        <v>"NO_YEL",</v>
      </c>
      <c r="FJ4" s="48" t="str">
        <f t="shared" ref="FJ4:FJ28" si="145">IF(COUNTIF(BL4:BT4,"BLA")=0,CHAR(34)&amp;"NO_BLA"&amp;CHAR(34)&amp;",", "")</f>
        <v>"NO_BLA",</v>
      </c>
      <c r="FK4" s="48" t="str">
        <f t="shared" ref="FK4:FK28" si="146">IF(AND(FH4&lt;&gt;"",FF4&lt;&gt;""),CHAR(34)&amp;"WHGRNO"&amp;CHAR(34)&amp;",","")</f>
        <v/>
      </c>
      <c r="FL4" s="48" t="str">
        <f t="shared" ref="FL4:FL28" si="147">IF(AND(FI4&lt;&gt;"",FF4&lt;&gt;""),CHAR(34)&amp;"WHYENO"&amp;CHAR(34)&amp;",","")</f>
        <v/>
      </c>
      <c r="FM4" s="48" t="str">
        <f t="shared" ref="FM4:FM28" si="148">IF(AND(FJ4&lt;&gt;"",FF4&lt;&gt;""),CHAR(34)&amp;"BAWHNO"&amp;CHAR(34)&amp;",","")</f>
        <v/>
      </c>
      <c r="FN4" s="48" t="str">
        <f t="shared" ref="FN4:FN28" si="149">IF(AND(FE4&lt;&gt;"",FF4&lt;&gt;""),CHAR(34)&amp;"BLWHNO"&amp;CHAR(34)&amp;",","")</f>
        <v/>
      </c>
      <c r="FO4" s="48" t="str">
        <f t="shared" ref="FO4:FO28" si="150">IF(AND(FE4&lt;&gt;"",FG4&lt;&gt;""),CHAR(34)&amp;"BLRENO"&amp;CHAR(34)&amp;",","")</f>
        <v/>
      </c>
      <c r="FP4" s="48" t="str">
        <f t="shared" ref="FP4:FP28" si="151">IF(AND(FF4&lt;&gt;"",FF4&lt;&gt;""),CHAR(34)&amp;"WHRENO"&amp;CHAR(34)&amp;",","")</f>
        <v/>
      </c>
      <c r="FQ4" s="48" t="str">
        <f t="shared" ref="FQ4:FQ28" si="152">IF(LEN(BF4)=3,CHAR(34)&amp;"001"&amp;BF4&amp;CHAR(34)&amp;",","")</f>
        <v/>
      </c>
      <c r="FR4" s="48" t="str">
        <f t="shared" ref="FR4:FR28" si="153">IF(LEN(BG4)=3,CHAR(34)&amp;"002"&amp;BG4&amp;CHAR(34)&amp;",","")</f>
        <v/>
      </c>
      <c r="FS4" s="48" t="str">
        <f t="shared" ref="FS4:FS28" si="154">IF(LEN(BH4)=3,CHAR(34)&amp;"003"&amp;BH4&amp;CHAR(34)&amp;",","")</f>
        <v/>
      </c>
      <c r="FT4" s="48" t="str">
        <f t="shared" ref="FT4:FT28" si="155">CHAR(34)&amp;"myr"&amp;BD4&amp;CHAR(34)&amp;","</f>
        <v>"myrBLU",</v>
      </c>
      <c r="FU4" s="48" t="str">
        <f t="shared" ref="FU4:FU28" si="156">IF(AY4="y",CHAR(34)&amp;"island"&amp;CHAR(34)&amp;",","")</f>
        <v>"island",</v>
      </c>
      <c r="FV4" s="48" t="str">
        <f t="shared" ref="FV4:FV28" si="157">IF(BZ4="y",CHAR(34)&amp;"landlo"&amp;CHAR(34)&amp;",","")</f>
        <v/>
      </c>
      <c r="FW4" s="48" t="str">
        <f t="shared" ref="FW4:FW28" si="158">IF(CA4="y",CHAR(34)&amp;"eunion"&amp;CHAR(34)&amp;",","")</f>
        <v/>
      </c>
      <c r="FX4" s="48" t="str">
        <f>SUBSTITUTE(IFERROR(SEARCH("[",A4),IFERROR(IF(AND(CA4&lt;&gt;"y",SEARCH("Europe",R4)&gt;0),CHAR(34)&amp;"noeuni"&amp;CHAR(34)&amp;",",""),"")),"1","")</f>
        <v/>
      </c>
      <c r="FY4" s="48" t="str">
        <f t="shared" ref="FY4:FY28" si="159">IFERROR(IF(SEARCH("Arabic",CB4)&gt;0,CHAR(34)&amp;"arabic"&amp;CHAR(34)&amp;",",""),"")</f>
        <v/>
      </c>
      <c r="FZ4" s="48" t="str">
        <f t="shared" ref="FZ4:FZ28" si="160">IFERROR(IF(SEARCH("English",CB4)&gt;0,CHAR(34)&amp;"englis"&amp;CHAR(34)&amp;",",""),"")</f>
        <v>"englis",</v>
      </c>
      <c r="GA4" s="48" t="str">
        <f t="shared" ref="GA4:GA28" si="161">IFERROR(IF(SEARCH("French",CB4)&gt;0,CHAR(34)&amp;"french"&amp;CHAR(34)&amp;",",""),"")</f>
        <v/>
      </c>
      <c r="GB4" s="48" t="str">
        <f t="shared" ref="GB4:GB28" si="162">IFERROR(IF(SEARCH("Spanish",CB4)&gt;0,CHAR(34)&amp;"spanis"&amp;CHAR(34)&amp;",",""),"")</f>
        <v/>
      </c>
      <c r="GC4" s="48" t="str">
        <f>IFERROR(IF(SEARCH("Portuguese",CB4)&gt;0,CHAR(34)&amp;"portug"&amp;CHAR(34)&amp;",",""),"")</f>
        <v/>
      </c>
      <c r="GD4" s="48" t="str">
        <f>IFERROR(IF(SEARCH("German",CB4)&gt;0,CHAR(34)&amp;"german"&amp;CHAR(34)&amp;",",""),"")</f>
        <v/>
      </c>
      <c r="GE4" s="48" t="str">
        <f t="shared" ref="GE4:GE28" si="163">IFERROR(IF(SEARCH("Dutch",CB4)&gt;0,CHAR(34)&amp;"dutchs"&amp;CHAR(34)&amp;",",""),"")</f>
        <v/>
      </c>
      <c r="GF4" s="48" t="str">
        <f>IFERROR(IF(SEARCH("Histor",AU4)&gt;0,CHAR(34)&amp;"histor"&amp;CHAR(34)&amp;",",""),"")</f>
        <v/>
      </c>
      <c r="GG4" s="48" t="str">
        <f t="shared" ref="GG4:GG28" si="164">IF(BU4="y",CHAR(34)&amp;"unjack"&amp;CHAR(34)&amp;",","")</f>
        <v>"unjack",</v>
      </c>
      <c r="GH4" s="48" t="str">
        <f t="shared" ref="GH4:GH28" si="165">IF(CD4=1,CHAR(34)&amp;"southc"&amp;CHAR(34)&amp;",","")</f>
        <v>"southc",</v>
      </c>
      <c r="GI4" s="48" t="str">
        <f t="shared" ref="GI4:GI28" si="166">IF(CE4=1,CHAR(34)&amp;"hasmap"&amp;CHAR(34)&amp;",","")</f>
        <v/>
      </c>
      <c r="GJ4" s="48" t="str">
        <f t="shared" ref="GJ4:GJ28" si="167">IF(CP4="y",CHAR(34)&amp;CP$1&amp;CHAR(34)&amp;",","")</f>
        <v/>
      </c>
      <c r="GK4" s="48" t="str">
        <f t="shared" ref="GK4:GK28" si="168">IF(GJ4="",CHAR(34)&amp;"HasSta"&amp;CHAR(34)&amp;",","")</f>
        <v>"HasSta",</v>
      </c>
      <c r="GL4" s="48" t="str">
        <f t="shared" si="78"/>
        <v>"1Stars",</v>
      </c>
      <c r="GM4" s="48" t="str">
        <f t="shared" si="78"/>
        <v/>
      </c>
      <c r="GN4" s="48" t="str">
        <f t="shared" si="78"/>
        <v/>
      </c>
      <c r="GP4" s="48" t="str">
        <f t="shared" ref="GP4:GP28" si="169">CHAR(34)&amp;AU4&amp;CHAR(34)</f>
        <v>"State"</v>
      </c>
      <c r="GS4" s="48" t="str">
        <f t="shared" ref="GS4:GS28" si="170">SUBSTITUTE("["&amp;_xlfn.CONCAT(CW4:GN4)&amp;"]",",]","]")</f>
        <v>["3Color","lets07","startA","LUEDHI","year19","allver","smallc","3Bands","Vertic","Animal","Plants","Center","Wavess","Builds","Waters","staRED","staWHI","NO_GRE","NO_YEL","NO_BLA","myrBLU","island","englis","unjack","southc","HasSta","1Stars"]</v>
      </c>
      <c r="GT4" s="48" t="str">
        <f t="shared" si="81"/>
        <v>"cl_RED",</v>
      </c>
      <c r="GU4" s="48" t="str">
        <f t="shared" si="81"/>
        <v>"cl_WHI",</v>
      </c>
      <c r="GV4" s="48" t="str">
        <f t="shared" si="81"/>
        <v>"cl_BLU",</v>
      </c>
      <c r="GW4" s="48" t="str">
        <f t="shared" si="81"/>
        <v/>
      </c>
      <c r="GX4" s="48" t="str">
        <f t="shared" si="81"/>
        <v/>
      </c>
      <c r="GY4" s="48" t="str">
        <f t="shared" si="81"/>
        <v/>
      </c>
      <c r="GZ4" s="48" t="str">
        <f t="shared" si="81"/>
        <v/>
      </c>
      <c r="HA4" s="48" t="str">
        <f t="shared" si="81"/>
        <v/>
      </c>
      <c r="HB4" s="48" t="str">
        <f t="shared" si="81"/>
        <v/>
      </c>
      <c r="HC4" s="48" t="str">
        <f t="shared" ref="HC4:HC28" si="171">SUBSTITUTE("["&amp;_xlfn.CONCAT(GT4:HB4)&amp;"]",",]","]")</f>
        <v>["cl_RED","cl_WHI","cl_BLU"]</v>
      </c>
      <c r="HE4" s="71"/>
      <c r="HF4" s="72" t="str">
        <f t="shared" ref="HF4:HF28" si="172">"{couname:"&amp;CT4&amp;(IF(HK4&lt;&gt;"",",subtype:"&amp;CHAR(34)&amp;HK4&amp;CHAR(34),""))&amp;",year:"&amp;HJ4&amp;",region:"&amp;CU4&amp;",Colors:"&amp;HC4&amp;",Items:"&amp;GS4&amp;",Flag:"&amp;CV4&amp;",HDFlag:"&amp;CHAR(34)&amp;E4&amp;CHAR(34)&amp;",type:"&amp;GP4&amp;", describe: "&amp;HH4&amp;", isnew:"&amp;CHAR(34)&amp;F4&amp;CHAR(34)&amp;", links: "&amp;HL4&amp;"},"</f>
        <v>{couname:"[BRA] Alagoas",year:"1963 ",region:"rgn_South America",Colors:["cl_RED","cl_WHI","cl_BLU"],Items:["3Color","lets07","startA","LUEDHI","year19","allver","smallc","3Bands","Vertic","Animal","Plants","Center","Wavess","Builds","Waters","staRED","staWHI","NO_GRE","NO_YEL","NO_BLA","myrBLU","island","englis","unjack","southc","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links: "https://en.wikipedia.org/wiki/Flag_of_Alagoas"},</v>
      </c>
      <c r="HG4" s="73" t="str">
        <f t="shared" ref="HG4:HG28" si="173">"{couname:"&amp;CT4&amp;(IF(HK4&lt;&gt;"",",subtype:"&amp;CHAR(34)&amp;HK4&amp;CHAR(34),""))&amp;",year:"&amp;HJ4&amp;",region:"&amp;CU4&amp;",Colors:"&amp;HC4&amp;",Items:"&amp;GS4&amp;",Flag:"&amp;CV4&amp;",HDFlag:"&amp;CHAR(34)&amp;E4&amp;CHAR(34)&amp;",type:"&amp;GP4&amp;", describe: "&amp;HI4&amp;", links: "&amp;HL4&amp;"},"</f>
        <v>{couname:"[BRA] Alagoas",year:"1963 ",region:"rgn_South America",Colors:["cl_RED","cl_WHI","cl_BLU"],Items:["3Color","lets07","startA","LUEDHI","year19","allver","smallc","3Bands","Vertic","Animal","Plants","Center","Wavess","Builds","Waters","staRED","staWHI","NO_GRE","NO_YEL","NO_BLA","myrBLU","island","englis","unjack","southc","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links: "https://en.wikipedia.org/wiki/Flag_of_Alagoas"},</v>
      </c>
      <c r="HH4" s="48" t="str">
        <f t="shared" ref="HH4:HH28" si="174">IF(P4&lt;&gt;"",CHAR(34)&amp;"\n"&amp;P4&amp;CHAR(34),CHAR(34)&amp;CHAR(34))</f>
        <v>"\nThe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v>
      </c>
      <c r="HI4" s="48" t="str">
        <f t="shared" ref="HI4:HI28" si="175">IF(J4=0,CHAR(34)&amp;CHAR(34),HH4)</f>
        <v>"\nThe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v>
      </c>
      <c r="HJ4" s="48" t="str">
        <f t="shared" ref="HJ4:HJ28" si="176">CHAR(34)&amp;O4&amp;CHAR(34)</f>
        <v>"1963 "</v>
      </c>
      <c r="HL4" s="48" t="str">
        <f t="shared" ref="HL4:HL28" si="177">CHAR(34)&amp;I4&amp;CHAR(34)</f>
        <v>"https://en.wikipedia.org/wiki/Flag_of_Alagoas"</v>
      </c>
      <c r="HM4" s="72" t="str">
        <f t="shared" ref="HM4:HM28" si="178">"{"&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{"couname":"[BRA] Alagoas","year":"1963 ","region":"rgn_South America","Colors":["cl_RED","cl_WHI","cl_BLU"],"Items":["3Color","lets07","startA","LUEDHI","year19","allver","smallc","3Bands","Vertic","Animal","Plants","Center","Wavess","Builds","Waters","staRED","staWHI","NO_GRE","NO_YEL","NO_BLA","myrBLU","island","englis","unjack","southc","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 "links": "https://en.wikipedia.org/wiki/Flag_of_Alagoas"},</v>
      </c>
      <c r="HN4" s="74" t="str">
        <f t="shared" ref="HN4:HN28" si="179">"{"&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{"couname":"[BRA] Alagoas","year":"1963 ","region":"rgn_South America","Colors":["cl_RED","cl_WHI","cl_BLU"],"Items":["3Color","lets07","startA","LUEDHI","year19","allver","smallc","3Bands","Vertic","Animal","Plants","Center","Wavess","Builds","Waters","staRED","staWHI","NO_GRE","NO_YEL","NO_BLA","myrBLU","island","englis","unjack","southc","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 "links": "https://en.wikipedia.org/wiki/Flag_of_Alagoas"},</v>
      </c>
      <c r="HO4" s="75"/>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t="s">
        <v>172</v>
      </c>
      <c r="IB4" s="6" t="s">
        <v>172</v>
      </c>
      <c r="IC4" s="77"/>
      <c r="ID4" s="77"/>
      <c r="IE4" s="77"/>
      <c r="IF4" s="77"/>
      <c r="IG4" s="77"/>
      <c r="IH4" s="77"/>
      <c r="II4" s="77"/>
      <c r="IJ4" s="77"/>
      <c r="IK4" s="77"/>
      <c r="IL4" s="48">
        <f>SUM(IC4:IK4)</f>
        <v>0</v>
      </c>
      <c r="IM4" s="45">
        <f t="shared" ref="IM4:IM28" si="180">COUNTIF(IC4:IK4,"&gt;0")-CG4</f>
        <v>-3</v>
      </c>
      <c r="IN4" s="78" t="str">
        <f t="shared" ref="IN4:IN28" si="181">"http://mkweb.bcgsc.ca/color-summarizer/?url="&amp;D4&amp;"&amp;precision=low&amp;num_clusters="&amp;CG4&amp;"&amp;text=1"</f>
        <v>http://mkweb.bcgsc.ca/color-summarizer/?url=https://upload.wikimedia.org/wikipedia/commons/thumb/8/88/Bandeira_de_Alagoas.svg/640px-Bandeira_de_Alagoas.svg.png&amp;precision=low&amp;num_clusters=3&amp;text=1</v>
      </c>
      <c r="IO4" s="48" t="str">
        <f t="shared" ref="IO4:IO28" si="182">IF(HP4&lt;&gt;"",CHAR(34)&amp;"black"&amp;CHAR(34),"")</f>
        <v/>
      </c>
      <c r="IP4" s="48" t="str">
        <f t="shared" ref="IP4:IP28" si="183">IF(HQ4&lt;&gt;"",CHAR(34)&amp;"blue"&amp;CHAR(34),"")</f>
        <v>"blue"</v>
      </c>
      <c r="IQ4" s="48" t="str">
        <f t="shared" ref="IQ4:IQ28" si="184">IF(HR4&lt;&gt;"",CHAR(34)&amp;"green"&amp;CHAR(34),"")</f>
        <v/>
      </c>
      <c r="IR4" s="48" t="str">
        <f t="shared" ref="IR4:IR28" si="185">IF(HS4&lt;&gt;"",CHAR(34)&amp;"red"&amp;CHAR(34),"")</f>
        <v>"red"</v>
      </c>
      <c r="IS4" s="48" t="str">
        <f t="shared" ref="IS4:IS28" si="186">IF(HT4&lt;&gt;"",CHAR(34)&amp;"yellow"&amp;CHAR(34),"")</f>
        <v/>
      </c>
      <c r="IT4" s="48" t="str">
        <f t="shared" ref="IT4:IT28" si="187">IF(HU4&lt;&gt;"",CHAR(34)&amp;"orange"&amp;CHAR(34),"")</f>
        <v/>
      </c>
      <c r="IU4" s="48" t="str">
        <f t="shared" ref="IU4:IU28" si="188">IF(HV4&lt;&gt;"",CHAR(34)&amp;"brown"&amp;CHAR(34),"")</f>
        <v/>
      </c>
      <c r="IV4" s="48" t="str">
        <f t="shared" ref="IV4:IV28" si="189">IF(HW4&lt;&gt;"",CHAR(34)&amp;"purple"&amp;CHAR(34),"")</f>
        <v/>
      </c>
      <c r="IW4" s="48" t="str">
        <f t="shared" ref="IW4:IW28" si="190">IF(HX4&lt;&gt;"",CHAR(34)&amp;"white"&amp;CHAR(34),"")</f>
        <v>"white"</v>
      </c>
      <c r="IX4" s="48" t="str">
        <f t="shared" ref="IX4:IX28" si="191">"{"&amp;CHAR(34)&amp;"url"&amp;CHAR(34)&amp;":"&amp;CHAR(34)&amp;IN4&amp;CHAR(34)&amp;","&amp;CHAR(34)&amp;"name"&amp;CHAR(34)&amp;":"&amp;CHAR(34)&amp;A4&amp;CHAR(34)&amp;"},"</f>
        <v>{"url":"http://mkweb.bcgsc.ca/color-summarizer/?url=https://upload.wikimedia.org/wikipedia/commons/thumb/8/88/Bandeira_de_Alagoas.svg/640px-Bandeira_de_Alagoas.svg.png&amp;precision=low&amp;num_clusters=3&amp;text=1","name":"[BRA] Alagoas"},</v>
      </c>
      <c r="IY4" s="48">
        <v>153</v>
      </c>
    </row>
    <row r="5" spans="1:259" s="48" customFormat="1" ht="38.4" customHeight="1" thickBot="1" x14ac:dyDescent="0.35">
      <c r="A5" s="79" t="s">
        <v>399</v>
      </c>
      <c r="B5" s="40" t="e" vm="27">
        <v>#VALUE!</v>
      </c>
      <c r="C5" s="41">
        <v>2</v>
      </c>
      <c r="D5" s="42" t="s">
        <v>400</v>
      </c>
      <c r="E5" s="43" t="s">
        <v>401</v>
      </c>
      <c r="F5" s="44" t="s">
        <v>166</v>
      </c>
      <c r="G5" s="45">
        <f>COUNTIF($A$1:$A$8312,A5)</f>
        <v>1</v>
      </c>
      <c r="H5" s="46"/>
      <c r="I5" s="47" t="s">
        <v>402</v>
      </c>
      <c r="J5" s="48" t="str">
        <f>""</f>
        <v/>
      </c>
      <c r="K5" s="49"/>
      <c r="L5" s="50"/>
      <c r="M5" s="50"/>
      <c r="N5" s="51" t="s">
        <v>169</v>
      </c>
      <c r="O5" s="52" t="s">
        <v>403</v>
      </c>
      <c r="P5" s="53" t="s">
        <v>404</v>
      </c>
      <c r="Q5" s="54">
        <v>1</v>
      </c>
      <c r="R5" s="55" t="s">
        <v>169</v>
      </c>
      <c r="S5" s="56">
        <v>9</v>
      </c>
      <c r="T5" s="57" t="s">
        <v>173</v>
      </c>
      <c r="U5" s="58" t="s">
        <v>172</v>
      </c>
      <c r="V5" s="58" t="s">
        <v>173</v>
      </c>
      <c r="W5" s="58" t="s">
        <v>172</v>
      </c>
      <c r="X5" s="58" t="s">
        <v>172</v>
      </c>
      <c r="Y5" s="58" t="s">
        <v>172</v>
      </c>
      <c r="Z5" s="58" t="s">
        <v>172</v>
      </c>
      <c r="AA5" s="58" t="s">
        <v>172</v>
      </c>
      <c r="AB5" s="58" t="s">
        <v>172</v>
      </c>
      <c r="AC5" s="58" t="s">
        <v>172</v>
      </c>
      <c r="AD5" s="58" t="s">
        <v>172</v>
      </c>
      <c r="AE5" s="58" t="s">
        <v>172</v>
      </c>
      <c r="AF5" s="59" t="s">
        <v>172</v>
      </c>
      <c r="AG5" s="59" t="s">
        <v>172</v>
      </c>
      <c r="AH5" s="59" t="s">
        <v>172</v>
      </c>
      <c r="AI5" s="59" t="s">
        <v>172</v>
      </c>
      <c r="AJ5" s="59" t="s">
        <v>172</v>
      </c>
      <c r="AK5" s="59" t="s">
        <v>172</v>
      </c>
      <c r="AL5" s="59" t="s">
        <v>172</v>
      </c>
      <c r="AM5" s="59" t="s">
        <v>172</v>
      </c>
      <c r="AN5" s="59" t="s">
        <v>172</v>
      </c>
      <c r="AO5" s="59" t="s">
        <v>172</v>
      </c>
      <c r="AP5" s="59" t="s">
        <v>172</v>
      </c>
      <c r="AQ5" s="59" t="s">
        <v>172</v>
      </c>
      <c r="AR5" s="59" t="s">
        <v>172</v>
      </c>
      <c r="AS5" s="59" t="s">
        <v>172</v>
      </c>
      <c r="AT5" s="60">
        <v>0</v>
      </c>
      <c r="AU5" s="59" t="s">
        <v>383</v>
      </c>
      <c r="AV5" s="59" t="str">
        <f>IF(LEFT(A5,1)="[",LEFT(A5,5)&amp;AU5&amp;A5,"")</f>
        <v>[BRA]State[BRA] Amapá</v>
      </c>
      <c r="AW5" s="59" t="str">
        <f>C5&amp;H5&amp;A5</f>
        <v>2[BRA] Amapá</v>
      </c>
      <c r="AX5" s="61"/>
      <c r="AY5" s="61"/>
      <c r="AZ5" s="62" t="s">
        <v>174</v>
      </c>
      <c r="BA5" s="62" t="s">
        <v>174</v>
      </c>
      <c r="BB5" s="62"/>
      <c r="BC5" s="63"/>
      <c r="BD5" s="64" t="s">
        <v>217</v>
      </c>
      <c r="BE5" s="47"/>
      <c r="BF5" s="64" t="s">
        <v>174</v>
      </c>
      <c r="BG5" s="64" t="s">
        <v>174</v>
      </c>
      <c r="BH5" s="64" t="s">
        <v>174</v>
      </c>
      <c r="BI5" s="64"/>
      <c r="BJ5" s="64"/>
      <c r="BK5" s="47"/>
      <c r="BL5" s="64" t="s">
        <v>151</v>
      </c>
      <c r="BM5" s="64" t="s">
        <v>152</v>
      </c>
      <c r="BN5" s="64" t="s">
        <v>174</v>
      </c>
      <c r="BO5" s="64" t="s">
        <v>154</v>
      </c>
      <c r="BP5" s="64" t="s">
        <v>155</v>
      </c>
      <c r="BQ5" s="64" t="s">
        <v>174</v>
      </c>
      <c r="BR5" s="64" t="s">
        <v>157</v>
      </c>
      <c r="BS5" s="64" t="s">
        <v>174</v>
      </c>
      <c r="BT5" s="64" t="s">
        <v>159</v>
      </c>
      <c r="BU5" s="65"/>
      <c r="BV5" s="66"/>
      <c r="BW5" s="66">
        <v>0</v>
      </c>
      <c r="BX5" s="47"/>
      <c r="CB5" s="6"/>
      <c r="CC5" s="6"/>
      <c r="CD5" s="67">
        <v>0</v>
      </c>
      <c r="CE5" s="67">
        <v>0</v>
      </c>
      <c r="CF5" s="67" t="e">
        <v>#REF!</v>
      </c>
      <c r="CG5" s="68" cm="1">
        <f t="array" ref="CG5">SUMPRODUCT(--(LEN(TRIM(BL5:BT5))&gt;0))</f>
        <v>6</v>
      </c>
      <c r="CH5" s="59" t="str">
        <f t="shared" si="104"/>
        <v>n</v>
      </c>
      <c r="CI5" s="59" t="str">
        <f t="shared" si="105"/>
        <v>n</v>
      </c>
      <c r="CJ5" s="59" t="str">
        <f t="shared" si="106"/>
        <v>n</v>
      </c>
      <c r="CK5" s="59" t="str">
        <f t="shared" si="107"/>
        <v>y</v>
      </c>
      <c r="CL5" s="59" t="str">
        <f t="shared" si="108"/>
        <v>n</v>
      </c>
      <c r="CM5" s="59" t="str">
        <f t="shared" si="109"/>
        <v>n</v>
      </c>
      <c r="CN5" s="59" t="str">
        <f t="shared" si="110"/>
        <v>n</v>
      </c>
      <c r="CO5" s="59" t="str">
        <f t="shared" si="111"/>
        <v>y</v>
      </c>
      <c r="CP5" s="59" t="str">
        <f t="shared" si="112"/>
        <v>y</v>
      </c>
      <c r="CQ5" s="59" t="str">
        <f t="shared" si="113"/>
        <v>n</v>
      </c>
      <c r="CR5" s="59" t="str">
        <f t="shared" si="114"/>
        <v>n</v>
      </c>
      <c r="CS5" s="59" t="str">
        <f t="shared" si="115"/>
        <v>n</v>
      </c>
      <c r="CT5" s="69" t="str">
        <f t="shared" si="116"/>
        <v>"[BRA] Amapá"</v>
      </c>
      <c r="CU5" s="70" t="str">
        <f t="shared" si="117"/>
        <v>"rgn_South America"</v>
      </c>
      <c r="CV5" s="48" t="str">
        <f t="shared" si="118"/>
        <v>"https://upload.wikimedia.org/wikipedia/commons/thumb/0/0c/Bandeira_do_Amap%C3%A1.svg/640px-Bandeira_do_Amap%C3%A1.svg.png"</v>
      </c>
      <c r="CW5" s="48" t="str">
        <f t="shared" si="15"/>
        <v/>
      </c>
      <c r="CX5" s="48" t="str">
        <f t="shared" si="15"/>
        <v/>
      </c>
      <c r="CY5" s="48" t="str">
        <f t="shared" si="15"/>
        <v/>
      </c>
      <c r="CZ5" s="48" t="str">
        <f t="shared" si="15"/>
        <v>"5+Colo",</v>
      </c>
      <c r="DA5" s="48" t="str">
        <f t="shared" si="119"/>
        <v/>
      </c>
      <c r="DB5" s="48" t="str">
        <f t="shared" si="120"/>
        <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"lets05",</v>
      </c>
      <c r="DE5" s="48" t="str">
        <f>CHAR(34)&amp;"start"&amp;IFERROR(LEFT(SUBSTITUTE(A5,"["&amp;MID(A5,FIND("[",A5)+1,FIND("]",A5)-FIND("[",A5)-1)&amp;"] ",""),1),LEFT(A5,1))&amp;CHAR(34)&amp;","</f>
        <v>"startA",</v>
      </c>
      <c r="DF5" s="48" t="str">
        <f t="shared" si="121"/>
        <v/>
      </c>
      <c r="DG5" s="48" t="str">
        <f t="shared" si="122"/>
        <v/>
      </c>
      <c r="DH5" s="48" t="str">
        <f t="shared" si="123"/>
        <v/>
      </c>
      <c r="DI5" s="48" t="str">
        <f t="shared" si="124"/>
        <v/>
      </c>
      <c r="DJ5" s="48" t="str">
        <f t="shared" si="125"/>
        <v/>
      </c>
      <c r="DK5" s="48" t="str">
        <f t="shared" si="126"/>
        <v/>
      </c>
      <c r="DL5" s="48" t="str">
        <f t="shared" si="127"/>
        <v/>
      </c>
      <c r="DM5" s="48" t="str" cm="1">
        <f t="array" ref="DM5">IF(CG5=3,CHAR(34) &amp; _xlfn.TEXTJOIN("", TRUE, RIGHT(HP5:HX5, 2)) &amp; CHAR(34) &amp; ",", "")</f>
        <v/>
      </c>
      <c r="DN5" s="48" t="str">
        <f t="shared" si="128"/>
        <v/>
      </c>
      <c r="DO5" s="48" t="str">
        <f t="shared" si="129"/>
        <v>"year19",</v>
      </c>
      <c r="DP5" s="6" t="str">
        <f t="shared" si="130"/>
        <v/>
      </c>
      <c r="DQ5" s="6" t="str">
        <f t="shared" si="131"/>
        <v/>
      </c>
      <c r="DR5" s="6" t="str">
        <f t="shared" si="132"/>
        <v/>
      </c>
      <c r="DS5" s="6" t="str">
        <f t="shared" si="133"/>
        <v/>
      </c>
      <c r="DT5" s="6" t="str">
        <f t="shared" si="134"/>
        <v>"allhor",</v>
      </c>
      <c r="DU5" s="6" t="str">
        <f t="shared" si="135"/>
        <v/>
      </c>
      <c r="DW5" s="48" t="str">
        <f t="shared" si="37"/>
        <v/>
      </c>
      <c r="DX5" s="48" t="str">
        <f t="shared" si="37"/>
        <v/>
      </c>
      <c r="DY5" s="48" t="str">
        <f t="shared" si="37"/>
        <v/>
      </c>
      <c r="DZ5" s="48" t="str">
        <f t="shared" si="37"/>
        <v>"4+Band",</v>
      </c>
      <c r="EA5" s="48" t="str">
        <f t="shared" si="38"/>
        <v>"Diagon",</v>
      </c>
      <c r="EB5" s="48" t="str">
        <f t="shared" si="38"/>
        <v/>
      </c>
      <c r="EC5" s="48" t="str">
        <f t="shared" si="38"/>
        <v>"Horizo",</v>
      </c>
      <c r="ED5" s="48" t="str">
        <f t="shared" si="38"/>
        <v/>
      </c>
      <c r="EE5" s="48" t="str">
        <f t="shared" si="38"/>
        <v/>
      </c>
      <c r="EF5" s="48" t="str">
        <f t="shared" si="136"/>
        <v/>
      </c>
      <c r="EG5" s="48" t="str">
        <f t="shared" si="40"/>
        <v/>
      </c>
      <c r="EH5" s="48" t="str">
        <f t="shared" si="40"/>
        <v/>
      </c>
      <c r="EI5" s="48" t="str">
        <f t="shared" si="40"/>
        <v/>
      </c>
      <c r="EJ5" s="48" t="str">
        <f t="shared" si="40"/>
        <v/>
      </c>
      <c r="EK5" s="48" t="str">
        <f t="shared" si="40"/>
        <v/>
      </c>
      <c r="EL5" s="48" t="str">
        <f t="shared" si="40"/>
        <v/>
      </c>
      <c r="EM5" s="48" t="str">
        <f t="shared" si="40"/>
        <v/>
      </c>
      <c r="EN5" s="48" t="str">
        <f t="shared" si="40"/>
        <v/>
      </c>
      <c r="EO5" s="48" t="str">
        <f t="shared" si="40"/>
        <v/>
      </c>
      <c r="EP5" s="48" t="str">
        <f t="shared" si="40"/>
        <v/>
      </c>
      <c r="EQ5" s="48" t="str">
        <f t="shared" si="40"/>
        <v/>
      </c>
      <c r="ER5" s="48" t="str">
        <f t="shared" si="40"/>
        <v/>
      </c>
      <c r="ES5" s="48" t="str">
        <f t="shared" si="40"/>
        <v/>
      </c>
      <c r="ET5" s="48" t="str">
        <f t="shared" si="40"/>
        <v/>
      </c>
      <c r="EU5" s="48" t="str">
        <f t="shared" si="40"/>
        <v/>
      </c>
      <c r="EV5" s="48" t="str">
        <f t="shared" si="40"/>
        <v/>
      </c>
      <c r="EW5" s="48" t="str">
        <f t="shared" si="40"/>
        <v/>
      </c>
      <c r="EX5" s="48" t="str">
        <f t="shared" si="40"/>
        <v/>
      </c>
      <c r="EY5" s="48" t="str">
        <f t="shared" si="40"/>
        <v/>
      </c>
      <c r="EZ5" s="48" t="str">
        <f t="shared" si="40"/>
        <v/>
      </c>
      <c r="FA5" s="48" t="str">
        <f t="shared" si="137"/>
        <v/>
      </c>
      <c r="FB5" s="48" t="str">
        <f t="shared" si="138"/>
        <v/>
      </c>
      <c r="FD5" s="48" t="str">
        <f t="shared" si="139"/>
        <v/>
      </c>
      <c r="FE5" s="48" t="str">
        <f t="shared" si="140"/>
        <v/>
      </c>
      <c r="FF5" s="48" t="str">
        <f t="shared" si="141"/>
        <v/>
      </c>
      <c r="FG5" s="48" t="str">
        <f t="shared" si="142"/>
        <v/>
      </c>
      <c r="FH5" s="48" t="str">
        <f t="shared" si="143"/>
        <v>"NO_GRE",</v>
      </c>
      <c r="FI5" s="48" t="str">
        <f t="shared" si="144"/>
        <v/>
      </c>
      <c r="FJ5" s="48" t="str">
        <f t="shared" si="145"/>
        <v/>
      </c>
      <c r="FK5" s="48" t="str">
        <f t="shared" si="146"/>
        <v/>
      </c>
      <c r="FL5" s="48" t="str">
        <f t="shared" si="147"/>
        <v/>
      </c>
      <c r="FM5" s="48" t="str">
        <f t="shared" si="148"/>
        <v/>
      </c>
      <c r="FN5" s="48" t="str">
        <f t="shared" si="149"/>
        <v/>
      </c>
      <c r="FO5" s="48" t="str">
        <f t="shared" si="150"/>
        <v/>
      </c>
      <c r="FP5" s="48" t="str">
        <f t="shared" si="151"/>
        <v/>
      </c>
      <c r="FQ5" s="48" t="str">
        <f t="shared" si="152"/>
        <v/>
      </c>
      <c r="FR5" s="48" t="str">
        <f t="shared" si="153"/>
        <v/>
      </c>
      <c r="FS5" s="48" t="str">
        <f t="shared" si="154"/>
        <v/>
      </c>
      <c r="FT5" s="48" t="str">
        <f t="shared" si="155"/>
        <v>"myrEQ",</v>
      </c>
      <c r="FU5" s="48" t="str">
        <f t="shared" si="156"/>
        <v/>
      </c>
      <c r="FV5" s="48" t="str">
        <f t="shared" si="157"/>
        <v/>
      </c>
      <c r="FW5" s="48" t="str">
        <f t="shared" si="158"/>
        <v/>
      </c>
      <c r="FY5" s="48" t="str">
        <f t="shared" si="159"/>
        <v/>
      </c>
      <c r="FZ5" s="48" t="str">
        <f t="shared" si="160"/>
        <v/>
      </c>
      <c r="GA5" s="48" t="str">
        <f t="shared" si="161"/>
        <v/>
      </c>
      <c r="GB5" s="48" t="str">
        <f t="shared" si="162"/>
        <v/>
      </c>
      <c r="GE5" s="48" t="str">
        <f t="shared" si="163"/>
        <v/>
      </c>
      <c r="GF5" s="48" t="str">
        <f t="shared" ref="GF5:GF18" si="192">IFERROR(IF(SEARCH("Historical",AU5)&gt;0,CHAR(34)&amp;"histor"&amp;CHAR(34)&amp;",",""),"")</f>
        <v/>
      </c>
      <c r="GG5" s="48" t="str">
        <f t="shared" si="164"/>
        <v/>
      </c>
      <c r="GH5" s="48" t="str">
        <f t="shared" si="165"/>
        <v/>
      </c>
      <c r="GI5" s="48" t="str">
        <f t="shared" si="166"/>
        <v/>
      </c>
      <c r="GJ5" s="48" t="str">
        <f t="shared" si="167"/>
        <v>"NoStar",</v>
      </c>
      <c r="GK5" s="48" t="str">
        <f t="shared" si="168"/>
        <v/>
      </c>
      <c r="GL5" s="48" t="str">
        <f t="shared" si="78"/>
        <v/>
      </c>
      <c r="GM5" s="48" t="str">
        <f t="shared" si="78"/>
        <v/>
      </c>
      <c r="GN5" s="48" t="str">
        <f t="shared" si="78"/>
        <v/>
      </c>
      <c r="GP5" s="48" t="str">
        <f t="shared" si="169"/>
        <v>"State"</v>
      </c>
      <c r="GS5" s="48" t="str">
        <f t="shared" si="170"/>
        <v>["5+Colo","lets05","startA","year19","allhor","4+Band","Diagon","Horizo","NO_GRE","myrEQ","NoStar"]</v>
      </c>
      <c r="GT5" s="48" t="str">
        <f t="shared" si="81"/>
        <v>"cl_BLA",</v>
      </c>
      <c r="GU5" s="48" t="str">
        <f t="shared" si="81"/>
        <v>"cl_BLU",</v>
      </c>
      <c r="GV5" s="48" t="str">
        <f t="shared" si="81"/>
        <v/>
      </c>
      <c r="GW5" s="48" t="str">
        <f t="shared" si="81"/>
        <v>"cl_RED",</v>
      </c>
      <c r="GX5" s="48" t="str">
        <f t="shared" si="81"/>
        <v>"cl_YEL",</v>
      </c>
      <c r="GY5" s="48" t="str">
        <f t="shared" si="81"/>
        <v/>
      </c>
      <c r="GZ5" s="48" t="str">
        <f t="shared" si="81"/>
        <v>"cl_BRO",</v>
      </c>
      <c r="HA5" s="48" t="str">
        <f t="shared" si="81"/>
        <v/>
      </c>
      <c r="HB5" s="48" t="str">
        <f t="shared" si="81"/>
        <v>"cl_WHI",</v>
      </c>
      <c r="HC5" s="48" t="str">
        <f t="shared" si="171"/>
        <v>["cl_BLA","cl_BLU","cl_RED","cl_YEL","cl_BRO","cl_WHI"]</v>
      </c>
      <c r="HE5" s="71"/>
      <c r="HF5" s="72" t="str">
        <f t="shared" si="172"/>
        <v>{couname:"[BRA] Amapá",year:"1984 ",region:"rgn_South America",Colors:["cl_BLA","cl_BLU","cl_RED","cl_YEL","cl_BRO","cl_WHI"],Items:["5+Colo","lets05","startA","year19","allhor","4+Band","Diagon","Horizo","NO_GRE","myrEQ","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links: "https://en.wikipedia.org/wiki/Flag_of_Amapá"},</v>
      </c>
      <c r="HG5" s="73" t="str">
        <f t="shared" si="173"/>
        <v>{couname:"[BRA] Amapá",year:"1984 ",region:"rgn_South America",Colors:["cl_BLA","cl_BLU","cl_RED","cl_YEL","cl_BRO","cl_WHI"],Items:["5+Colo","lets05","startA","year19","allhor","4+Band","Diagon","Horizo","NO_GRE","myrEQ","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links: "https://en.wikipedia.org/wiki/Flag_of_Amapá"},</v>
      </c>
      <c r="HH5" s="48" t="str">
        <f t="shared" si="174"/>
        <v>"\nThe green represents the forests; the yellow represents mineral wealth; the blue represents the sky; the white represents peace; black symbolizes the respect for those who died fighting for the state."</v>
      </c>
      <c r="HI5" s="48" t="str">
        <f t="shared" si="175"/>
        <v>"\nThe green represents the forests; the yellow represents mineral wealth; the blue represents the sky; the white represents peace; black symbolizes the respect for those who died fighting for the state."</v>
      </c>
      <c r="HJ5" s="48" t="str">
        <f t="shared" si="176"/>
        <v>"1984 "</v>
      </c>
      <c r="HL5" s="48" t="str">
        <f t="shared" si="177"/>
        <v>"https://en.wikipedia.org/wiki/Flag_of_Amapá"</v>
      </c>
      <c r="HM5" s="72" t="str">
        <f t="shared" si="178"/>
        <v>{"couname":"[BRA] Amapá","year":"1984 ","region":"rgn_South America","Colors":["cl_BLA","cl_BLU","cl_RED","cl_YEL","cl_BRO","cl_WHI"],"Items":["5+Colo","lets05","startA","year19","allhor","4+Band","Diagon","Horizo","NO_GRE","myrEQ","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 "links": "https://en.wikipedia.org/wiki/Flag_of_Amapá"},</v>
      </c>
      <c r="HN5" s="74" t="str">
        <f t="shared" si="179"/>
        <v>{"couname":"[BRA] Amapá","year":"1984 ","region":"rgn_South America","Colors":["cl_BLA","cl_BLU","cl_RED","cl_YEL","cl_BRO","cl_WHI"],"Items":["5+Colo","lets05","startA","year19","allhor","4+Band","Diagon","Horizo","NO_GRE","myrEQ","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 "links": "https://en.wikipedia.org/wiki/Flag_of_Amapá"},</v>
      </c>
      <c r="HO5" s="75">
        <v>45596</v>
      </c>
      <c r="HP5" s="48" t="str" cm="1">
        <f t="array" ref="HP5">IF(_xlfn.TEXTJOIN(", ", TRUE, IF(ISNUMBER(SEARCH("BLA", BL5:BT5)), COLUMN(BL5:BT5) - COLUMN(BL5) + 1, ""))&lt;&gt;"","BLA","")</f>
        <v>BLA</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BRO</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 t="shared" si="180"/>
        <v>-6</v>
      </c>
      <c r="IN5" s="78" t="str">
        <f t="shared" si="181"/>
        <v>http://mkweb.bcgsc.ca/color-summarizer/?url=https://upload.wikimedia.org/wikipedia/commons/thumb/0/0c/Bandeira_do_Amap%C3%A1.svg/640px-Bandeira_do_Amap%C3%A1.svg.png&amp;precision=low&amp;num_clusters=6&amp;text=1</v>
      </c>
      <c r="IO5" s="48" t="str">
        <f t="shared" si="182"/>
        <v>"black"</v>
      </c>
      <c r="IP5" s="48" t="str">
        <f t="shared" si="183"/>
        <v>"blue"</v>
      </c>
      <c r="IQ5" s="48" t="str">
        <f t="shared" si="184"/>
        <v/>
      </c>
      <c r="IR5" s="48" t="str">
        <f t="shared" si="185"/>
        <v>"red"</v>
      </c>
      <c r="IS5" s="48" t="str">
        <f t="shared" si="186"/>
        <v>"yellow"</v>
      </c>
      <c r="IT5" s="48" t="str">
        <f t="shared" si="187"/>
        <v/>
      </c>
      <c r="IU5" s="48" t="str">
        <f t="shared" si="188"/>
        <v>"brown"</v>
      </c>
      <c r="IV5" s="48" t="str">
        <f t="shared" si="189"/>
        <v/>
      </c>
      <c r="IW5" s="48" t="str">
        <f t="shared" si="190"/>
        <v>"white"</v>
      </c>
      <c r="IX5" s="48" t="str">
        <f t="shared" si="191"/>
        <v>{"url":"http://mkweb.bcgsc.ca/color-summarizer/?url=https://upload.wikimedia.org/wikipedia/commons/thumb/0/0c/Bandeira_do_Amap%C3%A1.svg/640px-Bandeira_do_Amap%C3%A1.svg.png&amp;precision=low&amp;num_clusters=6&amp;text=1","name":"[BRA] Amapá"},</v>
      </c>
      <c r="IY5" s="48">
        <v>1366</v>
      </c>
    </row>
    <row r="6" spans="1:259" s="48" customFormat="1" ht="38.4" customHeight="1" thickBot="1" x14ac:dyDescent="0.35">
      <c r="A6" s="79" t="s">
        <v>405</v>
      </c>
      <c r="B6" s="40" t="e" vm="28">
        <v>#VALUE!</v>
      </c>
      <c r="C6" s="41">
        <v>2</v>
      </c>
      <c r="D6" s="42" t="s">
        <v>406</v>
      </c>
      <c r="E6" s="43" t="s">
        <v>407</v>
      </c>
      <c r="F6" s="44" t="s">
        <v>166</v>
      </c>
      <c r="G6" s="45">
        <f>COUNTIF($A$1:$A$8312,A6)</f>
        <v>1</v>
      </c>
      <c r="H6" s="46"/>
      <c r="I6" s="47" t="s">
        <v>408</v>
      </c>
      <c r="J6" s="48" t="str">
        <f>""</f>
        <v/>
      </c>
      <c r="K6" s="49"/>
      <c r="L6" s="50"/>
      <c r="M6" s="50"/>
      <c r="N6" s="51" t="s">
        <v>169</v>
      </c>
      <c r="O6" s="52" t="s">
        <v>409</v>
      </c>
      <c r="P6" s="53" t="s">
        <v>410</v>
      </c>
      <c r="Q6" s="54">
        <v>1</v>
      </c>
      <c r="R6" s="55" t="s">
        <v>169</v>
      </c>
      <c r="S6" s="56">
        <v>3</v>
      </c>
      <c r="T6" s="57" t="s">
        <v>172</v>
      </c>
      <c r="U6" s="58" t="s">
        <v>172</v>
      </c>
      <c r="V6" s="58" t="s">
        <v>173</v>
      </c>
      <c r="W6" s="58" t="s">
        <v>172</v>
      </c>
      <c r="X6" s="58" t="s">
        <v>172</v>
      </c>
      <c r="Y6" s="58" t="s">
        <v>172</v>
      </c>
      <c r="Z6" s="58" t="s">
        <v>172</v>
      </c>
      <c r="AA6" s="58" t="s">
        <v>172</v>
      </c>
      <c r="AB6" s="58" t="s">
        <v>172</v>
      </c>
      <c r="AC6" s="58" t="s">
        <v>172</v>
      </c>
      <c r="AD6" s="58" t="s">
        <v>172</v>
      </c>
      <c r="AE6" s="58" t="s">
        <v>172</v>
      </c>
      <c r="AF6" s="59" t="s">
        <v>172</v>
      </c>
      <c r="AG6" s="59" t="s">
        <v>172</v>
      </c>
      <c r="AH6" s="59" t="s">
        <v>172</v>
      </c>
      <c r="AI6" s="59" t="s">
        <v>173</v>
      </c>
      <c r="AJ6" s="59" t="s">
        <v>172</v>
      </c>
      <c r="AK6" s="59" t="s">
        <v>172</v>
      </c>
      <c r="AL6" s="59" t="s">
        <v>172</v>
      </c>
      <c r="AM6" s="59" t="s">
        <v>172</v>
      </c>
      <c r="AN6" s="59" t="s">
        <v>172</v>
      </c>
      <c r="AO6" s="59" t="s">
        <v>172</v>
      </c>
      <c r="AP6" s="59" t="s">
        <v>172</v>
      </c>
      <c r="AQ6" s="59" t="s">
        <v>172</v>
      </c>
      <c r="AR6" s="59" t="s">
        <v>172</v>
      </c>
      <c r="AS6" s="59" t="s">
        <v>172</v>
      </c>
      <c r="AT6" s="60">
        <v>25</v>
      </c>
      <c r="AU6" s="59" t="s">
        <v>383</v>
      </c>
      <c r="AV6" s="59" t="str">
        <f>IF(LEFT(A6,1)="[",LEFT(A6,5)&amp;AU6&amp;A6,"")</f>
        <v>[BRA]State[BRA] Amazonas</v>
      </c>
      <c r="AW6" s="59" t="str">
        <f>C6&amp;H6&amp;A6</f>
        <v>2[BRA] Amazonas</v>
      </c>
      <c r="AX6" s="61"/>
      <c r="AY6" s="61"/>
      <c r="AZ6" s="62" t="s">
        <v>174</v>
      </c>
      <c r="BA6" s="62" t="s">
        <v>174</v>
      </c>
      <c r="BB6" s="62"/>
      <c r="BC6" s="63"/>
      <c r="BD6" s="64" t="s">
        <v>152</v>
      </c>
      <c r="BE6" s="47"/>
      <c r="BF6" s="64" t="s">
        <v>152</v>
      </c>
      <c r="BG6" s="64" t="s">
        <v>152</v>
      </c>
      <c r="BH6" s="64" t="s">
        <v>152</v>
      </c>
      <c r="BI6" s="64"/>
      <c r="BJ6" s="64"/>
      <c r="BK6" s="47"/>
      <c r="BL6" s="64" t="s">
        <v>151</v>
      </c>
      <c r="BM6" s="64" t="s">
        <v>152</v>
      </c>
      <c r="BN6" s="64" t="s">
        <v>174</v>
      </c>
      <c r="BO6" s="64" t="s">
        <v>154</v>
      </c>
      <c r="BP6" s="64" t="s">
        <v>155</v>
      </c>
      <c r="BQ6" s="64" t="s">
        <v>174</v>
      </c>
      <c r="BR6" s="64" t="s">
        <v>174</v>
      </c>
      <c r="BS6" s="64" t="s">
        <v>174</v>
      </c>
      <c r="BT6" s="64" t="s">
        <v>159</v>
      </c>
      <c r="BU6" s="65"/>
      <c r="BV6" s="66"/>
      <c r="BW6" s="66">
        <v>0</v>
      </c>
      <c r="BX6" s="47"/>
      <c r="CB6" s="6"/>
      <c r="CC6" s="6"/>
      <c r="CD6" s="67">
        <v>0</v>
      </c>
      <c r="CE6" s="67">
        <v>0</v>
      </c>
      <c r="CF6" s="67" t="e">
        <v>#REF!</v>
      </c>
      <c r="CG6" s="68" cm="1">
        <f t="array" ref="CG6">SUMPRODUCT(--(LEN(TRIM(BL6:BT6))&gt;0))</f>
        <v>5</v>
      </c>
      <c r="CH6" s="59" t="str">
        <f t="shared" si="104"/>
        <v>n</v>
      </c>
      <c r="CI6" s="59" t="str">
        <f t="shared" si="105"/>
        <v>n</v>
      </c>
      <c r="CJ6" s="59" t="str">
        <f t="shared" si="106"/>
        <v>n</v>
      </c>
      <c r="CK6" s="59" t="str">
        <f t="shared" si="107"/>
        <v>y</v>
      </c>
      <c r="CL6" s="59" t="str">
        <f t="shared" si="108"/>
        <v>n</v>
      </c>
      <c r="CM6" s="59" t="str">
        <f t="shared" si="109"/>
        <v>n</v>
      </c>
      <c r="CN6" s="59" t="str">
        <f t="shared" si="110"/>
        <v>y</v>
      </c>
      <c r="CO6" s="59" t="str">
        <f t="shared" si="111"/>
        <v>n</v>
      </c>
      <c r="CP6" s="59" t="str">
        <f t="shared" si="112"/>
        <v>n</v>
      </c>
      <c r="CQ6" s="59" t="str">
        <f t="shared" si="113"/>
        <v>n</v>
      </c>
      <c r="CR6" s="59" t="str">
        <f t="shared" si="114"/>
        <v>n</v>
      </c>
      <c r="CS6" s="59" t="str">
        <f t="shared" si="115"/>
        <v>y</v>
      </c>
      <c r="CT6" s="69" t="str">
        <f t="shared" si="116"/>
        <v>"[BRA] Amazonas"</v>
      </c>
      <c r="CU6" s="70" t="str">
        <f t="shared" si="117"/>
        <v>"rgn_South America"</v>
      </c>
      <c r="CV6" s="48" t="str">
        <f t="shared" si="118"/>
        <v>"https://upload.wikimedia.org/wikipedia/commons/thumb/6/6b/Bandeira_do_Amazonas.svg/640px-Bandeira_do_Amazonas.svg.png"</v>
      </c>
      <c r="CW6" s="48" t="str">
        <f t="shared" si="15"/>
        <v/>
      </c>
      <c r="CX6" s="48" t="str">
        <f t="shared" si="15"/>
        <v/>
      </c>
      <c r="CY6" s="48" t="str">
        <f t="shared" si="15"/>
        <v/>
      </c>
      <c r="CZ6" s="48" t="str">
        <f t="shared" si="15"/>
        <v>"5+Colo",</v>
      </c>
      <c r="DA6" s="48" t="str">
        <f t="shared" si="119"/>
        <v/>
      </c>
      <c r="DB6" s="48" t="str">
        <f t="shared" si="120"/>
        <v/>
      </c>
      <c r="DD6" s="48"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"lets08",</v>
      </c>
      <c r="DE6" s="48" t="str">
        <f>CHAR(34)&amp;"start"&amp;IFERROR(LEFT(SUBSTITUTE(A6,"["&amp;MID(A6,FIND("[",A6)+1,FIND("]",A6)-FIND("[",A6)-1)&amp;"] ",""),1),LEFT(A6,1))&amp;CHAR(34)&amp;","</f>
        <v>"startA",</v>
      </c>
      <c r="DF6" s="48" t="str">
        <f t="shared" si="121"/>
        <v/>
      </c>
      <c r="DG6" s="48" t="str">
        <f t="shared" si="122"/>
        <v/>
      </c>
      <c r="DH6" s="48" t="str">
        <f t="shared" si="123"/>
        <v/>
      </c>
      <c r="DI6" s="48" t="str">
        <f t="shared" si="124"/>
        <v/>
      </c>
      <c r="DJ6" s="48" t="str">
        <f t="shared" si="125"/>
        <v/>
      </c>
      <c r="DK6" s="48" t="str">
        <f t="shared" si="126"/>
        <v>"with_z",</v>
      </c>
      <c r="DL6" s="48" t="str">
        <f t="shared" si="127"/>
        <v/>
      </c>
      <c r="DM6" s="48" t="str" cm="1">
        <f t="array" ref="DM6">IF(CG6=3,CHAR(34) &amp; _xlfn.TEXTJOIN("", TRUE, RIGHT(HP6:HX6, 2)) &amp; CHAR(34) &amp; ",", "")</f>
        <v/>
      </c>
      <c r="DN6" s="48" t="str">
        <f t="shared" si="128"/>
        <v/>
      </c>
      <c r="DO6" s="48" t="str">
        <f t="shared" si="129"/>
        <v>"year19",</v>
      </c>
      <c r="DP6" s="6" t="str">
        <f t="shared" si="130"/>
        <v/>
      </c>
      <c r="DQ6" s="6" t="str">
        <f t="shared" si="131"/>
        <v/>
      </c>
      <c r="DR6" s="6" t="str">
        <f t="shared" si="132"/>
        <v/>
      </c>
      <c r="DS6" s="6" t="str">
        <f t="shared" si="133"/>
        <v/>
      </c>
      <c r="DT6" s="6" t="str">
        <f t="shared" si="134"/>
        <v>"allhor",</v>
      </c>
      <c r="DU6" s="6" t="str">
        <f t="shared" si="135"/>
        <v/>
      </c>
      <c r="DW6" s="48" t="str">
        <f t="shared" si="37"/>
        <v/>
      </c>
      <c r="DX6" s="48" t="str">
        <f t="shared" si="37"/>
        <v/>
      </c>
      <c r="DY6" s="48" t="str">
        <f t="shared" si="37"/>
        <v>"3Bands",</v>
      </c>
      <c r="DZ6" s="48" t="str">
        <f t="shared" si="37"/>
        <v/>
      </c>
      <c r="EA6" s="48" t="str">
        <f t="shared" si="38"/>
        <v/>
      </c>
      <c r="EB6" s="48" t="str">
        <f t="shared" si="38"/>
        <v/>
      </c>
      <c r="EC6" s="48" t="str">
        <f t="shared" si="38"/>
        <v>"Horizo",</v>
      </c>
      <c r="ED6" s="48" t="str">
        <f t="shared" si="38"/>
        <v/>
      </c>
      <c r="EE6" s="48" t="str">
        <f t="shared" si="38"/>
        <v/>
      </c>
      <c r="EF6" s="48" t="str">
        <f t="shared" si="136"/>
        <v/>
      </c>
      <c r="EG6" s="48" t="str">
        <f t="shared" si="40"/>
        <v/>
      </c>
      <c r="EH6" s="48" t="str">
        <f t="shared" si="40"/>
        <v/>
      </c>
      <c r="EI6" s="48" t="str">
        <f t="shared" si="40"/>
        <v/>
      </c>
      <c r="EJ6" s="48" t="str">
        <f t="shared" si="40"/>
        <v/>
      </c>
      <c r="EK6" s="48" t="str">
        <f t="shared" si="40"/>
        <v/>
      </c>
      <c r="EL6" s="48" t="str">
        <f t="shared" si="40"/>
        <v/>
      </c>
      <c r="EM6" s="48" t="str">
        <f t="shared" si="40"/>
        <v/>
      </c>
      <c r="EN6" s="48" t="str">
        <f t="shared" si="40"/>
        <v/>
      </c>
      <c r="EO6" s="48" t="str">
        <f t="shared" si="40"/>
        <v/>
      </c>
      <c r="EP6" s="48" t="str">
        <f t="shared" si="40"/>
        <v>"Canton",</v>
      </c>
      <c r="EQ6" s="48" t="str">
        <f t="shared" si="40"/>
        <v/>
      </c>
      <c r="ER6" s="48" t="str">
        <f t="shared" si="40"/>
        <v/>
      </c>
      <c r="ES6" s="48" t="str">
        <f t="shared" si="40"/>
        <v/>
      </c>
      <c r="ET6" s="48" t="str">
        <f t="shared" si="40"/>
        <v/>
      </c>
      <c r="EU6" s="48" t="str">
        <f t="shared" si="40"/>
        <v/>
      </c>
      <c r="EV6" s="48" t="str">
        <f t="shared" si="40"/>
        <v/>
      </c>
      <c r="EW6" s="48" t="str">
        <f t="shared" si="40"/>
        <v/>
      </c>
      <c r="EX6" s="48" t="str">
        <f t="shared" si="40"/>
        <v/>
      </c>
      <c r="EY6" s="48" t="str">
        <f t="shared" si="40"/>
        <v/>
      </c>
      <c r="EZ6" s="48" t="str">
        <f t="shared" si="40"/>
        <v/>
      </c>
      <c r="FA6" s="48" t="str">
        <f t="shared" si="137"/>
        <v>"sta",</v>
      </c>
      <c r="FB6" s="48" t="str">
        <f t="shared" si="138"/>
        <v/>
      </c>
      <c r="FD6" s="48" t="str">
        <f t="shared" si="139"/>
        <v/>
      </c>
      <c r="FE6" s="48" t="str">
        <f t="shared" si="140"/>
        <v/>
      </c>
      <c r="FF6" s="48" t="str">
        <f t="shared" si="141"/>
        <v/>
      </c>
      <c r="FG6" s="48" t="str">
        <f t="shared" si="142"/>
        <v/>
      </c>
      <c r="FH6" s="48" t="str">
        <f t="shared" si="143"/>
        <v>"NO_GRE",</v>
      </c>
      <c r="FI6" s="48" t="str">
        <f t="shared" si="144"/>
        <v/>
      </c>
      <c r="FJ6" s="48" t="str">
        <f t="shared" si="145"/>
        <v/>
      </c>
      <c r="FK6" s="48" t="str">
        <f t="shared" si="146"/>
        <v/>
      </c>
      <c r="FL6" s="48" t="str">
        <f t="shared" si="147"/>
        <v/>
      </c>
      <c r="FM6" s="48" t="str">
        <f t="shared" si="148"/>
        <v/>
      </c>
      <c r="FN6" s="48" t="str">
        <f t="shared" si="149"/>
        <v/>
      </c>
      <c r="FO6" s="48" t="str">
        <f t="shared" si="150"/>
        <v/>
      </c>
      <c r="FP6" s="48" t="str">
        <f t="shared" si="151"/>
        <v/>
      </c>
      <c r="FQ6" s="48" t="str">
        <f t="shared" si="152"/>
        <v>"001BLU",</v>
      </c>
      <c r="FR6" s="48" t="str">
        <f t="shared" si="153"/>
        <v>"002BLU",</v>
      </c>
      <c r="FS6" s="48" t="str">
        <f t="shared" si="154"/>
        <v>"003BLU",</v>
      </c>
      <c r="FT6" s="48" t="str">
        <f t="shared" si="155"/>
        <v>"myrBLU",</v>
      </c>
      <c r="FU6" s="48" t="str">
        <f t="shared" si="156"/>
        <v/>
      </c>
      <c r="FV6" s="48" t="str">
        <f t="shared" si="157"/>
        <v/>
      </c>
      <c r="FW6" s="48" t="str">
        <f t="shared" si="158"/>
        <v/>
      </c>
      <c r="FY6" s="48" t="str">
        <f t="shared" si="159"/>
        <v/>
      </c>
      <c r="FZ6" s="48" t="str">
        <f t="shared" si="160"/>
        <v/>
      </c>
      <c r="GA6" s="48" t="str">
        <f t="shared" si="161"/>
        <v/>
      </c>
      <c r="GB6" s="48" t="str">
        <f t="shared" si="162"/>
        <v/>
      </c>
      <c r="GE6" s="48" t="str">
        <f t="shared" si="163"/>
        <v/>
      </c>
      <c r="GF6" s="48" t="str">
        <f t="shared" si="192"/>
        <v/>
      </c>
      <c r="GG6" s="48" t="str">
        <f t="shared" si="164"/>
        <v/>
      </c>
      <c r="GH6" s="48" t="str">
        <f t="shared" si="165"/>
        <v/>
      </c>
      <c r="GI6" s="48" t="str">
        <f t="shared" si="166"/>
        <v/>
      </c>
      <c r="GJ6" s="48" t="str">
        <f t="shared" si="167"/>
        <v/>
      </c>
      <c r="GK6" s="48" t="str">
        <f t="shared" si="168"/>
        <v>"HasSta",</v>
      </c>
      <c r="GL6" s="48" t="str">
        <f t="shared" si="78"/>
        <v/>
      </c>
      <c r="GM6" s="48" t="str">
        <f t="shared" si="78"/>
        <v/>
      </c>
      <c r="GN6" s="48" t="str">
        <f t="shared" si="78"/>
        <v>"3+Star",</v>
      </c>
      <c r="GP6" s="48" t="str">
        <f t="shared" si="169"/>
        <v>"State"</v>
      </c>
      <c r="GS6" s="48" t="str">
        <f t="shared" si="170"/>
        <v>["5+Colo","lets08","startA","with_z","year19","allhor","3Bands","Horizo","Canton","sta","NO_GRE","001BLU","002BLU","003BLU","myrBLU","HasSta","3+Star"]</v>
      </c>
      <c r="GT6" s="48" t="str">
        <f t="shared" si="81"/>
        <v>"cl_BLA",</v>
      </c>
      <c r="GU6" s="48" t="str">
        <f t="shared" si="81"/>
        <v>"cl_BLU",</v>
      </c>
      <c r="GV6" s="48" t="str">
        <f t="shared" si="81"/>
        <v/>
      </c>
      <c r="GW6" s="48" t="str">
        <f t="shared" si="81"/>
        <v>"cl_RED",</v>
      </c>
      <c r="GX6" s="48" t="str">
        <f t="shared" si="81"/>
        <v>"cl_YEL",</v>
      </c>
      <c r="GY6" s="48" t="str">
        <f t="shared" si="81"/>
        <v/>
      </c>
      <c r="GZ6" s="48" t="str">
        <f t="shared" si="81"/>
        <v/>
      </c>
      <c r="HA6" s="48" t="str">
        <f t="shared" si="81"/>
        <v/>
      </c>
      <c r="HB6" s="48" t="str">
        <f t="shared" si="81"/>
        <v>"cl_WHI",</v>
      </c>
      <c r="HC6" s="48" t="str">
        <f t="shared" si="171"/>
        <v>["cl_BLA","cl_BLU","cl_RED","cl_YEL","cl_WHI"]</v>
      </c>
      <c r="HE6" s="71"/>
      <c r="HF6" s="72" t="str">
        <f t="shared" si="172"/>
        <v>{couname:"[BRA] Amazonas",year:"1982 ",region:"rgn_South America",Colors:["cl_BLA","cl_BLU","cl_RED","cl_YEL","cl_WHI"],Items:["5+Colo","lets08","startA","with_z","year19","allhor","3Bands","Horizo","Canton","sta","NO_GRE","001BLU","002BLU","003BLU","myrBLU","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links: "https://en.wikipedia.org/wiki/Flag_of_Amazonas_(Brazilian_state)"},</v>
      </c>
      <c r="HG6" s="73" t="str">
        <f t="shared" si="173"/>
        <v>{couname:"[BRA] Amazonas",year:"1982 ",region:"rgn_South America",Colors:["cl_BLA","cl_BLU","cl_RED","cl_YEL","cl_WHI"],Items:["5+Colo","lets08","startA","with_z","year19","allhor","3Bands","Horizo","Canton","sta","NO_GRE","001BLU","002BLU","003BLU","myrBLU","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links: "https://en.wikipedia.org/wiki/Flag_of_Amazonas_(Brazilian_state)"},</v>
      </c>
      <c r="HH6" s="48" t="str">
        <f t="shared" si="174"/>
        <v>"\nThe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v>
      </c>
      <c r="HI6" s="48" t="str">
        <f t="shared" si="175"/>
        <v>"\nThe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v>
      </c>
      <c r="HJ6" s="48" t="str">
        <f t="shared" si="176"/>
        <v>"1982 "</v>
      </c>
      <c r="HL6" s="48" t="str">
        <f t="shared" si="177"/>
        <v>"https://en.wikipedia.org/wiki/Flag_of_Amazonas_(Brazilian_state)"</v>
      </c>
      <c r="HM6" s="72" t="str">
        <f t="shared" si="178"/>
        <v>{"couname":"[BRA] Amazonas","year":"1982 ","region":"rgn_South America","Colors":["cl_BLA","cl_BLU","cl_RED","cl_YEL","cl_WHI"],"Items":["5+Colo","lets08","startA","with_z","year19","allhor","3Bands","Horizo","Canton","sta","NO_GRE","001BLU","002BLU","003BLU","myrBLU","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 "links": "https://en.wikipedia.org/wiki/Flag_of_Amazonas_(Brazilian_state)"},</v>
      </c>
      <c r="HN6" s="74" t="str">
        <f t="shared" si="179"/>
        <v>{"couname":"[BRA] Amazonas","year":"1982 ","region":"rgn_South America","Colors":["cl_BLA","cl_BLU","cl_RED","cl_YEL","cl_WHI"],"Items":["5+Colo","lets08","startA","with_z","year19","allhor","3Bands","Horizo","Canton","sta","NO_GRE","001BLU","002BLU","003BLU","myrBLU","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 "links": "https://en.wikipedia.org/wiki/Flag_of_Amazonas_(Brazilian_state)"},</v>
      </c>
      <c r="HO6" s="75">
        <v>45596</v>
      </c>
      <c r="HP6" s="48" t="str" cm="1">
        <f t="array" ref="HP6">IF(_xlfn.TEXTJOIN(", ", TRUE, IF(ISNUMBER(SEARCH("BLA", BL6:BT6)), COLUMN(BL6:BT6) - COLUMN(BL6) + 1, ""))&lt;&gt;"","BLA","")</f>
        <v>BLA</v>
      </c>
      <c r="HQ6" s="48" t="str" cm="1">
        <f t="array" ref="HQ6">IF(_xlfn.TEXTJOIN(", ", TRUE, IF(ISNUMBER(SEARCH("BLU", BL6:BT6)), COLUMN(BL6:BT6) - COLUMN(BL6) + 1, ""))&lt;&gt;"","BLU","")</f>
        <v>BLU</v>
      </c>
      <c r="HR6" s="48" t="str" cm="1">
        <f t="array" ref="HR6">IF(_xlfn.TEXTJOIN(", ", TRUE, IF(ISNUMBER(SEARCH("GRE", BL6:BT6)), COLUMN(BL6:BT6) - COLUMN(BL6) + 1, ""))&lt;&gt;"","GRE","")</f>
        <v/>
      </c>
      <c r="HS6" s="48" t="str" cm="1">
        <f t="array" ref="HS6">IF(_xlfn.TEXTJOIN(", ", TRUE, IF(ISNUMBER(SEARCH("RED", BL6:BT6)), COLUMN(BL6:BT6) - COLUMN(BL6) + 1, ""))&lt;&gt;"","RED","")</f>
        <v>RED</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M6" s="45">
        <f t="shared" si="180"/>
        <v>-5</v>
      </c>
      <c r="IN6" s="78" t="str">
        <f t="shared" si="181"/>
        <v>http://mkweb.bcgsc.ca/color-summarizer/?url=https://upload.wikimedia.org/wikipedia/commons/thumb/6/6b/Bandeira_do_Amazonas.svg/640px-Bandeira_do_Amazonas.svg.png&amp;precision=low&amp;num_clusters=5&amp;text=1</v>
      </c>
      <c r="IO6" s="48" t="str">
        <f t="shared" si="182"/>
        <v>"black"</v>
      </c>
      <c r="IP6" s="48" t="str">
        <f t="shared" si="183"/>
        <v>"blue"</v>
      </c>
      <c r="IQ6" s="48" t="str">
        <f t="shared" si="184"/>
        <v/>
      </c>
      <c r="IR6" s="48" t="str">
        <f t="shared" si="185"/>
        <v>"red"</v>
      </c>
      <c r="IS6" s="48" t="str">
        <f t="shared" si="186"/>
        <v>"yellow"</v>
      </c>
      <c r="IT6" s="48" t="str">
        <f t="shared" si="187"/>
        <v/>
      </c>
      <c r="IU6" s="48" t="str">
        <f t="shared" si="188"/>
        <v/>
      </c>
      <c r="IV6" s="48" t="str">
        <f t="shared" si="189"/>
        <v/>
      </c>
      <c r="IW6" s="48" t="str">
        <f t="shared" si="190"/>
        <v>"white"</v>
      </c>
      <c r="IX6" s="48" t="str">
        <f t="shared" si="191"/>
        <v>{"url":"http://mkweb.bcgsc.ca/color-summarizer/?url=https://upload.wikimedia.org/wikipedia/commons/thumb/6/6b/Bandeira_do_Amazonas.svg/640px-Bandeira_do_Amazonas.svg.png&amp;precision=low&amp;num_clusters=5&amp;text=1","name":"[BRA] Amazonas"},</v>
      </c>
      <c r="IY6" s="48">
        <v>1369</v>
      </c>
    </row>
    <row r="7" spans="1:259" s="48" customFormat="1" ht="38.4" customHeight="1" thickBot="1" x14ac:dyDescent="0.35">
      <c r="A7" s="79" t="s">
        <v>411</v>
      </c>
      <c r="B7" s="40" t="e" vm="29">
        <v>#VALUE!</v>
      </c>
      <c r="C7" s="41">
        <v>2</v>
      </c>
      <c r="D7" s="42" t="s">
        <v>412</v>
      </c>
      <c r="E7" s="43" t="s">
        <v>413</v>
      </c>
      <c r="F7" s="44" t="s">
        <v>166</v>
      </c>
      <c r="G7" s="45">
        <f>COUNTIF($A$1:$A$8312,A7)</f>
        <v>1</v>
      </c>
      <c r="H7" s="46"/>
      <c r="I7" s="47" t="s">
        <v>414</v>
      </c>
      <c r="J7" s="48" t="str">
        <f>""</f>
        <v/>
      </c>
      <c r="K7" s="49"/>
      <c r="L7" s="50"/>
      <c r="M7" s="50"/>
      <c r="N7" s="51" t="s">
        <v>169</v>
      </c>
      <c r="O7" s="52" t="s">
        <v>415</v>
      </c>
      <c r="P7" s="53" t="s">
        <v>416</v>
      </c>
      <c r="Q7" s="54">
        <v>1</v>
      </c>
      <c r="R7" s="55" t="s">
        <v>169</v>
      </c>
      <c r="S7" s="56">
        <v>4</v>
      </c>
      <c r="T7" s="57" t="s">
        <v>172</v>
      </c>
      <c r="U7" s="58" t="s">
        <v>172</v>
      </c>
      <c r="V7" s="58" t="s">
        <v>173</v>
      </c>
      <c r="W7" s="58" t="s">
        <v>172</v>
      </c>
      <c r="X7" s="58" t="s">
        <v>172</v>
      </c>
      <c r="Y7" s="58" t="s">
        <v>172</v>
      </c>
      <c r="Z7" s="58" t="s">
        <v>172</v>
      </c>
      <c r="AA7" s="58" t="s">
        <v>172</v>
      </c>
      <c r="AB7" s="58" t="s">
        <v>172</v>
      </c>
      <c r="AC7" s="58" t="s">
        <v>172</v>
      </c>
      <c r="AD7" s="58" t="s">
        <v>172</v>
      </c>
      <c r="AE7" s="58" t="s">
        <v>172</v>
      </c>
      <c r="AF7" s="59" t="s">
        <v>172</v>
      </c>
      <c r="AG7" s="59" t="s">
        <v>172</v>
      </c>
      <c r="AH7" s="59" t="s">
        <v>172</v>
      </c>
      <c r="AI7" s="59" t="s">
        <v>173</v>
      </c>
      <c r="AJ7" s="59" t="s">
        <v>172</v>
      </c>
      <c r="AK7" s="59" t="s">
        <v>172</v>
      </c>
      <c r="AL7" s="59" t="s">
        <v>172</v>
      </c>
      <c r="AM7" s="59" t="s">
        <v>172</v>
      </c>
      <c r="AN7" s="59" t="s">
        <v>172</v>
      </c>
      <c r="AO7" s="59" t="s">
        <v>172</v>
      </c>
      <c r="AP7" s="59" t="s">
        <v>172</v>
      </c>
      <c r="AQ7" s="59" t="s">
        <v>172</v>
      </c>
      <c r="AR7" s="59" t="s">
        <v>172</v>
      </c>
      <c r="AS7" s="59" t="s">
        <v>172</v>
      </c>
      <c r="AT7" s="60">
        <v>0</v>
      </c>
      <c r="AU7" s="59" t="s">
        <v>383</v>
      </c>
      <c r="AV7" s="59" t="str">
        <f>IF(LEFT(A7,1)="[",LEFT(A7,5)&amp;AU7&amp;A7,"")</f>
        <v>[BRA]State[BRA] Bahia</v>
      </c>
      <c r="AW7" s="59" t="str">
        <f>C7&amp;H7&amp;A7</f>
        <v>2[BRA] Bahia</v>
      </c>
      <c r="AX7" s="61"/>
      <c r="AY7" s="61"/>
      <c r="AZ7" s="62" t="s">
        <v>152</v>
      </c>
      <c r="BA7" s="62" t="s">
        <v>152</v>
      </c>
      <c r="BB7" s="62"/>
      <c r="BC7" s="63"/>
      <c r="BD7" s="64" t="s">
        <v>217</v>
      </c>
      <c r="BE7" s="47"/>
      <c r="BF7" s="64" t="s">
        <v>152</v>
      </c>
      <c r="BG7" s="64" t="s">
        <v>174</v>
      </c>
      <c r="BH7" s="64" t="s">
        <v>155</v>
      </c>
      <c r="BI7" s="64"/>
      <c r="BJ7" s="64"/>
      <c r="BK7" s="47"/>
      <c r="BL7" s="64" t="s">
        <v>174</v>
      </c>
      <c r="BM7" s="64" t="s">
        <v>152</v>
      </c>
      <c r="BN7" s="64" t="s">
        <v>174</v>
      </c>
      <c r="BO7" s="64" t="s">
        <v>174</v>
      </c>
      <c r="BP7" s="64" t="s">
        <v>155</v>
      </c>
      <c r="BQ7" s="64" t="s">
        <v>174</v>
      </c>
      <c r="BR7" s="64" t="s">
        <v>174</v>
      </c>
      <c r="BS7" s="64" t="s">
        <v>174</v>
      </c>
      <c r="BT7" s="64" t="s">
        <v>174</v>
      </c>
      <c r="BU7" s="65"/>
      <c r="BV7" s="66"/>
      <c r="BW7" s="66">
        <v>0</v>
      </c>
      <c r="BX7" s="47"/>
      <c r="BY7" s="48" t="s">
        <v>172</v>
      </c>
      <c r="CB7" s="6"/>
      <c r="CC7" s="6"/>
      <c r="CD7" s="67">
        <v>0</v>
      </c>
      <c r="CE7" s="67">
        <v>0</v>
      </c>
      <c r="CF7" s="67" t="e">
        <v>#REF!</v>
      </c>
      <c r="CG7" s="68" cm="1">
        <f t="array" ref="CG7">SUMPRODUCT(--(LEN(TRIM(BL7:BT7))&gt;0))</f>
        <v>2</v>
      </c>
      <c r="CH7" s="59" t="str">
        <f t="shared" si="104"/>
        <v>y</v>
      </c>
      <c r="CI7" s="59" t="str">
        <f t="shared" si="105"/>
        <v>n</v>
      </c>
      <c r="CJ7" s="59" t="str">
        <f t="shared" si="106"/>
        <v>n</v>
      </c>
      <c r="CK7" s="59" t="str">
        <f t="shared" si="107"/>
        <v>n</v>
      </c>
      <c r="CL7" s="59" t="str">
        <f t="shared" si="108"/>
        <v>n</v>
      </c>
      <c r="CM7" s="59" t="str">
        <f t="shared" si="109"/>
        <v>n</v>
      </c>
      <c r="CN7" s="59" t="str">
        <f t="shared" si="110"/>
        <v>n</v>
      </c>
      <c r="CO7" s="59" t="str">
        <f t="shared" si="111"/>
        <v>y</v>
      </c>
      <c r="CP7" s="59" t="str">
        <f t="shared" si="112"/>
        <v>y</v>
      </c>
      <c r="CQ7" s="59" t="str">
        <f t="shared" si="113"/>
        <v>n</v>
      </c>
      <c r="CR7" s="59" t="str">
        <f t="shared" si="114"/>
        <v>n</v>
      </c>
      <c r="CS7" s="59" t="str">
        <f t="shared" si="115"/>
        <v>n</v>
      </c>
      <c r="CT7" s="69" t="str">
        <f t="shared" si="116"/>
        <v>"[BRA] Bahia"</v>
      </c>
      <c r="CU7" s="70" t="str">
        <f t="shared" si="117"/>
        <v>"rgn_South America"</v>
      </c>
      <c r="CV7" s="48" t="str">
        <f t="shared" si="118"/>
        <v>"https://upload.wikimedia.org/wikipedia/commons/thumb/2/28/Bandeira_da_Bahia.svg/640px-Bandeira_da_Bahia.svg.png"</v>
      </c>
      <c r="CW7" s="48" t="str">
        <f t="shared" si="15"/>
        <v>"2Color",</v>
      </c>
      <c r="CX7" s="48" t="str">
        <f t="shared" si="15"/>
        <v/>
      </c>
      <c r="CY7" s="48" t="str">
        <f t="shared" si="15"/>
        <v/>
      </c>
      <c r="CZ7" s="48" t="str">
        <f t="shared" si="15"/>
        <v/>
      </c>
      <c r="DA7" s="48" t="str">
        <f t="shared" si="119"/>
        <v/>
      </c>
      <c r="DB7" s="48" t="str">
        <f t="shared" si="120"/>
        <v/>
      </c>
      <c r="DD7" s="48" t="str">
        <f>IF(LEN(CHAR(34)&amp;"lets"&amp;LEN(SUBSTITUTE(SUBSTITUTE(IFERROR(TRIM(SUBSTITUTE(A7,MID(A7,FIND("[",A7),FIND("]",A7)-FIND("[",A7)+1),"")),A7)," ",""),"-",""))&amp;CHAR(34)&amp;",")=9,CHAR(34)&amp;"lets"&amp;LEN(SUBSTITUTE(SUBSTITUTE(IFERROR(TRIM(SUBSTITUTE(A7,MID(A7,FIND("[",A7),FIND("]",A7)-FIND("[",A7)+1),"")),A7)," ",""),"-",""))&amp;CHAR(34)&amp;",",CHAR(34)&amp;"lets0"&amp;LEN(SUBSTITUTE(SUBSTITUTE(IFERROR(TRIM(SUBSTITUTE(A7,MID(A7,FIND("[",A7),FIND("]",A7)-FIND("[",A7)+1),"")),A7)," ",""),"-",""))&amp;CHAR(34)&amp;",")</f>
        <v>"lets05",</v>
      </c>
      <c r="DE7" s="48" t="str">
        <f>CHAR(34)&amp;"start"&amp;IFERROR(LEFT(SUBSTITUTE(A7,"["&amp;MID(A7,FIND("[",A7)+1,FIND("]",A7)-FIND("[",A7)-1)&amp;"] ",""),1),LEFT(A7,1))&amp;CHAR(34)&amp;","</f>
        <v>"startB",</v>
      </c>
      <c r="DF7" s="48" t="str">
        <f t="shared" si="121"/>
        <v/>
      </c>
      <c r="DG7" s="48" t="str">
        <f t="shared" si="122"/>
        <v/>
      </c>
      <c r="DH7" s="48" t="str">
        <f t="shared" si="123"/>
        <v/>
      </c>
      <c r="DI7" s="48" t="str">
        <f t="shared" si="124"/>
        <v/>
      </c>
      <c r="DJ7" s="48" t="str">
        <f t="shared" si="125"/>
        <v/>
      </c>
      <c r="DK7" s="48" t="str">
        <f t="shared" si="126"/>
        <v/>
      </c>
      <c r="DL7" s="48" t="str">
        <f t="shared" si="127"/>
        <v>"BLUYEL",</v>
      </c>
      <c r="DM7" s="48" t="str" cm="1">
        <f t="array" ref="DM7">IF(CG7=3,CHAR(34) &amp; _xlfn.TEXTJOIN("", TRUE, RIGHT(HP7:HX7, 2)) &amp; CHAR(34) &amp; ",", "")</f>
        <v/>
      </c>
      <c r="DN7" s="48" t="str">
        <f t="shared" si="128"/>
        <v/>
      </c>
      <c r="DO7" s="48" t="str">
        <f t="shared" si="129"/>
        <v>"year19",</v>
      </c>
      <c r="DP7" s="6" t="str">
        <f t="shared" si="130"/>
        <v/>
      </c>
      <c r="DQ7" s="6" t="str">
        <f t="shared" si="131"/>
        <v/>
      </c>
      <c r="DR7" s="6" t="str">
        <f t="shared" si="132"/>
        <v/>
      </c>
      <c r="DS7" s="6" t="str">
        <f t="shared" si="133"/>
        <v/>
      </c>
      <c r="DT7" s="6" t="str">
        <f t="shared" si="134"/>
        <v>"allhor",</v>
      </c>
      <c r="DU7" s="6" t="str">
        <f t="shared" si="135"/>
        <v/>
      </c>
      <c r="DW7" s="48" t="str">
        <f t="shared" si="37"/>
        <v/>
      </c>
      <c r="DX7" s="48" t="str">
        <f t="shared" si="37"/>
        <v/>
      </c>
      <c r="DY7" s="48" t="str">
        <f t="shared" si="37"/>
        <v/>
      </c>
      <c r="DZ7" s="48" t="str">
        <f t="shared" si="37"/>
        <v>"4+Band",</v>
      </c>
      <c r="EA7" s="48" t="str">
        <f t="shared" si="38"/>
        <v/>
      </c>
      <c r="EB7" s="48" t="str">
        <f t="shared" si="38"/>
        <v/>
      </c>
      <c r="EC7" s="48" t="str">
        <f t="shared" si="38"/>
        <v>"Horizo",</v>
      </c>
      <c r="ED7" s="48" t="str">
        <f t="shared" si="38"/>
        <v/>
      </c>
      <c r="EE7" s="48" t="str">
        <f t="shared" si="38"/>
        <v/>
      </c>
      <c r="EF7" s="48" t="str">
        <f t="shared" si="136"/>
        <v/>
      </c>
      <c r="EG7" s="48" t="str">
        <f t="shared" si="40"/>
        <v/>
      </c>
      <c r="EH7" s="48" t="str">
        <f t="shared" si="40"/>
        <v/>
      </c>
      <c r="EI7" s="48" t="str">
        <f t="shared" si="40"/>
        <v/>
      </c>
      <c r="EJ7" s="48" t="str">
        <f t="shared" si="40"/>
        <v/>
      </c>
      <c r="EK7" s="48" t="str">
        <f t="shared" si="40"/>
        <v/>
      </c>
      <c r="EL7" s="48" t="str">
        <f t="shared" si="40"/>
        <v/>
      </c>
      <c r="EM7" s="48" t="str">
        <f t="shared" si="40"/>
        <v/>
      </c>
      <c r="EN7" s="48" t="str">
        <f t="shared" si="40"/>
        <v/>
      </c>
      <c r="EO7" s="48" t="str">
        <f t="shared" si="40"/>
        <v/>
      </c>
      <c r="EP7" s="48" t="str">
        <f t="shared" si="40"/>
        <v>"Canton",</v>
      </c>
      <c r="EQ7" s="48" t="str">
        <f t="shared" si="40"/>
        <v/>
      </c>
      <c r="ER7" s="48" t="str">
        <f t="shared" si="40"/>
        <v/>
      </c>
      <c r="ES7" s="48" t="str">
        <f t="shared" si="40"/>
        <v/>
      </c>
      <c r="ET7" s="48" t="str">
        <f t="shared" si="40"/>
        <v/>
      </c>
      <c r="EU7" s="48" t="str">
        <f t="shared" si="40"/>
        <v/>
      </c>
      <c r="EV7" s="48" t="str">
        <f t="shared" si="40"/>
        <v/>
      </c>
      <c r="EW7" s="48" t="str">
        <f t="shared" si="40"/>
        <v/>
      </c>
      <c r="EX7" s="48" t="str">
        <f t="shared" si="40"/>
        <v/>
      </c>
      <c r="EY7" s="48" t="str">
        <f t="shared" si="40"/>
        <v/>
      </c>
      <c r="EZ7" s="48" t="str">
        <f t="shared" si="40"/>
        <v/>
      </c>
      <c r="FA7" s="48" t="str">
        <f t="shared" si="137"/>
        <v/>
      </c>
      <c r="FB7" s="48" t="str">
        <f t="shared" si="138"/>
        <v/>
      </c>
      <c r="FD7" s="48" t="str">
        <f t="shared" si="139"/>
        <v/>
      </c>
      <c r="FE7" s="48" t="str">
        <f t="shared" si="140"/>
        <v/>
      </c>
      <c r="FF7" s="48" t="str">
        <f t="shared" si="141"/>
        <v>"NO_WHI",</v>
      </c>
      <c r="FG7" s="48" t="str">
        <f t="shared" si="142"/>
        <v>"NO_RED",</v>
      </c>
      <c r="FH7" s="48" t="str">
        <f t="shared" si="143"/>
        <v>"NO_GRE",</v>
      </c>
      <c r="FI7" s="48" t="str">
        <f t="shared" si="144"/>
        <v/>
      </c>
      <c r="FJ7" s="48" t="str">
        <f t="shared" si="145"/>
        <v>"NO_BLA",</v>
      </c>
      <c r="FK7" s="48" t="str">
        <f t="shared" si="146"/>
        <v>"WHGRNO",</v>
      </c>
      <c r="FL7" s="48" t="str">
        <f t="shared" si="147"/>
        <v/>
      </c>
      <c r="FM7" s="48" t="str">
        <f t="shared" si="148"/>
        <v>"BAWHNO",</v>
      </c>
      <c r="FN7" s="48" t="str">
        <f t="shared" si="149"/>
        <v/>
      </c>
      <c r="FO7" s="48" t="str">
        <f t="shared" si="150"/>
        <v/>
      </c>
      <c r="FP7" s="48" t="str">
        <f t="shared" si="151"/>
        <v>"WHRENO",</v>
      </c>
      <c r="FQ7" s="48" t="str">
        <f t="shared" si="152"/>
        <v>"001BLU",</v>
      </c>
      <c r="FR7" s="48" t="str">
        <f t="shared" si="153"/>
        <v/>
      </c>
      <c r="FS7" s="48" t="str">
        <f t="shared" si="154"/>
        <v>"003YEL",</v>
      </c>
      <c r="FT7" s="48" t="str">
        <f t="shared" si="155"/>
        <v>"myrEQ",</v>
      </c>
      <c r="FU7" s="48" t="str">
        <f t="shared" si="156"/>
        <v/>
      </c>
      <c r="FV7" s="48" t="str">
        <f t="shared" si="157"/>
        <v/>
      </c>
      <c r="FW7" s="48" t="str">
        <f t="shared" si="158"/>
        <v/>
      </c>
      <c r="FY7" s="48" t="str">
        <f t="shared" si="159"/>
        <v/>
      </c>
      <c r="FZ7" s="48" t="str">
        <f t="shared" si="160"/>
        <v/>
      </c>
      <c r="GA7" s="48" t="str">
        <f t="shared" si="161"/>
        <v/>
      </c>
      <c r="GB7" s="48" t="str">
        <f t="shared" si="162"/>
        <v/>
      </c>
      <c r="GE7" s="48" t="str">
        <f t="shared" si="163"/>
        <v/>
      </c>
      <c r="GF7" s="48" t="str">
        <f t="shared" si="192"/>
        <v/>
      </c>
      <c r="GG7" s="48" t="str">
        <f t="shared" si="164"/>
        <v/>
      </c>
      <c r="GH7" s="48" t="str">
        <f t="shared" si="165"/>
        <v/>
      </c>
      <c r="GI7" s="48" t="str">
        <f t="shared" si="166"/>
        <v/>
      </c>
      <c r="GJ7" s="48" t="str">
        <f t="shared" si="167"/>
        <v>"NoStar",</v>
      </c>
      <c r="GK7" s="48" t="str">
        <f t="shared" si="168"/>
        <v/>
      </c>
      <c r="GL7" s="48" t="str">
        <f t="shared" si="78"/>
        <v/>
      </c>
      <c r="GM7" s="48" t="str">
        <f t="shared" si="78"/>
        <v/>
      </c>
      <c r="GN7" s="48" t="str">
        <f t="shared" si="78"/>
        <v/>
      </c>
      <c r="GP7" s="48" t="str">
        <f t="shared" si="169"/>
        <v>"State"</v>
      </c>
      <c r="GS7" s="48" t="str">
        <f t="shared" si="170"/>
        <v>["2Color","lets05","startB","BLUYEL","year19","allhor","4+Band","Horizo","Canton","NO_WHI","NO_RED","NO_GRE","NO_BLA","WHGRNO","BAWHNO","WHRENO","001BLU","003YEL","myrEQ","NoStar"]</v>
      </c>
      <c r="GT7" s="48" t="str">
        <f t="shared" si="81"/>
        <v/>
      </c>
      <c r="GU7" s="48" t="str">
        <f t="shared" si="81"/>
        <v>"cl_BLU",</v>
      </c>
      <c r="GV7" s="48" t="str">
        <f t="shared" si="81"/>
        <v/>
      </c>
      <c r="GW7" s="48" t="str">
        <f t="shared" si="81"/>
        <v/>
      </c>
      <c r="GX7" s="48" t="str">
        <f t="shared" si="81"/>
        <v>"cl_YEL",</v>
      </c>
      <c r="GY7" s="48" t="str">
        <f t="shared" si="81"/>
        <v/>
      </c>
      <c r="GZ7" s="48" t="str">
        <f t="shared" si="81"/>
        <v/>
      </c>
      <c r="HA7" s="48" t="str">
        <f t="shared" si="81"/>
        <v/>
      </c>
      <c r="HB7" s="48" t="str">
        <f t="shared" si="81"/>
        <v/>
      </c>
      <c r="HC7" s="48" t="str">
        <f t="shared" si="171"/>
        <v>["cl_BLU","cl_YEL"]</v>
      </c>
      <c r="HE7" s="71"/>
      <c r="HF7" s="72" t="str">
        <f t="shared" si="172"/>
        <v>{couname:"[BRA] Bahia",year:"1960 ",region:"rgn_South America",Colors:["cl_BLU","cl_YEL"],Items:["2Color","lets05","startB","BLUYEL","year19","allhor","4+Band","Horizo","Canton","NO_WHI","NO_RED","NO_GRE","NO_BLA","WHGRNO","BAWHNO","WHRENO","001BLU","003YEL","myrEQ","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links: "https://en.wikipedia.org/wiki/Flag_of_Bahia"},</v>
      </c>
      <c r="HG7" s="73" t="str">
        <f t="shared" si="173"/>
        <v>{couname:"[BRA] Bahia",year:"1960 ",region:"rgn_South America",Colors:["cl_BLU","cl_YEL"],Items:["2Color","lets05","startB","BLUYEL","year19","allhor","4+Band","Horizo","Canton","NO_WHI","NO_RED","NO_GRE","NO_BLA","WHGRNO","BAWHNO","WHRENO","001BLU","003YEL","myrEQ","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links: "https://en.wikipedia.org/wiki/Flag_of_Bahia"},</v>
      </c>
      <c r="HH7" s="48" t="str">
        <f t="shared" si="174"/>
        <v>"\nThe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v>
      </c>
      <c r="HI7" s="48" t="str">
        <f t="shared" si="175"/>
        <v>"\nThe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v>
      </c>
      <c r="HJ7" s="48" t="str">
        <f t="shared" si="176"/>
        <v>"1960 "</v>
      </c>
      <c r="HL7" s="48" t="str">
        <f t="shared" si="177"/>
        <v>"https://en.wikipedia.org/wiki/Flag_of_Bahia"</v>
      </c>
      <c r="HM7" s="72" t="str">
        <f t="shared" si="178"/>
        <v>{"couname":"[BRA] Bahia","year":"1960 ","region":"rgn_South America","Colors":["cl_BLU","cl_YEL"],"Items":["2Color","lets05","startB","BLUYEL","year19","allhor","4+Band","Horizo","Canton","NO_WHI","NO_RED","NO_GRE","NO_BLA","WHGRNO","BAWHNO","WHRENO","001BLU","003YEL","myrEQ","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 "links": "https://en.wikipedia.org/wiki/Flag_of_Bahia"},</v>
      </c>
      <c r="HN7" s="74" t="str">
        <f t="shared" si="179"/>
        <v>{"couname":"[BRA] Bahia","year":"1960 ","region":"rgn_South America","Colors":["cl_BLU","cl_YEL"],"Items":["2Color","lets05","startB","BLUYEL","year19","allhor","4+Band","Horizo","Canton","NO_WHI","NO_RED","NO_GRE","NO_BLA","WHGRNO","BAWHNO","WHRENO","001BLU","003YEL","myrEQ","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 "links": "https://en.wikipedia.org/wiki/Flag_of_Bahia"},</v>
      </c>
      <c r="HO7" s="75">
        <v>45596</v>
      </c>
      <c r="HP7" s="48" t="str" cm="1">
        <f t="array" ref="HP7">IF(_xlfn.TEXTJOIN(", ", TRUE, IF(ISNUMBER(SEARCH("BLA", BL7:BT7)), COLUMN(BL7:BT7) - COLUMN(BL7) + 1, ""))&lt;&gt;"","BLA","")</f>
        <v/>
      </c>
      <c r="HQ7" s="48" t="str" cm="1">
        <f t="array" ref="HQ7">IF(_xlfn.TEXTJOIN(", ", TRUE, IF(ISNUMBER(SEARCH("BLU", BL7:BT7)), COLUMN(BL7:BT7) - COLUMN(BL7) + 1, ""))&lt;&gt;"","BLU","")</f>
        <v>BLU</v>
      </c>
      <c r="HR7" s="48" t="str" cm="1">
        <f t="array" ref="HR7">IF(_xlfn.TEXTJOIN(", ", TRUE, IF(ISNUMBER(SEARCH("GRE", BL7:BT7)), COLUMN(BL7:BT7) - COLUMN(BL7) + 1, ""))&lt;&gt;"","GRE","")</f>
        <v/>
      </c>
      <c r="HS7" s="48" t="str" cm="1">
        <f t="array" ref="HS7">IF(_xlfn.TEXTJOIN(", ", TRUE, IF(ISNUMBER(SEARCH("RED", BL7:BT7)), COLUMN(BL7:BT7) - COLUMN(BL7) + 1, ""))&lt;&gt;"","RED","")</f>
        <v/>
      </c>
      <c r="HT7" s="48" t="str" cm="1">
        <f t="array" ref="HT7">IF(_xlfn.TEXTJOIN(", ", TRUE, IF(ISNUMBER(SEARCH("YEL", BL7:BT7)), COLUMN(BL7:BT7) - COLUMN(BL7) + 1, ""))&lt;&gt;"","YEL","")</f>
        <v>YEL</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
      </c>
      <c r="HY7" s="76"/>
      <c r="HZ7" s="76"/>
      <c r="IA7" s="6"/>
      <c r="IB7" s="6"/>
      <c r="IC7" s="77"/>
      <c r="ID7" s="77"/>
      <c r="IE7" s="77"/>
      <c r="IF7" s="77"/>
      <c r="IG7" s="77"/>
      <c r="IH7" s="77"/>
      <c r="II7" s="77"/>
      <c r="IJ7" s="77"/>
      <c r="IK7" s="77"/>
      <c r="IM7" s="45">
        <f t="shared" si="180"/>
        <v>-2</v>
      </c>
      <c r="IN7" s="78" t="str">
        <f t="shared" si="181"/>
        <v>http://mkweb.bcgsc.ca/color-summarizer/?url=https://upload.wikimedia.org/wikipedia/commons/thumb/2/28/Bandeira_da_Bahia.svg/640px-Bandeira_da_Bahia.svg.png&amp;precision=low&amp;num_clusters=2&amp;text=1</v>
      </c>
      <c r="IO7" s="48" t="str">
        <f t="shared" si="182"/>
        <v/>
      </c>
      <c r="IP7" s="48" t="str">
        <f t="shared" si="183"/>
        <v>"blue"</v>
      </c>
      <c r="IQ7" s="48" t="str">
        <f t="shared" si="184"/>
        <v/>
      </c>
      <c r="IR7" s="48" t="str">
        <f t="shared" si="185"/>
        <v/>
      </c>
      <c r="IS7" s="48" t="str">
        <f t="shared" si="186"/>
        <v>"yellow"</v>
      </c>
      <c r="IT7" s="48" t="str">
        <f t="shared" si="187"/>
        <v/>
      </c>
      <c r="IU7" s="48" t="str">
        <f t="shared" si="188"/>
        <v/>
      </c>
      <c r="IV7" s="48" t="str">
        <f t="shared" si="189"/>
        <v/>
      </c>
      <c r="IW7" s="48" t="str">
        <f t="shared" si="190"/>
        <v/>
      </c>
      <c r="IX7" s="48" t="str">
        <f t="shared" si="191"/>
        <v>{"url":"http://mkweb.bcgsc.ca/color-summarizer/?url=https://upload.wikimedia.org/wikipedia/commons/thumb/2/28/Bandeira_da_Bahia.svg/640px-Bandeira_da_Bahia.svg.png&amp;precision=low&amp;num_clusters=2&amp;text=1","name":"[BRA] Bahia"},</v>
      </c>
      <c r="IY7" s="48">
        <v>1372</v>
      </c>
    </row>
    <row r="8" spans="1:259" s="48" customFormat="1" ht="38.4" customHeight="1" thickBot="1" x14ac:dyDescent="0.35">
      <c r="A8" s="79" t="s">
        <v>417</v>
      </c>
      <c r="B8" s="40" t="e" vm="30">
        <v>#VALUE!</v>
      </c>
      <c r="C8" s="41">
        <v>2</v>
      </c>
      <c r="D8" s="42" t="s">
        <v>418</v>
      </c>
      <c r="E8" s="43" t="s">
        <v>419</v>
      </c>
      <c r="F8" s="44" t="s">
        <v>166</v>
      </c>
      <c r="G8" s="45">
        <f>COUNTIF($A$1:$A$8312,A8)</f>
        <v>1</v>
      </c>
      <c r="H8" s="46"/>
      <c r="I8" s="47" t="s">
        <v>420</v>
      </c>
      <c r="J8" s="48" t="str">
        <f>""</f>
        <v/>
      </c>
      <c r="K8" s="49"/>
      <c r="L8" s="50"/>
      <c r="M8" s="50"/>
      <c r="N8" s="51" t="s">
        <v>169</v>
      </c>
      <c r="O8" s="52" t="s">
        <v>421</v>
      </c>
      <c r="P8" s="53" t="s">
        <v>422</v>
      </c>
      <c r="Q8" s="54">
        <v>1</v>
      </c>
      <c r="R8" s="55" t="s">
        <v>169</v>
      </c>
      <c r="S8" s="56">
        <v>0</v>
      </c>
      <c r="T8" s="57" t="s">
        <v>173</v>
      </c>
      <c r="U8" s="58" t="s">
        <v>172</v>
      </c>
      <c r="V8" s="58" t="s">
        <v>172</v>
      </c>
      <c r="W8" s="58" t="s">
        <v>172</v>
      </c>
      <c r="X8" s="58" t="s">
        <v>173</v>
      </c>
      <c r="Y8" s="58" t="s">
        <v>423</v>
      </c>
      <c r="Z8" s="58" t="s">
        <v>173</v>
      </c>
      <c r="AA8" s="58" t="s">
        <v>173</v>
      </c>
      <c r="AB8" s="58" t="s">
        <v>172</v>
      </c>
      <c r="AC8" s="58" t="s">
        <v>172</v>
      </c>
      <c r="AD8" s="58" t="s">
        <v>173</v>
      </c>
      <c r="AE8" s="58" t="s">
        <v>172</v>
      </c>
      <c r="AF8" s="59" t="s">
        <v>172</v>
      </c>
      <c r="AG8" s="59" t="s">
        <v>172</v>
      </c>
      <c r="AH8" s="59" t="s">
        <v>173</v>
      </c>
      <c r="AI8" s="59" t="s">
        <v>172</v>
      </c>
      <c r="AJ8" s="59" t="s">
        <v>172</v>
      </c>
      <c r="AK8" s="59" t="s">
        <v>172</v>
      </c>
      <c r="AL8" s="59" t="s">
        <v>173</v>
      </c>
      <c r="AM8" s="59" t="s">
        <v>173</v>
      </c>
      <c r="AN8" s="59" t="s">
        <v>172</v>
      </c>
      <c r="AO8" s="59" t="s">
        <v>173</v>
      </c>
      <c r="AP8" s="59" t="s">
        <v>173</v>
      </c>
      <c r="AQ8" s="59" t="s">
        <v>172</v>
      </c>
      <c r="AR8" s="59" t="s">
        <v>172</v>
      </c>
      <c r="AS8" s="59" t="s">
        <v>173</v>
      </c>
      <c r="AT8" s="60">
        <v>7</v>
      </c>
      <c r="AU8" s="59" t="s">
        <v>383</v>
      </c>
      <c r="AV8" s="59" t="str">
        <f>IF(LEFT(A8,1)="[",LEFT(A8,5)&amp;AU8&amp;A8,"")</f>
        <v>[BRA]State[BRA] Ceará</v>
      </c>
      <c r="AW8" s="59" t="str">
        <f>C8&amp;H8&amp;A8</f>
        <v>2[BRA] Ceará</v>
      </c>
      <c r="AX8" s="61"/>
      <c r="AY8" s="61"/>
      <c r="AZ8" s="62" t="s">
        <v>174</v>
      </c>
      <c r="BA8" s="62" t="s">
        <v>174</v>
      </c>
      <c r="BB8" s="62"/>
      <c r="BC8" s="63"/>
      <c r="BD8" s="64" t="s">
        <v>155</v>
      </c>
      <c r="BE8" s="47"/>
      <c r="BF8" s="64" t="s">
        <v>174</v>
      </c>
      <c r="BG8" s="64" t="s">
        <v>174</v>
      </c>
      <c r="BH8" s="64" t="s">
        <v>174</v>
      </c>
      <c r="BI8" s="64"/>
      <c r="BJ8" s="64"/>
      <c r="BK8" s="47"/>
      <c r="BL8" s="64" t="s">
        <v>151</v>
      </c>
      <c r="BM8" s="64" t="s">
        <v>152</v>
      </c>
      <c r="BN8" s="64" t="s">
        <v>174</v>
      </c>
      <c r="BO8" s="64" t="s">
        <v>154</v>
      </c>
      <c r="BP8" s="64" t="s">
        <v>155</v>
      </c>
      <c r="BQ8" s="64" t="s">
        <v>174</v>
      </c>
      <c r="BR8" s="64" t="s">
        <v>157</v>
      </c>
      <c r="BS8" s="64" t="s">
        <v>174</v>
      </c>
      <c r="BT8" s="64" t="s">
        <v>159</v>
      </c>
      <c r="BU8" s="65"/>
      <c r="BV8" s="66"/>
      <c r="BW8" s="66">
        <v>0</v>
      </c>
      <c r="BX8" s="47"/>
      <c r="CB8" s="6"/>
      <c r="CC8" s="6"/>
      <c r="CD8" s="67">
        <v>0</v>
      </c>
      <c r="CE8" s="67">
        <v>0</v>
      </c>
      <c r="CF8" s="67" t="e">
        <v>#REF!</v>
      </c>
      <c r="CG8" s="68" cm="1">
        <f t="array" ref="CG8">SUMPRODUCT(--(LEN(TRIM(BL8:BT8))&gt;0))</f>
        <v>6</v>
      </c>
      <c r="CH8" s="59" t="str">
        <f t="shared" si="104"/>
        <v>n</v>
      </c>
      <c r="CI8" s="59" t="str">
        <f t="shared" si="105"/>
        <v>n</v>
      </c>
      <c r="CJ8" s="59" t="str">
        <f t="shared" si="106"/>
        <v>n</v>
      </c>
      <c r="CK8" s="59" t="str">
        <f t="shared" si="107"/>
        <v>y</v>
      </c>
      <c r="CL8" s="59" t="str">
        <f t="shared" si="108"/>
        <v>y</v>
      </c>
      <c r="CM8" s="59" t="str">
        <f t="shared" si="109"/>
        <v>n</v>
      </c>
      <c r="CN8" s="59" t="str">
        <f t="shared" si="110"/>
        <v>n</v>
      </c>
      <c r="CO8" s="59" t="str">
        <f t="shared" si="111"/>
        <v>n</v>
      </c>
      <c r="CP8" s="59" t="str">
        <f t="shared" si="112"/>
        <v>n</v>
      </c>
      <c r="CQ8" s="59" t="str">
        <f t="shared" si="113"/>
        <v>n</v>
      </c>
      <c r="CR8" s="59" t="str">
        <f t="shared" si="114"/>
        <v>n</v>
      </c>
      <c r="CS8" s="59" t="str">
        <f t="shared" si="115"/>
        <v>y</v>
      </c>
      <c r="CT8" s="69" t="str">
        <f t="shared" si="116"/>
        <v>"[BRA] Ceará"</v>
      </c>
      <c r="CU8" s="70" t="str">
        <f t="shared" si="117"/>
        <v>"rgn_South America"</v>
      </c>
      <c r="CV8" s="48" t="str">
        <f t="shared" si="118"/>
        <v>"https://upload.wikimedia.org/wikipedia/commons/thumb/2/2e/Bandeira_do_Cear%C3%A1.svg/640px-Bandeira_do_Cear%C3%A1.svg.png"</v>
      </c>
      <c r="CW8" s="48" t="str">
        <f t="shared" si="15"/>
        <v/>
      </c>
      <c r="CX8" s="48" t="str">
        <f t="shared" si="15"/>
        <v/>
      </c>
      <c r="CY8" s="48" t="str">
        <f t="shared" si="15"/>
        <v/>
      </c>
      <c r="CZ8" s="48" t="str">
        <f t="shared" si="15"/>
        <v>"5+Colo",</v>
      </c>
      <c r="DA8" s="48" t="str">
        <f t="shared" si="119"/>
        <v/>
      </c>
      <c r="DB8" s="48" t="str">
        <f t="shared" si="120"/>
        <v/>
      </c>
      <c r="DD8" s="48" t="str">
        <f>IF(LEN(CHAR(34)&amp;"lets"&amp;LEN(SUBSTITUTE(SUBSTITUTE(IFERROR(TRIM(SUBSTITUTE(A8,MID(A8,FIND("[",A8),FIND("]",A8)-FIND("[",A8)+1),"")),A8)," ",""),"-",""))&amp;CHAR(34)&amp;",")=9,CHAR(34)&amp;"lets"&amp;LEN(SUBSTITUTE(SUBSTITUTE(IFERROR(TRIM(SUBSTITUTE(A8,MID(A8,FIND("[",A8),FIND("]",A8)-FIND("[",A8)+1),"")),A8)," ",""),"-",""))&amp;CHAR(34)&amp;",",CHAR(34)&amp;"lets0"&amp;LEN(SUBSTITUTE(SUBSTITUTE(IFERROR(TRIM(SUBSTITUTE(A8,MID(A8,FIND("[",A8),FIND("]",A8)-FIND("[",A8)+1),"")),A8)," ",""),"-",""))&amp;CHAR(34)&amp;",")</f>
        <v>"lets05",</v>
      </c>
      <c r="DE8" s="48" t="str">
        <f>CHAR(34)&amp;"start"&amp;IFERROR(LEFT(SUBSTITUTE(A8,"["&amp;MID(A8,FIND("[",A8)+1,FIND("]",A8)-FIND("[",A8)-1)&amp;"] ",""),1),LEFT(A8,1))&amp;CHAR(34)&amp;","</f>
        <v>"startC",</v>
      </c>
      <c r="DF8" s="48" t="str">
        <f t="shared" si="121"/>
        <v/>
      </c>
      <c r="DG8" s="48" t="str">
        <f t="shared" si="122"/>
        <v/>
      </c>
      <c r="DH8" s="48" t="str">
        <f t="shared" si="123"/>
        <v/>
      </c>
      <c r="DI8" s="48" t="str">
        <f t="shared" si="124"/>
        <v/>
      </c>
      <c r="DJ8" s="48" t="str">
        <f t="shared" si="125"/>
        <v/>
      </c>
      <c r="DK8" s="48" t="str">
        <f t="shared" si="126"/>
        <v/>
      </c>
      <c r="DL8" s="48" t="str">
        <f t="shared" si="127"/>
        <v/>
      </c>
      <c r="DM8" s="48" t="str" cm="1">
        <f t="array" ref="DM8">IF(CG8=3,CHAR(34) &amp; _xlfn.TEXTJOIN("", TRUE, RIGHT(HP8:HX8, 2)) &amp; CHAR(34) &amp; ",", "")</f>
        <v/>
      </c>
      <c r="DN8" s="48" t="str">
        <f t="shared" si="128"/>
        <v/>
      </c>
      <c r="DO8" s="48" t="str">
        <f t="shared" si="129"/>
        <v>"year19",</v>
      </c>
      <c r="DP8" s="6" t="str">
        <f t="shared" si="130"/>
        <v/>
      </c>
      <c r="DQ8" s="6" t="str">
        <f t="shared" si="131"/>
        <v/>
      </c>
      <c r="DR8" s="6" t="str">
        <f t="shared" si="132"/>
        <v/>
      </c>
      <c r="DS8" s="6" t="str">
        <f t="shared" si="133"/>
        <v/>
      </c>
      <c r="DT8" s="6" t="str">
        <f t="shared" si="134"/>
        <v/>
      </c>
      <c r="DU8" s="6" t="str">
        <f t="shared" si="135"/>
        <v/>
      </c>
      <c r="DW8" s="48" t="str">
        <f t="shared" si="37"/>
        <v>"NoBand",</v>
      </c>
      <c r="DX8" s="48" t="str">
        <f t="shared" si="37"/>
        <v/>
      </c>
      <c r="DY8" s="48" t="str">
        <f t="shared" si="37"/>
        <v/>
      </c>
      <c r="DZ8" s="48" t="str">
        <f t="shared" si="37"/>
        <v/>
      </c>
      <c r="EA8" s="48" t="str">
        <f t="shared" si="38"/>
        <v>"Diagon",</v>
      </c>
      <c r="EB8" s="48" t="str">
        <f t="shared" si="38"/>
        <v/>
      </c>
      <c r="EC8" s="48" t="str">
        <f t="shared" si="38"/>
        <v/>
      </c>
      <c r="ED8" s="48" t="str">
        <f t="shared" si="38"/>
        <v/>
      </c>
      <c r="EE8" s="48" t="str">
        <f t="shared" si="38"/>
        <v>"Circle",</v>
      </c>
      <c r="EF8" s="48" t="str">
        <f t="shared" si="136"/>
        <v>"Animal",</v>
      </c>
      <c r="EG8" s="48" t="str">
        <f t="shared" si="40"/>
        <v>"Bird",</v>
      </c>
      <c r="EH8" s="48" t="str">
        <f t="shared" si="40"/>
        <v>"Plants",</v>
      </c>
      <c r="EI8" s="48" t="str">
        <f t="shared" si="40"/>
        <v/>
      </c>
      <c r="EJ8" s="48" t="str">
        <f t="shared" si="40"/>
        <v/>
      </c>
      <c r="EK8" s="48" t="str">
        <f t="shared" si="40"/>
        <v>"HasSun",</v>
      </c>
      <c r="EL8" s="48" t="str">
        <f t="shared" si="40"/>
        <v/>
      </c>
      <c r="EM8" s="48" t="str">
        <f t="shared" si="40"/>
        <v/>
      </c>
      <c r="EN8" s="48" t="str">
        <f t="shared" si="40"/>
        <v/>
      </c>
      <c r="EO8" s="48" t="str">
        <f t="shared" si="40"/>
        <v>"Center",</v>
      </c>
      <c r="EP8" s="48" t="str">
        <f t="shared" si="40"/>
        <v/>
      </c>
      <c r="EQ8" s="48" t="str">
        <f t="shared" si="40"/>
        <v/>
      </c>
      <c r="ER8" s="48" t="str">
        <f t="shared" si="40"/>
        <v/>
      </c>
      <c r="ES8" s="48" t="str">
        <f t="shared" si="40"/>
        <v>"Wavess",</v>
      </c>
      <c r="ET8" s="48" t="str">
        <f t="shared" si="40"/>
        <v>"Geogrh",</v>
      </c>
      <c r="EU8" s="48" t="str">
        <f t="shared" si="40"/>
        <v/>
      </c>
      <c r="EV8" s="48" t="str">
        <f t="shared" si="40"/>
        <v>"Builds",</v>
      </c>
      <c r="EW8" s="48" t="str">
        <f t="shared" si="40"/>
        <v>"Ships!",</v>
      </c>
      <c r="EX8" s="48" t="str">
        <f t="shared" si="40"/>
        <v/>
      </c>
      <c r="EY8" s="48" t="str">
        <f t="shared" si="40"/>
        <v/>
      </c>
      <c r="EZ8" s="48" t="str">
        <f t="shared" si="40"/>
        <v>"Waters",</v>
      </c>
      <c r="FA8" s="48" t="str">
        <f t="shared" si="137"/>
        <v>"sta",</v>
      </c>
      <c r="FB8" s="48" t="str">
        <f t="shared" si="138"/>
        <v/>
      </c>
      <c r="FD8" s="48" t="str">
        <f t="shared" si="139"/>
        <v/>
      </c>
      <c r="FE8" s="48" t="str">
        <f t="shared" si="140"/>
        <v/>
      </c>
      <c r="FF8" s="48" t="str">
        <f t="shared" si="141"/>
        <v/>
      </c>
      <c r="FG8" s="48" t="str">
        <f t="shared" si="142"/>
        <v/>
      </c>
      <c r="FH8" s="48" t="str">
        <f t="shared" si="143"/>
        <v>"NO_GRE",</v>
      </c>
      <c r="FI8" s="48" t="str">
        <f t="shared" si="144"/>
        <v/>
      </c>
      <c r="FJ8" s="48" t="str">
        <f t="shared" si="145"/>
        <v/>
      </c>
      <c r="FK8" s="48" t="str">
        <f t="shared" si="146"/>
        <v/>
      </c>
      <c r="FL8" s="48" t="str">
        <f t="shared" si="147"/>
        <v/>
      </c>
      <c r="FM8" s="48" t="str">
        <f t="shared" si="148"/>
        <v/>
      </c>
      <c r="FN8" s="48" t="str">
        <f t="shared" si="149"/>
        <v/>
      </c>
      <c r="FO8" s="48" t="str">
        <f t="shared" si="150"/>
        <v/>
      </c>
      <c r="FP8" s="48" t="str">
        <f t="shared" si="151"/>
        <v/>
      </c>
      <c r="FQ8" s="48" t="str">
        <f t="shared" si="152"/>
        <v/>
      </c>
      <c r="FR8" s="48" t="str">
        <f t="shared" si="153"/>
        <v/>
      </c>
      <c r="FS8" s="48" t="str">
        <f t="shared" si="154"/>
        <v/>
      </c>
      <c r="FT8" s="48" t="str">
        <f t="shared" si="155"/>
        <v>"myrYEL",</v>
      </c>
      <c r="FU8" s="48" t="str">
        <f t="shared" si="156"/>
        <v/>
      </c>
      <c r="FV8" s="48" t="str">
        <f t="shared" si="157"/>
        <v/>
      </c>
      <c r="FW8" s="48" t="str">
        <f t="shared" si="158"/>
        <v/>
      </c>
      <c r="FY8" s="48" t="str">
        <f t="shared" si="159"/>
        <v/>
      </c>
      <c r="FZ8" s="48" t="str">
        <f t="shared" si="160"/>
        <v/>
      </c>
      <c r="GA8" s="48" t="str">
        <f t="shared" si="161"/>
        <v/>
      </c>
      <c r="GB8" s="48" t="str">
        <f t="shared" si="162"/>
        <v/>
      </c>
      <c r="GE8" s="48" t="str">
        <f t="shared" si="163"/>
        <v/>
      </c>
      <c r="GF8" s="48" t="str">
        <f t="shared" si="192"/>
        <v/>
      </c>
      <c r="GG8" s="48" t="str">
        <f t="shared" si="164"/>
        <v/>
      </c>
      <c r="GH8" s="48" t="str">
        <f t="shared" si="165"/>
        <v/>
      </c>
      <c r="GI8" s="48" t="str">
        <f t="shared" si="166"/>
        <v/>
      </c>
      <c r="GJ8" s="48" t="str">
        <f t="shared" si="167"/>
        <v/>
      </c>
      <c r="GK8" s="48" t="str">
        <f t="shared" si="168"/>
        <v>"HasSta",</v>
      </c>
      <c r="GL8" s="48" t="str">
        <f t="shared" si="78"/>
        <v/>
      </c>
      <c r="GM8" s="48" t="str">
        <f t="shared" si="78"/>
        <v/>
      </c>
      <c r="GN8" s="48" t="str">
        <f t="shared" si="78"/>
        <v>"3+Star",</v>
      </c>
      <c r="GP8" s="48" t="str">
        <f t="shared" si="169"/>
        <v>"State"</v>
      </c>
      <c r="GS8" s="48" t="str">
        <f t="shared" si="170"/>
        <v>["5+Colo","lets05","startC","year19","NoBand","Diagon","Circle","Animal","Bird","Plants","HasSun","Center","Wavess","Geogrh","Builds","Ships!","Waters","sta","NO_GRE","myrYEL","HasSta","3+Star"]</v>
      </c>
      <c r="GT8" s="48" t="str">
        <f t="shared" si="81"/>
        <v>"cl_BLA",</v>
      </c>
      <c r="GU8" s="48" t="str">
        <f t="shared" si="81"/>
        <v>"cl_BLU",</v>
      </c>
      <c r="GV8" s="48" t="str">
        <f t="shared" si="81"/>
        <v/>
      </c>
      <c r="GW8" s="48" t="str">
        <f t="shared" si="81"/>
        <v>"cl_RED",</v>
      </c>
      <c r="GX8" s="48" t="str">
        <f t="shared" si="81"/>
        <v>"cl_YEL",</v>
      </c>
      <c r="GY8" s="48" t="str">
        <f t="shared" si="81"/>
        <v/>
      </c>
      <c r="GZ8" s="48" t="str">
        <f t="shared" si="81"/>
        <v>"cl_BRO",</v>
      </c>
      <c r="HA8" s="48" t="str">
        <f t="shared" si="81"/>
        <v/>
      </c>
      <c r="HB8" s="48" t="str">
        <f t="shared" si="81"/>
        <v>"cl_WHI",</v>
      </c>
      <c r="HC8" s="48" t="str">
        <f t="shared" si="171"/>
        <v>["cl_BLA","cl_BLU","cl_RED","cl_YEL","cl_BRO","cl_WHI"]</v>
      </c>
      <c r="HE8" s="71"/>
      <c r="HF8" s="72" t="str">
        <f t="shared" si="172"/>
        <v>{couname:"[BRA] Ceará",year:"1922 ",region:"rgn_South America",Colors:["cl_BLA","cl_BLU","cl_RED","cl_YEL","cl_BRO","cl_WHI"],Items:["5+Colo","lets05","startC","year19","NoBand","Diagon","Circle","Animal","Bird","Plants","HasSun","Center","Wavess","Geogrh","Builds","Ships!","Waters","sta","NO_GRE","myrYEL","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links: "https://en.wikipedia.org/wiki/Flag_of_Ceará"},</v>
      </c>
      <c r="HG8" s="73" t="str">
        <f t="shared" si="173"/>
        <v>{couname:"[BRA] Ceará",year:"1922 ",region:"rgn_South America",Colors:["cl_BLA","cl_BLU","cl_RED","cl_YEL","cl_BRO","cl_WHI"],Items:["5+Colo","lets05","startC","year19","NoBand","Diagon","Circle","Animal","Bird","Plants","HasSun","Center","Wavess","Geogrh","Builds","Ships!","Waters","sta","NO_GRE","myrYEL","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links: "https://en.wikipedia.org/wiki/Flag_of_Ceará"},</v>
      </c>
      <c r="HH8" s="48" t="str">
        <f t="shared" si="174"/>
        <v>"\nBottom-right: The Carnaúba tree is the state tree of Ceará and represents earth.\nBottom-left: The jangada boat represents water.\nTop-right: The dove and mountains represent air.\nTop-left: The sun represents fire."</v>
      </c>
      <c r="HI8" s="48" t="str">
        <f t="shared" si="175"/>
        <v>"\nBottom-right: The Carnaúba tree is the state tree of Ceará and represents earth.\nBottom-left: The jangada boat represents water.\nTop-right: The dove and mountains represent air.\nTop-left: The sun represents fire."</v>
      </c>
      <c r="HJ8" s="48" t="str">
        <f t="shared" si="176"/>
        <v>"1922 "</v>
      </c>
      <c r="HL8" s="48" t="str">
        <f t="shared" si="177"/>
        <v>"https://en.wikipedia.org/wiki/Flag_of_Ceará"</v>
      </c>
      <c r="HM8" s="72" t="str">
        <f t="shared" si="178"/>
        <v>{"couname":"[BRA] Ceará","year":"1922 ","region":"rgn_South America","Colors":["cl_BLA","cl_BLU","cl_RED","cl_YEL","cl_BRO","cl_WHI"],"Items":["5+Colo","lets05","startC","year19","NoBand","Diagon","Circle","Animal","Bird","Plants","HasSun","Center","Wavess","Geogrh","Builds","Ships!","Waters","sta","NO_GRE","myrYEL","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 "links": "https://en.wikipedia.org/wiki/Flag_of_Ceará"},</v>
      </c>
      <c r="HN8" s="74" t="str">
        <f t="shared" si="179"/>
        <v>{"couname":"[BRA] Ceará","year":"1922 ","region":"rgn_South America","Colors":["cl_BLA","cl_BLU","cl_RED","cl_YEL","cl_BRO","cl_WHI"],"Items":["5+Colo","lets05","startC","year19","NoBand","Diagon","Circle","Animal","Bird","Plants","HasSun","Center","Wavess","Geogrh","Builds","Ships!","Waters","sta","NO_GRE","myrYEL","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 "links": "https://en.wikipedia.org/wiki/Flag_of_Ceará"},</v>
      </c>
      <c r="HO8" s="75">
        <v>45596</v>
      </c>
      <c r="HP8" s="48" t="str" cm="1">
        <f t="array" ref="HP8">IF(_xlfn.TEXTJOIN(", ", TRUE, IF(ISNUMBER(SEARCH("BLA", BL8:BT8)), COLUMN(BL8:BT8) - COLUMN(BL8) + 1, ""))&lt;&gt;"","BLA","")</f>
        <v>BLA</v>
      </c>
      <c r="HQ8" s="48" t="str" cm="1">
        <f t="array" ref="HQ8">IF(_xlfn.TEXTJOIN(", ", TRUE, IF(ISNUMBER(SEARCH("BLU", BL8:BT8)), COLUMN(BL8:BT8) - COLUMN(BL8) + 1, ""))&lt;&gt;"","BLU","")</f>
        <v>BLU</v>
      </c>
      <c r="HR8" s="48" t="str" cm="1">
        <f t="array" ref="HR8">IF(_xlfn.TEXTJOIN(", ", TRUE, IF(ISNUMBER(SEARCH("GRE", BL8:BT8)), COLUMN(BL8:BT8) - COLUMN(BL8) + 1, ""))&lt;&gt;"","GRE","")</f>
        <v/>
      </c>
      <c r="HS8" s="48" t="str" cm="1">
        <f t="array" ref="HS8">IF(_xlfn.TEXTJOIN(", ", TRUE, IF(ISNUMBER(SEARCH("RED", BL8:BT8)), COLUMN(BL8:BT8) - COLUMN(BL8) + 1, ""))&lt;&gt;"","RED","")</f>
        <v>RED</v>
      </c>
      <c r="HT8" s="48" t="str" cm="1">
        <f t="array" ref="HT8">IF(_xlfn.TEXTJOIN(", ", TRUE, IF(ISNUMBER(SEARCH("YEL", BL8:BT8)), COLUMN(BL8:BT8) - COLUMN(BL8) + 1, ""))&lt;&gt;"","YEL","")</f>
        <v>YEL</v>
      </c>
      <c r="HU8" s="48" t="str" cm="1">
        <f t="array" ref="HU8">IF(_xlfn.TEXTJOIN(", ", TRUE, IF(ISNUMBER(SEARCH("ORA", BL8:BT8)), COLUMN(BL8:BT8) - COLUMN(BL8) + 1, ""))&lt;&gt;"","ORA","")</f>
        <v/>
      </c>
      <c r="HV8" s="48" t="str" cm="1">
        <f t="array" ref="HV8">IF(_xlfn.TEXTJOIN(", ", TRUE, IF(ISNUMBER(SEARCH("BRO", BL8:BT8)), COLUMN(BL8:BT8) - COLUMN(BL8) + 1, ""))&lt;&gt;"","BRO","")</f>
        <v>BRO</v>
      </c>
      <c r="HW8" s="48" t="str" cm="1">
        <f t="array" ref="HW8">IF(_xlfn.TEXTJOIN(", ", TRUE, IF(ISNUMBER(SEARCH("PUR", BL8:BT8)), COLUMN(BL8:BT8) - COLUMN(BL8) + 1, ""))&lt;&gt;"","PUR","")</f>
        <v/>
      </c>
      <c r="HX8" s="48" t="str" cm="1">
        <f t="array" ref="HX8">IF(_xlfn.TEXTJOIN(", ", TRUE, IF(ISNUMBER(SEARCH("WHI", BL8:BT8)), COLUMN(BL8:BT8) - COLUMN(BL8) + 1, ""))&lt;&gt;"","WHI","")</f>
        <v>WHI</v>
      </c>
      <c r="HY8" s="76"/>
      <c r="HZ8" s="76"/>
      <c r="IA8" s="6"/>
      <c r="IB8" s="6"/>
      <c r="IC8" s="77"/>
      <c r="ID8" s="77"/>
      <c r="IE8" s="77"/>
      <c r="IF8" s="77"/>
      <c r="IG8" s="77"/>
      <c r="IH8" s="77"/>
      <c r="II8" s="77"/>
      <c r="IJ8" s="77"/>
      <c r="IK8" s="77"/>
      <c r="IM8" s="45">
        <f t="shared" si="180"/>
        <v>-6</v>
      </c>
      <c r="IN8" s="78" t="str">
        <f t="shared" si="181"/>
        <v>http://mkweb.bcgsc.ca/color-summarizer/?url=https://upload.wikimedia.org/wikipedia/commons/thumb/2/2e/Bandeira_do_Cear%C3%A1.svg/640px-Bandeira_do_Cear%C3%A1.svg.png&amp;precision=low&amp;num_clusters=6&amp;text=1</v>
      </c>
      <c r="IO8" s="48" t="str">
        <f t="shared" si="182"/>
        <v>"black"</v>
      </c>
      <c r="IP8" s="48" t="str">
        <f t="shared" si="183"/>
        <v>"blue"</v>
      </c>
      <c r="IQ8" s="48" t="str">
        <f t="shared" si="184"/>
        <v/>
      </c>
      <c r="IR8" s="48" t="str">
        <f t="shared" si="185"/>
        <v>"red"</v>
      </c>
      <c r="IS8" s="48" t="str">
        <f t="shared" si="186"/>
        <v>"yellow"</v>
      </c>
      <c r="IT8" s="48" t="str">
        <f t="shared" si="187"/>
        <v/>
      </c>
      <c r="IU8" s="48" t="str">
        <f t="shared" si="188"/>
        <v>"brown"</v>
      </c>
      <c r="IV8" s="48" t="str">
        <f t="shared" si="189"/>
        <v/>
      </c>
      <c r="IW8" s="48" t="str">
        <f t="shared" si="190"/>
        <v>"white"</v>
      </c>
      <c r="IX8" s="48" t="str">
        <f t="shared" si="191"/>
        <v>{"url":"http://mkweb.bcgsc.ca/color-summarizer/?url=https://upload.wikimedia.org/wikipedia/commons/thumb/2/2e/Bandeira_do_Cear%C3%A1.svg/640px-Bandeira_do_Cear%C3%A1.svg.png&amp;precision=low&amp;num_clusters=6&amp;text=1","name":"[BRA] Ceará"},</v>
      </c>
      <c r="IY8" s="48">
        <v>1370</v>
      </c>
    </row>
    <row r="9" spans="1:259" s="48" customFormat="1" ht="38.4" customHeight="1" thickBot="1" x14ac:dyDescent="0.35">
      <c r="A9" s="79" t="s">
        <v>424</v>
      </c>
      <c r="B9" s="40" t="e" vm="31">
        <v>#VALUE!</v>
      </c>
      <c r="C9" s="41">
        <v>2</v>
      </c>
      <c r="D9" s="42" t="s">
        <v>425</v>
      </c>
      <c r="E9" s="43" t="s">
        <v>426</v>
      </c>
      <c r="F9" s="44" t="s">
        <v>166</v>
      </c>
      <c r="G9" s="45">
        <f>COUNTIF($A$1:$A$8312,A9)</f>
        <v>1</v>
      </c>
      <c r="H9" s="46"/>
      <c r="I9" s="47" t="s">
        <v>427</v>
      </c>
      <c r="J9" s="48" t="str">
        <f>""</f>
        <v/>
      </c>
      <c r="K9" s="49"/>
      <c r="L9" s="50"/>
      <c r="M9" s="50"/>
      <c r="N9" s="51" t="s">
        <v>169</v>
      </c>
      <c r="O9" s="52" t="s">
        <v>428</v>
      </c>
      <c r="P9" s="53" t="s">
        <v>429</v>
      </c>
      <c r="Q9" s="54">
        <v>2</v>
      </c>
      <c r="R9" s="55" t="s">
        <v>169</v>
      </c>
      <c r="S9" s="56">
        <v>3</v>
      </c>
      <c r="T9" s="57" t="s">
        <v>172</v>
      </c>
      <c r="U9" s="58" t="s">
        <v>172</v>
      </c>
      <c r="V9" s="58" t="s">
        <v>173</v>
      </c>
      <c r="W9" s="58" t="s">
        <v>172</v>
      </c>
      <c r="X9" s="58" t="s">
        <v>172</v>
      </c>
      <c r="Y9" s="58" t="s">
        <v>172</v>
      </c>
      <c r="Z9" s="58" t="s">
        <v>172</v>
      </c>
      <c r="AA9" s="58" t="s">
        <v>172</v>
      </c>
      <c r="AB9" s="58" t="s">
        <v>173</v>
      </c>
      <c r="AC9" s="58" t="s">
        <v>172</v>
      </c>
      <c r="AD9" s="58" t="s">
        <v>172</v>
      </c>
      <c r="AE9" s="58" t="s">
        <v>172</v>
      </c>
      <c r="AF9" s="59" t="s">
        <v>172</v>
      </c>
      <c r="AG9" s="59" t="s">
        <v>172</v>
      </c>
      <c r="AH9" s="59" t="s">
        <v>173</v>
      </c>
      <c r="AI9" s="59" t="s">
        <v>172</v>
      </c>
      <c r="AJ9" s="59" t="s">
        <v>172</v>
      </c>
      <c r="AK9" s="59" t="s">
        <v>172</v>
      </c>
      <c r="AL9" s="59" t="s">
        <v>172</v>
      </c>
      <c r="AM9" s="59" t="s">
        <v>172</v>
      </c>
      <c r="AN9" s="59" t="s">
        <v>172</v>
      </c>
      <c r="AO9" s="59" t="s">
        <v>172</v>
      </c>
      <c r="AP9" s="59" t="s">
        <v>172</v>
      </c>
      <c r="AQ9" s="59" t="s">
        <v>172</v>
      </c>
      <c r="AR9" s="59" t="s">
        <v>172</v>
      </c>
      <c r="AS9" s="59" t="s">
        <v>172</v>
      </c>
      <c r="AT9" s="60">
        <v>0</v>
      </c>
      <c r="AU9" s="59" t="s">
        <v>383</v>
      </c>
      <c r="AV9" s="59" t="str">
        <f>IF(LEFT(A9,1)="[",LEFT(A9,5)&amp;AU9&amp;A9,"")</f>
        <v>[BRA]State[BRA] Espirito Santo</v>
      </c>
      <c r="AW9" s="59" t="str">
        <f>C9&amp;H9&amp;A9</f>
        <v>2[BRA] Espirito Santo</v>
      </c>
      <c r="AX9" s="61"/>
      <c r="AY9" s="61"/>
      <c r="AZ9" s="62" t="s">
        <v>174</v>
      </c>
      <c r="BA9" s="62" t="s">
        <v>174</v>
      </c>
      <c r="BB9" s="62"/>
      <c r="BC9" s="63"/>
      <c r="BD9" s="64" t="s">
        <v>152</v>
      </c>
      <c r="BE9" s="47"/>
      <c r="BF9" s="64" t="s">
        <v>174</v>
      </c>
      <c r="BG9" s="64" t="s">
        <v>174</v>
      </c>
      <c r="BH9" s="64" t="s">
        <v>174</v>
      </c>
      <c r="BI9" s="64"/>
      <c r="BJ9" s="64"/>
      <c r="BK9" s="47"/>
      <c r="BL9" s="64" t="s">
        <v>174</v>
      </c>
      <c r="BM9" s="64" t="s">
        <v>152</v>
      </c>
      <c r="BN9" s="64" t="s">
        <v>153</v>
      </c>
      <c r="BO9" s="64" t="s">
        <v>174</v>
      </c>
      <c r="BP9" s="64" t="s">
        <v>155</v>
      </c>
      <c r="BQ9" s="64" t="s">
        <v>174</v>
      </c>
      <c r="BR9" s="64" t="s">
        <v>174</v>
      </c>
      <c r="BS9" s="64" t="s">
        <v>174</v>
      </c>
      <c r="BT9" s="64" t="s">
        <v>159</v>
      </c>
      <c r="BU9" s="65"/>
      <c r="BV9" s="66"/>
      <c r="BW9" s="66">
        <v>0</v>
      </c>
      <c r="BX9" s="47"/>
      <c r="CB9" s="6"/>
      <c r="CC9" s="6"/>
      <c r="CD9" s="67">
        <v>0</v>
      </c>
      <c r="CE9" s="67">
        <v>1</v>
      </c>
      <c r="CF9" s="67" t="e">
        <v>#REF!</v>
      </c>
      <c r="CG9" s="68" cm="1">
        <f t="array" ref="CG9">SUMPRODUCT(--(LEN(TRIM(BL9:BT9))&gt;0))</f>
        <v>4</v>
      </c>
      <c r="CH9" s="59" t="str">
        <f t="shared" si="104"/>
        <v>n</v>
      </c>
      <c r="CI9" s="59" t="str">
        <f t="shared" si="105"/>
        <v>n</v>
      </c>
      <c r="CJ9" s="59" t="str">
        <f t="shared" si="106"/>
        <v>y</v>
      </c>
      <c r="CK9" s="59" t="str">
        <f t="shared" si="107"/>
        <v>n</v>
      </c>
      <c r="CL9" s="59" t="str">
        <f t="shared" si="108"/>
        <v>n</v>
      </c>
      <c r="CM9" s="59" t="str">
        <f t="shared" si="109"/>
        <v>n</v>
      </c>
      <c r="CN9" s="59" t="str">
        <f t="shared" si="110"/>
        <v>y</v>
      </c>
      <c r="CO9" s="59" t="str">
        <f t="shared" si="111"/>
        <v>n</v>
      </c>
      <c r="CP9" s="59" t="str">
        <f t="shared" si="112"/>
        <v>y</v>
      </c>
      <c r="CQ9" s="59" t="str">
        <f t="shared" si="113"/>
        <v>n</v>
      </c>
      <c r="CR9" s="59" t="str">
        <f t="shared" si="114"/>
        <v>n</v>
      </c>
      <c r="CS9" s="59" t="str">
        <f t="shared" si="115"/>
        <v>n</v>
      </c>
      <c r="CT9" s="69" t="str">
        <f t="shared" si="116"/>
        <v>"[BRA] Espirito Santo"</v>
      </c>
      <c r="CU9" s="70" t="str">
        <f t="shared" si="117"/>
        <v>"rgn_South America"</v>
      </c>
      <c r="CV9" s="48" t="str">
        <f t="shared" si="118"/>
        <v>"https://upload.wikimedia.org/wikipedia/commons/thumb/4/43/Bandeira_do_Esp%C3%ADrito_Santo.svg/640px-Bandeira_do_Esp%C3%ADrito_Santo.svg.png"</v>
      </c>
      <c r="CW9" s="48" t="str">
        <f t="shared" si="15"/>
        <v/>
      </c>
      <c r="CX9" s="48" t="str">
        <f t="shared" si="15"/>
        <v/>
      </c>
      <c r="CY9" s="48" t="str">
        <f t="shared" si="15"/>
        <v>"4Color",</v>
      </c>
      <c r="CZ9" s="48" t="str">
        <f t="shared" si="15"/>
        <v/>
      </c>
      <c r="DA9" s="48" t="str">
        <f t="shared" si="119"/>
        <v>"words2",</v>
      </c>
      <c r="DB9" s="48" t="str">
        <f t="shared" si="120"/>
        <v/>
      </c>
      <c r="DC9" s="48" t="str">
        <f>IF(Q9=2,CHAR(34)&amp;"exact2"&amp;CHAR(34)&amp;",","")</f>
        <v>"exact2",</v>
      </c>
      <c r="DD9" s="48"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"lets13",</v>
      </c>
      <c r="DE9" s="48"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"startE",</v>
      </c>
      <c r="DF9" s="48" t="str">
        <f t="shared" si="121"/>
        <v/>
      </c>
      <c r="DG9" s="48" t="str">
        <f t="shared" si="122"/>
        <v/>
      </c>
      <c r="DH9" s="48" t="str">
        <f t="shared" si="123"/>
        <v/>
      </c>
      <c r="DI9" s="48" t="str">
        <f t="shared" si="124"/>
        <v/>
      </c>
      <c r="DJ9" s="48" t="str">
        <f t="shared" si="125"/>
        <v/>
      </c>
      <c r="DK9" s="48" t="str">
        <f t="shared" si="126"/>
        <v/>
      </c>
      <c r="DL9" s="48" t="str">
        <f t="shared" si="127"/>
        <v/>
      </c>
      <c r="DM9" s="48" t="str" cm="1">
        <f t="array" ref="DM9">IF(CG9=3,CHAR(34) &amp; _xlfn.TEXTJOIN("", TRUE, RIGHT(HP9:HX9, 2)) &amp; CHAR(34) &amp; ",", "")</f>
        <v/>
      </c>
      <c r="DN9" s="48" t="str">
        <f t="shared" si="128"/>
        <v/>
      </c>
      <c r="DO9" s="48" t="str">
        <f t="shared" si="129"/>
        <v>"year19",</v>
      </c>
      <c r="DP9" s="6" t="str">
        <f t="shared" si="130"/>
        <v/>
      </c>
      <c r="DQ9" s="6" t="str">
        <f t="shared" si="131"/>
        <v/>
      </c>
      <c r="DR9" s="6" t="str">
        <f t="shared" si="132"/>
        <v/>
      </c>
      <c r="DS9" s="6" t="str">
        <f t="shared" si="133"/>
        <v/>
      </c>
      <c r="DT9" s="6" t="str">
        <f t="shared" si="134"/>
        <v>"allhor",</v>
      </c>
      <c r="DU9" s="6" t="str">
        <f t="shared" si="135"/>
        <v/>
      </c>
      <c r="DV9" s="48" t="str">
        <f>IF(IA9&lt;&gt;"",(IF(IA9="y",CHAR(34)&amp;"largec"&amp;CHAR(34)&amp;",",CHAR(34)&amp;"smallc"&amp;CHAR(34)&amp;",")),"")</f>
        <v/>
      </c>
      <c r="DW9" s="48" t="str">
        <f t="shared" si="37"/>
        <v/>
      </c>
      <c r="DX9" s="48" t="str">
        <f t="shared" si="37"/>
        <v/>
      </c>
      <c r="DY9" s="48" t="str">
        <f t="shared" si="37"/>
        <v>"3Bands",</v>
      </c>
      <c r="DZ9" s="48" t="str">
        <f t="shared" si="37"/>
        <v/>
      </c>
      <c r="EA9" s="48" t="str">
        <f t="shared" si="38"/>
        <v/>
      </c>
      <c r="EB9" s="48" t="str">
        <f t="shared" si="38"/>
        <v/>
      </c>
      <c r="EC9" s="48" t="str">
        <f t="shared" si="38"/>
        <v>"Horizo",</v>
      </c>
      <c r="ED9" s="48" t="str">
        <f t="shared" si="38"/>
        <v/>
      </c>
      <c r="EE9" s="48" t="str">
        <f t="shared" si="38"/>
        <v/>
      </c>
      <c r="EF9" s="48" t="str">
        <f t="shared" si="136"/>
        <v/>
      </c>
      <c r="EG9" s="48" t="str">
        <f t="shared" si="40"/>
        <v/>
      </c>
      <c r="EH9" s="48" t="str">
        <f t="shared" si="40"/>
        <v/>
      </c>
      <c r="EI9" s="48" t="str">
        <f t="shared" si="40"/>
        <v>"Texted",</v>
      </c>
      <c r="EJ9" s="48" t="str">
        <f t="shared" si="40"/>
        <v/>
      </c>
      <c r="EK9" s="48" t="str">
        <f t="shared" si="40"/>
        <v/>
      </c>
      <c r="EL9" s="48" t="str">
        <f t="shared" si="40"/>
        <v/>
      </c>
      <c r="EM9" s="48" t="str">
        <f t="shared" si="40"/>
        <v/>
      </c>
      <c r="EN9" s="48" t="str">
        <f t="shared" si="40"/>
        <v/>
      </c>
      <c r="EO9" s="48" t="str">
        <f t="shared" si="40"/>
        <v>"Center",</v>
      </c>
      <c r="EP9" s="48" t="str">
        <f t="shared" si="40"/>
        <v/>
      </c>
      <c r="EQ9" s="48" t="str">
        <f t="shared" si="40"/>
        <v/>
      </c>
      <c r="ER9" s="48" t="str">
        <f t="shared" si="40"/>
        <v/>
      </c>
      <c r="ES9" s="48" t="str">
        <f t="shared" si="40"/>
        <v/>
      </c>
      <c r="ET9" s="48" t="str">
        <f t="shared" si="40"/>
        <v/>
      </c>
      <c r="EU9" s="48" t="str">
        <f t="shared" si="40"/>
        <v/>
      </c>
      <c r="EV9" s="48" t="str">
        <f t="shared" si="40"/>
        <v/>
      </c>
      <c r="EW9" s="48" t="str">
        <f t="shared" si="40"/>
        <v/>
      </c>
      <c r="EX9" s="48" t="str">
        <f t="shared" si="40"/>
        <v/>
      </c>
      <c r="EY9" s="48" t="str">
        <f t="shared" si="40"/>
        <v/>
      </c>
      <c r="EZ9" s="48" t="str">
        <f t="shared" si="40"/>
        <v/>
      </c>
      <c r="FA9" s="48" t="str">
        <f t="shared" si="137"/>
        <v/>
      </c>
      <c r="FB9" s="48" t="str">
        <f t="shared" si="138"/>
        <v/>
      </c>
      <c r="FC9" s="48" t="str">
        <f>IF(AND(AT9&gt;0,BB9&lt;&gt;""),CHAR(34)&amp;"sta"&amp;BB9&amp;CHAR(34)&amp;",","")</f>
        <v/>
      </c>
      <c r="FD9" s="48" t="str">
        <f t="shared" si="139"/>
        <v/>
      </c>
      <c r="FE9" s="48" t="str">
        <f t="shared" si="140"/>
        <v/>
      </c>
      <c r="FF9" s="48" t="str">
        <f t="shared" si="141"/>
        <v/>
      </c>
      <c r="FG9" s="48" t="str">
        <f t="shared" si="142"/>
        <v>"NO_RED",</v>
      </c>
      <c r="FH9" s="48" t="str">
        <f t="shared" si="143"/>
        <v/>
      </c>
      <c r="FI9" s="48" t="str">
        <f t="shared" si="144"/>
        <v/>
      </c>
      <c r="FJ9" s="48" t="str">
        <f t="shared" si="145"/>
        <v>"NO_BLA",</v>
      </c>
      <c r="FK9" s="48" t="str">
        <f t="shared" si="146"/>
        <v/>
      </c>
      <c r="FL9" s="48" t="str">
        <f t="shared" si="147"/>
        <v/>
      </c>
      <c r="FM9" s="48" t="str">
        <f t="shared" si="148"/>
        <v/>
      </c>
      <c r="FN9" s="48" t="str">
        <f t="shared" si="149"/>
        <v/>
      </c>
      <c r="FO9" s="48" t="str">
        <f t="shared" si="150"/>
        <v/>
      </c>
      <c r="FP9" s="48" t="str">
        <f t="shared" si="151"/>
        <v/>
      </c>
      <c r="FQ9" s="48" t="str">
        <f t="shared" si="152"/>
        <v/>
      </c>
      <c r="FR9" s="48" t="str">
        <f t="shared" si="153"/>
        <v/>
      </c>
      <c r="FS9" s="48" t="str">
        <f t="shared" si="154"/>
        <v/>
      </c>
      <c r="FT9" s="48" t="str">
        <f t="shared" si="155"/>
        <v>"myrBLU",</v>
      </c>
      <c r="FU9" s="48" t="str">
        <f t="shared" si="156"/>
        <v/>
      </c>
      <c r="FV9" s="48" t="str">
        <f t="shared" si="157"/>
        <v/>
      </c>
      <c r="FW9" s="48" t="str">
        <f t="shared" si="158"/>
        <v/>
      </c>
      <c r="FX9" s="48" t="str">
        <f>SUBSTITUTE(IFERROR(SEARCH("[",A9),IFERROR(IF(AND(CA9&lt;&gt;"y",SEARCH("Europe",R9)&gt;0),CHAR(34)&amp;"noeuni"&amp;CHAR(34)&amp;",",""),"")),"1","")</f>
        <v/>
      </c>
      <c r="FY9" s="48" t="str">
        <f t="shared" si="159"/>
        <v/>
      </c>
      <c r="FZ9" s="48" t="str">
        <f t="shared" si="160"/>
        <v/>
      </c>
      <c r="GA9" s="48" t="str">
        <f t="shared" si="161"/>
        <v/>
      </c>
      <c r="GB9" s="48" t="str">
        <f t="shared" si="162"/>
        <v/>
      </c>
      <c r="GC9" s="48" t="str">
        <f>IFERROR(IF(SEARCH("Portuguese",CB9)&gt;0,CHAR(34)&amp;"portug"&amp;CHAR(34)&amp;",",""),"")</f>
        <v/>
      </c>
      <c r="GD9" s="48" t="str">
        <f>IFERROR(IF(SEARCH("German",CB9)&gt;0,CHAR(34)&amp;"german"&amp;CHAR(34)&amp;",",""),"")</f>
        <v/>
      </c>
      <c r="GE9" s="48" t="str">
        <f t="shared" si="163"/>
        <v/>
      </c>
      <c r="GF9" s="48" t="str">
        <f t="shared" si="192"/>
        <v/>
      </c>
      <c r="GG9" s="48" t="str">
        <f t="shared" si="164"/>
        <v/>
      </c>
      <c r="GH9" s="48" t="str">
        <f t="shared" si="165"/>
        <v/>
      </c>
      <c r="GI9" s="48" t="str">
        <f t="shared" si="166"/>
        <v>"hasmap",</v>
      </c>
      <c r="GJ9" s="48" t="str">
        <f t="shared" si="167"/>
        <v>"NoStar",</v>
      </c>
      <c r="GK9" s="48" t="str">
        <f t="shared" si="168"/>
        <v/>
      </c>
      <c r="GL9" s="48" t="str">
        <f t="shared" si="78"/>
        <v/>
      </c>
      <c r="GM9" s="48" t="str">
        <f t="shared" si="78"/>
        <v/>
      </c>
      <c r="GN9" s="48" t="str">
        <f t="shared" si="78"/>
        <v/>
      </c>
      <c r="GP9" s="48" t="str">
        <f t="shared" si="169"/>
        <v>"State"</v>
      </c>
      <c r="GS9" s="48" t="str">
        <f t="shared" si="170"/>
        <v>["4Color","words2","exact2","lets13","startE","year19","allhor","3Bands","Horizo","Texted","Center","NO_RED","NO_BLA","myrBLU","hasmap","NoStar"]</v>
      </c>
      <c r="GT9" s="48" t="str">
        <f t="shared" si="81"/>
        <v/>
      </c>
      <c r="GU9" s="48" t="str">
        <f t="shared" si="81"/>
        <v>"cl_BLU",</v>
      </c>
      <c r="GV9" s="48" t="str">
        <f t="shared" si="81"/>
        <v>"cl_GRE",</v>
      </c>
      <c r="GW9" s="48" t="str">
        <f t="shared" si="81"/>
        <v/>
      </c>
      <c r="GX9" s="48" t="str">
        <f t="shared" si="81"/>
        <v>"cl_YEL",</v>
      </c>
      <c r="GY9" s="48" t="str">
        <f t="shared" si="81"/>
        <v/>
      </c>
      <c r="GZ9" s="48" t="str">
        <f t="shared" si="81"/>
        <v/>
      </c>
      <c r="HA9" s="48" t="str">
        <f t="shared" si="81"/>
        <v/>
      </c>
      <c r="HB9" s="48" t="str">
        <f t="shared" si="81"/>
        <v>"cl_WHI",</v>
      </c>
      <c r="HC9" s="48" t="str">
        <f t="shared" si="171"/>
        <v>["cl_BLU","cl_GRE","cl_YEL","cl_WHI"]</v>
      </c>
      <c r="HE9" s="71"/>
      <c r="HF9" s="72" t="str">
        <f t="shared" si="172"/>
        <v>{couname:"[BRA] Espirito Santo",year:"1947 ",region:"rgn_South America",Colors:["cl_BLU","cl_GRE","cl_YEL","cl_WHI"],Items:["4Color","words2","exact2","lets13","startE","year19","allhor","3Bands","Horizo","Texted","Center","NO_RED","NO_BLA","myrBLU","hasmap","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links: "https://en.wikipedia.org/wiki/Flag_of_Espírito_Santo"},</v>
      </c>
      <c r="HG9" s="73" t="str">
        <f t="shared" si="173"/>
        <v>{couname:"[BRA] Espirito Santo",year:"1947 ",region:"rgn_South America",Colors:["cl_BLU","cl_GRE","cl_YEL","cl_WHI"],Items:["4Color","words2","exact2","lets13","startE","year19","allhor","3Bands","Horizo","Texted","Center","NO_RED","NO_BLA","myrBLU","hasmap","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links: "https://en.wikipedia.org/wiki/Flag_of_Espírito_Santo"},</v>
      </c>
      <c r="HH9" s="48" t="str">
        <f t="shared" si="174"/>
        <v>"\nThe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v>
      </c>
      <c r="HI9" s="48" t="str">
        <f t="shared" si="175"/>
        <v>"\nThe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v>
      </c>
      <c r="HJ9" s="48" t="str">
        <f t="shared" si="176"/>
        <v>"1947 "</v>
      </c>
      <c r="HL9" s="48" t="str">
        <f t="shared" si="177"/>
        <v>"https://en.wikipedia.org/wiki/Flag_of_Espírito_Santo"</v>
      </c>
      <c r="HM9" s="72" t="str">
        <f t="shared" si="178"/>
        <v>{"couname":"[BRA] Espirito Santo","year":"1947 ","region":"rgn_South America","Colors":["cl_BLU","cl_GRE","cl_YEL","cl_WHI"],"Items":["4Color","words2","exact2","lets13","startE","year19","allhor","3Bands","Horizo","Texted","Center","NO_RED","NO_BLA","myrBLU","hasmap","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 "links": "https://en.wikipedia.org/wiki/Flag_of_Espírito_Santo"},</v>
      </c>
      <c r="HN9" s="74" t="str">
        <f t="shared" si="179"/>
        <v>{"couname":"[BRA] Espirito Santo","year":"1947 ","region":"rgn_South America","Colors":["cl_BLU","cl_GRE","cl_YEL","cl_WHI"],"Items":["4Color","words2","exact2","lets13","startE","year19","allhor","3Bands","Horizo","Texted","Center","NO_RED","NO_BLA","myrBLU","hasmap","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 "links": "https://en.wikipedia.org/wiki/Flag_of_Espírito_Santo"},</v>
      </c>
      <c r="HO9" s="75">
        <v>45583</v>
      </c>
      <c r="HP9" s="48" t="str" cm="1">
        <f t="array" ref="HP9">IF(_xlfn.TEXTJOIN(", ", TRUE, IF(ISNUMBER(SEARCH("BLA", BL9:BT9)), COLUMN(BL9:BT9) - COLUMN(BL9) + 1, ""))&lt;&gt;"","BLA","")</f>
        <v/>
      </c>
      <c r="HQ9" s="48" t="str" cm="1">
        <f t="array" ref="HQ9">IF(_xlfn.TEXTJOIN(", ", TRUE, IF(ISNUMBER(SEARCH("BLU", BL9:BT9)), COLUMN(BL9:BT9) - COLUMN(BL9) + 1, ""))&lt;&gt;"","BLU","")</f>
        <v>BLU</v>
      </c>
      <c r="HR9" s="48" t="str" cm="1">
        <f t="array" ref="HR9">IF(_xlfn.TEXTJOIN(", ", TRUE, IF(ISNUMBER(SEARCH("GRE", BL9:BT9)), COLUMN(BL9:BT9) - COLUMN(BL9) + 1, ""))&lt;&gt;"","GRE","")</f>
        <v>GRE</v>
      </c>
      <c r="HS9" s="48" t="str" cm="1">
        <f t="array" ref="HS9">IF(_xlfn.TEXTJOIN(", ", TRUE, IF(ISNUMBER(SEARCH("RED", BL9:BT9)), COLUMN(BL9:BT9) - COLUMN(BL9) + 1, ""))&lt;&gt;"","RED","")</f>
        <v/>
      </c>
      <c r="HT9" s="48" t="str" cm="1">
        <f t="array" ref="HT9">IF(_xlfn.TEXTJOIN(", ", TRUE, IF(ISNUMBER(SEARCH("YEL", BL9:BT9)), COLUMN(BL9:BT9) - COLUMN(BL9) + 1, ""))&lt;&gt;"","YEL","")</f>
        <v>YEL</v>
      </c>
      <c r="HU9" s="48" t="str" cm="1">
        <f t="array" ref="HU9">IF(_xlfn.TEXTJOIN(", ", TRUE, IF(ISNUMBER(SEARCH("ORA", BL9:BT9)), COLUMN(BL9:BT9) - COLUMN(BL9) + 1, ""))&lt;&gt;"","ORA","")</f>
        <v/>
      </c>
      <c r="HV9" s="48" t="str" cm="1">
        <f t="array" ref="HV9">IF(_xlfn.TEXTJOIN(", ", TRUE, IF(ISNUMBER(SEARCH("BRO", BL9:BT9)), COLUMN(BL9:BT9) - COLUMN(BL9) + 1, ""))&lt;&gt;"","BRO","")</f>
        <v/>
      </c>
      <c r="HW9" s="48" t="str" cm="1">
        <f t="array" ref="HW9">IF(_xlfn.TEXTJOIN(", ", TRUE, IF(ISNUMBER(SEARCH("PUR", BL9:BT9)), COLUMN(BL9:BT9) - COLUMN(BL9) + 1, ""))&lt;&gt;"","PUR","")</f>
        <v/>
      </c>
      <c r="HX9" s="48" t="str" cm="1">
        <f t="array" ref="HX9">IF(_xlfn.TEXTJOIN(", ", TRUE, IF(ISNUMBER(SEARCH("WHI", BL9:BT9)), COLUMN(BL9:BT9) - COLUMN(BL9) + 1, ""))&lt;&gt;"","WHI","")</f>
        <v>WHI</v>
      </c>
      <c r="HY9" s="76"/>
      <c r="HZ9" s="76"/>
      <c r="IA9" s="6"/>
      <c r="IB9" s="6"/>
      <c r="IC9" s="77"/>
      <c r="ID9" s="77"/>
      <c r="IE9" s="77"/>
      <c r="IF9" s="77"/>
      <c r="IG9" s="77"/>
      <c r="IH9" s="77"/>
      <c r="II9" s="77"/>
      <c r="IJ9" s="77"/>
      <c r="IK9" s="77"/>
      <c r="IL9" s="48">
        <f>SUM(IC9:IK9)</f>
        <v>0</v>
      </c>
      <c r="IM9" s="45">
        <f t="shared" si="180"/>
        <v>-4</v>
      </c>
      <c r="IN9" s="78" t="str">
        <f t="shared" si="181"/>
        <v>http://mkweb.bcgsc.ca/color-summarizer/?url=https://upload.wikimedia.org/wikipedia/commons/thumb/4/43/Bandeira_do_Esp%C3%ADrito_Santo.svg/640px-Bandeira_do_Esp%C3%ADrito_Santo.svg.png&amp;precision=low&amp;num_clusters=4&amp;text=1</v>
      </c>
      <c r="IO9" s="48" t="str">
        <f t="shared" si="182"/>
        <v/>
      </c>
      <c r="IP9" s="48" t="str">
        <f t="shared" si="183"/>
        <v>"blue"</v>
      </c>
      <c r="IQ9" s="48" t="str">
        <f t="shared" si="184"/>
        <v>"green"</v>
      </c>
      <c r="IR9" s="48" t="str">
        <f t="shared" si="185"/>
        <v/>
      </c>
      <c r="IS9" s="48" t="str">
        <f t="shared" si="186"/>
        <v>"yellow"</v>
      </c>
      <c r="IT9" s="48" t="str">
        <f t="shared" si="187"/>
        <v/>
      </c>
      <c r="IU9" s="48" t="str">
        <f t="shared" si="188"/>
        <v/>
      </c>
      <c r="IV9" s="48" t="str">
        <f t="shared" si="189"/>
        <v/>
      </c>
      <c r="IW9" s="48" t="str">
        <f t="shared" si="190"/>
        <v>"white"</v>
      </c>
      <c r="IX9" s="48" t="str">
        <f t="shared" si="191"/>
        <v>{"url":"http://mkweb.bcgsc.ca/color-summarizer/?url=https://upload.wikimedia.org/wikipedia/commons/thumb/4/43/Bandeira_do_Esp%C3%ADrito_Santo.svg/640px-Bandeira_do_Esp%C3%ADrito_Santo.svg.png&amp;precision=low&amp;num_clusters=4&amp;text=1","name":"[BRA] Espirito Santo"},</v>
      </c>
      <c r="IY9" s="48">
        <v>682</v>
      </c>
    </row>
    <row r="10" spans="1:259" s="48" customFormat="1" ht="38.4" customHeight="1" thickBot="1" x14ac:dyDescent="0.35">
      <c r="A10" s="79" t="s">
        <v>430</v>
      </c>
      <c r="B10" s="40" t="e" vm="32">
        <v>#VALUE!</v>
      </c>
      <c r="C10" s="41">
        <v>2</v>
      </c>
      <c r="D10" s="42" t="s">
        <v>431</v>
      </c>
      <c r="E10" s="43" t="s">
        <v>432</v>
      </c>
      <c r="F10" s="44" t="s">
        <v>166</v>
      </c>
      <c r="G10" s="45">
        <f>COUNTIF($A$1:$A$8312,A10)</f>
        <v>1</v>
      </c>
      <c r="H10" s="46"/>
      <c r="I10" s="47" t="s">
        <v>433</v>
      </c>
      <c r="J10" s="48" t="str">
        <f>""</f>
        <v/>
      </c>
      <c r="K10" s="49"/>
      <c r="L10" s="50"/>
      <c r="M10" s="50"/>
      <c r="N10" s="51" t="s">
        <v>169</v>
      </c>
      <c r="O10" s="52" t="s">
        <v>434</v>
      </c>
      <c r="P10" s="53" t="s">
        <v>435</v>
      </c>
      <c r="Q10" s="54">
        <v>2</v>
      </c>
      <c r="R10" s="55" t="s">
        <v>169</v>
      </c>
      <c r="S10" s="56">
        <v>0</v>
      </c>
      <c r="T10" s="57" t="s">
        <v>173</v>
      </c>
      <c r="U10" s="58" t="s">
        <v>172</v>
      </c>
      <c r="V10" s="58" t="s">
        <v>172</v>
      </c>
      <c r="W10" s="58" t="s">
        <v>172</v>
      </c>
      <c r="X10" s="58" t="s">
        <v>172</v>
      </c>
      <c r="Y10" s="58" t="s">
        <v>172</v>
      </c>
      <c r="Z10" s="58" t="s">
        <v>172</v>
      </c>
      <c r="AA10" s="58" t="s">
        <v>172</v>
      </c>
      <c r="AB10" s="58" t="s">
        <v>172</v>
      </c>
      <c r="AC10" s="58" t="s">
        <v>172</v>
      </c>
      <c r="AD10" s="58" t="s">
        <v>172</v>
      </c>
      <c r="AE10" s="58" t="s">
        <v>172</v>
      </c>
      <c r="AF10" s="59" t="s">
        <v>172</v>
      </c>
      <c r="AG10" s="59" t="s">
        <v>172</v>
      </c>
      <c r="AH10" s="59" t="s">
        <v>173</v>
      </c>
      <c r="AI10" s="59" t="s">
        <v>172</v>
      </c>
      <c r="AJ10" s="59" t="s">
        <v>172</v>
      </c>
      <c r="AK10" s="59" t="s">
        <v>172</v>
      </c>
      <c r="AL10" s="59" t="s">
        <v>172</v>
      </c>
      <c r="AM10" s="59" t="s">
        <v>172</v>
      </c>
      <c r="AN10" s="59" t="s">
        <v>172</v>
      </c>
      <c r="AO10" s="59" t="s">
        <v>172</v>
      </c>
      <c r="AP10" s="59" t="s">
        <v>172</v>
      </c>
      <c r="AQ10" s="59" t="s">
        <v>172</v>
      </c>
      <c r="AR10" s="59" t="s">
        <v>173</v>
      </c>
      <c r="AS10" s="59" t="s">
        <v>172</v>
      </c>
      <c r="AT10" s="60">
        <v>0</v>
      </c>
      <c r="AU10" s="59" t="s">
        <v>383</v>
      </c>
      <c r="AV10" s="59" t="str">
        <f>IF(LEFT(A10,1)="[",LEFT(A10,5)&amp;AU10&amp;A10,"")</f>
        <v>[BRA]State[BRA] Federal District</v>
      </c>
      <c r="AW10" s="59" t="str">
        <f>C10&amp;H10&amp;A10</f>
        <v>2[BRA] Federal District</v>
      </c>
      <c r="AX10" s="61"/>
      <c r="AY10" s="61"/>
      <c r="AZ10" s="62" t="s">
        <v>174</v>
      </c>
      <c r="BA10" s="62" t="s">
        <v>174</v>
      </c>
      <c r="BB10" s="62"/>
      <c r="BC10" s="63"/>
      <c r="BD10" s="64" t="s">
        <v>155</v>
      </c>
      <c r="BE10" s="47"/>
      <c r="BF10" s="64" t="s">
        <v>152</v>
      </c>
      <c r="BG10" s="64" t="s">
        <v>174</v>
      </c>
      <c r="BH10" s="64" t="s">
        <v>155</v>
      </c>
      <c r="BI10" s="64"/>
      <c r="BJ10" s="64"/>
      <c r="BK10" s="47"/>
      <c r="BL10" s="64" t="s">
        <v>174</v>
      </c>
      <c r="BM10" s="64" t="s">
        <v>152</v>
      </c>
      <c r="BN10" s="64" t="s">
        <v>153</v>
      </c>
      <c r="BO10" s="64" t="s">
        <v>154</v>
      </c>
      <c r="BP10" s="64" t="s">
        <v>155</v>
      </c>
      <c r="BQ10" s="64" t="s">
        <v>174</v>
      </c>
      <c r="BR10" s="64" t="s">
        <v>174</v>
      </c>
      <c r="BS10" s="64" t="s">
        <v>174</v>
      </c>
      <c r="BT10" s="64" t="s">
        <v>174</v>
      </c>
      <c r="BU10" s="65"/>
      <c r="BV10" s="66"/>
      <c r="BW10" s="66">
        <v>0</v>
      </c>
      <c r="BX10" s="47"/>
      <c r="CB10" s="6"/>
      <c r="CC10" s="6"/>
      <c r="CD10" s="67">
        <v>0</v>
      </c>
      <c r="CE10" s="67">
        <v>1</v>
      </c>
      <c r="CF10" s="67" t="e">
        <v>#REF!</v>
      </c>
      <c r="CG10" s="68" cm="1">
        <f t="array" ref="CG10">SUMPRODUCT(--(LEN(TRIM(BL10:BT10))&gt;0))</f>
        <v>4</v>
      </c>
      <c r="CH10" s="59" t="str">
        <f t="shared" si="104"/>
        <v>n</v>
      </c>
      <c r="CI10" s="59" t="str">
        <f t="shared" si="105"/>
        <v>n</v>
      </c>
      <c r="CJ10" s="59" t="str">
        <f t="shared" si="106"/>
        <v>y</v>
      </c>
      <c r="CK10" s="59" t="str">
        <f t="shared" si="107"/>
        <v>n</v>
      </c>
      <c r="CL10" s="59" t="str">
        <f t="shared" si="108"/>
        <v>y</v>
      </c>
      <c r="CM10" s="59" t="str">
        <f t="shared" si="109"/>
        <v>n</v>
      </c>
      <c r="CN10" s="59" t="str">
        <f t="shared" si="110"/>
        <v>n</v>
      </c>
      <c r="CO10" s="59" t="str">
        <f t="shared" si="111"/>
        <v>n</v>
      </c>
      <c r="CP10" s="59" t="str">
        <f t="shared" si="112"/>
        <v>y</v>
      </c>
      <c r="CQ10" s="59" t="str">
        <f t="shared" si="113"/>
        <v>n</v>
      </c>
      <c r="CR10" s="59" t="str">
        <f t="shared" si="114"/>
        <v>n</v>
      </c>
      <c r="CS10" s="59" t="str">
        <f t="shared" si="115"/>
        <v>n</v>
      </c>
      <c r="CT10" s="69" t="str">
        <f t="shared" si="116"/>
        <v>"[BRA] Federal District"</v>
      </c>
      <c r="CU10" s="70" t="str">
        <f t="shared" si="117"/>
        <v>"rgn_South America"</v>
      </c>
      <c r="CV10" s="48" t="str">
        <f t="shared" si="118"/>
        <v>"https://upload.wikimedia.org/wikipedia/commons/thumb/3/3c/Bandeira_do_Distrito_Federal_%28Brasil%29.svg/640px-Bandeira_do_Distrito_Federal_%28Brasil%29.svg.png"</v>
      </c>
      <c r="CW10" s="48" t="str">
        <f t="shared" si="15"/>
        <v/>
      </c>
      <c r="CX10" s="48" t="str">
        <f t="shared" si="15"/>
        <v/>
      </c>
      <c r="CY10" s="48" t="str">
        <f t="shared" si="15"/>
        <v>"4Color",</v>
      </c>
      <c r="CZ10" s="48" t="str">
        <f t="shared" si="15"/>
        <v/>
      </c>
      <c r="DA10" s="48" t="str">
        <f t="shared" si="119"/>
        <v>"words2",</v>
      </c>
      <c r="DB10" s="48" t="str">
        <f t="shared" si="120"/>
        <v/>
      </c>
      <c r="DC10" s="48" t="str">
        <f>IF(Q10=2,CHAR(34)&amp;"exact2"&amp;CHAR(34)&amp;",","")</f>
        <v>"exact2",</v>
      </c>
      <c r="DD10" s="48" t="str">
        <f>IF(LEN(CHAR(34)&amp;"lets"&amp;LEN(SUBSTITUTE(SUBSTITUTE(IFERROR(TRIM(SUBSTITUTE(SUBSTITUTE(SUBSTITUTE(IFERROR(TRIM(SUBSTITUTE(A10,MID(A10,FIND("(",A10),FIND(")",A10)-FIND("(",A10)+1),"")),A10),"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",""),"-",""))&amp;CHAR(34)&amp;",")=9,CHAR(34)&amp;"lets"&amp;LEN(SUBSTITUTE(SUBSTITUTE(IFERROR(TRIM(SUBSTITUTE(SUBSTITUTE(SUBSTITUTE(IFERROR(TRIM(SUBSTITUTE(A10,MID(A10,FIND("(",A10),FIND(")",A10)-FIND("(",A10)+1),"")),A10),"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",""),"-",""))&amp;CHAR(34)&amp;",",CHAR(34)&amp;"lets0"&amp;LEN(SUBSTITUTE(SUBSTITUTE(IFERROR(TRIM(SUBSTITUTE(SUBSTITUTE(SUBSTITUTE(IFERROR(TRIM(SUBSTITUTE(A10,MID(A10,FIND("(",A10),FIND(")",A10)-FIND("(",A10)+1),"")),A10),"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f>
        <v>"lets15",</v>
      </c>
      <c r="DE10" s="48" t="str">
        <f>IFERROR(CHAR(34)&amp;"start"&amp;LEFT(TRIM(SUBSTITUTE(SUBSTITUTE(TRIM(SUBSTITUTE(SUBSTITUTE(A10, MID(A10, FIND("[", A10), FIND("]", A10) - FIND("[", A10) + 1), ""), "  ", " ")), MID(TRIM(SUBSTITUTE(SUBSTITUTE(A10, MID(A10, FIND("[", A10), FIND("]", A10) - FIND("[", A10) + 1), ""), "  ", " ")), FIND("[", TRIM(SUBSTITUTE(SUBSTITUTE(A10, MID(A10, FIND("[", A10), FIND("]", A10) - FIND("[", A10) + 1), ""), "  ", " "))), FIND("]", TRIM(SUBSTITUTE(SUBSTITUTE(A10, MID(A10, FIND("[", A10), FIND("]", A10) - FIND("[", A10) + 1), ""), "  ", " "))) - FIND("[", TRIM(SUBSTITUTE(SUBSTITUTE(A10, MID(A10, FIND("[", A10), FIND("]", A10) - FIND("[", A10) + 1), ""), "  ", " "))) + 1), ""), "  ", " ")),1)&amp;CHAR(34)&amp;",",CHAR(34)&amp;"start"&amp;IFERROR(LEFT(SUBSTITUTE(A10,"["&amp;MID(A10,FIND("[",A10)+1,FIND("]",A10)-FIND("[",A10)-1)&amp;"] ",""),1),LEFT(A10,1))&amp;CHAR(34)&amp;",")</f>
        <v>"startF",</v>
      </c>
      <c r="DF10" s="48" t="str">
        <f t="shared" si="121"/>
        <v/>
      </c>
      <c r="DG10" s="48" t="str">
        <f t="shared" si="122"/>
        <v/>
      </c>
      <c r="DH10" s="48" t="str">
        <f t="shared" si="123"/>
        <v/>
      </c>
      <c r="DI10" s="48" t="str">
        <f t="shared" si="124"/>
        <v/>
      </c>
      <c r="DJ10" s="48" t="str">
        <f t="shared" si="125"/>
        <v/>
      </c>
      <c r="DK10" s="48" t="str">
        <f t="shared" si="126"/>
        <v/>
      </c>
      <c r="DL10" s="48" t="str">
        <f t="shared" si="127"/>
        <v/>
      </c>
      <c r="DM10" s="48" t="str" cm="1">
        <f t="array" ref="DM10">IF(CG10=3,CHAR(34) &amp; _xlfn.TEXTJOIN("", TRUE, RIGHT(HP10:HX10, 2)) &amp; CHAR(34) &amp; ",", "")</f>
        <v/>
      </c>
      <c r="DN10" s="48" t="str">
        <f t="shared" si="128"/>
        <v/>
      </c>
      <c r="DO10" s="48" t="str">
        <f t="shared" si="129"/>
        <v>"year19",</v>
      </c>
      <c r="DP10" s="6" t="str">
        <f t="shared" si="130"/>
        <v/>
      </c>
      <c r="DQ10" s="6" t="str">
        <f t="shared" si="131"/>
        <v/>
      </c>
      <c r="DR10" s="6" t="str">
        <f t="shared" si="132"/>
        <v/>
      </c>
      <c r="DS10" s="6" t="str">
        <f t="shared" si="133"/>
        <v/>
      </c>
      <c r="DT10" s="6" t="str">
        <f t="shared" si="134"/>
        <v/>
      </c>
      <c r="DU10" s="6" t="str">
        <f t="shared" si="135"/>
        <v/>
      </c>
      <c r="DV10" s="48" t="str">
        <f>IF(IA10&lt;&gt;"",(IF(IA10="y",CHAR(34)&amp;"largec"&amp;CHAR(34)&amp;",",CHAR(34)&amp;"smallc"&amp;CHAR(34)&amp;",")),"")</f>
        <v/>
      </c>
      <c r="DW10" s="48" t="str">
        <f t="shared" si="37"/>
        <v>"NoBand",</v>
      </c>
      <c r="DX10" s="48" t="str">
        <f t="shared" si="37"/>
        <v/>
      </c>
      <c r="DY10" s="48" t="str">
        <f t="shared" si="37"/>
        <v/>
      </c>
      <c r="DZ10" s="48" t="str">
        <f t="shared" si="37"/>
        <v/>
      </c>
      <c r="EA10" s="48" t="str">
        <f t="shared" si="38"/>
        <v>"Diagon",</v>
      </c>
      <c r="EB10" s="48" t="str">
        <f t="shared" si="38"/>
        <v/>
      </c>
      <c r="EC10" s="48" t="str">
        <f t="shared" si="38"/>
        <v/>
      </c>
      <c r="ED10" s="48" t="str">
        <f t="shared" si="38"/>
        <v/>
      </c>
      <c r="EE10" s="48" t="str">
        <f t="shared" si="38"/>
        <v/>
      </c>
      <c r="EF10" s="48" t="str">
        <f t="shared" si="136"/>
        <v/>
      </c>
      <c r="EG10" s="48" t="str">
        <f t="shared" si="40"/>
        <v/>
      </c>
      <c r="EH10" s="48" t="str">
        <f t="shared" si="40"/>
        <v/>
      </c>
      <c r="EI10" s="48" t="str">
        <f t="shared" si="40"/>
        <v/>
      </c>
      <c r="EJ10" s="48" t="str">
        <f t="shared" si="40"/>
        <v/>
      </c>
      <c r="EK10" s="48" t="str">
        <f t="shared" si="40"/>
        <v/>
      </c>
      <c r="EL10" s="48" t="str">
        <f t="shared" si="40"/>
        <v/>
      </c>
      <c r="EM10" s="48" t="str">
        <f t="shared" si="40"/>
        <v/>
      </c>
      <c r="EN10" s="48" t="str">
        <f t="shared" si="40"/>
        <v/>
      </c>
      <c r="EO10" s="48" t="str">
        <f t="shared" si="40"/>
        <v>"Center",</v>
      </c>
      <c r="EP10" s="48" t="str">
        <f t="shared" si="40"/>
        <v/>
      </c>
      <c r="EQ10" s="48" t="str">
        <f t="shared" si="40"/>
        <v/>
      </c>
      <c r="ER10" s="48" t="str">
        <f t="shared" si="40"/>
        <v/>
      </c>
      <c r="ES10" s="48" t="str">
        <f t="shared" si="40"/>
        <v/>
      </c>
      <c r="ET10" s="48" t="str">
        <f t="shared" si="40"/>
        <v/>
      </c>
      <c r="EU10" s="48" t="str">
        <f t="shared" si="40"/>
        <v/>
      </c>
      <c r="EV10" s="48" t="str">
        <f t="shared" si="40"/>
        <v/>
      </c>
      <c r="EW10" s="48" t="str">
        <f t="shared" si="40"/>
        <v/>
      </c>
      <c r="EX10" s="48" t="str">
        <f t="shared" si="40"/>
        <v/>
      </c>
      <c r="EY10" s="48" t="str">
        <f t="shared" si="40"/>
        <v>"Rotate",</v>
      </c>
      <c r="EZ10" s="48" t="str">
        <f t="shared" si="40"/>
        <v/>
      </c>
      <c r="FA10" s="48" t="str">
        <f t="shared" si="137"/>
        <v/>
      </c>
      <c r="FB10" s="48" t="str">
        <f t="shared" si="138"/>
        <v/>
      </c>
      <c r="FC10" s="48" t="str">
        <f>IF(AND(AT10&gt;0,BB10&lt;&gt;""),CHAR(34)&amp;"sta"&amp;BB10&amp;CHAR(34)&amp;",","")</f>
        <v/>
      </c>
      <c r="FD10" s="48" t="str">
        <f t="shared" si="139"/>
        <v/>
      </c>
      <c r="FE10" s="48" t="str">
        <f t="shared" si="140"/>
        <v/>
      </c>
      <c r="FF10" s="48" t="str">
        <f t="shared" si="141"/>
        <v>"NO_WHI",</v>
      </c>
      <c r="FG10" s="48" t="str">
        <f t="shared" si="142"/>
        <v/>
      </c>
      <c r="FH10" s="48" t="str">
        <f t="shared" si="143"/>
        <v/>
      </c>
      <c r="FI10" s="48" t="str">
        <f t="shared" si="144"/>
        <v/>
      </c>
      <c r="FJ10" s="48" t="str">
        <f t="shared" si="145"/>
        <v>"NO_BLA",</v>
      </c>
      <c r="FK10" s="48" t="str">
        <f t="shared" si="146"/>
        <v/>
      </c>
      <c r="FL10" s="48" t="str">
        <f t="shared" si="147"/>
        <v/>
      </c>
      <c r="FM10" s="48" t="str">
        <f t="shared" si="148"/>
        <v>"BAWHNO",</v>
      </c>
      <c r="FN10" s="48" t="str">
        <f t="shared" si="149"/>
        <v/>
      </c>
      <c r="FO10" s="48" t="str">
        <f t="shared" si="150"/>
        <v/>
      </c>
      <c r="FP10" s="48" t="str">
        <f t="shared" si="151"/>
        <v>"WHRENO",</v>
      </c>
      <c r="FQ10" s="48" t="str">
        <f t="shared" si="152"/>
        <v>"001BLU",</v>
      </c>
      <c r="FR10" s="48" t="str">
        <f t="shared" si="153"/>
        <v/>
      </c>
      <c r="FS10" s="48" t="str">
        <f t="shared" si="154"/>
        <v>"003YEL",</v>
      </c>
      <c r="FT10" s="48" t="str">
        <f t="shared" si="155"/>
        <v>"myrYEL",</v>
      </c>
      <c r="FU10" s="48" t="str">
        <f t="shared" si="156"/>
        <v/>
      </c>
      <c r="FV10" s="48" t="str">
        <f t="shared" si="157"/>
        <v/>
      </c>
      <c r="FW10" s="48" t="str">
        <f t="shared" si="158"/>
        <v/>
      </c>
      <c r="FX10" s="48" t="str">
        <f>SUBSTITUTE(IFERROR(SEARCH("[",A10),IFERROR(IF(AND(CA10&lt;&gt;"y",SEARCH("Europe",R10)&gt;0),CHAR(34)&amp;"noeuni"&amp;CHAR(34)&amp;",",""),"")),"1","")</f>
        <v/>
      </c>
      <c r="FY10" s="48" t="str">
        <f t="shared" si="159"/>
        <v/>
      </c>
      <c r="FZ10" s="48" t="str">
        <f t="shared" si="160"/>
        <v/>
      </c>
      <c r="GA10" s="48" t="str">
        <f t="shared" si="161"/>
        <v/>
      </c>
      <c r="GB10" s="48" t="str">
        <f t="shared" si="162"/>
        <v/>
      </c>
      <c r="GC10" s="48" t="str">
        <f>IFERROR(IF(SEARCH("Portuguese",CB10)&gt;0,CHAR(34)&amp;"portug"&amp;CHAR(34)&amp;",",""),"")</f>
        <v/>
      </c>
      <c r="GD10" s="48" t="str">
        <f>IFERROR(IF(SEARCH("German",CB10)&gt;0,CHAR(34)&amp;"german"&amp;CHAR(34)&amp;",",""),"")</f>
        <v/>
      </c>
      <c r="GE10" s="48" t="str">
        <f t="shared" si="163"/>
        <v/>
      </c>
      <c r="GF10" s="48" t="str">
        <f t="shared" si="192"/>
        <v/>
      </c>
      <c r="GG10" s="48" t="str">
        <f t="shared" si="164"/>
        <v/>
      </c>
      <c r="GH10" s="48" t="str">
        <f t="shared" si="165"/>
        <v/>
      </c>
      <c r="GI10" s="48" t="str">
        <f t="shared" si="166"/>
        <v>"hasmap",</v>
      </c>
      <c r="GJ10" s="48" t="str">
        <f t="shared" si="167"/>
        <v>"NoStar",</v>
      </c>
      <c r="GK10" s="48" t="str">
        <f t="shared" si="168"/>
        <v/>
      </c>
      <c r="GL10" s="48" t="str">
        <f t="shared" si="78"/>
        <v/>
      </c>
      <c r="GM10" s="48" t="str">
        <f t="shared" si="78"/>
        <v/>
      </c>
      <c r="GN10" s="48" t="str">
        <f t="shared" si="78"/>
        <v/>
      </c>
      <c r="GP10" s="48" t="str">
        <f t="shared" si="169"/>
        <v>"State"</v>
      </c>
      <c r="GS10" s="48" t="str">
        <f t="shared" si="170"/>
        <v>["4Color","words2","exact2","lets15","startF","year19","NoBand","Diagon","Center","Rotate","NO_WHI","NO_BLA","BAWHNO","WHRENO","001BLU","003YEL","myrYEL","hasmap","NoStar"]</v>
      </c>
      <c r="GT10" s="48" t="str">
        <f t="shared" si="81"/>
        <v/>
      </c>
      <c r="GU10" s="48" t="str">
        <f t="shared" si="81"/>
        <v>"cl_BLU",</v>
      </c>
      <c r="GV10" s="48" t="str">
        <f t="shared" si="81"/>
        <v>"cl_GRE",</v>
      </c>
      <c r="GW10" s="48" t="str">
        <f t="shared" si="81"/>
        <v>"cl_RED",</v>
      </c>
      <c r="GX10" s="48" t="str">
        <f t="shared" si="81"/>
        <v>"cl_YEL",</v>
      </c>
      <c r="GY10" s="48" t="str">
        <f t="shared" si="81"/>
        <v/>
      </c>
      <c r="GZ10" s="48" t="str">
        <f t="shared" si="81"/>
        <v/>
      </c>
      <c r="HA10" s="48" t="str">
        <f t="shared" si="81"/>
        <v/>
      </c>
      <c r="HB10" s="48" t="str">
        <f t="shared" si="81"/>
        <v/>
      </c>
      <c r="HC10" s="48" t="str">
        <f t="shared" si="171"/>
        <v>["cl_BLU","cl_GRE","cl_RED","cl_YEL"]</v>
      </c>
      <c r="HE10" s="71"/>
      <c r="HF10" s="72" t="str">
        <f t="shared" si="172"/>
        <v>{couname:"[BRA] Federal District",year:"1969 ",region:"rgn_South America",Colors:["cl_BLU","cl_GRE","cl_RED","cl_YEL"],Items:["4Color","words2","exact2","lets15","startF","year19","NoBand","Diagon","Center","Rotate","NO_WHI","NO_BLA","BAWHNO","WHRENO","001BLU","003YEL","myrYEL","hasmap","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links: "https://en.wikipedia.org/wiki/Flag_of_the_Federal_District_(Brazil)"},</v>
      </c>
      <c r="HG10" s="73" t="str">
        <f t="shared" si="173"/>
        <v>{couname:"[BRA] Federal District",year:"1969 ",region:"rgn_South America",Colors:["cl_BLU","cl_GRE","cl_RED","cl_YEL"],Items:["4Color","words2","exact2","lets15","startF","year19","NoBand","Diagon","Center","Rotate","NO_WHI","NO_BLA","BAWHNO","WHRENO","001BLU","003YEL","myrYEL","hasmap","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links: "https://en.wikipedia.org/wiki/Flag_of_the_Federal_District_(Brazil)"},</v>
      </c>
      <c r="HH10" s="48" t="str">
        <f t="shared" si="174"/>
        <v>"\nThe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v>
      </c>
      <c r="HI10" s="48" t="str">
        <f t="shared" si="175"/>
        <v>"\nThe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v>
      </c>
      <c r="HJ10" s="48" t="str">
        <f t="shared" si="176"/>
        <v>"1969 "</v>
      </c>
      <c r="HL10" s="48" t="str">
        <f t="shared" si="177"/>
        <v>"https://en.wikipedia.org/wiki/Flag_of_the_Federal_District_(Brazil)"</v>
      </c>
      <c r="HM10" s="72" t="str">
        <f t="shared" si="178"/>
        <v>{"couname":"[BRA] Federal District","year":"1969 ","region":"rgn_South America","Colors":["cl_BLU","cl_GRE","cl_RED","cl_YEL"],"Items":["4Color","words2","exact2","lets15","startF","year19","NoBand","Diagon","Center","Rotate","NO_WHI","NO_BLA","BAWHNO","WHRENO","001BLU","003YEL","myrYEL","hasmap","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 "links": "https://en.wikipedia.org/wiki/Flag_of_the_Federal_District_(Brazil)"},</v>
      </c>
      <c r="HN10" s="74" t="str">
        <f t="shared" si="179"/>
        <v>{"couname":"[BRA] Federal District","year":"1969 ","region":"rgn_South America","Colors":["cl_BLU","cl_GRE","cl_RED","cl_YEL"],"Items":["4Color","words2","exact2","lets15","startF","year19","NoBand","Diagon","Center","Rotate","NO_WHI","NO_BLA","BAWHNO","WHRENO","001BLU","003YEL","myrYEL","hasmap","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 "links": "https://en.wikipedia.org/wiki/Flag_of_the_Federal_District_(Brazil)"},</v>
      </c>
      <c r="HO10" s="75">
        <v>45583</v>
      </c>
      <c r="HP10" s="48" t="str" cm="1">
        <f t="array" ref="HP10">IF(_xlfn.TEXTJOIN(", ", TRUE, IF(ISNUMBER(SEARCH("BLA", BL10:BT10)), COLUMN(BL10:BT10) - COLUMN(BL10) + 1, ""))&lt;&gt;"","BLA","")</f>
        <v/>
      </c>
      <c r="HQ10" s="48" t="str" cm="1">
        <f t="array" ref="HQ10">IF(_xlfn.TEXTJOIN(", ", TRUE, IF(ISNUMBER(SEARCH("BLU", BL10:BT10)), COLUMN(BL10:BT10) - COLUMN(BL10) + 1, ""))&lt;&gt;"","BLU","")</f>
        <v>BLU</v>
      </c>
      <c r="HR10" s="48" t="str" cm="1">
        <f t="array" ref="HR10">IF(_xlfn.TEXTJOIN(", ", TRUE, IF(ISNUMBER(SEARCH("GRE", BL10:BT10)), COLUMN(BL10:BT10) - COLUMN(BL10) + 1, ""))&lt;&gt;"","GRE","")</f>
        <v>GRE</v>
      </c>
      <c r="HS10" s="48" t="str" cm="1">
        <f t="array" ref="HS10">IF(_xlfn.TEXTJOIN(", ", TRUE, IF(ISNUMBER(SEARCH("RED", BL10:BT10)), COLUMN(BL10:BT10) - COLUMN(BL10) + 1, ""))&lt;&gt;"","RED","")</f>
        <v>RED</v>
      </c>
      <c r="HT10" s="48" t="str" cm="1">
        <f t="array" ref="HT10">IF(_xlfn.TEXTJOIN(", ", TRUE, IF(ISNUMBER(SEARCH("YEL", BL10:BT10)), COLUMN(BL10:BT10) - COLUMN(BL10) + 1, ""))&lt;&gt;"","YEL","")</f>
        <v>YEL</v>
      </c>
      <c r="HU10" s="48" t="str" cm="1">
        <f t="array" ref="HU10">IF(_xlfn.TEXTJOIN(", ", TRUE, IF(ISNUMBER(SEARCH("ORA", BL10:BT10)), COLUMN(BL10:BT10) - COLUMN(BL10) + 1, ""))&lt;&gt;"","ORA","")</f>
        <v/>
      </c>
      <c r="HV10" s="48" t="str" cm="1">
        <f t="array" ref="HV10">IF(_xlfn.TEXTJOIN(", ", TRUE, IF(ISNUMBER(SEARCH("BRO", BL10:BT10)), COLUMN(BL10:BT10) - COLUMN(BL10) + 1, ""))&lt;&gt;"","BRO","")</f>
        <v/>
      </c>
      <c r="HW10" s="48" t="str" cm="1">
        <f t="array" ref="HW10">IF(_xlfn.TEXTJOIN(", ", TRUE, IF(ISNUMBER(SEARCH("PUR", BL10:BT10)), COLUMN(BL10:BT10) - COLUMN(BL10) + 1, ""))&lt;&gt;"","PUR","")</f>
        <v/>
      </c>
      <c r="HX10" s="48" t="str" cm="1">
        <f t="array" ref="HX10">IF(_xlfn.TEXTJOIN(", ", TRUE, IF(ISNUMBER(SEARCH("WHI", BL10:BT10)), COLUMN(BL10:BT10) - COLUMN(BL10) + 1, ""))&lt;&gt;"","WHI","")</f>
        <v/>
      </c>
      <c r="HY10" s="76"/>
      <c r="HZ10" s="76"/>
      <c r="IA10" s="6"/>
      <c r="IB10" s="6"/>
      <c r="IC10" s="77"/>
      <c r="ID10" s="77"/>
      <c r="IE10" s="77"/>
      <c r="IF10" s="77"/>
      <c r="IG10" s="77"/>
      <c r="IH10" s="77"/>
      <c r="II10" s="77"/>
      <c r="IJ10" s="77"/>
      <c r="IK10" s="77"/>
      <c r="IL10" s="48">
        <f>SUM(IC10:IK10)</f>
        <v>0</v>
      </c>
      <c r="IM10" s="45">
        <f t="shared" si="180"/>
        <v>-4</v>
      </c>
      <c r="IN10" s="78" t="str">
        <f t="shared" si="181"/>
        <v>http://mkweb.bcgsc.ca/color-summarizer/?url=https://upload.wikimedia.org/wikipedia/commons/thumb/3/3c/Bandeira_do_Distrito_Federal_%28Brasil%29.svg/640px-Bandeira_do_Distrito_Federal_%28Brasil%29.svg.png&amp;precision=low&amp;num_clusters=4&amp;text=1</v>
      </c>
      <c r="IO10" s="48" t="str">
        <f t="shared" si="182"/>
        <v/>
      </c>
      <c r="IP10" s="48" t="str">
        <f t="shared" si="183"/>
        <v>"blue"</v>
      </c>
      <c r="IQ10" s="48" t="str">
        <f t="shared" si="184"/>
        <v>"green"</v>
      </c>
      <c r="IR10" s="48" t="str">
        <f t="shared" si="185"/>
        <v>"red"</v>
      </c>
      <c r="IS10" s="48" t="str">
        <f t="shared" si="186"/>
        <v>"yellow"</v>
      </c>
      <c r="IT10" s="48" t="str">
        <f t="shared" si="187"/>
        <v/>
      </c>
      <c r="IU10" s="48" t="str">
        <f t="shared" si="188"/>
        <v/>
      </c>
      <c r="IV10" s="48" t="str">
        <f t="shared" si="189"/>
        <v/>
      </c>
      <c r="IW10" s="48" t="str">
        <f t="shared" si="190"/>
        <v/>
      </c>
      <c r="IX10" s="48" t="str">
        <f t="shared" si="191"/>
        <v>{"url":"http://mkweb.bcgsc.ca/color-summarizer/?url=https://upload.wikimedia.org/wikipedia/commons/thumb/3/3c/Bandeira_do_Distrito_Federal_%28Brasil%29.svg/640px-Bandeira_do_Distrito_Federal_%28Brasil%29.svg.png&amp;precision=low&amp;num_clusters=4&amp;text=1","name":"[BRA] Federal District"},</v>
      </c>
      <c r="IY10" s="48">
        <v>680</v>
      </c>
    </row>
    <row r="11" spans="1:259" s="48" customFormat="1" ht="38.4" customHeight="1" thickBot="1" x14ac:dyDescent="0.35">
      <c r="A11" s="79" t="s">
        <v>436</v>
      </c>
      <c r="B11" s="40" t="e" vm="33">
        <v>#VALUE!</v>
      </c>
      <c r="C11" s="41">
        <v>2</v>
      </c>
      <c r="D11" s="42" t="s">
        <v>437</v>
      </c>
      <c r="E11" s="43" t="s">
        <v>438</v>
      </c>
      <c r="F11" s="44" t="s">
        <v>166</v>
      </c>
      <c r="G11" s="45">
        <f>COUNTIF($A$1:$A$8312,A11)</f>
        <v>1</v>
      </c>
      <c r="H11" s="46"/>
      <c r="I11" s="47" t="s">
        <v>439</v>
      </c>
      <c r="J11" s="48" t="str">
        <f>""</f>
        <v/>
      </c>
      <c r="K11" s="49"/>
      <c r="L11" s="50"/>
      <c r="M11" s="50"/>
      <c r="N11" s="51" t="s">
        <v>169</v>
      </c>
      <c r="O11" s="52" t="s">
        <v>440</v>
      </c>
      <c r="P11" s="53" t="s">
        <v>441</v>
      </c>
      <c r="Q11" s="54">
        <v>1</v>
      </c>
      <c r="R11" s="55" t="s">
        <v>169</v>
      </c>
      <c r="S11" s="56">
        <v>8</v>
      </c>
      <c r="T11" s="57" t="s">
        <v>172</v>
      </c>
      <c r="U11" s="58" t="s">
        <v>172</v>
      </c>
      <c r="V11" s="58" t="s">
        <v>173</v>
      </c>
      <c r="W11" s="58" t="s">
        <v>172</v>
      </c>
      <c r="X11" s="58" t="s">
        <v>172</v>
      </c>
      <c r="Y11" s="58" t="s">
        <v>172</v>
      </c>
      <c r="Z11" s="58" t="s">
        <v>172</v>
      </c>
      <c r="AA11" s="58" t="s">
        <v>172</v>
      </c>
      <c r="AB11" s="58" t="s">
        <v>172</v>
      </c>
      <c r="AC11" s="58" t="s">
        <v>172</v>
      </c>
      <c r="AD11" s="58" t="s">
        <v>172</v>
      </c>
      <c r="AE11" s="58" t="s">
        <v>172</v>
      </c>
      <c r="AF11" s="59" t="s">
        <v>172</v>
      </c>
      <c r="AG11" s="59" t="s">
        <v>172</v>
      </c>
      <c r="AH11" s="59" t="s">
        <v>172</v>
      </c>
      <c r="AI11" s="59" t="s">
        <v>173</v>
      </c>
      <c r="AJ11" s="59" t="s">
        <v>172</v>
      </c>
      <c r="AK11" s="59" t="s">
        <v>172</v>
      </c>
      <c r="AL11" s="59" t="s">
        <v>172</v>
      </c>
      <c r="AM11" s="59" t="s">
        <v>172</v>
      </c>
      <c r="AN11" s="59" t="s">
        <v>172</v>
      </c>
      <c r="AO11" s="59" t="s">
        <v>172</v>
      </c>
      <c r="AP11" s="59" t="s">
        <v>172</v>
      </c>
      <c r="AQ11" s="59" t="s">
        <v>172</v>
      </c>
      <c r="AR11" s="59" t="s">
        <v>172</v>
      </c>
      <c r="AS11" s="59" t="s">
        <v>172</v>
      </c>
      <c r="AT11" s="60">
        <v>5</v>
      </c>
      <c r="AU11" s="59" t="s">
        <v>383</v>
      </c>
      <c r="AV11" s="59" t="str">
        <f>IF(LEFT(A11,1)="[",LEFT(A11,5)&amp;AU11&amp;A11,"")</f>
        <v>[BRA]State[BRA] Goias</v>
      </c>
      <c r="AW11" s="59" t="str">
        <f>C11&amp;H11&amp;A11</f>
        <v>2[BRA] Goias</v>
      </c>
      <c r="AX11" s="61" t="str">
        <f>_xlfn.TEXTJOIN(";",TRUE,AU11:AW11)</f>
        <v>State;[BRA]State[BRA] Goias;2[BRA] Goias</v>
      </c>
      <c r="AY11" s="61"/>
      <c r="AZ11" s="62" t="s">
        <v>159</v>
      </c>
      <c r="BA11" s="62"/>
      <c r="BB11" s="62"/>
      <c r="BC11" s="63"/>
      <c r="BD11" s="64" t="s">
        <v>152</v>
      </c>
      <c r="BE11" s="47"/>
      <c r="BF11" s="64"/>
      <c r="BG11" s="64"/>
      <c r="BH11" s="64"/>
      <c r="BI11" s="64"/>
      <c r="BJ11" s="64"/>
      <c r="BK11" s="47"/>
      <c r="BL11" s="64" t="s">
        <v>152</v>
      </c>
      <c r="BM11" s="64" t="s">
        <v>155</v>
      </c>
      <c r="BN11" s="64" t="s">
        <v>159</v>
      </c>
      <c r="BO11" s="64"/>
      <c r="BP11" s="64"/>
      <c r="BQ11" s="64"/>
      <c r="BR11" s="64"/>
      <c r="BS11" s="64"/>
      <c r="BT11" s="64"/>
      <c r="BU11" s="65"/>
      <c r="BV11" s="66"/>
      <c r="BW11" s="66">
        <v>0</v>
      </c>
      <c r="BX11" s="47"/>
      <c r="CB11" s="6"/>
      <c r="CC11" s="6"/>
      <c r="CD11" s="67">
        <v>1</v>
      </c>
      <c r="CE11" s="67">
        <v>0</v>
      </c>
      <c r="CF11" s="67" t="e">
        <v>#REF!</v>
      </c>
      <c r="CG11" s="68" cm="1">
        <f t="array" ref="CG11">SUMPRODUCT(--(LEN(TRIM(BL11:BT11))&gt;0))</f>
        <v>3</v>
      </c>
      <c r="CH11" s="59" t="str">
        <f t="shared" si="104"/>
        <v>n</v>
      </c>
      <c r="CI11" s="59" t="str">
        <f t="shared" si="105"/>
        <v>y</v>
      </c>
      <c r="CJ11" s="59" t="str">
        <f t="shared" si="106"/>
        <v>n</v>
      </c>
      <c r="CK11" s="59" t="str">
        <f t="shared" si="107"/>
        <v>n</v>
      </c>
      <c r="CL11" s="59" t="str">
        <f t="shared" si="108"/>
        <v>n</v>
      </c>
      <c r="CM11" s="59" t="str">
        <f t="shared" si="109"/>
        <v>n</v>
      </c>
      <c r="CN11" s="59" t="str">
        <f t="shared" si="110"/>
        <v>n</v>
      </c>
      <c r="CO11" s="59" t="str">
        <f t="shared" si="111"/>
        <v>y</v>
      </c>
      <c r="CP11" s="59" t="str">
        <f t="shared" si="112"/>
        <v>n</v>
      </c>
      <c r="CQ11" s="59" t="str">
        <f t="shared" si="113"/>
        <v>n</v>
      </c>
      <c r="CR11" s="59" t="str">
        <f t="shared" si="114"/>
        <v>n</v>
      </c>
      <c r="CS11" s="59" t="str">
        <f t="shared" si="115"/>
        <v>y</v>
      </c>
      <c r="CT11" s="69" t="str">
        <f t="shared" si="116"/>
        <v>"[BRA] Goias"</v>
      </c>
      <c r="CU11" s="70" t="str">
        <f t="shared" si="117"/>
        <v>"rgn_South America"</v>
      </c>
      <c r="CV11" s="48" t="str">
        <f t="shared" si="118"/>
        <v>"https://upload.wikimedia.org/wikipedia/commons/thumb/b/be/Flag_of_Goi%C3%A1s.svg/640px-Flag_of_Goi%C3%A1s.svg.png"</v>
      </c>
      <c r="CW11" s="48" t="str">
        <f t="shared" si="15"/>
        <v/>
      </c>
      <c r="CX11" s="48" t="str">
        <f t="shared" si="15"/>
        <v>"3Color",</v>
      </c>
      <c r="CY11" s="48" t="str">
        <f t="shared" si="15"/>
        <v/>
      </c>
      <c r="CZ11" s="48" t="str">
        <f t="shared" si="15"/>
        <v/>
      </c>
      <c r="DA11" s="48" t="str">
        <f t="shared" si="119"/>
        <v/>
      </c>
      <c r="DB11" s="48" t="str">
        <f t="shared" si="120"/>
        <v/>
      </c>
      <c r="DC11" s="48" t="str">
        <f>IF(Q11=2,CHAR(34)&amp;"exact2"&amp;CHAR(34)&amp;",","")</f>
        <v/>
      </c>
      <c r="DD11" s="48" t="str">
        <f>IF(LEN(CHAR(34)&amp;"lets"&amp;LEN(SUBSTITUTE(SUBSTITUTE(IFERROR(TRIM(SUBSTITUTE(SUBSTITUTE(SUBSTITUTE(IFERROR(TRIM(SUBSTITUTE(A11,MID(A11,FIND("(",A11),FIND(")",A11)-FIND("(",A11)+1),"")),A11),"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",""),"-",""))&amp;CHAR(34)&amp;",")=9,CHAR(34)&amp;"lets"&amp;LEN(SUBSTITUTE(SUBSTITUTE(IFERROR(TRIM(SUBSTITUTE(SUBSTITUTE(SUBSTITUTE(IFERROR(TRIM(SUBSTITUTE(A11,MID(A11,FIND("(",A11),FIND(")",A11)-FIND("(",A11)+1),"")),A11),"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",""),"-",""))&amp;CHAR(34)&amp;",",CHAR(34)&amp;"lets0"&amp;LEN(SUBSTITUTE(SUBSTITUTE(IFERROR(TRIM(SUBSTITUTE(SUBSTITUTE(SUBSTITUTE(IFERROR(TRIM(SUBSTITUTE(A11,MID(A11,FIND("(",A11),FIND(")",A11)-FIND("(",A11)+1),"")),A11),"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f>
        <v>"lets05",</v>
      </c>
      <c r="DE11" s="48" t="str">
        <f>IFERROR(CHAR(34)&amp;"start"&amp;LEFT(TRIM(SUBSTITUTE(SUBSTITUTE(TRIM(SUBSTITUTE(SUBSTITUTE(A11, MID(A11, FIND("[", A11), FIND("]", A11) - FIND("[", A11) + 1), ""), "  ", " ")), MID(TRIM(SUBSTITUTE(SUBSTITUTE(A11, MID(A11, FIND("[", A11), FIND("]", A11) - FIND("[", A11) + 1), ""), "  ", " ")), FIND("[", TRIM(SUBSTITUTE(SUBSTITUTE(A11, MID(A11, FIND("[", A11), FIND("]", A11) - FIND("[", A11) + 1), ""), "  ", " "))), FIND("]", TRIM(SUBSTITUTE(SUBSTITUTE(A11, MID(A11, FIND("[", A11), FIND("]", A11) - FIND("[", A11) + 1), ""), "  ", " "))) - FIND("[", TRIM(SUBSTITUTE(SUBSTITUTE(A11, MID(A11, FIND("[", A11), FIND("]", A11) - FIND("[", A11) + 1), ""), "  ", " "))) + 1), ""), "  ", " ")),1)&amp;CHAR(34)&amp;",",CHAR(34)&amp;"start"&amp;IFERROR(LEFT(SUBSTITUTE(A11,"["&amp;MID(A11,FIND("[",A11)+1,FIND("]",A11)-FIND("[",A11)-1)&amp;"] ",""),1),LEFT(A11,1))&amp;CHAR(34)&amp;",")</f>
        <v>"startG",</v>
      </c>
      <c r="DF11" s="48" t="str">
        <f t="shared" si="121"/>
        <v/>
      </c>
      <c r="DG11" s="48" t="str">
        <f t="shared" si="122"/>
        <v/>
      </c>
      <c r="DH11" s="48" t="str">
        <f t="shared" si="123"/>
        <v/>
      </c>
      <c r="DI11" s="48" t="str">
        <f t="shared" si="124"/>
        <v/>
      </c>
      <c r="DJ11" s="48" t="str">
        <f t="shared" si="125"/>
        <v/>
      </c>
      <c r="DK11" s="48" t="str">
        <f t="shared" si="126"/>
        <v/>
      </c>
      <c r="DL11" s="48" t="str">
        <f t="shared" si="127"/>
        <v/>
      </c>
      <c r="DM11" s="48" t="str" cm="1">
        <f t="array" ref="DM11">IF(CG11=3,CHAR(34) &amp; _xlfn.TEXTJOIN("", TRUE, RIGHT(HP11:HX11, 2)) &amp; CHAR(34) &amp; ",", "")</f>
        <v>"LUELHI",</v>
      </c>
      <c r="DN11" s="48" t="str">
        <f t="shared" si="128"/>
        <v/>
      </c>
      <c r="DO11" s="48" t="str">
        <f t="shared" si="129"/>
        <v>"year19",</v>
      </c>
      <c r="DP11" s="6" t="str">
        <f t="shared" si="130"/>
        <v/>
      </c>
      <c r="DQ11" s="6" t="str">
        <f t="shared" si="131"/>
        <v/>
      </c>
      <c r="DR11" s="6" t="str">
        <f t="shared" si="132"/>
        <v/>
      </c>
      <c r="DS11" s="6" t="str">
        <f t="shared" si="133"/>
        <v/>
      </c>
      <c r="DT11" s="6" t="str">
        <f t="shared" si="134"/>
        <v>"allhor",</v>
      </c>
      <c r="DU11" s="6" t="str">
        <f t="shared" si="135"/>
        <v/>
      </c>
      <c r="DV11" s="48" t="str">
        <f>IF(IA11&lt;&gt;"",(IF(IA11="y",CHAR(34)&amp;"largec"&amp;CHAR(34)&amp;",",CHAR(34)&amp;"smallc"&amp;CHAR(34)&amp;",")),"")</f>
        <v/>
      </c>
      <c r="DW11" s="48" t="str">
        <f t="shared" si="37"/>
        <v/>
      </c>
      <c r="DX11" s="48" t="str">
        <f t="shared" si="37"/>
        <v/>
      </c>
      <c r="DY11" s="48" t="str">
        <f t="shared" si="37"/>
        <v/>
      </c>
      <c r="DZ11" s="48" t="str">
        <f t="shared" si="37"/>
        <v>"4+Band",</v>
      </c>
      <c r="EA11" s="48" t="str">
        <f t="shared" si="38"/>
        <v/>
      </c>
      <c r="EB11" s="48" t="str">
        <f t="shared" si="38"/>
        <v/>
      </c>
      <c r="EC11" s="48" t="str">
        <f t="shared" si="38"/>
        <v>"Horizo",</v>
      </c>
      <c r="ED11" s="48" t="str">
        <f t="shared" si="38"/>
        <v/>
      </c>
      <c r="EE11" s="48" t="str">
        <f t="shared" si="38"/>
        <v/>
      </c>
      <c r="EF11" s="48" t="str">
        <f t="shared" si="136"/>
        <v/>
      </c>
      <c r="EG11" s="48" t="str">
        <f t="shared" si="40"/>
        <v/>
      </c>
      <c r="EH11" s="48" t="str">
        <f t="shared" si="40"/>
        <v/>
      </c>
      <c r="EI11" s="48" t="str">
        <f t="shared" si="40"/>
        <v/>
      </c>
      <c r="EJ11" s="48" t="str">
        <f t="shared" si="40"/>
        <v/>
      </c>
      <c r="EK11" s="48" t="str">
        <f t="shared" si="40"/>
        <v/>
      </c>
      <c r="EL11" s="48" t="str">
        <f t="shared" si="40"/>
        <v/>
      </c>
      <c r="EM11" s="48" t="str">
        <f t="shared" si="40"/>
        <v/>
      </c>
      <c r="EN11" s="48" t="str">
        <f t="shared" si="40"/>
        <v/>
      </c>
      <c r="EO11" s="48" t="str">
        <f t="shared" si="40"/>
        <v/>
      </c>
      <c r="EP11" s="48" t="str">
        <f t="shared" si="40"/>
        <v>"Canton",</v>
      </c>
      <c r="EQ11" s="48" t="str">
        <f t="shared" si="40"/>
        <v/>
      </c>
      <c r="ER11" s="48" t="str">
        <f t="shared" si="40"/>
        <v/>
      </c>
      <c r="ES11" s="48" t="str">
        <f t="shared" si="40"/>
        <v/>
      </c>
      <c r="ET11" s="48" t="str">
        <f t="shared" si="40"/>
        <v/>
      </c>
      <c r="EU11" s="48" t="str">
        <f t="shared" si="40"/>
        <v/>
      </c>
      <c r="EV11" s="48" t="str">
        <f t="shared" si="40"/>
        <v/>
      </c>
      <c r="EW11" s="48" t="str">
        <f t="shared" si="40"/>
        <v/>
      </c>
      <c r="EX11" s="48" t="str">
        <f t="shared" si="40"/>
        <v/>
      </c>
      <c r="EY11" s="48" t="str">
        <f t="shared" si="40"/>
        <v/>
      </c>
      <c r="EZ11" s="48" t="str">
        <f t="shared" si="40"/>
        <v/>
      </c>
      <c r="FA11" s="48" t="str">
        <f t="shared" si="137"/>
        <v>"staWHI",</v>
      </c>
      <c r="FB11" s="48" t="str">
        <f t="shared" si="138"/>
        <v/>
      </c>
      <c r="FC11" s="48" t="str">
        <f>IF(AND(AT11&gt;0,BB11&lt;&gt;""),CHAR(34)&amp;"sta"&amp;BB11&amp;CHAR(34)&amp;",","")</f>
        <v/>
      </c>
      <c r="FD11" s="48" t="str">
        <f t="shared" si="139"/>
        <v/>
      </c>
      <c r="FE11" s="48" t="str">
        <f t="shared" si="140"/>
        <v/>
      </c>
      <c r="FF11" s="48" t="str">
        <f t="shared" si="141"/>
        <v/>
      </c>
      <c r="FG11" s="48" t="str">
        <f t="shared" si="142"/>
        <v>"NO_RED",</v>
      </c>
      <c r="FH11" s="48" t="str">
        <f t="shared" si="143"/>
        <v>"NO_GRE",</v>
      </c>
      <c r="FI11" s="48" t="str">
        <f t="shared" si="144"/>
        <v/>
      </c>
      <c r="FJ11" s="48" t="str">
        <f t="shared" si="145"/>
        <v>"NO_BLA",</v>
      </c>
      <c r="FK11" s="48" t="str">
        <f t="shared" si="146"/>
        <v/>
      </c>
      <c r="FL11" s="48" t="str">
        <f t="shared" si="147"/>
        <v/>
      </c>
      <c r="FM11" s="48" t="str">
        <f t="shared" si="148"/>
        <v/>
      </c>
      <c r="FN11" s="48" t="str">
        <f t="shared" si="149"/>
        <v/>
      </c>
      <c r="FO11" s="48" t="str">
        <f t="shared" si="150"/>
        <v/>
      </c>
      <c r="FP11" s="48" t="str">
        <f t="shared" si="151"/>
        <v/>
      </c>
      <c r="FQ11" s="48" t="str">
        <f t="shared" si="152"/>
        <v/>
      </c>
      <c r="FR11" s="48" t="str">
        <f t="shared" si="153"/>
        <v/>
      </c>
      <c r="FS11" s="48" t="str">
        <f t="shared" si="154"/>
        <v/>
      </c>
      <c r="FT11" s="48" t="str">
        <f t="shared" si="155"/>
        <v>"myrBLU",</v>
      </c>
      <c r="FU11" s="48" t="str">
        <f t="shared" si="156"/>
        <v/>
      </c>
      <c r="FV11" s="48" t="str">
        <f t="shared" si="157"/>
        <v/>
      </c>
      <c r="FW11" s="48" t="str">
        <f t="shared" si="158"/>
        <v/>
      </c>
      <c r="FX11" s="48" t="str">
        <f>SUBSTITUTE(IFERROR(SEARCH("[",A11),IFERROR(IF(AND(CA11&lt;&gt;"y",SEARCH("Europe",R11)&gt;0),CHAR(34)&amp;"noeuni"&amp;CHAR(34)&amp;",",""),"")),"1","")</f>
        <v/>
      </c>
      <c r="FY11" s="48" t="str">
        <f t="shared" si="159"/>
        <v/>
      </c>
      <c r="FZ11" s="48" t="str">
        <f t="shared" si="160"/>
        <v/>
      </c>
      <c r="GA11" s="48" t="str">
        <f t="shared" si="161"/>
        <v/>
      </c>
      <c r="GB11" s="48" t="str">
        <f t="shared" si="162"/>
        <v/>
      </c>
      <c r="GC11" s="48" t="str">
        <f>IFERROR(IF(SEARCH("Portuguese",CB11)&gt;0,CHAR(34)&amp;"portug"&amp;CHAR(34)&amp;",",""),"")</f>
        <v/>
      </c>
      <c r="GD11" s="48" t="str">
        <f>IFERROR(IF(SEARCH("German",CB11)&gt;0,CHAR(34)&amp;"german"&amp;CHAR(34)&amp;",",""),"")</f>
        <v/>
      </c>
      <c r="GE11" s="48" t="str">
        <f t="shared" si="163"/>
        <v/>
      </c>
      <c r="GF11" s="48" t="str">
        <f t="shared" si="192"/>
        <v/>
      </c>
      <c r="GG11" s="48" t="str">
        <f t="shared" si="164"/>
        <v/>
      </c>
      <c r="GH11" s="48" t="str">
        <f t="shared" si="165"/>
        <v>"southc",</v>
      </c>
      <c r="GI11" s="48" t="str">
        <f t="shared" si="166"/>
        <v/>
      </c>
      <c r="GJ11" s="48" t="str">
        <f t="shared" si="167"/>
        <v/>
      </c>
      <c r="GK11" s="48" t="str">
        <f t="shared" si="168"/>
        <v>"HasSta",</v>
      </c>
      <c r="GL11" s="48" t="str">
        <f t="shared" si="78"/>
        <v/>
      </c>
      <c r="GM11" s="48" t="str">
        <f t="shared" si="78"/>
        <v/>
      </c>
      <c r="GN11" s="48" t="str">
        <f t="shared" si="78"/>
        <v>"3+Star",</v>
      </c>
      <c r="GP11" s="48" t="str">
        <f t="shared" si="169"/>
        <v>"State"</v>
      </c>
      <c r="GS11" s="48" t="str">
        <f t="shared" si="170"/>
        <v>["3Color","lets05","startG","LUELHI","year19","allhor","4+Band","Horizo","Canton","staWHI","NO_RED","NO_GRE","NO_BLA","myrBLU","southc","HasSta","3+Star"]</v>
      </c>
      <c r="GT11" s="48" t="str">
        <f t="shared" si="81"/>
        <v>"cl_BLU",</v>
      </c>
      <c r="GU11" s="48" t="str">
        <f t="shared" si="81"/>
        <v>"cl_YEL",</v>
      </c>
      <c r="GV11" s="48" t="str">
        <f t="shared" si="81"/>
        <v>"cl_WHI",</v>
      </c>
      <c r="GW11" s="48" t="str">
        <f t="shared" si="81"/>
        <v/>
      </c>
      <c r="GX11" s="48" t="str">
        <f t="shared" si="81"/>
        <v/>
      </c>
      <c r="GY11" s="48" t="str">
        <f t="shared" si="81"/>
        <v/>
      </c>
      <c r="GZ11" s="48" t="str">
        <f t="shared" si="81"/>
        <v/>
      </c>
      <c r="HA11" s="48" t="str">
        <f t="shared" si="81"/>
        <v/>
      </c>
      <c r="HB11" s="48" t="str">
        <f t="shared" si="81"/>
        <v/>
      </c>
      <c r="HC11" s="48" t="str">
        <f t="shared" si="171"/>
        <v>["cl_BLU","cl_YEL","cl_WHI"]</v>
      </c>
      <c r="HE11" s="71"/>
      <c r="HF11" s="72" t="str">
        <f t="shared" si="172"/>
        <v>{couname:"[BRA] Goias",year:"1919 ",region:"rgn_South America",Colors:["cl_BLU","cl_YEL","cl_WHI"],Items:["3Color","lets05","startG","LUELHI","year19","allhor","4+Band","Horizo","Canton","staWHI","NO_RED","NO_GRE","NO_BLA","myrBLU","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links: "https://en.wikipedia.org/wiki/Flag_of_Goiás"},</v>
      </c>
      <c r="HG11" s="73" t="str">
        <f t="shared" si="173"/>
        <v>{couname:"[BRA] Goias",year:"1919 ",region:"rgn_South America",Colors:["cl_BLU","cl_YEL","cl_WHI"],Items:["3Color","lets05","startG","LUELHI","year19","allhor","4+Band","Horizo","Canton","staWHI","NO_RED","NO_GRE","NO_BLA","myrBLU","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links: "https://en.wikipedia.org/wiki/Flag_of_Goiás"},</v>
      </c>
      <c r="HH11" s="48" t="str">
        <f t="shared" si="174"/>
        <v>"\nThe yellow represents the gold, the green represents the forests, and the five white stars in the upper left hoist represent the Southern Cross. The Southern Cross was the constellation that gave Brazil its primitive names, Ilha de Vera Cruz and Terra de Santa Cruz."</v>
      </c>
      <c r="HI11" s="48" t="str">
        <f t="shared" si="175"/>
        <v>"\nThe yellow represents the gold, the green represents the forests, and the five white stars in the upper left hoist represent the Southern Cross. The Southern Cross was the constellation that gave Brazil its primitive names, Ilha de Vera Cruz and Terra de Santa Cruz."</v>
      </c>
      <c r="HJ11" s="48" t="str">
        <f t="shared" si="176"/>
        <v>"1919 "</v>
      </c>
      <c r="HL11" s="48" t="str">
        <f t="shared" si="177"/>
        <v>"https://en.wikipedia.org/wiki/Flag_of_Goiás"</v>
      </c>
      <c r="HM11" s="72" t="str">
        <f t="shared" si="178"/>
        <v>{"couname":"[BRA] Goias","year":"1919 ","region":"rgn_South America","Colors":["cl_BLU","cl_YEL","cl_WHI"],"Items":["3Color","lets05","startG","LUELHI","year19","allhor","4+Band","Horizo","Canton","staWHI","NO_RED","NO_GRE","NO_BLA","myrBLU","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 "links": "https://en.wikipedia.org/wiki/Flag_of_Goiás"},</v>
      </c>
      <c r="HN11" s="74" t="str">
        <f t="shared" si="179"/>
        <v>{"couname":"[BRA] Goias","year":"1919 ","region":"rgn_South America","Colors":["cl_BLU","cl_YEL","cl_WHI"],"Items":["3Color","lets05","startG","LUELHI","year19","allhor","4+Band","Horizo","Canton","staWHI","NO_RED","NO_GRE","NO_BLA","myrBLU","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 "links": "https://en.wikipedia.org/wiki/Flag_of_Goiás"},</v>
      </c>
      <c r="HO11" s="75"/>
      <c r="HP11" s="48" t="str" cm="1">
        <f t="array" ref="HP11">IF(_xlfn.TEXTJOIN(", ", TRUE, IF(ISNUMBER(SEARCH("BLA", BL11:BT11)), COLUMN(BL11:BT11) - COLUMN(BL11) + 1, ""))&lt;&gt;"","BLA","")</f>
        <v/>
      </c>
      <c r="HQ11" s="48" t="str" cm="1">
        <f t="array" ref="HQ11">IF(_xlfn.TEXTJOIN(", ", TRUE, IF(ISNUMBER(SEARCH("BLU", BL11:BT11)), COLUMN(BL11:BT11) - COLUMN(BL11) + 1, ""))&lt;&gt;"","BLU","")</f>
        <v>BLU</v>
      </c>
      <c r="HR11" s="48" t="str" cm="1">
        <f t="array" ref="HR11">IF(_xlfn.TEXTJOIN(", ", TRUE, IF(ISNUMBER(SEARCH("GRE", BL11:BT11)), COLUMN(BL11:BT11) - COLUMN(BL11) + 1, ""))&lt;&gt;"","GRE","")</f>
        <v/>
      </c>
      <c r="HS11" s="48" t="str" cm="1">
        <f t="array" ref="HS11">IF(_xlfn.TEXTJOIN(", ", TRUE, IF(ISNUMBER(SEARCH("RED", BL11:BT11)), COLUMN(BL11:BT11) - COLUMN(BL11) + 1, ""))&lt;&gt;"","RED","")</f>
        <v/>
      </c>
      <c r="HT11" s="48" t="str" cm="1">
        <f t="array" ref="HT11">IF(_xlfn.TEXTJOIN(", ", TRUE, IF(ISNUMBER(SEARCH("YEL", BL11:BT11)), COLUMN(BL11:BT11) - COLUMN(BL11) + 1, ""))&lt;&gt;"","YEL","")</f>
        <v>YEL</v>
      </c>
      <c r="HU11" s="48" t="str" cm="1">
        <f t="array" ref="HU11">IF(_xlfn.TEXTJOIN(", ", TRUE, IF(ISNUMBER(SEARCH("ORA", BL11:BT11)), COLUMN(BL11:BT11) - COLUMN(BL11) + 1, ""))&lt;&gt;"","ORA","")</f>
        <v/>
      </c>
      <c r="HV11" s="48" t="str" cm="1">
        <f t="array" ref="HV11">IF(_xlfn.TEXTJOIN(", ", TRUE, IF(ISNUMBER(SEARCH("BRO", BL11:BT11)), COLUMN(BL11:BT11) - COLUMN(BL11) + 1, ""))&lt;&gt;"","BRO","")</f>
        <v/>
      </c>
      <c r="HW11" s="48" t="str" cm="1">
        <f t="array" ref="HW11">IF(_xlfn.TEXTJOIN(", ", TRUE, IF(ISNUMBER(SEARCH("PUR", BL11:BT11)), COLUMN(BL11:BT11) - COLUMN(BL11) + 1, ""))&lt;&gt;"","PUR","")</f>
        <v/>
      </c>
      <c r="HX11" s="48" t="str" cm="1">
        <f t="array" ref="HX11">IF(_xlfn.TEXTJOIN(", ", TRUE, IF(ISNUMBER(SEARCH("WHI", BL11:BT11)), COLUMN(BL11:BT11) - COLUMN(BL11) + 1, ""))&lt;&gt;"","WHI","")</f>
        <v>WHI</v>
      </c>
      <c r="HY11" s="76"/>
      <c r="HZ11" s="76"/>
      <c r="IA11" s="6"/>
      <c r="IB11" s="6"/>
      <c r="IC11" s="77"/>
      <c r="ID11" s="77"/>
      <c r="IE11" s="77"/>
      <c r="IF11" s="77"/>
      <c r="IG11" s="77"/>
      <c r="IH11" s="77"/>
      <c r="II11" s="77"/>
      <c r="IJ11" s="77"/>
      <c r="IK11" s="77"/>
      <c r="IL11" s="48">
        <f>SUM(IC11:IK11)</f>
        <v>0</v>
      </c>
      <c r="IM11" s="45">
        <f t="shared" si="180"/>
        <v>-3</v>
      </c>
      <c r="IN11" s="78" t="str">
        <f t="shared" si="181"/>
        <v>http://mkweb.bcgsc.ca/color-summarizer/?url=https://upload.wikimedia.org/wikipedia/commons/thumb/b/be/Flag_of_Goi%C3%A1s.svg/640px-Flag_of_Goi%C3%A1s.svg.png&amp;precision=low&amp;num_clusters=3&amp;text=1</v>
      </c>
      <c r="IO11" s="48" t="str">
        <f t="shared" si="182"/>
        <v/>
      </c>
      <c r="IP11" s="48" t="str">
        <f t="shared" si="183"/>
        <v>"blue"</v>
      </c>
      <c r="IQ11" s="48" t="str">
        <f t="shared" si="184"/>
        <v/>
      </c>
      <c r="IR11" s="48" t="str">
        <f t="shared" si="185"/>
        <v/>
      </c>
      <c r="IS11" s="48" t="str">
        <f t="shared" si="186"/>
        <v>"yellow"</v>
      </c>
      <c r="IT11" s="48" t="str">
        <f t="shared" si="187"/>
        <v/>
      </c>
      <c r="IU11" s="48" t="str">
        <f t="shared" si="188"/>
        <v/>
      </c>
      <c r="IV11" s="48" t="str">
        <f t="shared" si="189"/>
        <v/>
      </c>
      <c r="IW11" s="48" t="str">
        <f t="shared" si="190"/>
        <v>"white"</v>
      </c>
      <c r="IX11" s="48" t="str">
        <f t="shared" si="191"/>
        <v>{"url":"http://mkweb.bcgsc.ca/color-summarizer/?url=https://upload.wikimedia.org/wikipedia/commons/thumb/b/be/Flag_of_Goi%C3%A1s.svg/640px-Flag_of_Goi%C3%A1s.svg.png&amp;precision=low&amp;num_clusters=3&amp;text=1","name":"[BRA] Goias"},</v>
      </c>
      <c r="IY11" s="48">
        <v>678</v>
      </c>
    </row>
    <row r="12" spans="1:259" s="48" customFormat="1" ht="38.4" customHeight="1" thickBot="1" x14ac:dyDescent="0.35">
      <c r="A12" s="79" t="s">
        <v>442</v>
      </c>
      <c r="B12" s="40" t="e" vm="34">
        <v>#VALUE!</v>
      </c>
      <c r="C12" s="41">
        <v>2</v>
      </c>
      <c r="D12" s="42" t="s">
        <v>443</v>
      </c>
      <c r="E12" s="43" t="s">
        <v>444</v>
      </c>
      <c r="F12" s="44" t="s">
        <v>166</v>
      </c>
      <c r="G12" s="45">
        <f>COUNTIF($A$1:$A$8312,A12)</f>
        <v>1</v>
      </c>
      <c r="H12" s="46"/>
      <c r="I12" s="47" t="s">
        <v>445</v>
      </c>
      <c r="J12" s="48" t="str">
        <f>""</f>
        <v/>
      </c>
      <c r="K12" s="49"/>
      <c r="L12" s="50"/>
      <c r="M12" s="50"/>
      <c r="N12" s="51" t="s">
        <v>169</v>
      </c>
      <c r="O12" s="52" t="s">
        <v>446</v>
      </c>
      <c r="P12" s="53" t="s">
        <v>447</v>
      </c>
      <c r="Q12" s="54">
        <v>1</v>
      </c>
      <c r="R12" s="55" t="s">
        <v>169</v>
      </c>
      <c r="S12" s="56">
        <v>9</v>
      </c>
      <c r="T12" s="57" t="s">
        <v>172</v>
      </c>
      <c r="U12" s="58" t="s">
        <v>172</v>
      </c>
      <c r="V12" s="58" t="s">
        <v>173</v>
      </c>
      <c r="W12" s="58" t="s">
        <v>172</v>
      </c>
      <c r="X12" s="58" t="s">
        <v>172</v>
      </c>
      <c r="Y12" s="58" t="s">
        <v>172</v>
      </c>
      <c r="Z12" s="58" t="s">
        <v>172</v>
      </c>
      <c r="AA12" s="58" t="s">
        <v>172</v>
      </c>
      <c r="AB12" s="58" t="s">
        <v>172</v>
      </c>
      <c r="AC12" s="58" t="s">
        <v>172</v>
      </c>
      <c r="AD12" s="58" t="s">
        <v>172</v>
      </c>
      <c r="AE12" s="58" t="s">
        <v>172</v>
      </c>
      <c r="AF12" s="59" t="s">
        <v>172</v>
      </c>
      <c r="AG12" s="59" t="s">
        <v>172</v>
      </c>
      <c r="AH12" s="59" t="s">
        <v>172</v>
      </c>
      <c r="AI12" s="59" t="s">
        <v>173</v>
      </c>
      <c r="AJ12" s="59" t="s">
        <v>172</v>
      </c>
      <c r="AK12" s="59" t="s">
        <v>172</v>
      </c>
      <c r="AL12" s="59" t="s">
        <v>172</v>
      </c>
      <c r="AM12" s="59" t="s">
        <v>172</v>
      </c>
      <c r="AN12" s="59" t="s">
        <v>172</v>
      </c>
      <c r="AO12" s="59" t="s">
        <v>172</v>
      </c>
      <c r="AP12" s="59" t="s">
        <v>172</v>
      </c>
      <c r="AQ12" s="59" t="s">
        <v>172</v>
      </c>
      <c r="AR12" s="59" t="s">
        <v>172</v>
      </c>
      <c r="AS12" s="59" t="s">
        <v>172</v>
      </c>
      <c r="AT12" s="60">
        <v>1</v>
      </c>
      <c r="AU12" s="59" t="s">
        <v>383</v>
      </c>
      <c r="AV12" s="59" t="str">
        <f>IF(LEFT(A12,1)="[",LEFT(A12,5)&amp;AU12&amp;A12,"")</f>
        <v>[BRA]State[BRA] Maranhao</v>
      </c>
      <c r="AW12" s="59" t="str">
        <f>C12&amp;H12&amp;A12</f>
        <v>2[BRA] Maranhao</v>
      </c>
      <c r="AX12" s="61"/>
      <c r="AY12" s="61"/>
      <c r="AZ12" s="62" t="s">
        <v>174</v>
      </c>
      <c r="BA12" s="62" t="s">
        <v>174</v>
      </c>
      <c r="BB12" s="62"/>
      <c r="BC12" s="63"/>
      <c r="BD12" s="64" t="s">
        <v>217</v>
      </c>
      <c r="BE12" s="47"/>
      <c r="BF12" s="64" t="s">
        <v>152</v>
      </c>
      <c r="BG12" s="64" t="s">
        <v>154</v>
      </c>
      <c r="BH12" s="64" t="s">
        <v>155</v>
      </c>
      <c r="BI12" s="64"/>
      <c r="BJ12" s="64"/>
      <c r="BK12" s="47"/>
      <c r="BL12" s="64" t="s">
        <v>151</v>
      </c>
      <c r="BM12" s="64" t="s">
        <v>152</v>
      </c>
      <c r="BN12" s="64" t="s">
        <v>174</v>
      </c>
      <c r="BO12" s="64" t="s">
        <v>154</v>
      </c>
      <c r="BP12" s="64" t="s">
        <v>155</v>
      </c>
      <c r="BQ12" s="64" t="s">
        <v>174</v>
      </c>
      <c r="BR12" s="64" t="s">
        <v>157</v>
      </c>
      <c r="BS12" s="64" t="s">
        <v>174</v>
      </c>
      <c r="BT12" s="64" t="s">
        <v>159</v>
      </c>
      <c r="BU12" s="65"/>
      <c r="BV12" s="66"/>
      <c r="BW12" s="66">
        <v>0</v>
      </c>
      <c r="BX12" s="47"/>
      <c r="BY12" s="48" t="s">
        <v>172</v>
      </c>
      <c r="CB12" s="6"/>
      <c r="CC12" s="6"/>
      <c r="CD12" s="67">
        <v>0</v>
      </c>
      <c r="CE12" s="67">
        <v>0</v>
      </c>
      <c r="CF12" s="67" t="e">
        <v>#REF!</v>
      </c>
      <c r="CG12" s="68" cm="1">
        <f t="array" ref="CG12">SUMPRODUCT(--(LEN(TRIM(BL12:BT12))&gt;0))</f>
        <v>6</v>
      </c>
      <c r="CH12" s="59" t="str">
        <f t="shared" si="104"/>
        <v>n</v>
      </c>
      <c r="CI12" s="59" t="str">
        <f t="shared" si="105"/>
        <v>n</v>
      </c>
      <c r="CJ12" s="59" t="str">
        <f t="shared" si="106"/>
        <v>n</v>
      </c>
      <c r="CK12" s="59" t="str">
        <f t="shared" si="107"/>
        <v>y</v>
      </c>
      <c r="CL12" s="59" t="str">
        <f t="shared" si="108"/>
        <v>n</v>
      </c>
      <c r="CM12" s="59" t="str">
        <f t="shared" si="109"/>
        <v>n</v>
      </c>
      <c r="CN12" s="59" t="str">
        <f t="shared" si="110"/>
        <v>n</v>
      </c>
      <c r="CO12" s="59" t="str">
        <f t="shared" si="111"/>
        <v>y</v>
      </c>
      <c r="CP12" s="59" t="str">
        <f t="shared" si="112"/>
        <v>n</v>
      </c>
      <c r="CQ12" s="59" t="str">
        <f t="shared" si="113"/>
        <v>y</v>
      </c>
      <c r="CR12" s="59" t="str">
        <f t="shared" si="114"/>
        <v>n</v>
      </c>
      <c r="CS12" s="59" t="str">
        <f t="shared" si="115"/>
        <v>n</v>
      </c>
      <c r="CT12" s="69" t="str">
        <f t="shared" si="116"/>
        <v>"[BRA] Maranhao"</v>
      </c>
      <c r="CU12" s="70" t="str">
        <f t="shared" si="117"/>
        <v>"rgn_South America"</v>
      </c>
      <c r="CV12" s="48" t="str">
        <f t="shared" si="118"/>
        <v>"https://upload.wikimedia.org/wikipedia/commons/thumb/4/45/Bandeira_do_Maranh%C3%A3o.svg/640px-Bandeira_do_Maranh%C3%A3o.svg.png"</v>
      </c>
      <c r="CW12" s="48" t="str">
        <f t="shared" si="15"/>
        <v/>
      </c>
      <c r="CX12" s="48" t="str">
        <f t="shared" si="15"/>
        <v/>
      </c>
      <c r="CY12" s="48" t="str">
        <f t="shared" si="15"/>
        <v/>
      </c>
      <c r="CZ12" s="48" t="str">
        <f t="shared" si="15"/>
        <v>"5+Colo",</v>
      </c>
      <c r="DA12" s="48" t="str">
        <f t="shared" si="119"/>
        <v/>
      </c>
      <c r="DB12" s="48" t="str">
        <f t="shared" si="120"/>
        <v/>
      </c>
      <c r="DD12" s="48" t="str">
        <f>IF(LEN(CHAR(34)&amp;"lets"&amp;LEN(SUBSTITUTE(SUBSTITUTE(IFERROR(TRIM(SUBSTITUTE(A12,MID(A12,FIND("[",A12),FIND("]",A12)-FIND("[",A12)+1),"")),A12)," ",""),"-",""))&amp;CHAR(34)&amp;",")=9,CHAR(34)&amp;"lets"&amp;LEN(SUBSTITUTE(SUBSTITUTE(IFERROR(TRIM(SUBSTITUTE(A12,MID(A12,FIND("[",A12),FIND("]",A12)-FIND("[",A12)+1),"")),A12)," ",""),"-",""))&amp;CHAR(34)&amp;",",CHAR(34)&amp;"lets0"&amp;LEN(SUBSTITUTE(SUBSTITUTE(IFERROR(TRIM(SUBSTITUTE(A12,MID(A12,FIND("[",A12),FIND("]",A12)-FIND("[",A12)+1),"")),A12)," ",""),"-",""))&amp;CHAR(34)&amp;",")</f>
        <v>"lets08",</v>
      </c>
      <c r="DE12" s="48" t="str">
        <f>CHAR(34)&amp;"start"&amp;IFERROR(LEFT(SUBSTITUTE(A12,"["&amp;MID(A12,FIND("[",A12)+1,FIND("]",A12)-FIND("[",A12)-1)&amp;"] ",""),1),LEFT(A12,1))&amp;CHAR(34)&amp;","</f>
        <v>"startM",</v>
      </c>
      <c r="DF12" s="48" t="str">
        <f t="shared" si="121"/>
        <v/>
      </c>
      <c r="DG12" s="48" t="str">
        <f t="shared" si="122"/>
        <v/>
      </c>
      <c r="DH12" s="48" t="str">
        <f t="shared" si="123"/>
        <v/>
      </c>
      <c r="DI12" s="48" t="str">
        <f t="shared" si="124"/>
        <v/>
      </c>
      <c r="DJ12" s="48" t="str">
        <f t="shared" si="125"/>
        <v/>
      </c>
      <c r="DK12" s="48" t="str">
        <f t="shared" si="126"/>
        <v/>
      </c>
      <c r="DL12" s="48" t="str">
        <f t="shared" si="127"/>
        <v/>
      </c>
      <c r="DM12" s="48" t="str" cm="1">
        <f t="array" ref="DM12">IF(CG12=3,CHAR(34) &amp; _xlfn.TEXTJOIN("", TRUE, RIGHT(HP12:HX12, 2)) &amp; CHAR(34) &amp; ",", "")</f>
        <v/>
      </c>
      <c r="DN12" s="48" t="str">
        <f t="shared" si="128"/>
        <v>"year18",</v>
      </c>
      <c r="DO12" s="48" t="str">
        <f t="shared" si="129"/>
        <v/>
      </c>
      <c r="DP12" s="6" t="str">
        <f t="shared" si="130"/>
        <v/>
      </c>
      <c r="DQ12" s="6" t="str">
        <f t="shared" si="131"/>
        <v/>
      </c>
      <c r="DR12" s="6" t="str">
        <f t="shared" si="132"/>
        <v/>
      </c>
      <c r="DS12" s="6" t="str">
        <f t="shared" si="133"/>
        <v/>
      </c>
      <c r="DT12" s="6" t="str">
        <f t="shared" si="134"/>
        <v>"allhor",</v>
      </c>
      <c r="DU12" s="6" t="str">
        <f t="shared" si="135"/>
        <v/>
      </c>
      <c r="DW12" s="48" t="str">
        <f t="shared" si="37"/>
        <v/>
      </c>
      <c r="DX12" s="48" t="str">
        <f t="shared" si="37"/>
        <v/>
      </c>
      <c r="DY12" s="48" t="str">
        <f t="shared" si="37"/>
        <v/>
      </c>
      <c r="DZ12" s="48" t="str">
        <f t="shared" si="37"/>
        <v>"4+Band",</v>
      </c>
      <c r="EA12" s="48" t="str">
        <f t="shared" si="38"/>
        <v/>
      </c>
      <c r="EB12" s="48" t="str">
        <f t="shared" si="38"/>
        <v/>
      </c>
      <c r="EC12" s="48" t="str">
        <f t="shared" si="38"/>
        <v>"Horizo",</v>
      </c>
      <c r="ED12" s="48" t="str">
        <f t="shared" si="38"/>
        <v/>
      </c>
      <c r="EE12" s="48" t="str">
        <f t="shared" si="38"/>
        <v/>
      </c>
      <c r="EF12" s="48" t="str">
        <f t="shared" si="136"/>
        <v/>
      </c>
      <c r="EG12" s="48" t="str">
        <f t="shared" si="40"/>
        <v/>
      </c>
      <c r="EH12" s="48" t="str">
        <f t="shared" si="40"/>
        <v/>
      </c>
      <c r="EI12" s="48" t="str">
        <f t="shared" si="40"/>
        <v/>
      </c>
      <c r="EJ12" s="48" t="str">
        <f t="shared" si="40"/>
        <v/>
      </c>
      <c r="EK12" s="48" t="str">
        <f t="shared" si="40"/>
        <v/>
      </c>
      <c r="EL12" s="48" t="str">
        <f t="shared" si="40"/>
        <v/>
      </c>
      <c r="EM12" s="48" t="str">
        <f t="shared" si="40"/>
        <v/>
      </c>
      <c r="EN12" s="48" t="str">
        <f t="shared" si="40"/>
        <v/>
      </c>
      <c r="EO12" s="48" t="str">
        <f t="shared" si="40"/>
        <v/>
      </c>
      <c r="EP12" s="48" t="str">
        <f t="shared" si="40"/>
        <v>"Canton",</v>
      </c>
      <c r="EQ12" s="48" t="str">
        <f t="shared" si="40"/>
        <v/>
      </c>
      <c r="ER12" s="48" t="str">
        <f t="shared" si="40"/>
        <v/>
      </c>
      <c r="ES12" s="48" t="str">
        <f t="shared" si="40"/>
        <v/>
      </c>
      <c r="ET12" s="48" t="str">
        <f t="shared" si="40"/>
        <v/>
      </c>
      <c r="EU12" s="48" t="str">
        <f t="shared" si="40"/>
        <v/>
      </c>
      <c r="EV12" s="48" t="str">
        <f t="shared" si="40"/>
        <v/>
      </c>
      <c r="EW12" s="48" t="str">
        <f t="shared" si="40"/>
        <v/>
      </c>
      <c r="EX12" s="48" t="str">
        <f t="shared" si="40"/>
        <v/>
      </c>
      <c r="EY12" s="48" t="str">
        <f t="shared" si="40"/>
        <v/>
      </c>
      <c r="EZ12" s="48" t="str">
        <f t="shared" si="40"/>
        <v/>
      </c>
      <c r="FA12" s="48" t="str">
        <f t="shared" si="137"/>
        <v>"sta",</v>
      </c>
      <c r="FB12" s="48" t="str">
        <f t="shared" si="138"/>
        <v/>
      </c>
      <c r="FD12" s="48" t="str">
        <f t="shared" si="139"/>
        <v/>
      </c>
      <c r="FE12" s="48" t="str">
        <f t="shared" si="140"/>
        <v/>
      </c>
      <c r="FF12" s="48" t="str">
        <f t="shared" si="141"/>
        <v/>
      </c>
      <c r="FG12" s="48" t="str">
        <f t="shared" si="142"/>
        <v/>
      </c>
      <c r="FH12" s="48" t="str">
        <f t="shared" si="143"/>
        <v>"NO_GRE",</v>
      </c>
      <c r="FI12" s="48" t="str">
        <f t="shared" si="144"/>
        <v/>
      </c>
      <c r="FJ12" s="48" t="str">
        <f t="shared" si="145"/>
        <v/>
      </c>
      <c r="FK12" s="48" t="str">
        <f t="shared" si="146"/>
        <v/>
      </c>
      <c r="FL12" s="48" t="str">
        <f t="shared" si="147"/>
        <v/>
      </c>
      <c r="FM12" s="48" t="str">
        <f t="shared" si="148"/>
        <v/>
      </c>
      <c r="FN12" s="48" t="str">
        <f t="shared" si="149"/>
        <v/>
      </c>
      <c r="FO12" s="48" t="str">
        <f t="shared" si="150"/>
        <v/>
      </c>
      <c r="FP12" s="48" t="str">
        <f t="shared" si="151"/>
        <v/>
      </c>
      <c r="FQ12" s="48" t="str">
        <f t="shared" si="152"/>
        <v>"001BLU",</v>
      </c>
      <c r="FR12" s="48" t="str">
        <f t="shared" si="153"/>
        <v>"002RED",</v>
      </c>
      <c r="FS12" s="48" t="str">
        <f t="shared" si="154"/>
        <v>"003YEL",</v>
      </c>
      <c r="FT12" s="48" t="str">
        <f t="shared" si="155"/>
        <v>"myrEQ",</v>
      </c>
      <c r="FU12" s="48" t="str">
        <f t="shared" si="156"/>
        <v/>
      </c>
      <c r="FV12" s="48" t="str">
        <f t="shared" si="157"/>
        <v/>
      </c>
      <c r="FW12" s="48" t="str">
        <f t="shared" si="158"/>
        <v/>
      </c>
      <c r="FY12" s="48" t="str">
        <f t="shared" si="159"/>
        <v/>
      </c>
      <c r="FZ12" s="48" t="str">
        <f t="shared" si="160"/>
        <v/>
      </c>
      <c r="GA12" s="48" t="str">
        <f t="shared" si="161"/>
        <v/>
      </c>
      <c r="GB12" s="48" t="str">
        <f t="shared" si="162"/>
        <v/>
      </c>
      <c r="GE12" s="48" t="str">
        <f t="shared" si="163"/>
        <v/>
      </c>
      <c r="GF12" s="48" t="str">
        <f t="shared" si="192"/>
        <v/>
      </c>
      <c r="GG12" s="48" t="str">
        <f t="shared" si="164"/>
        <v/>
      </c>
      <c r="GH12" s="48" t="str">
        <f t="shared" si="165"/>
        <v/>
      </c>
      <c r="GI12" s="48" t="str">
        <f t="shared" si="166"/>
        <v/>
      </c>
      <c r="GJ12" s="48" t="str">
        <f t="shared" si="167"/>
        <v/>
      </c>
      <c r="GK12" s="48" t="str">
        <f t="shared" si="168"/>
        <v>"HasSta",</v>
      </c>
      <c r="GL12" s="48" t="str">
        <f t="shared" si="78"/>
        <v>"1Stars",</v>
      </c>
      <c r="GM12" s="48" t="str">
        <f t="shared" si="78"/>
        <v/>
      </c>
      <c r="GN12" s="48" t="str">
        <f t="shared" si="78"/>
        <v/>
      </c>
      <c r="GP12" s="48" t="str">
        <f t="shared" si="169"/>
        <v>"State"</v>
      </c>
      <c r="GS12" s="48" t="str">
        <f t="shared" si="170"/>
        <v>["5+Colo","lets08","startM","year18","allhor","4+Band","Horizo","Canton","sta","NO_GRE","001BLU","002RED","003YEL","myrEQ","HasSta","1Stars"]</v>
      </c>
      <c r="GT12" s="48" t="str">
        <f t="shared" si="81"/>
        <v>"cl_BLA",</v>
      </c>
      <c r="GU12" s="48" t="str">
        <f t="shared" si="81"/>
        <v>"cl_BLU",</v>
      </c>
      <c r="GV12" s="48" t="str">
        <f t="shared" si="81"/>
        <v/>
      </c>
      <c r="GW12" s="48" t="str">
        <f t="shared" si="81"/>
        <v>"cl_RED",</v>
      </c>
      <c r="GX12" s="48" t="str">
        <f t="shared" si="81"/>
        <v>"cl_YEL",</v>
      </c>
      <c r="GY12" s="48" t="str">
        <f t="shared" si="81"/>
        <v/>
      </c>
      <c r="GZ12" s="48" t="str">
        <f t="shared" si="81"/>
        <v>"cl_BRO",</v>
      </c>
      <c r="HA12" s="48" t="str">
        <f t="shared" si="81"/>
        <v/>
      </c>
      <c r="HB12" s="48" t="str">
        <f t="shared" si="81"/>
        <v>"cl_WHI",</v>
      </c>
      <c r="HC12" s="48" t="str">
        <f t="shared" si="171"/>
        <v>["cl_BLA","cl_BLU","cl_RED","cl_YEL","cl_BRO","cl_WHI"]</v>
      </c>
      <c r="HE12" s="71"/>
      <c r="HF12" s="72" t="str">
        <f t="shared" si="172"/>
        <v>{couname:"[BRA] Maranhao",year:"1889 ",region:"rgn_South America",Colors:["cl_BLA","cl_BLU","cl_RED","cl_YEL","cl_BRO","cl_WHI"],Items:["5+Colo","lets08","startM","year18","allhor","4+Band","Horizo","Canton","sta","NO_GRE","001BLU","002RED","003YEL","myrEQ","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links: "https://en.wikipedia.org/wiki/Flag_of_Maranhão"},</v>
      </c>
      <c r="HG12" s="73" t="str">
        <f t="shared" si="173"/>
        <v>{couname:"[BRA] Maranhao",year:"1889 ",region:"rgn_South America",Colors:["cl_BLA","cl_BLU","cl_RED","cl_YEL","cl_BRO","cl_WHI"],Items:["5+Colo","lets08","startM","year18","allhor","4+Band","Horizo","Canton","sta","NO_GRE","001BLU","002RED","003YEL","myrEQ","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links: "https://en.wikipedia.org/wiki/Flag_of_Maranhão"},</v>
      </c>
      <c r="HH12" s="48" t="str">
        <f t="shared" si="174"/>
        <v>"\nThe three colors of the stripes represent the ethnic composition of the population of Maranhão (Indigenous, black, and white people), while the star represents Beta Scorpii, which inturn represents the state of Maranhão on the Flag of Brazil."</v>
      </c>
      <c r="HI12" s="48" t="str">
        <f t="shared" si="175"/>
        <v>"\nThe three colors of the stripes represent the ethnic composition of the population of Maranhão (Indigenous, black, and white people), while the star represents Beta Scorpii, which inturn represents the state of Maranhão on the Flag of Brazil."</v>
      </c>
      <c r="HJ12" s="48" t="str">
        <f t="shared" si="176"/>
        <v>"1889 "</v>
      </c>
      <c r="HL12" s="48" t="str">
        <f t="shared" si="177"/>
        <v>"https://en.wikipedia.org/wiki/Flag_of_Maranhão"</v>
      </c>
      <c r="HM12" s="72" t="str">
        <f t="shared" si="178"/>
        <v>{"couname":"[BRA] Maranhao","year":"1889 ","region":"rgn_South America","Colors":["cl_BLA","cl_BLU","cl_RED","cl_YEL","cl_BRO","cl_WHI"],"Items":["5+Colo","lets08","startM","year18","allhor","4+Band","Horizo","Canton","sta","NO_GRE","001BLU","002RED","003YEL","myrEQ","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 "links": "https://en.wikipedia.org/wiki/Flag_of_Maranhão"},</v>
      </c>
      <c r="HN12" s="74" t="str">
        <f t="shared" si="179"/>
        <v>{"couname":"[BRA] Maranhao","year":"1889 ","region":"rgn_South America","Colors":["cl_BLA","cl_BLU","cl_RED","cl_YEL","cl_BRO","cl_WHI"],"Items":["5+Colo","lets08","startM","year18","allhor","4+Band","Horizo","Canton","sta","NO_GRE","001BLU","002RED","003YEL","myrEQ","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 "links": "https://en.wikipedia.org/wiki/Flag_of_Maranhão"},</v>
      </c>
      <c r="HO12" s="75">
        <v>45596</v>
      </c>
      <c r="HP12" s="48" t="str" cm="1">
        <f t="array" ref="HP12">IF(_xlfn.TEXTJOIN(", ", TRUE, IF(ISNUMBER(SEARCH("BLA", BL12:BT12)), COLUMN(BL12:BT12) - COLUMN(BL12) + 1, ""))&lt;&gt;"","BLA","")</f>
        <v>BLA</v>
      </c>
      <c r="HQ12" s="48" t="str" cm="1">
        <f t="array" ref="HQ12">IF(_xlfn.TEXTJOIN(", ", TRUE, IF(ISNUMBER(SEARCH("BLU", BL12:BT12)), COLUMN(BL12:BT12) - COLUMN(BL12) + 1, ""))&lt;&gt;"","BLU","")</f>
        <v>BLU</v>
      </c>
      <c r="HR12" s="48" t="str" cm="1">
        <f t="array" ref="HR12">IF(_xlfn.TEXTJOIN(", ", TRUE, IF(ISNUMBER(SEARCH("GRE", BL12:BT12)), COLUMN(BL12:BT12) - COLUMN(BL12) + 1, ""))&lt;&gt;"","GRE","")</f>
        <v/>
      </c>
      <c r="HS12" s="48" t="str" cm="1">
        <f t="array" ref="HS12">IF(_xlfn.TEXTJOIN(", ", TRUE, IF(ISNUMBER(SEARCH("RED", BL12:BT12)), COLUMN(BL12:BT12) - COLUMN(BL12) + 1, ""))&lt;&gt;"","RED","")</f>
        <v>RED</v>
      </c>
      <c r="HT12" s="48" t="str" cm="1">
        <f t="array" ref="HT12">IF(_xlfn.TEXTJOIN(", ", TRUE, IF(ISNUMBER(SEARCH("YEL", BL12:BT12)), COLUMN(BL12:BT12) - COLUMN(BL12) + 1, ""))&lt;&gt;"","YEL","")</f>
        <v>YEL</v>
      </c>
      <c r="HU12" s="48" t="str" cm="1">
        <f t="array" ref="HU12">IF(_xlfn.TEXTJOIN(", ", TRUE, IF(ISNUMBER(SEARCH("ORA", BL12:BT12)), COLUMN(BL12:BT12) - COLUMN(BL12) + 1, ""))&lt;&gt;"","ORA","")</f>
        <v/>
      </c>
      <c r="HV12" s="48" t="str" cm="1">
        <f t="array" ref="HV12">IF(_xlfn.TEXTJOIN(", ", TRUE, IF(ISNUMBER(SEARCH("BRO", BL12:BT12)), COLUMN(BL12:BT12) - COLUMN(BL12) + 1, ""))&lt;&gt;"","BRO","")</f>
        <v>BRO</v>
      </c>
      <c r="HW12" s="48" t="str" cm="1">
        <f t="array" ref="HW12">IF(_xlfn.TEXTJOIN(", ", TRUE, IF(ISNUMBER(SEARCH("PUR", BL12:BT12)), COLUMN(BL12:BT12) - COLUMN(BL12) + 1, ""))&lt;&gt;"","PUR","")</f>
        <v/>
      </c>
      <c r="HX12" s="48" t="str" cm="1">
        <f t="array" ref="HX12">IF(_xlfn.TEXTJOIN(", ", TRUE, IF(ISNUMBER(SEARCH("WHI", BL12:BT12)), COLUMN(BL12:BT12) - COLUMN(BL12) + 1, ""))&lt;&gt;"","WHI","")</f>
        <v>WHI</v>
      </c>
      <c r="HY12" s="76"/>
      <c r="HZ12" s="76"/>
      <c r="IA12" s="6"/>
      <c r="IB12" s="6"/>
      <c r="IC12" s="77"/>
      <c r="ID12" s="77"/>
      <c r="IE12" s="77"/>
      <c r="IF12" s="77"/>
      <c r="IG12" s="77"/>
      <c r="IH12" s="77"/>
      <c r="II12" s="77"/>
      <c r="IJ12" s="77"/>
      <c r="IK12" s="77"/>
      <c r="IM12" s="45">
        <f t="shared" si="180"/>
        <v>-6</v>
      </c>
      <c r="IN12" s="78" t="str">
        <f t="shared" si="181"/>
        <v>http://mkweb.bcgsc.ca/color-summarizer/?url=https://upload.wikimedia.org/wikipedia/commons/thumb/4/45/Bandeira_do_Maranh%C3%A3o.svg/640px-Bandeira_do_Maranh%C3%A3o.svg.png&amp;precision=low&amp;num_clusters=6&amp;text=1</v>
      </c>
      <c r="IO12" s="48" t="str">
        <f t="shared" si="182"/>
        <v>"black"</v>
      </c>
      <c r="IP12" s="48" t="str">
        <f t="shared" si="183"/>
        <v>"blue"</v>
      </c>
      <c r="IQ12" s="48" t="str">
        <f t="shared" si="184"/>
        <v/>
      </c>
      <c r="IR12" s="48" t="str">
        <f t="shared" si="185"/>
        <v>"red"</v>
      </c>
      <c r="IS12" s="48" t="str">
        <f t="shared" si="186"/>
        <v>"yellow"</v>
      </c>
      <c r="IT12" s="48" t="str">
        <f t="shared" si="187"/>
        <v/>
      </c>
      <c r="IU12" s="48" t="str">
        <f t="shared" si="188"/>
        <v>"brown"</v>
      </c>
      <c r="IV12" s="48" t="str">
        <f t="shared" si="189"/>
        <v/>
      </c>
      <c r="IW12" s="48" t="str">
        <f t="shared" si="190"/>
        <v>"white"</v>
      </c>
      <c r="IX12" s="48" t="str">
        <f t="shared" si="191"/>
        <v>{"url":"http://mkweb.bcgsc.ca/color-summarizer/?url=https://upload.wikimedia.org/wikipedia/commons/thumb/4/45/Bandeira_do_Maranh%C3%A3o.svg/640px-Bandeira_do_Maranh%C3%A3o.svg.png&amp;precision=low&amp;num_clusters=6&amp;text=1","name":"[BRA] Maranhao"},</v>
      </c>
      <c r="IY12" s="48">
        <v>1367</v>
      </c>
    </row>
    <row r="13" spans="1:259" s="48" customFormat="1" ht="38.4" customHeight="1" thickBot="1" x14ac:dyDescent="0.35">
      <c r="A13" s="79" t="s">
        <v>448</v>
      </c>
      <c r="B13" s="40" t="e" vm="35">
        <v>#VALUE!</v>
      </c>
      <c r="C13" s="41">
        <v>2</v>
      </c>
      <c r="D13" s="42" t="s">
        <v>449</v>
      </c>
      <c r="E13" s="43" t="s">
        <v>450</v>
      </c>
      <c r="F13" s="44" t="s">
        <v>166</v>
      </c>
      <c r="G13" s="45">
        <f>COUNTIF($A$1:$A$8312,A13)</f>
        <v>1</v>
      </c>
      <c r="H13" s="46"/>
      <c r="I13" s="47" t="s">
        <v>451</v>
      </c>
      <c r="J13" s="48" t="str">
        <f>""</f>
        <v/>
      </c>
      <c r="K13" s="49"/>
      <c r="L13" s="50"/>
      <c r="M13" s="50"/>
      <c r="N13" s="51" t="s">
        <v>169</v>
      </c>
      <c r="O13" s="52" t="s">
        <v>452</v>
      </c>
      <c r="P13" s="53" t="s">
        <v>453</v>
      </c>
      <c r="Q13" s="54">
        <v>2</v>
      </c>
      <c r="R13" s="55" t="s">
        <v>169</v>
      </c>
      <c r="S13" s="56">
        <v>0</v>
      </c>
      <c r="T13" s="57" t="s">
        <v>173</v>
      </c>
      <c r="U13" s="58" t="s">
        <v>172</v>
      </c>
      <c r="V13" s="58" t="s">
        <v>172</v>
      </c>
      <c r="W13" s="58" t="s">
        <v>172</v>
      </c>
      <c r="X13" s="58" t="s">
        <v>173</v>
      </c>
      <c r="Y13" s="58" t="s">
        <v>172</v>
      </c>
      <c r="Z13" s="58" t="s">
        <v>172</v>
      </c>
      <c r="AA13" s="58" t="s">
        <v>172</v>
      </c>
      <c r="AB13" s="58" t="s">
        <v>172</v>
      </c>
      <c r="AC13" s="58" t="s">
        <v>172</v>
      </c>
      <c r="AD13" s="58" t="s">
        <v>172</v>
      </c>
      <c r="AE13" s="58" t="s">
        <v>172</v>
      </c>
      <c r="AF13" s="59" t="s">
        <v>172</v>
      </c>
      <c r="AG13" s="59" t="s">
        <v>172</v>
      </c>
      <c r="AH13" s="59" t="s">
        <v>173</v>
      </c>
      <c r="AI13" s="59" t="s">
        <v>172</v>
      </c>
      <c r="AJ13" s="59" t="s">
        <v>172</v>
      </c>
      <c r="AK13" s="59" t="s">
        <v>172</v>
      </c>
      <c r="AL13" s="59" t="s">
        <v>172</v>
      </c>
      <c r="AM13" s="59" t="s">
        <v>172</v>
      </c>
      <c r="AN13" s="59" t="s">
        <v>172</v>
      </c>
      <c r="AO13" s="59" t="s">
        <v>172</v>
      </c>
      <c r="AP13" s="59" t="s">
        <v>172</v>
      </c>
      <c r="AQ13" s="59" t="s">
        <v>172</v>
      </c>
      <c r="AR13" s="59" t="s">
        <v>172</v>
      </c>
      <c r="AS13" s="59" t="s">
        <v>172</v>
      </c>
      <c r="AT13" s="60">
        <v>1</v>
      </c>
      <c r="AU13" s="59" t="s">
        <v>383</v>
      </c>
      <c r="AV13" s="59" t="str">
        <f>IF(LEFT(A13,1)="[",LEFT(A13,5)&amp;AU13&amp;A13,"")</f>
        <v>[BRA]State[BRA] Matto Grosso</v>
      </c>
      <c r="AW13" s="59" t="str">
        <f>C13&amp;H13&amp;A13</f>
        <v>2[BRA] Matto Grosso</v>
      </c>
      <c r="AX13" s="61"/>
      <c r="AY13" s="61"/>
      <c r="AZ13" s="62" t="s">
        <v>174</v>
      </c>
      <c r="BA13" s="62" t="s">
        <v>174</v>
      </c>
      <c r="BB13" s="62"/>
      <c r="BC13" s="63"/>
      <c r="BD13" s="64" t="s">
        <v>217</v>
      </c>
      <c r="BE13" s="47"/>
      <c r="BF13" s="64" t="s">
        <v>159</v>
      </c>
      <c r="BG13" s="64" t="s">
        <v>152</v>
      </c>
      <c r="BH13" s="64" t="s">
        <v>159</v>
      </c>
      <c r="BI13" s="64"/>
      <c r="BJ13" s="64"/>
      <c r="BK13" s="47"/>
      <c r="BL13" s="64" t="s">
        <v>151</v>
      </c>
      <c r="BM13" s="64" t="s">
        <v>152</v>
      </c>
      <c r="BN13" s="64" t="s">
        <v>153</v>
      </c>
      <c r="BO13" s="64" t="s">
        <v>154</v>
      </c>
      <c r="BP13" s="64" t="s">
        <v>155</v>
      </c>
      <c r="BQ13" s="64" t="s">
        <v>174</v>
      </c>
      <c r="BR13" s="64" t="s">
        <v>157</v>
      </c>
      <c r="BS13" s="64" t="s">
        <v>174</v>
      </c>
      <c r="BT13" s="64" t="s">
        <v>159</v>
      </c>
      <c r="BU13" s="65"/>
      <c r="BV13" s="66"/>
      <c r="BW13" s="66">
        <v>0</v>
      </c>
      <c r="BX13" s="47"/>
      <c r="CB13" s="6"/>
      <c r="CC13" s="6"/>
      <c r="CD13" s="67">
        <v>0</v>
      </c>
      <c r="CE13" s="67">
        <v>0</v>
      </c>
      <c r="CF13" s="67" t="e">
        <v>#REF!</v>
      </c>
      <c r="CG13" s="68" cm="1">
        <f t="array" ref="CG13">SUMPRODUCT(--(LEN(TRIM(BL13:BT13))&gt;0))</f>
        <v>7</v>
      </c>
      <c r="CH13" s="59" t="str">
        <f t="shared" si="104"/>
        <v>n</v>
      </c>
      <c r="CI13" s="59" t="str">
        <f t="shared" si="105"/>
        <v>n</v>
      </c>
      <c r="CJ13" s="59" t="str">
        <f t="shared" si="106"/>
        <v>n</v>
      </c>
      <c r="CK13" s="59" t="str">
        <f t="shared" si="107"/>
        <v>y</v>
      </c>
      <c r="CL13" s="59" t="str">
        <f t="shared" si="108"/>
        <v>y</v>
      </c>
      <c r="CM13" s="59" t="str">
        <f t="shared" si="109"/>
        <v>n</v>
      </c>
      <c r="CN13" s="59" t="str">
        <f t="shared" si="110"/>
        <v>n</v>
      </c>
      <c r="CO13" s="59" t="str">
        <f t="shared" si="111"/>
        <v>n</v>
      </c>
      <c r="CP13" s="59" t="str">
        <f t="shared" si="112"/>
        <v>n</v>
      </c>
      <c r="CQ13" s="59" t="str">
        <f t="shared" si="113"/>
        <v>y</v>
      </c>
      <c r="CR13" s="59" t="str">
        <f t="shared" si="114"/>
        <v>n</v>
      </c>
      <c r="CS13" s="59" t="str">
        <f t="shared" si="115"/>
        <v>n</v>
      </c>
      <c r="CT13" s="69" t="str">
        <f t="shared" si="116"/>
        <v>"[BRA] Matto Grosso"</v>
      </c>
      <c r="CU13" s="70" t="str">
        <f t="shared" si="117"/>
        <v>"rgn_South America"</v>
      </c>
      <c r="CV13" s="48" t="str">
        <f t="shared" si="118"/>
        <v>"https://upload.wikimedia.org/wikipedia/commons/thumb/0/0b/Bandeira_de_Mato_Grosso.svg/640px-Bandeira_de_Mato_Grosso.svg.png"</v>
      </c>
      <c r="CW13" s="48" t="str">
        <f t="shared" si="15"/>
        <v/>
      </c>
      <c r="CX13" s="48" t="str">
        <f t="shared" si="15"/>
        <v/>
      </c>
      <c r="CY13" s="48" t="str">
        <f t="shared" si="15"/>
        <v/>
      </c>
      <c r="CZ13" s="48" t="str">
        <f t="shared" si="15"/>
        <v>"5+Colo",</v>
      </c>
      <c r="DA13" s="48" t="str">
        <f t="shared" si="119"/>
        <v>"words2",</v>
      </c>
      <c r="DB13" s="48" t="str">
        <f t="shared" si="120"/>
        <v/>
      </c>
      <c r="DD13" s="48" t="str">
        <f>IF(LEN(CHAR(34)&amp;"lets"&amp;LEN(SUBSTITUTE(SUBSTITUTE(IFERROR(TRIM(SUBSTITUTE(A13,MID(A13,FIND("[",A13),FIND("]",A13)-FIND("[",A13)+1),"")),A13)," ",""),"-",""))&amp;CHAR(34)&amp;",")=9,CHAR(34)&amp;"lets"&amp;LEN(SUBSTITUTE(SUBSTITUTE(IFERROR(TRIM(SUBSTITUTE(A13,MID(A13,FIND("[",A13),FIND("]",A13)-FIND("[",A13)+1),"")),A13)," ",""),"-",""))&amp;CHAR(34)&amp;",",CHAR(34)&amp;"lets0"&amp;LEN(SUBSTITUTE(SUBSTITUTE(IFERROR(TRIM(SUBSTITUTE(A13,MID(A13,FIND("[",A13),FIND("]",A13)-FIND("[",A13)+1),"")),A13)," ",""),"-",""))&amp;CHAR(34)&amp;",")</f>
        <v>"lets11",</v>
      </c>
      <c r="DE13" s="48" t="str">
        <f>CHAR(34)&amp;"start"&amp;IFERROR(LEFT(SUBSTITUTE(A13,"["&amp;MID(A13,FIND("[",A13)+1,FIND("]",A13)-FIND("[",A13)-1)&amp;"] ",""),1),LEFT(A13,1))&amp;CHAR(34)&amp;","</f>
        <v>"startM",</v>
      </c>
      <c r="DF13" s="48" t="str">
        <f t="shared" si="121"/>
        <v/>
      </c>
      <c r="DG13" s="48" t="str">
        <f t="shared" si="122"/>
        <v/>
      </c>
      <c r="DH13" s="48" t="str">
        <f t="shared" si="123"/>
        <v/>
      </c>
      <c r="DI13" s="48" t="str">
        <f t="shared" si="124"/>
        <v/>
      </c>
      <c r="DJ13" s="48" t="str">
        <f t="shared" si="125"/>
        <v/>
      </c>
      <c r="DK13" s="48" t="str">
        <f t="shared" si="126"/>
        <v/>
      </c>
      <c r="DL13" s="48" t="str">
        <f t="shared" si="127"/>
        <v/>
      </c>
      <c r="DM13" s="48" t="str" cm="1">
        <f t="array" ref="DM13">IF(CG13=3,CHAR(34) &amp; _xlfn.TEXTJOIN("", TRUE, RIGHT(HP13:HX13, 2)) &amp; CHAR(34) &amp; ",", "")</f>
        <v/>
      </c>
      <c r="DN13" s="48" t="str">
        <f t="shared" si="128"/>
        <v>"year18",</v>
      </c>
      <c r="DO13" s="48" t="str">
        <f t="shared" si="129"/>
        <v/>
      </c>
      <c r="DP13" s="6" t="str">
        <f t="shared" si="130"/>
        <v/>
      </c>
      <c r="DQ13" s="6" t="str">
        <f t="shared" si="131"/>
        <v/>
      </c>
      <c r="DR13" s="6" t="str">
        <f t="shared" si="132"/>
        <v/>
      </c>
      <c r="DS13" s="6" t="str">
        <f t="shared" si="133"/>
        <v/>
      </c>
      <c r="DT13" s="6" t="str">
        <f t="shared" si="134"/>
        <v/>
      </c>
      <c r="DU13" s="6" t="str">
        <f t="shared" si="135"/>
        <v/>
      </c>
      <c r="DW13" s="48" t="str">
        <f t="shared" si="37"/>
        <v>"NoBand",</v>
      </c>
      <c r="DX13" s="48" t="str">
        <f t="shared" si="37"/>
        <v/>
      </c>
      <c r="DY13" s="48" t="str">
        <f t="shared" si="37"/>
        <v/>
      </c>
      <c r="DZ13" s="48" t="str">
        <f t="shared" si="37"/>
        <v/>
      </c>
      <c r="EA13" s="48" t="str">
        <f t="shared" si="38"/>
        <v>"Diagon",</v>
      </c>
      <c r="EB13" s="48" t="str">
        <f t="shared" si="38"/>
        <v/>
      </c>
      <c r="EC13" s="48" t="str">
        <f t="shared" si="38"/>
        <v/>
      </c>
      <c r="ED13" s="48" t="str">
        <f t="shared" si="38"/>
        <v/>
      </c>
      <c r="EE13" s="48" t="str">
        <f t="shared" si="38"/>
        <v>"Circle",</v>
      </c>
      <c r="EF13" s="48" t="str">
        <f t="shared" si="136"/>
        <v/>
      </c>
      <c r="EG13" s="48" t="str">
        <f t="shared" si="40"/>
        <v/>
      </c>
      <c r="EH13" s="48" t="str">
        <f t="shared" si="40"/>
        <v/>
      </c>
      <c r="EI13" s="48" t="str">
        <f t="shared" si="40"/>
        <v/>
      </c>
      <c r="EJ13" s="48" t="str">
        <f t="shared" si="40"/>
        <v/>
      </c>
      <c r="EK13" s="48" t="str">
        <f t="shared" si="40"/>
        <v/>
      </c>
      <c r="EL13" s="48" t="str">
        <f t="shared" si="40"/>
        <v/>
      </c>
      <c r="EM13" s="48" t="str">
        <f t="shared" si="40"/>
        <v/>
      </c>
      <c r="EN13" s="48" t="str">
        <f t="shared" si="40"/>
        <v/>
      </c>
      <c r="EO13" s="48" t="str">
        <f t="shared" si="40"/>
        <v>"Center",</v>
      </c>
      <c r="EP13" s="48" t="str">
        <f t="shared" si="40"/>
        <v/>
      </c>
      <c r="EQ13" s="48" t="str">
        <f t="shared" si="40"/>
        <v/>
      </c>
      <c r="ER13" s="48" t="str">
        <f t="shared" si="40"/>
        <v/>
      </c>
      <c r="ES13" s="48" t="str">
        <f t="shared" si="40"/>
        <v/>
      </c>
      <c r="ET13" s="48" t="str">
        <f t="shared" si="40"/>
        <v/>
      </c>
      <c r="EU13" s="48" t="str">
        <f t="shared" si="40"/>
        <v/>
      </c>
      <c r="EV13" s="48" t="str">
        <f t="shared" si="40"/>
        <v/>
      </c>
      <c r="EW13" s="48" t="str">
        <f t="shared" si="40"/>
        <v/>
      </c>
      <c r="EX13" s="48" t="str">
        <f t="shared" si="40"/>
        <v/>
      </c>
      <c r="EY13" s="48" t="str">
        <f t="shared" si="40"/>
        <v/>
      </c>
      <c r="EZ13" s="48" t="str">
        <f t="shared" si="40"/>
        <v/>
      </c>
      <c r="FA13" s="48" t="str">
        <f t="shared" si="137"/>
        <v>"sta",</v>
      </c>
      <c r="FB13" s="48" t="str">
        <f t="shared" si="138"/>
        <v/>
      </c>
      <c r="FD13" s="48" t="str">
        <f t="shared" si="139"/>
        <v/>
      </c>
      <c r="FE13" s="48" t="str">
        <f t="shared" si="140"/>
        <v/>
      </c>
      <c r="FF13" s="48" t="str">
        <f t="shared" si="141"/>
        <v/>
      </c>
      <c r="FG13" s="48" t="str">
        <f t="shared" si="142"/>
        <v/>
      </c>
      <c r="FH13" s="48" t="str">
        <f t="shared" si="143"/>
        <v/>
      </c>
      <c r="FI13" s="48" t="str">
        <f t="shared" si="144"/>
        <v/>
      </c>
      <c r="FJ13" s="48" t="str">
        <f t="shared" si="145"/>
        <v/>
      </c>
      <c r="FK13" s="48" t="str">
        <f t="shared" si="146"/>
        <v/>
      </c>
      <c r="FL13" s="48" t="str">
        <f t="shared" si="147"/>
        <v/>
      </c>
      <c r="FM13" s="48" t="str">
        <f t="shared" si="148"/>
        <v/>
      </c>
      <c r="FN13" s="48" t="str">
        <f t="shared" si="149"/>
        <v/>
      </c>
      <c r="FO13" s="48" t="str">
        <f t="shared" si="150"/>
        <v/>
      </c>
      <c r="FP13" s="48" t="str">
        <f t="shared" si="151"/>
        <v/>
      </c>
      <c r="FQ13" s="48" t="str">
        <f t="shared" si="152"/>
        <v>"001WHI",</v>
      </c>
      <c r="FR13" s="48" t="str">
        <f t="shared" si="153"/>
        <v>"002BLU",</v>
      </c>
      <c r="FS13" s="48" t="str">
        <f t="shared" si="154"/>
        <v>"003WHI",</v>
      </c>
      <c r="FT13" s="48" t="str">
        <f t="shared" si="155"/>
        <v>"myrEQ",</v>
      </c>
      <c r="FU13" s="48" t="str">
        <f t="shared" si="156"/>
        <v/>
      </c>
      <c r="FV13" s="48" t="str">
        <f t="shared" si="157"/>
        <v/>
      </c>
      <c r="FW13" s="48" t="str">
        <f t="shared" si="158"/>
        <v/>
      </c>
      <c r="FY13" s="48" t="str">
        <f t="shared" si="159"/>
        <v/>
      </c>
      <c r="FZ13" s="48" t="str">
        <f t="shared" si="160"/>
        <v/>
      </c>
      <c r="GA13" s="48" t="str">
        <f t="shared" si="161"/>
        <v/>
      </c>
      <c r="GB13" s="48" t="str">
        <f t="shared" si="162"/>
        <v/>
      </c>
      <c r="GE13" s="48" t="str">
        <f t="shared" si="163"/>
        <v/>
      </c>
      <c r="GF13" s="48" t="str">
        <f t="shared" si="192"/>
        <v/>
      </c>
      <c r="GG13" s="48" t="str">
        <f t="shared" si="164"/>
        <v/>
      </c>
      <c r="GH13" s="48" t="str">
        <f t="shared" si="165"/>
        <v/>
      </c>
      <c r="GI13" s="48" t="str">
        <f t="shared" si="166"/>
        <v/>
      </c>
      <c r="GJ13" s="48" t="str">
        <f t="shared" si="167"/>
        <v/>
      </c>
      <c r="GK13" s="48" t="str">
        <f t="shared" si="168"/>
        <v>"HasSta",</v>
      </c>
      <c r="GL13" s="48" t="str">
        <f t="shared" si="78"/>
        <v>"1Stars",</v>
      </c>
      <c r="GM13" s="48" t="str">
        <f t="shared" si="78"/>
        <v/>
      </c>
      <c r="GN13" s="48" t="str">
        <f t="shared" si="78"/>
        <v/>
      </c>
      <c r="GP13" s="48" t="str">
        <f t="shared" si="169"/>
        <v>"State"</v>
      </c>
      <c r="GS13" s="48" t="str">
        <f t="shared" si="170"/>
        <v>["5+Colo","words2","lets11","startM","year18","NoBand","Diagon","Circle","Center","sta","001WHI","002BLU","003WHI","myrEQ","HasSta","1Stars"]</v>
      </c>
      <c r="GT13" s="48" t="str">
        <f t="shared" si="81"/>
        <v>"cl_BLA",</v>
      </c>
      <c r="GU13" s="48" t="str">
        <f t="shared" si="81"/>
        <v>"cl_BLU",</v>
      </c>
      <c r="GV13" s="48" t="str">
        <f t="shared" si="81"/>
        <v>"cl_GRE",</v>
      </c>
      <c r="GW13" s="48" t="str">
        <f t="shared" si="81"/>
        <v>"cl_RED",</v>
      </c>
      <c r="GX13" s="48" t="str">
        <f t="shared" si="81"/>
        <v>"cl_YEL",</v>
      </c>
      <c r="GY13" s="48" t="str">
        <f t="shared" si="81"/>
        <v/>
      </c>
      <c r="GZ13" s="48" t="str">
        <f t="shared" si="81"/>
        <v>"cl_BRO",</v>
      </c>
      <c r="HA13" s="48" t="str">
        <f t="shared" si="81"/>
        <v/>
      </c>
      <c r="HB13" s="48" t="str">
        <f t="shared" si="81"/>
        <v>"cl_WHI",</v>
      </c>
      <c r="HC13" s="48" t="str">
        <f t="shared" si="171"/>
        <v>["cl_BLA","cl_BLU","cl_GRE","cl_RED","cl_YEL","cl_BRO","cl_WHI"]</v>
      </c>
      <c r="HE13" s="71"/>
      <c r="HF13" s="72" t="str">
        <f t="shared" si="172"/>
        <v>{couname:"[BRA] Matto Grosso",year:"1890 ",region:"rgn_South America",Colors:["cl_BLA","cl_BLU","cl_GRE","cl_RED","cl_YEL","cl_BRO","cl_WHI"],Items:["5+Colo","words2","lets11","startM","year18","NoBand","Diagon","Circle","Center","sta","001WHI","002BLU","003WHI","myrEQ","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links: "https://en.wikipedia.org/wiki/Flag_of_Mato_Grosso"},</v>
      </c>
      <c r="HG13" s="73" t="str">
        <f t="shared" si="173"/>
        <v>{couname:"[BRA] Matto Grosso",year:"1890 ",region:"rgn_South America",Colors:["cl_BLA","cl_BLU","cl_GRE","cl_RED","cl_YEL","cl_BRO","cl_WHI"],Items:["5+Colo","words2","lets11","startM","year18","NoBand","Diagon","Circle","Center","sta","001WHI","002BLU","003WHI","myrEQ","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links: "https://en.wikipedia.org/wiki/Flag_of_Mato_Grosso"},</v>
      </c>
      <c r="HH13" s="48" t="str">
        <f t="shared" si="174"/>
        <v>"\nThe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v>
      </c>
      <c r="HI13" s="48" t="str">
        <f t="shared" si="175"/>
        <v>"\nThe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v>
      </c>
      <c r="HJ13" s="48" t="str">
        <f t="shared" si="176"/>
        <v>"1890 "</v>
      </c>
      <c r="HL13" s="48" t="str">
        <f t="shared" si="177"/>
        <v>"https://en.wikipedia.org/wiki/Flag_of_Mato_Grosso"</v>
      </c>
      <c r="HM13" s="72" t="str">
        <f t="shared" si="178"/>
        <v>{"couname":"[BRA] Matto Grosso","year":"1890 ","region":"rgn_South America","Colors":["cl_BLA","cl_BLU","cl_GRE","cl_RED","cl_YEL","cl_BRO","cl_WHI"],"Items":["5+Colo","words2","lets11","startM","year18","NoBand","Diagon","Circle","Center","sta","001WHI","002BLU","003WHI","myrEQ","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 "links": "https://en.wikipedia.org/wiki/Flag_of_Mato_Grosso"},</v>
      </c>
      <c r="HN13" s="74" t="str">
        <f t="shared" si="179"/>
        <v>{"couname":"[BRA] Matto Grosso","year":"1890 ","region":"rgn_South America","Colors":["cl_BLA","cl_BLU","cl_GRE","cl_RED","cl_YEL","cl_BRO","cl_WHI"],"Items":["5+Colo","words2","lets11","startM","year18","NoBand","Diagon","Circle","Center","sta","001WHI","002BLU","003WHI","myrEQ","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 "links": "https://en.wikipedia.org/wiki/Flag_of_Mato_Grosso"},</v>
      </c>
      <c r="HO13" s="75">
        <v>45596</v>
      </c>
      <c r="HP13" s="48" t="str" cm="1">
        <f t="array" ref="HP13">IF(_xlfn.TEXTJOIN(", ", TRUE, IF(ISNUMBER(SEARCH("BLA", BL13:BT13)), COLUMN(BL13:BT13) - COLUMN(BL13) + 1, ""))&lt;&gt;"","BLA","")</f>
        <v>BLA</v>
      </c>
      <c r="HQ13" s="48" t="str" cm="1">
        <f t="array" ref="HQ13">IF(_xlfn.TEXTJOIN(", ", TRUE, IF(ISNUMBER(SEARCH("BLU", BL13:BT13)), COLUMN(BL13:BT13) - COLUMN(BL13) + 1, ""))&lt;&gt;"","BLU","")</f>
        <v>BLU</v>
      </c>
      <c r="HR13" s="48" t="str" cm="1">
        <f t="array" ref="HR13">IF(_xlfn.TEXTJOIN(", ", TRUE, IF(ISNUMBER(SEARCH("GRE", BL13:BT13)), COLUMN(BL13:BT13) - COLUMN(BL13) + 1, ""))&lt;&gt;"","GRE","")</f>
        <v>GRE</v>
      </c>
      <c r="HS13" s="48" t="str" cm="1">
        <f t="array" ref="HS13">IF(_xlfn.TEXTJOIN(", ", TRUE, IF(ISNUMBER(SEARCH("RED", BL13:BT13)), COLUMN(BL13:BT13) - COLUMN(BL13) + 1, ""))&lt;&gt;"","RED","")</f>
        <v>RED</v>
      </c>
      <c r="HT13" s="48" t="str" cm="1">
        <f t="array" ref="HT13">IF(_xlfn.TEXTJOIN(", ", TRUE, IF(ISNUMBER(SEARCH("YEL", BL13:BT13)), COLUMN(BL13:BT13) - COLUMN(BL13) + 1, ""))&lt;&gt;"","YEL","")</f>
        <v>YEL</v>
      </c>
      <c r="HU13" s="48" t="str" cm="1">
        <f t="array" ref="HU13">IF(_xlfn.TEXTJOIN(", ", TRUE, IF(ISNUMBER(SEARCH("ORA", BL13:BT13)), COLUMN(BL13:BT13) - COLUMN(BL13) + 1, ""))&lt;&gt;"","ORA","")</f>
        <v/>
      </c>
      <c r="HV13" s="48" t="str" cm="1">
        <f t="array" ref="HV13">IF(_xlfn.TEXTJOIN(", ", TRUE, IF(ISNUMBER(SEARCH("BRO", BL13:BT13)), COLUMN(BL13:BT13) - COLUMN(BL13) + 1, ""))&lt;&gt;"","BRO","")</f>
        <v>BRO</v>
      </c>
      <c r="HW13" s="48" t="str" cm="1">
        <f t="array" ref="HW13">IF(_xlfn.TEXTJOIN(", ", TRUE, IF(ISNUMBER(SEARCH("PUR", BL13:BT13)), COLUMN(BL13:BT13) - COLUMN(BL13) + 1, ""))&lt;&gt;"","PUR","")</f>
        <v/>
      </c>
      <c r="HX13" s="48" t="str" cm="1">
        <f t="array" ref="HX13">IF(_xlfn.TEXTJOIN(", ", TRUE, IF(ISNUMBER(SEARCH("WHI", BL13:BT13)), COLUMN(BL13:BT13) - COLUMN(BL13) + 1, ""))&lt;&gt;"","WHI","")</f>
        <v>WHI</v>
      </c>
      <c r="HY13" s="76"/>
      <c r="HZ13" s="76"/>
      <c r="IA13" s="6"/>
      <c r="IB13" s="6"/>
      <c r="IC13" s="77"/>
      <c r="ID13" s="77"/>
      <c r="IE13" s="77"/>
      <c r="IF13" s="77"/>
      <c r="IG13" s="77"/>
      <c r="IH13" s="77"/>
      <c r="II13" s="77"/>
      <c r="IJ13" s="77"/>
      <c r="IK13" s="77"/>
      <c r="IM13" s="45">
        <f t="shared" si="180"/>
        <v>-7</v>
      </c>
      <c r="IN13" s="78" t="str">
        <f t="shared" si="181"/>
        <v>http://mkweb.bcgsc.ca/color-summarizer/?url=https://upload.wikimedia.org/wikipedia/commons/thumb/0/0b/Bandeira_de_Mato_Grosso.svg/640px-Bandeira_de_Mato_Grosso.svg.png&amp;precision=low&amp;num_clusters=7&amp;text=1</v>
      </c>
      <c r="IO13" s="48" t="str">
        <f t="shared" si="182"/>
        <v>"black"</v>
      </c>
      <c r="IP13" s="48" t="str">
        <f t="shared" si="183"/>
        <v>"blue"</v>
      </c>
      <c r="IQ13" s="48" t="str">
        <f t="shared" si="184"/>
        <v>"green"</v>
      </c>
      <c r="IR13" s="48" t="str">
        <f t="shared" si="185"/>
        <v>"red"</v>
      </c>
      <c r="IS13" s="48" t="str">
        <f t="shared" si="186"/>
        <v>"yellow"</v>
      </c>
      <c r="IT13" s="48" t="str">
        <f t="shared" si="187"/>
        <v/>
      </c>
      <c r="IU13" s="48" t="str">
        <f t="shared" si="188"/>
        <v>"brown"</v>
      </c>
      <c r="IV13" s="48" t="str">
        <f t="shared" si="189"/>
        <v/>
      </c>
      <c r="IW13" s="48" t="str">
        <f t="shared" si="190"/>
        <v>"white"</v>
      </c>
      <c r="IX13" s="48" t="str">
        <f t="shared" si="191"/>
        <v>{"url":"http://mkweb.bcgsc.ca/color-summarizer/?url=https://upload.wikimedia.org/wikipedia/commons/thumb/0/0b/Bandeira_de_Mato_Grosso.svg/640px-Bandeira_de_Mato_Grosso.svg.png&amp;precision=low&amp;num_clusters=7&amp;text=1","name":"[BRA] Matto Grosso"},</v>
      </c>
      <c r="IY13" s="48">
        <v>1368</v>
      </c>
    </row>
    <row r="14" spans="1:259" s="48" customFormat="1" ht="38.4" customHeight="1" thickBot="1" x14ac:dyDescent="0.35">
      <c r="A14" s="79" t="s">
        <v>454</v>
      </c>
      <c r="B14" s="40" t="e" vm="36">
        <v>#VALUE!</v>
      </c>
      <c r="C14" s="41">
        <v>2</v>
      </c>
      <c r="D14" s="42" t="s">
        <v>455</v>
      </c>
      <c r="E14" s="43" t="s">
        <v>456</v>
      </c>
      <c r="F14" s="44" t="s">
        <v>166</v>
      </c>
      <c r="G14" s="45">
        <f>COUNTIF($A$1:$A$8312,A14)</f>
        <v>1</v>
      </c>
      <c r="H14" s="46"/>
      <c r="I14" s="47" t="s">
        <v>457</v>
      </c>
      <c r="J14" s="48" t="str">
        <f>""</f>
        <v/>
      </c>
      <c r="K14" s="49"/>
      <c r="L14" s="50"/>
      <c r="M14" s="50"/>
      <c r="N14" s="51" t="s">
        <v>169</v>
      </c>
      <c r="O14" s="52" t="s">
        <v>458</v>
      </c>
      <c r="P14" s="53" t="s">
        <v>459</v>
      </c>
      <c r="Q14" s="54">
        <v>4</v>
      </c>
      <c r="R14" s="55" t="s">
        <v>169</v>
      </c>
      <c r="S14" s="56">
        <v>3</v>
      </c>
      <c r="T14" s="57" t="s">
        <v>173</v>
      </c>
      <c r="U14" s="58" t="s">
        <v>172</v>
      </c>
      <c r="V14" s="58" t="s">
        <v>172</v>
      </c>
      <c r="W14" s="58" t="s">
        <v>172</v>
      </c>
      <c r="X14" s="58" t="s">
        <v>172</v>
      </c>
      <c r="Y14" s="58" t="s">
        <v>172</v>
      </c>
      <c r="Z14" s="58" t="s">
        <v>172</v>
      </c>
      <c r="AA14" s="58" t="s">
        <v>172</v>
      </c>
      <c r="AB14" s="58" t="s">
        <v>172</v>
      </c>
      <c r="AC14" s="58" t="s">
        <v>172</v>
      </c>
      <c r="AD14" s="58" t="s">
        <v>172</v>
      </c>
      <c r="AE14" s="58" t="s">
        <v>172</v>
      </c>
      <c r="AF14" s="59" t="s">
        <v>172</v>
      </c>
      <c r="AG14" s="59" t="s">
        <v>173</v>
      </c>
      <c r="AH14" s="59" t="s">
        <v>172</v>
      </c>
      <c r="AI14" s="59" t="s">
        <v>172</v>
      </c>
      <c r="AJ14" s="59" t="s">
        <v>172</v>
      </c>
      <c r="AK14" s="59" t="s">
        <v>172</v>
      </c>
      <c r="AL14" s="59" t="s">
        <v>172</v>
      </c>
      <c r="AM14" s="59" t="s">
        <v>172</v>
      </c>
      <c r="AN14" s="59" t="s">
        <v>172</v>
      </c>
      <c r="AO14" s="59" t="s">
        <v>172</v>
      </c>
      <c r="AP14" s="59" t="s">
        <v>172</v>
      </c>
      <c r="AQ14" s="59" t="s">
        <v>172</v>
      </c>
      <c r="AR14" s="59" t="s">
        <v>172</v>
      </c>
      <c r="AS14" s="59" t="s">
        <v>172</v>
      </c>
      <c r="AT14" s="60">
        <v>1</v>
      </c>
      <c r="AU14" s="59" t="s">
        <v>383</v>
      </c>
      <c r="AV14" s="59" t="str">
        <f>IF(LEFT(A14,1)="[",LEFT(A14,5)&amp;AU14&amp;A14,"")</f>
        <v>[BRA]State[BRA] Matto Grosso do Sul</v>
      </c>
      <c r="AW14" s="59" t="str">
        <f>C14&amp;H14&amp;A14</f>
        <v>2[BRA] Matto Grosso do Sul</v>
      </c>
      <c r="AX14" s="61"/>
      <c r="AY14" s="61"/>
      <c r="AZ14" s="62"/>
      <c r="BA14" s="62"/>
      <c r="BB14" s="62"/>
      <c r="BC14" s="63"/>
      <c r="BD14" s="64" t="s">
        <v>151</v>
      </c>
      <c r="BE14" s="47"/>
      <c r="BF14" s="64"/>
      <c r="BG14" s="64"/>
      <c r="BH14" s="64"/>
      <c r="BI14" s="64"/>
      <c r="BJ14" s="64"/>
      <c r="BK14" s="47"/>
      <c r="BL14" s="64" t="s">
        <v>151</v>
      </c>
      <c r="BM14" s="64" t="s">
        <v>157</v>
      </c>
      <c r="BN14" s="64" t="s">
        <v>153</v>
      </c>
      <c r="BO14" s="64" t="s">
        <v>159</v>
      </c>
      <c r="BP14" s="64"/>
      <c r="BQ14" s="64"/>
      <c r="BR14" s="64"/>
      <c r="BS14" s="64"/>
      <c r="BT14" s="64"/>
      <c r="BU14" s="65"/>
      <c r="BV14" s="66"/>
      <c r="BW14" s="66">
        <v>0</v>
      </c>
      <c r="BX14" s="47"/>
      <c r="BY14" s="48" t="s">
        <v>172</v>
      </c>
      <c r="CB14" s="6"/>
      <c r="CC14" s="6"/>
      <c r="CD14" s="67">
        <v>0</v>
      </c>
      <c r="CE14" s="67">
        <v>0</v>
      </c>
      <c r="CF14" s="67" t="e">
        <v>#REF!</v>
      </c>
      <c r="CG14" s="68" cm="1">
        <f t="array" ref="CG14">SUMPRODUCT(--(LEN(TRIM(BL14:BT14))&gt;0))</f>
        <v>4</v>
      </c>
      <c r="CH14" s="59" t="str">
        <f t="shared" si="104"/>
        <v>n</v>
      </c>
      <c r="CI14" s="59" t="str">
        <f t="shared" si="105"/>
        <v>n</v>
      </c>
      <c r="CJ14" s="59" t="str">
        <f t="shared" si="106"/>
        <v>y</v>
      </c>
      <c r="CK14" s="59" t="str">
        <f t="shared" si="107"/>
        <v>n</v>
      </c>
      <c r="CL14" s="59" t="str">
        <f t="shared" si="108"/>
        <v>n</v>
      </c>
      <c r="CM14" s="59" t="str">
        <f t="shared" si="109"/>
        <v>n</v>
      </c>
      <c r="CN14" s="59" t="str">
        <f t="shared" si="110"/>
        <v>y</v>
      </c>
      <c r="CO14" s="59" t="str">
        <f t="shared" si="111"/>
        <v>n</v>
      </c>
      <c r="CP14" s="59" t="str">
        <f t="shared" si="112"/>
        <v>n</v>
      </c>
      <c r="CQ14" s="59" t="str">
        <f t="shared" si="113"/>
        <v>y</v>
      </c>
      <c r="CR14" s="59" t="str">
        <f t="shared" si="114"/>
        <v>n</v>
      </c>
      <c r="CS14" s="59" t="str">
        <f t="shared" si="115"/>
        <v>n</v>
      </c>
      <c r="CT14" s="69" t="str">
        <f t="shared" si="116"/>
        <v>"[BRA] Matto Grosso do Sul"</v>
      </c>
      <c r="CU14" s="70" t="str">
        <f t="shared" si="117"/>
        <v>"rgn_South America"</v>
      </c>
      <c r="CV14" s="48" t="str">
        <f t="shared" si="118"/>
        <v>"https://upload.wikimedia.org/wikipedia/commons/thumb/6/64/Bandeira_de_Mato_Grosso_do_Sul.svg/640px-Bandeira_de_Mato_Grosso_do_Sul.svg.png"</v>
      </c>
      <c r="CW14" s="48" t="str">
        <f t="shared" si="15"/>
        <v/>
      </c>
      <c r="CX14" s="48" t="str">
        <f t="shared" si="15"/>
        <v/>
      </c>
      <c r="CY14" s="48" t="str">
        <f t="shared" si="15"/>
        <v>"4Color",</v>
      </c>
      <c r="CZ14" s="48" t="str">
        <f t="shared" si="15"/>
        <v/>
      </c>
      <c r="DA14" s="48" t="str">
        <f t="shared" si="119"/>
        <v>"words2",</v>
      </c>
      <c r="DC14" s="48" t="str">
        <f>IF(Q14=2,CHAR(34)&amp;"exact2"&amp;CHAR(34)&amp;",","")</f>
        <v/>
      </c>
      <c r="DD14" s="48" t="str">
        <f>IF(LEN(CHAR(34)&amp;"lets"&amp;LEN(SUBSTITUTE(SUBSTITUTE(IFERROR(TRIM(SUBSTITUTE(SUBSTITUTE(SUBSTITUTE(IFERROR(TRIM(SUBSTITUTE(A14,MID(A14,FIND("(",A14),FIND(")",A14)-FIND("(",A14)+1),"")),A14),"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",""),"-",""))&amp;CHAR(34)&amp;",")=9,CHAR(34)&amp;"lets"&amp;LEN(SUBSTITUTE(SUBSTITUTE(IFERROR(TRIM(SUBSTITUTE(SUBSTITUTE(SUBSTITUTE(IFERROR(TRIM(SUBSTITUTE(A14,MID(A14,FIND("(",A14),FIND(")",A14)-FIND("(",A14)+1),"")),A14),"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",""),"-",""))&amp;CHAR(34)&amp;",",CHAR(34)&amp;"lets0"&amp;LEN(SUBSTITUTE(SUBSTITUTE(IFERROR(TRIM(SUBSTITUTE(SUBSTITUTE(SUBSTITUTE(IFERROR(TRIM(SUBSTITUTE(A14,MID(A14,FIND("(",A14),FIND(")",A14)-FIND("(",A14)+1),"")),A14),"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f>
        <v>"lets16",</v>
      </c>
      <c r="DE14" s="48" t="str">
        <f>IFERROR(CHAR(34)&amp;"start"&amp;LEFT(TRIM(SUBSTITUTE(SUBSTITUTE(TRIM(SUBSTITUTE(SUBSTITUTE(A14, MID(A14, FIND("[", A14), FIND("]", A14) - FIND("[", A14) + 1), ""), "  ", " ")), MID(TRIM(SUBSTITUTE(SUBSTITUTE(A14, MID(A14, FIND("[", A14), FIND("]", A14) - FIND("[", A14) + 1), ""), "  ", " ")), FIND("[", TRIM(SUBSTITUTE(SUBSTITUTE(A14, MID(A14, FIND("[", A14), FIND("]", A14) - FIND("[", A14) + 1), ""), "  ", " "))), FIND("]", TRIM(SUBSTITUTE(SUBSTITUTE(A14, MID(A14, FIND("[", A14), FIND("]", A14) - FIND("[", A14) + 1), ""), "  ", " "))) - FIND("[", TRIM(SUBSTITUTE(SUBSTITUTE(A14, MID(A14, FIND("[", A14), FIND("]", A14) - FIND("[", A14) + 1), ""), "  ", " "))) + 1), ""), "  ", " ")),1)&amp;CHAR(34)&amp;",",CHAR(34)&amp;"start"&amp;IFERROR(LEFT(SUBSTITUTE(A14,"["&amp;MID(A14,FIND("[",A14)+1,FIND("]",A14)-FIND("[",A14)-1)&amp;"] ",""),1),LEFT(A14,1))&amp;CHAR(34)&amp;",")</f>
        <v>"startM",</v>
      </c>
      <c r="DF14" s="48" t="str">
        <f t="shared" si="121"/>
        <v/>
      </c>
      <c r="DG14" s="48" t="str">
        <f t="shared" si="122"/>
        <v/>
      </c>
      <c r="DH14" s="48" t="str">
        <f t="shared" si="123"/>
        <v/>
      </c>
      <c r="DI14" s="48" t="str">
        <f t="shared" si="124"/>
        <v/>
      </c>
      <c r="DJ14" s="48" t="str">
        <f t="shared" si="125"/>
        <v/>
      </c>
      <c r="DK14" s="48" t="str">
        <f t="shared" si="126"/>
        <v/>
      </c>
      <c r="DL14" s="48" t="str">
        <f t="shared" si="127"/>
        <v/>
      </c>
      <c r="DM14" s="48" t="str" cm="1">
        <f t="array" ref="DM14">IF(CG14=3,CHAR(34) &amp; _xlfn.TEXTJOIN("", TRUE, RIGHT(HP14:HX14, 2)) &amp; CHAR(34) &amp; ",", "")</f>
        <v/>
      </c>
      <c r="DN14" s="48" t="str">
        <f t="shared" si="128"/>
        <v/>
      </c>
      <c r="DO14" s="48" t="str">
        <f t="shared" si="129"/>
        <v>"year19",</v>
      </c>
      <c r="DP14" s="6" t="str">
        <f t="shared" si="130"/>
        <v/>
      </c>
      <c r="DQ14" s="6" t="str">
        <f t="shared" si="131"/>
        <v/>
      </c>
      <c r="DR14" s="6" t="str">
        <f t="shared" si="132"/>
        <v/>
      </c>
      <c r="DS14" s="6" t="str">
        <f t="shared" si="133"/>
        <v/>
      </c>
      <c r="DT14" s="6" t="str">
        <f t="shared" si="134"/>
        <v/>
      </c>
      <c r="DU14" s="6" t="str">
        <f t="shared" si="135"/>
        <v/>
      </c>
      <c r="DV14" s="48" t="str">
        <f>IF(IA14&lt;&gt;"",(IF(IA14="y",CHAR(34)&amp;"largec"&amp;CHAR(34)&amp;",",CHAR(34)&amp;"smallc"&amp;CHAR(34)&amp;",")),"")</f>
        <v/>
      </c>
      <c r="DW14" s="48" t="str">
        <f t="shared" si="37"/>
        <v/>
      </c>
      <c r="DX14" s="48" t="str">
        <f t="shared" si="37"/>
        <v/>
      </c>
      <c r="DY14" s="48" t="str">
        <f t="shared" si="37"/>
        <v>"3Bands",</v>
      </c>
      <c r="DZ14" s="48" t="str">
        <f t="shared" si="37"/>
        <v/>
      </c>
      <c r="EA14" s="48" t="str">
        <f t="shared" si="38"/>
        <v>"Diagon",</v>
      </c>
      <c r="EB14" s="48" t="str">
        <f t="shared" si="38"/>
        <v/>
      </c>
      <c r="EC14" s="48" t="str">
        <f t="shared" si="38"/>
        <v/>
      </c>
      <c r="ED14" s="48" t="str">
        <f t="shared" si="38"/>
        <v/>
      </c>
      <c r="EE14" s="48" t="str">
        <f t="shared" si="38"/>
        <v/>
      </c>
      <c r="EF14" s="48" t="str">
        <f t="shared" si="136"/>
        <v/>
      </c>
      <c r="EG14" s="48" t="str">
        <f t="shared" si="40"/>
        <v/>
      </c>
      <c r="EH14" s="48" t="str">
        <f t="shared" si="40"/>
        <v/>
      </c>
      <c r="EI14" s="48" t="str">
        <f t="shared" si="40"/>
        <v/>
      </c>
      <c r="EJ14" s="48" t="str">
        <f t="shared" si="40"/>
        <v/>
      </c>
      <c r="EK14" s="48" t="str">
        <f t="shared" si="40"/>
        <v/>
      </c>
      <c r="EL14" s="48" t="str">
        <f t="shared" si="40"/>
        <v/>
      </c>
      <c r="EM14" s="48" t="str">
        <f t="shared" si="40"/>
        <v/>
      </c>
      <c r="EN14" s="48" t="str">
        <f t="shared" si="40"/>
        <v>"Unequa",</v>
      </c>
      <c r="EO14" s="48" t="str">
        <f t="shared" si="40"/>
        <v/>
      </c>
      <c r="EP14" s="48" t="str">
        <f t="shared" si="40"/>
        <v/>
      </c>
      <c r="EQ14" s="48" t="str">
        <f t="shared" si="40"/>
        <v/>
      </c>
      <c r="ER14" s="48" t="str">
        <f t="shared" si="40"/>
        <v/>
      </c>
      <c r="ES14" s="48" t="str">
        <f t="shared" si="40"/>
        <v/>
      </c>
      <c r="ET14" s="48" t="str">
        <f t="shared" si="40"/>
        <v/>
      </c>
      <c r="EU14" s="48" t="str">
        <f t="shared" si="40"/>
        <v/>
      </c>
      <c r="EV14" s="48" t="str">
        <f t="shared" ref="EV14:EZ29" si="193">IF(AO14="y",CHAR(34)&amp;AO$1&amp;CHAR(34)&amp;",","")</f>
        <v/>
      </c>
      <c r="EW14" s="48" t="str">
        <f t="shared" si="193"/>
        <v/>
      </c>
      <c r="EX14" s="48" t="str">
        <f t="shared" si="193"/>
        <v/>
      </c>
      <c r="EY14" s="48" t="str">
        <f t="shared" si="193"/>
        <v/>
      </c>
      <c r="EZ14" s="48" t="str">
        <f t="shared" si="193"/>
        <v/>
      </c>
      <c r="FA14" s="48" t="str">
        <f t="shared" si="137"/>
        <v>"sta",</v>
      </c>
      <c r="FB14" s="48" t="str">
        <f t="shared" si="138"/>
        <v/>
      </c>
      <c r="FC14" s="48" t="str">
        <f>IF(AND(AT14&gt;0,BB14&lt;&gt;""),CHAR(34)&amp;"sta"&amp;BB14&amp;CHAR(34)&amp;",","")</f>
        <v/>
      </c>
      <c r="FD14" s="48" t="str">
        <f t="shared" si="139"/>
        <v/>
      </c>
      <c r="FE14" s="48" t="str">
        <f t="shared" si="140"/>
        <v>"NO_BLU",</v>
      </c>
      <c r="FF14" s="48" t="str">
        <f t="shared" si="141"/>
        <v/>
      </c>
      <c r="FG14" s="48" t="str">
        <f t="shared" si="142"/>
        <v>"NO_RED",</v>
      </c>
      <c r="FH14" s="48" t="str">
        <f t="shared" si="143"/>
        <v/>
      </c>
      <c r="FI14" s="48" t="str">
        <f t="shared" si="144"/>
        <v>"NO_YEL",</v>
      </c>
      <c r="FJ14" s="48" t="str">
        <f t="shared" si="145"/>
        <v/>
      </c>
      <c r="FK14" s="48" t="str">
        <f t="shared" si="146"/>
        <v/>
      </c>
      <c r="FL14" s="48" t="str">
        <f t="shared" si="147"/>
        <v/>
      </c>
      <c r="FM14" s="48" t="str">
        <f t="shared" si="148"/>
        <v/>
      </c>
      <c r="FN14" s="48" t="str">
        <f t="shared" si="149"/>
        <v/>
      </c>
      <c r="FO14" s="48" t="str">
        <f t="shared" si="150"/>
        <v>"BLRENO",</v>
      </c>
      <c r="FP14" s="48" t="str">
        <f t="shared" si="151"/>
        <v/>
      </c>
      <c r="FQ14" s="48" t="str">
        <f t="shared" si="152"/>
        <v/>
      </c>
      <c r="FR14" s="48" t="str">
        <f t="shared" si="153"/>
        <v/>
      </c>
      <c r="FS14" s="48" t="str">
        <f t="shared" si="154"/>
        <v/>
      </c>
      <c r="FT14" s="48" t="str">
        <f t="shared" si="155"/>
        <v>"myrBLA",</v>
      </c>
      <c r="FU14" s="48" t="str">
        <f t="shared" si="156"/>
        <v/>
      </c>
      <c r="FV14" s="48" t="str">
        <f t="shared" si="157"/>
        <v/>
      </c>
      <c r="FW14" s="48" t="str">
        <f t="shared" si="158"/>
        <v/>
      </c>
      <c r="FX14" s="48" t="str">
        <f>SUBSTITUTE(IFERROR(SEARCH("[",A14),IFERROR(IF(AND(CA14&lt;&gt;"y",SEARCH("Europe",R14)&gt;0),CHAR(34)&amp;"noeuni"&amp;CHAR(34)&amp;",",""),"")),"1","")</f>
        <v/>
      </c>
      <c r="FY14" s="48" t="str">
        <f t="shared" si="159"/>
        <v/>
      </c>
      <c r="FZ14" s="48" t="str">
        <f t="shared" si="160"/>
        <v/>
      </c>
      <c r="GA14" s="48" t="str">
        <f t="shared" si="161"/>
        <v/>
      </c>
      <c r="GB14" s="48" t="str">
        <f t="shared" si="162"/>
        <v/>
      </c>
      <c r="GC14" s="48" t="str">
        <f>IFERROR(IF(SEARCH("Portuguese",CB14)&gt;0,CHAR(34)&amp;"portug"&amp;CHAR(34)&amp;",",""),"")</f>
        <v/>
      </c>
      <c r="GD14" s="48" t="str">
        <f>IFERROR(IF(SEARCH("German",CB14)&gt;0,CHAR(34)&amp;"german"&amp;CHAR(34)&amp;",",""),"")</f>
        <v/>
      </c>
      <c r="GE14" s="48" t="str">
        <f t="shared" si="163"/>
        <v/>
      </c>
      <c r="GF14" s="48" t="str">
        <f t="shared" si="192"/>
        <v/>
      </c>
      <c r="GG14" s="48" t="str">
        <f t="shared" si="164"/>
        <v/>
      </c>
      <c r="GH14" s="48" t="str">
        <f t="shared" si="165"/>
        <v/>
      </c>
      <c r="GI14" s="48" t="str">
        <f t="shared" si="166"/>
        <v/>
      </c>
      <c r="GJ14" s="48" t="str">
        <f t="shared" si="167"/>
        <v/>
      </c>
      <c r="GK14" s="48" t="str">
        <f t="shared" si="168"/>
        <v>"HasSta",</v>
      </c>
      <c r="GL14" s="48" t="str">
        <f t="shared" si="78"/>
        <v>"1Stars",</v>
      </c>
      <c r="GM14" s="48" t="str">
        <f t="shared" si="78"/>
        <v/>
      </c>
      <c r="GN14" s="48" t="str">
        <f t="shared" si="78"/>
        <v/>
      </c>
      <c r="GP14" s="48" t="str">
        <f t="shared" si="169"/>
        <v>"State"</v>
      </c>
      <c r="GS14" s="48" t="str">
        <f t="shared" si="170"/>
        <v>["4Color","words2","lets16","startM","year19","3Bands","Diagon","Unequa","sta","NO_BLU","NO_RED","NO_YEL","BLRENO","myrBLA","HasSta","1Stars"]</v>
      </c>
      <c r="GT14" s="48" t="str">
        <f t="shared" si="81"/>
        <v>"cl_BLA",</v>
      </c>
      <c r="GU14" s="48" t="str">
        <f t="shared" si="81"/>
        <v>"cl_BRO",</v>
      </c>
      <c r="GV14" s="48" t="str">
        <f t="shared" si="81"/>
        <v>"cl_GRE",</v>
      </c>
      <c r="GW14" s="48" t="str">
        <f t="shared" si="81"/>
        <v>"cl_WHI",</v>
      </c>
      <c r="GX14" s="48" t="str">
        <f t="shared" si="81"/>
        <v/>
      </c>
      <c r="GY14" s="48" t="str">
        <f t="shared" si="81"/>
        <v/>
      </c>
      <c r="GZ14" s="48" t="str">
        <f t="shared" si="81"/>
        <v/>
      </c>
      <c r="HA14" s="48" t="str">
        <f t="shared" si="81"/>
        <v/>
      </c>
      <c r="HB14" s="48" t="str">
        <f t="shared" si="81"/>
        <v/>
      </c>
      <c r="HC14" s="48" t="str">
        <f t="shared" si="171"/>
        <v>["cl_BLA","cl_BRO","cl_GRE","cl_WHI"]</v>
      </c>
      <c r="HE14" s="71"/>
      <c r="HF14" s="72" t="str">
        <f t="shared" si="172"/>
        <v>{couname:"[BRA] Matto Grosso do Sul",year:"1979 ",region:"rgn_South America",Colors:["cl_BLA","cl_BRO","cl_GRE","cl_WHI"],Items:["4Color","words2","lets16","startM","year19","3Bands","Diagon","Unequa","sta","NO_BLU","NO_RED","NO_YEL","BLRENO","myrBLA","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links: "https://en.wikipedia.org/wiki/Flag_of_Mato_Grosso_do_Sul"},</v>
      </c>
      <c r="HG14" s="73" t="str">
        <f t="shared" si="173"/>
        <v>{couname:"[BRA] Matto Grosso do Sul",year:"1979 ",region:"rgn_South America",Colors:["cl_BLA","cl_BRO","cl_GRE","cl_WHI"],Items:["4Color","words2","lets16","startM","year19","3Bands","Diagon","Unequa","sta","NO_BLU","NO_RED","NO_YEL","BLRENO","myrBLA","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links: "https://en.wikipedia.org/wiki/Flag_of_Mato_Grosso_do_Sul"},</v>
      </c>
      <c r="HH14" s="48" t="str">
        <f t="shared" si="174"/>
        <v>"\nGreen represents the richness of the forests and fields; White symbolizes peace and friendship; Blue represents the sky of the state of Mato Grosso and the hope of the people; Yellow symbolizes the wealth acquired through the people's work."</v>
      </c>
      <c r="HI14" s="48" t="str">
        <f t="shared" si="175"/>
        <v>"\nGreen represents the richness of the forests and fields; White symbolizes peace and friendship; Blue represents the sky of the state of Mato Grosso and the hope of the people; Yellow symbolizes the wealth acquired through the people's work."</v>
      </c>
      <c r="HJ14" s="48" t="str">
        <f t="shared" si="176"/>
        <v>"1979 "</v>
      </c>
      <c r="HL14" s="48" t="str">
        <f t="shared" si="177"/>
        <v>"https://en.wikipedia.org/wiki/Flag_of_Mato_Grosso_do_Sul"</v>
      </c>
      <c r="HM14" s="72" t="str">
        <f t="shared" si="178"/>
        <v>{"couname":"[BRA] Matto Grosso do Sul","year":"1979 ","region":"rgn_South America","Colors":["cl_BLA","cl_BRO","cl_GRE","cl_WHI"],"Items":["4Color","words2","lets16","startM","year19","3Bands","Diagon","Unequa","sta","NO_BLU","NO_RED","NO_YEL","BLRENO","myrBLA","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 "links": "https://en.wikipedia.org/wiki/Flag_of_Mato_Grosso_do_Sul"},</v>
      </c>
      <c r="HN14" s="74" t="str">
        <f t="shared" si="179"/>
        <v>{"couname":"[BRA] Matto Grosso do Sul","year":"1979 ","region":"rgn_South America","Colors":["cl_BLA","cl_BRO","cl_GRE","cl_WHI"],"Items":["4Color","words2","lets16","startM","year19","3Bands","Diagon","Unequa","sta","NO_BLU","NO_RED","NO_YEL","BLRENO","myrBLA","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 "links": "https://en.wikipedia.org/wiki/Flag_of_Mato_Grosso_do_Sul"},</v>
      </c>
      <c r="HO14" s="75"/>
      <c r="HP14" s="48" t="str" cm="1">
        <f t="array" ref="HP14">IF(_xlfn.TEXTJOIN(", ", TRUE, IF(ISNUMBER(SEARCH("BLA", BL14:BT14)), COLUMN(BL14:BT14) - COLUMN(BL14) + 1, ""))&lt;&gt;"","BLA","")</f>
        <v>BLA</v>
      </c>
      <c r="HQ14" s="48" t="str" cm="1">
        <f t="array" ref="HQ14">IF(_xlfn.TEXTJOIN(", ", TRUE, IF(ISNUMBER(SEARCH("BLU", BL14:BT14)), COLUMN(BL14:BT14) - COLUMN(BL14) + 1, ""))&lt;&gt;"","BLU","")</f>
        <v/>
      </c>
      <c r="HR14" s="48" t="str" cm="1">
        <f t="array" ref="HR14">IF(_xlfn.TEXTJOIN(", ", TRUE, IF(ISNUMBER(SEARCH("GRE", BL14:BT14)), COLUMN(BL14:BT14) - COLUMN(BL14) + 1, ""))&lt;&gt;"","GRE","")</f>
        <v>GRE</v>
      </c>
      <c r="HS14" s="48" t="str" cm="1">
        <f t="array" ref="HS14">IF(_xlfn.TEXTJOIN(", ", TRUE, IF(ISNUMBER(SEARCH("RED", BL14:BT14)), COLUMN(BL14:BT14) - COLUMN(BL14) + 1, ""))&lt;&gt;"","RED","")</f>
        <v/>
      </c>
      <c r="HT14" s="48" t="str" cm="1">
        <f t="array" ref="HT14">IF(_xlfn.TEXTJOIN(", ", TRUE, IF(ISNUMBER(SEARCH("YEL", BL14:BT14)), COLUMN(BL14:BT14) - COLUMN(BL14) + 1, ""))&lt;&gt;"","YEL","")</f>
        <v/>
      </c>
      <c r="HU14" s="48" t="str" cm="1">
        <f t="array" ref="HU14">IF(_xlfn.TEXTJOIN(", ", TRUE, IF(ISNUMBER(SEARCH("ORA", BL14:BT14)), COLUMN(BL14:BT14) - COLUMN(BL14) + 1, ""))&lt;&gt;"","ORA","")</f>
        <v/>
      </c>
      <c r="HV14" s="48" t="str" cm="1">
        <f t="array" ref="HV14">IF(_xlfn.TEXTJOIN(", ", TRUE, IF(ISNUMBER(SEARCH("BRO", BL14:BT14)), COLUMN(BL14:BT14) - COLUMN(BL14) + 1, ""))&lt;&gt;"","BRO","")</f>
        <v>BRO</v>
      </c>
      <c r="HW14" s="48" t="str" cm="1">
        <f t="array" ref="HW14">IF(_xlfn.TEXTJOIN(", ", TRUE, IF(ISNUMBER(SEARCH("PUR", BL14:BT14)), COLUMN(BL14:BT14) - COLUMN(BL14) + 1, ""))&lt;&gt;"","PUR","")</f>
        <v/>
      </c>
      <c r="HX14" s="48" t="str" cm="1">
        <f t="array" ref="HX14">IF(_xlfn.TEXTJOIN(", ", TRUE, IF(ISNUMBER(SEARCH("WHI", BL14:BT14)), COLUMN(BL14:BT14) - COLUMN(BL14) + 1, ""))&lt;&gt;"","WHI","")</f>
        <v>WHI</v>
      </c>
      <c r="HY14" s="76"/>
      <c r="HZ14" s="76"/>
      <c r="IA14" s="6"/>
      <c r="IB14" s="6"/>
      <c r="IC14" s="77"/>
      <c r="ID14" s="77"/>
      <c r="IE14" s="77"/>
      <c r="IF14" s="77"/>
      <c r="IG14" s="77"/>
      <c r="IH14" s="77"/>
      <c r="II14" s="77"/>
      <c r="IJ14" s="77"/>
      <c r="IK14" s="77"/>
      <c r="IL14" s="48">
        <f>SUM(IC14:IK14)</f>
        <v>0</v>
      </c>
      <c r="IM14" s="45">
        <f t="shared" si="180"/>
        <v>-4</v>
      </c>
      <c r="IN14" s="78" t="str">
        <f t="shared" si="181"/>
        <v>http://mkweb.bcgsc.ca/color-summarizer/?url=https://upload.wikimedia.org/wikipedia/commons/thumb/6/64/Bandeira_de_Mato_Grosso_do_Sul.svg/640px-Bandeira_de_Mato_Grosso_do_Sul.svg.png&amp;precision=low&amp;num_clusters=4&amp;text=1</v>
      </c>
      <c r="IO14" s="48" t="str">
        <f t="shared" si="182"/>
        <v>"black"</v>
      </c>
      <c r="IP14" s="48" t="str">
        <f t="shared" si="183"/>
        <v/>
      </c>
      <c r="IQ14" s="48" t="str">
        <f t="shared" si="184"/>
        <v>"green"</v>
      </c>
      <c r="IR14" s="48" t="str">
        <f t="shared" si="185"/>
        <v/>
      </c>
      <c r="IS14" s="48" t="str">
        <f t="shared" si="186"/>
        <v/>
      </c>
      <c r="IT14" s="48" t="str">
        <f t="shared" si="187"/>
        <v/>
      </c>
      <c r="IU14" s="48" t="str">
        <f t="shared" si="188"/>
        <v>"brown"</v>
      </c>
      <c r="IV14" s="48" t="str">
        <f t="shared" si="189"/>
        <v/>
      </c>
      <c r="IW14" s="48" t="str">
        <f t="shared" si="190"/>
        <v>"white"</v>
      </c>
      <c r="IX14" s="48" t="str">
        <f t="shared" si="191"/>
        <v>{"url":"http://mkweb.bcgsc.ca/color-summarizer/?url=https://upload.wikimedia.org/wikipedia/commons/thumb/6/64/Bandeira_de_Mato_Grosso_do_Sul.svg/640px-Bandeira_de_Mato_Grosso_do_Sul.svg.png&amp;precision=low&amp;num_clusters=4&amp;text=1","name":"[BRA] Matto Grosso do Sul"},</v>
      </c>
      <c r="IY14" s="48">
        <v>683</v>
      </c>
    </row>
    <row r="15" spans="1:259" s="48" customFormat="1" ht="38.4" customHeight="1" thickBot="1" x14ac:dyDescent="0.35">
      <c r="A15" s="79" t="s">
        <v>460</v>
      </c>
      <c r="B15" s="40" t="e" vm="37">
        <v>#VALUE!</v>
      </c>
      <c r="C15" s="41">
        <v>2</v>
      </c>
      <c r="D15" s="42" t="s">
        <v>461</v>
      </c>
      <c r="E15" s="43" t="s">
        <v>462</v>
      </c>
      <c r="F15" s="44" t="s">
        <v>166</v>
      </c>
      <c r="G15" s="45">
        <f>COUNTIF($A$1:$A$8312,A15)</f>
        <v>1</v>
      </c>
      <c r="H15" s="46"/>
      <c r="I15" s="47" t="s">
        <v>463</v>
      </c>
      <c r="J15" s="48" t="str">
        <f>""</f>
        <v/>
      </c>
      <c r="K15" s="49"/>
      <c r="L15" s="50"/>
      <c r="M15" s="50"/>
      <c r="N15" s="51" t="s">
        <v>169</v>
      </c>
      <c r="O15" s="52" t="s">
        <v>395</v>
      </c>
      <c r="P15" s="53" t="s">
        <v>464</v>
      </c>
      <c r="Q15" s="54">
        <v>2</v>
      </c>
      <c r="R15" s="55" t="s">
        <v>169</v>
      </c>
      <c r="S15" s="56">
        <v>0</v>
      </c>
      <c r="T15" s="57" t="s">
        <v>173</v>
      </c>
      <c r="U15" s="58" t="s">
        <v>172</v>
      </c>
      <c r="V15" s="58" t="s">
        <v>172</v>
      </c>
      <c r="W15" s="58" t="s">
        <v>172</v>
      </c>
      <c r="X15" s="58" t="s">
        <v>172</v>
      </c>
      <c r="Y15" s="58" t="s">
        <v>172</v>
      </c>
      <c r="Z15" s="58" t="s">
        <v>172</v>
      </c>
      <c r="AA15" s="58" t="s">
        <v>172</v>
      </c>
      <c r="AB15" s="58" t="s">
        <v>173</v>
      </c>
      <c r="AC15" s="58" t="s">
        <v>172</v>
      </c>
      <c r="AD15" s="58" t="s">
        <v>172</v>
      </c>
      <c r="AE15" s="58" t="s">
        <v>172</v>
      </c>
      <c r="AF15" s="59" t="s">
        <v>172</v>
      </c>
      <c r="AG15" s="59" t="s">
        <v>172</v>
      </c>
      <c r="AH15" s="59" t="s">
        <v>173</v>
      </c>
      <c r="AI15" s="59" t="s">
        <v>172</v>
      </c>
      <c r="AJ15" s="59" t="s">
        <v>172</v>
      </c>
      <c r="AK15" s="59" t="s">
        <v>172</v>
      </c>
      <c r="AL15" s="59" t="s">
        <v>172</v>
      </c>
      <c r="AM15" s="59" t="s">
        <v>172</v>
      </c>
      <c r="AN15" s="59" t="s">
        <v>172</v>
      </c>
      <c r="AO15" s="59" t="s">
        <v>172</v>
      </c>
      <c r="AP15" s="59" t="s">
        <v>172</v>
      </c>
      <c r="AQ15" s="59" t="s">
        <v>172</v>
      </c>
      <c r="AR15" s="59" t="s">
        <v>172</v>
      </c>
      <c r="AS15" s="59" t="s">
        <v>172</v>
      </c>
      <c r="AT15" s="60">
        <v>0</v>
      </c>
      <c r="AU15" s="59" t="s">
        <v>383</v>
      </c>
      <c r="AV15" s="59" t="str">
        <f>IF(LEFT(A15,1)="[",LEFT(A15,5)&amp;AU15&amp;A15,"")</f>
        <v>[BRA]State[BRA] Minas Gerais</v>
      </c>
      <c r="AW15" s="59" t="str">
        <f>C15&amp;H15&amp;A15</f>
        <v>2[BRA] Minas Gerais</v>
      </c>
      <c r="AX15" s="61"/>
      <c r="AY15" s="61"/>
      <c r="AZ15" s="62" t="s">
        <v>174</v>
      </c>
      <c r="BA15" s="62"/>
      <c r="BB15" s="62"/>
      <c r="BC15" s="63"/>
      <c r="BD15" s="64" t="s">
        <v>151</v>
      </c>
      <c r="BE15" s="47"/>
      <c r="BF15" s="64" t="s">
        <v>151</v>
      </c>
      <c r="BG15" s="64" t="s">
        <v>159</v>
      </c>
      <c r="BH15" s="64" t="s">
        <v>154</v>
      </c>
      <c r="BI15" s="64"/>
      <c r="BJ15" s="64"/>
      <c r="BK15" s="47"/>
      <c r="BL15" s="64" t="s">
        <v>151</v>
      </c>
      <c r="BM15" s="64" t="s">
        <v>174</v>
      </c>
      <c r="BN15" s="64" t="s">
        <v>174</v>
      </c>
      <c r="BO15" s="64" t="s">
        <v>154</v>
      </c>
      <c r="BP15" s="64" t="s">
        <v>174</v>
      </c>
      <c r="BQ15" s="64" t="s">
        <v>174</v>
      </c>
      <c r="BR15" s="64" t="s">
        <v>174</v>
      </c>
      <c r="BS15" s="64" t="s">
        <v>174</v>
      </c>
      <c r="BT15" s="64" t="s">
        <v>159</v>
      </c>
      <c r="BU15" s="65"/>
      <c r="BV15" s="66"/>
      <c r="BW15" s="66">
        <v>0</v>
      </c>
      <c r="BX15" s="47"/>
      <c r="CB15" s="6"/>
      <c r="CC15" s="6"/>
      <c r="CD15" s="67">
        <v>0</v>
      </c>
      <c r="CE15" s="67">
        <v>0</v>
      </c>
      <c r="CF15" s="67" t="e">
        <v>#REF!</v>
      </c>
      <c r="CG15" s="68" cm="1">
        <f t="array" ref="CG15">SUMPRODUCT(--(LEN(TRIM(BL15:BT15))&gt;0))</f>
        <v>3</v>
      </c>
      <c r="CH15" s="59" t="str">
        <f t="shared" si="104"/>
        <v>n</v>
      </c>
      <c r="CI15" s="59" t="str">
        <f t="shared" si="105"/>
        <v>y</v>
      </c>
      <c r="CJ15" s="59" t="str">
        <f t="shared" si="106"/>
        <v>n</v>
      </c>
      <c r="CK15" s="59" t="str">
        <f t="shared" si="107"/>
        <v>n</v>
      </c>
      <c r="CL15" s="59" t="str">
        <f t="shared" si="108"/>
        <v>y</v>
      </c>
      <c r="CM15" s="59" t="str">
        <f t="shared" si="109"/>
        <v>n</v>
      </c>
      <c r="CN15" s="59" t="str">
        <f t="shared" si="110"/>
        <v>n</v>
      </c>
      <c r="CO15" s="59" t="str">
        <f t="shared" si="111"/>
        <v>n</v>
      </c>
      <c r="CP15" s="59" t="str">
        <f t="shared" si="112"/>
        <v>y</v>
      </c>
      <c r="CQ15" s="59" t="str">
        <f t="shared" si="113"/>
        <v>n</v>
      </c>
      <c r="CR15" s="59" t="str">
        <f t="shared" si="114"/>
        <v>n</v>
      </c>
      <c r="CS15" s="59" t="str">
        <f t="shared" si="115"/>
        <v>n</v>
      </c>
      <c r="CT15" s="69" t="str">
        <f t="shared" si="116"/>
        <v>"[BRA] Minas Gerais"</v>
      </c>
      <c r="CU15" s="70" t="str">
        <f t="shared" si="117"/>
        <v>"rgn_South America"</v>
      </c>
      <c r="CV15" s="48" t="str">
        <f t="shared" si="118"/>
        <v>"https://upload.wikimedia.org/wikipedia/commons/thumb/f/f4/Bandeira_de_Minas_Gerais.svg/640px-Bandeira_de_Minas_Gerais.svg.png"</v>
      </c>
      <c r="CW15" s="48" t="str">
        <f t="shared" si="15"/>
        <v/>
      </c>
      <c r="CX15" s="48" t="str">
        <f t="shared" si="15"/>
        <v>"3Color",</v>
      </c>
      <c r="CY15" s="48" t="str">
        <f t="shared" si="15"/>
        <v/>
      </c>
      <c r="CZ15" s="48" t="str">
        <f t="shared" si="15"/>
        <v/>
      </c>
      <c r="DA15" s="48" t="str">
        <f t="shared" si="119"/>
        <v>"words2",</v>
      </c>
      <c r="DB15" s="48" t="str">
        <f>IF(Q15&gt;2,CHAR(34)&amp;"words3"&amp;CHAR(34)&amp;",","")</f>
        <v/>
      </c>
      <c r="DC15" s="48" t="str">
        <f>IF(Q15=2,CHAR(34)&amp;"exact2"&amp;CHAR(34)&amp;",","")</f>
        <v>"exact2",</v>
      </c>
      <c r="DD15" s="48" t="str">
        <f>IF(LEN(CHAR(34)&amp;"lets"&amp;LEN(SUBSTITUTE(SUBSTITUTE(IFERROR(TRIM(SUBSTITUTE(SUBSTITUTE(SUBSTITUTE(IFERROR(TRIM(SUBSTITUTE(A15,MID(A15,FIND("(",A15),FIND(")",A15)-FIND("(",A15)+1),"")),A15),"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",""),"-",""))&amp;CHAR(34)&amp;",")=9,CHAR(34)&amp;"lets"&amp;LEN(SUBSTITUTE(SUBSTITUTE(IFERROR(TRIM(SUBSTITUTE(SUBSTITUTE(SUBSTITUTE(IFERROR(TRIM(SUBSTITUTE(A15,MID(A15,FIND("(",A15),FIND(")",A15)-FIND("(",A15)+1),"")),A15),"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",""),"-",""))&amp;CHAR(34)&amp;",",CHAR(34)&amp;"lets0"&amp;LEN(SUBSTITUTE(SUBSTITUTE(IFERROR(TRIM(SUBSTITUTE(SUBSTITUTE(SUBSTITUTE(IFERROR(TRIM(SUBSTITUTE(A15,MID(A15,FIND("(",A15),FIND(")",A15)-FIND("(",A15)+1),"")),A15),"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f>
        <v>"lets11",</v>
      </c>
      <c r="DE15" s="48" t="str">
        <f>IFERROR(CHAR(34)&amp;"start"&amp;LEFT(TRIM(SUBSTITUTE(SUBSTITUTE(TRIM(SUBSTITUTE(SUBSTITUTE(A15, MID(A15, FIND("[", A15), FIND("]", A15) - FIND("[", A15) + 1), ""), "  ", " ")), MID(TRIM(SUBSTITUTE(SUBSTITUTE(A15, MID(A15, FIND("[", A15), FIND("]", A15) - FIND("[", A15) + 1), ""), "  ", " ")), FIND("[", TRIM(SUBSTITUTE(SUBSTITUTE(A15, MID(A15, FIND("[", A15), FIND("]", A15) - FIND("[", A15) + 1), ""), "  ", " "))), FIND("]", TRIM(SUBSTITUTE(SUBSTITUTE(A15, MID(A15, FIND("[", A15), FIND("]", A15) - FIND("[", A15) + 1), ""), "  ", " "))) - FIND("[", TRIM(SUBSTITUTE(SUBSTITUTE(A15, MID(A15, FIND("[", A15), FIND("]", A15) - FIND("[", A15) + 1), ""), "  ", " "))) + 1), ""), "  ", " ")),1)&amp;CHAR(34)&amp;",",CHAR(34)&amp;"start"&amp;IFERROR(LEFT(SUBSTITUTE(A15,"["&amp;MID(A15,FIND("[",A15)+1,FIND("]",A15)-FIND("[",A15)-1)&amp;"] ",""),1),LEFT(A15,1))&amp;CHAR(34)&amp;",")</f>
        <v>"startM",</v>
      </c>
      <c r="DF15" s="48" t="str">
        <f t="shared" si="121"/>
        <v/>
      </c>
      <c r="DG15" s="48" t="str">
        <f t="shared" si="122"/>
        <v/>
      </c>
      <c r="DH15" s="48" t="str">
        <f t="shared" si="123"/>
        <v/>
      </c>
      <c r="DI15" s="48" t="str">
        <f t="shared" si="124"/>
        <v/>
      </c>
      <c r="DJ15" s="48" t="str">
        <f t="shared" si="125"/>
        <v/>
      </c>
      <c r="DK15" s="48" t="str">
        <f t="shared" si="126"/>
        <v/>
      </c>
      <c r="DL15" s="48" t="str">
        <f t="shared" si="127"/>
        <v/>
      </c>
      <c r="DM15" s="48" t="str" cm="1">
        <f t="array" ref="DM15">IF(CG15=3,CHAR(34) &amp; _xlfn.TEXTJOIN("", TRUE, RIGHT(HP15:HX15, 2)) &amp; CHAR(34) &amp; ",", "")</f>
        <v>"LAEDHI",</v>
      </c>
      <c r="DN15" s="48" t="str">
        <f t="shared" si="128"/>
        <v/>
      </c>
      <c r="DO15" s="48" t="str">
        <f t="shared" si="129"/>
        <v>"year19",</v>
      </c>
      <c r="DP15" s="6" t="str">
        <f t="shared" si="130"/>
        <v/>
      </c>
      <c r="DQ15" s="6" t="str">
        <f t="shared" si="131"/>
        <v/>
      </c>
      <c r="DR15" s="6" t="str">
        <f t="shared" si="132"/>
        <v/>
      </c>
      <c r="DS15" s="6" t="str">
        <f t="shared" si="133"/>
        <v/>
      </c>
      <c r="DT15" s="6" t="str">
        <f t="shared" si="134"/>
        <v/>
      </c>
      <c r="DU15" s="6" t="str">
        <f t="shared" si="135"/>
        <v/>
      </c>
      <c r="DV15" s="48" t="str">
        <f>IF(IA15&lt;&gt;"",(IF(IA15="y",CHAR(34)&amp;"largec"&amp;CHAR(34)&amp;",",CHAR(34)&amp;"smallc"&amp;CHAR(34)&amp;",")),"")</f>
        <v/>
      </c>
      <c r="DW15" s="48" t="str">
        <f t="shared" si="37"/>
        <v>"NoBand",</v>
      </c>
      <c r="DX15" s="48" t="str">
        <f t="shared" si="37"/>
        <v/>
      </c>
      <c r="DY15" s="48" t="str">
        <f t="shared" si="37"/>
        <v/>
      </c>
      <c r="DZ15" s="48" t="str">
        <f t="shared" si="37"/>
        <v/>
      </c>
      <c r="EA15" s="48" t="str">
        <f t="shared" si="38"/>
        <v>"Diagon",</v>
      </c>
      <c r="EB15" s="48" t="str">
        <f t="shared" si="38"/>
        <v/>
      </c>
      <c r="EC15" s="48" t="str">
        <f t="shared" si="38"/>
        <v/>
      </c>
      <c r="ED15" s="48" t="str">
        <f t="shared" si="38"/>
        <v/>
      </c>
      <c r="EE15" s="48" t="str">
        <f t="shared" si="38"/>
        <v/>
      </c>
      <c r="EF15" s="48" t="str">
        <f t="shared" si="136"/>
        <v/>
      </c>
      <c r="EG15" s="48" t="str">
        <f t="shared" ref="EG15:EV30" si="194">IF(Z15="y",CHAR(34)&amp;Z$1&amp;CHAR(34)&amp;",","")</f>
        <v/>
      </c>
      <c r="EH15" s="48" t="str">
        <f t="shared" si="194"/>
        <v/>
      </c>
      <c r="EI15" s="48" t="str">
        <f t="shared" si="194"/>
        <v>"Texted",</v>
      </c>
      <c r="EJ15" s="48" t="str">
        <f t="shared" si="194"/>
        <v/>
      </c>
      <c r="EK15" s="48" t="str">
        <f t="shared" si="194"/>
        <v/>
      </c>
      <c r="EL15" s="48" t="str">
        <f t="shared" si="194"/>
        <v/>
      </c>
      <c r="EM15" s="48" t="str">
        <f t="shared" si="194"/>
        <v/>
      </c>
      <c r="EN15" s="48" t="str">
        <f t="shared" si="194"/>
        <v/>
      </c>
      <c r="EO15" s="48" t="str">
        <f t="shared" si="194"/>
        <v>"Center",</v>
      </c>
      <c r="EP15" s="48" t="str">
        <f t="shared" si="194"/>
        <v/>
      </c>
      <c r="EQ15" s="48" t="str">
        <f t="shared" si="194"/>
        <v/>
      </c>
      <c r="ER15" s="48" t="str">
        <f t="shared" si="194"/>
        <v/>
      </c>
      <c r="ES15" s="48" t="str">
        <f t="shared" si="194"/>
        <v/>
      </c>
      <c r="ET15" s="48" t="str">
        <f t="shared" si="194"/>
        <v/>
      </c>
      <c r="EU15" s="48" t="str">
        <f t="shared" si="194"/>
        <v/>
      </c>
      <c r="EV15" s="48" t="str">
        <f t="shared" si="193"/>
        <v/>
      </c>
      <c r="EW15" s="48" t="str">
        <f t="shared" si="193"/>
        <v/>
      </c>
      <c r="EX15" s="48" t="str">
        <f t="shared" si="193"/>
        <v/>
      </c>
      <c r="EY15" s="48" t="str">
        <f t="shared" si="193"/>
        <v/>
      </c>
      <c r="EZ15" s="48" t="str">
        <f t="shared" si="193"/>
        <v/>
      </c>
      <c r="FA15" s="48" t="str">
        <f t="shared" si="137"/>
        <v/>
      </c>
      <c r="FB15" s="48" t="str">
        <f t="shared" si="138"/>
        <v/>
      </c>
      <c r="FC15" s="48" t="str">
        <f>IF(AND(AT15&gt;0,BB15&lt;&gt;""),CHAR(34)&amp;"sta"&amp;BB15&amp;CHAR(34)&amp;",","")</f>
        <v/>
      </c>
      <c r="FD15" s="48" t="str">
        <f t="shared" si="139"/>
        <v/>
      </c>
      <c r="FE15" s="48" t="str">
        <f t="shared" si="140"/>
        <v>"NO_BLU",</v>
      </c>
      <c r="FF15" s="48" t="str">
        <f t="shared" si="141"/>
        <v/>
      </c>
      <c r="FG15" s="48" t="str">
        <f t="shared" si="142"/>
        <v/>
      </c>
      <c r="FH15" s="48" t="str">
        <f t="shared" si="143"/>
        <v>"NO_GRE",</v>
      </c>
      <c r="FI15" s="48" t="str">
        <f t="shared" si="144"/>
        <v>"NO_YEL",</v>
      </c>
      <c r="FJ15" s="48" t="str">
        <f t="shared" si="145"/>
        <v/>
      </c>
      <c r="FK15" s="48" t="str">
        <f t="shared" si="146"/>
        <v/>
      </c>
      <c r="FL15" s="48" t="str">
        <f t="shared" si="147"/>
        <v/>
      </c>
      <c r="FM15" s="48" t="str">
        <f t="shared" si="148"/>
        <v/>
      </c>
      <c r="FN15" s="48" t="str">
        <f t="shared" si="149"/>
        <v/>
      </c>
      <c r="FO15" s="48" t="str">
        <f t="shared" si="150"/>
        <v/>
      </c>
      <c r="FP15" s="48" t="str">
        <f t="shared" si="151"/>
        <v/>
      </c>
      <c r="FQ15" s="48" t="str">
        <f t="shared" si="152"/>
        <v>"001BLA",</v>
      </c>
      <c r="FR15" s="48" t="str">
        <f t="shared" si="153"/>
        <v>"002WHI",</v>
      </c>
      <c r="FS15" s="48" t="str">
        <f t="shared" si="154"/>
        <v>"003RED",</v>
      </c>
      <c r="FT15" s="48" t="str">
        <f t="shared" si="155"/>
        <v>"myrBLA",</v>
      </c>
      <c r="FU15" s="48" t="str">
        <f t="shared" si="156"/>
        <v/>
      </c>
      <c r="FV15" s="48" t="str">
        <f t="shared" si="157"/>
        <v/>
      </c>
      <c r="FW15" s="48" t="str">
        <f t="shared" si="158"/>
        <v/>
      </c>
      <c r="FX15" s="48" t="str">
        <f>SUBSTITUTE(IFERROR(SEARCH("[",A15),IFERROR(IF(AND(CA15&lt;&gt;"y",SEARCH("Europe",R15)&gt;0),CHAR(34)&amp;"noeuni"&amp;CHAR(34)&amp;",",""),"")),"1","")</f>
        <v/>
      </c>
      <c r="FY15" s="48" t="str">
        <f t="shared" si="159"/>
        <v/>
      </c>
      <c r="FZ15" s="48" t="str">
        <f t="shared" si="160"/>
        <v/>
      </c>
      <c r="GA15" s="48" t="str">
        <f t="shared" si="161"/>
        <v/>
      </c>
      <c r="GB15" s="48" t="str">
        <f t="shared" si="162"/>
        <v/>
      </c>
      <c r="GC15" s="48" t="str">
        <f>IFERROR(IF(SEARCH("Portuguese",CB15)&gt;0,CHAR(34)&amp;"portug"&amp;CHAR(34)&amp;",",""),"")</f>
        <v/>
      </c>
      <c r="GD15" s="48" t="str">
        <f>IFERROR(IF(SEARCH("German",CB15)&gt;0,CHAR(34)&amp;"german"&amp;CHAR(34)&amp;",",""),"")</f>
        <v/>
      </c>
      <c r="GE15" s="48" t="str">
        <f t="shared" si="163"/>
        <v/>
      </c>
      <c r="GF15" s="48" t="str">
        <f t="shared" si="192"/>
        <v/>
      </c>
      <c r="GG15" s="48" t="str">
        <f t="shared" si="164"/>
        <v/>
      </c>
      <c r="GH15" s="48" t="str">
        <f t="shared" si="165"/>
        <v/>
      </c>
      <c r="GI15" s="48" t="str">
        <f t="shared" si="166"/>
        <v/>
      </c>
      <c r="GJ15" s="48" t="str">
        <f t="shared" si="167"/>
        <v>"NoStar",</v>
      </c>
      <c r="GK15" s="48" t="str">
        <f t="shared" si="168"/>
        <v/>
      </c>
      <c r="GL15" s="48" t="str">
        <f t="shared" si="78"/>
        <v/>
      </c>
      <c r="GM15" s="48" t="str">
        <f t="shared" si="78"/>
        <v/>
      </c>
      <c r="GN15" s="48" t="str">
        <f t="shared" si="78"/>
        <v/>
      </c>
      <c r="GP15" s="48" t="str">
        <f t="shared" si="169"/>
        <v>"State"</v>
      </c>
      <c r="GS15" s="48" t="str">
        <f t="shared" si="170"/>
        <v>["3Color","words2","exact2","lets11","startM","LAEDHI","year19","NoBand","Diagon","Texted","Center","NO_BLU","NO_GRE","NO_YEL","001BLA","002WHI","003RED","myrBLA","NoStar"]</v>
      </c>
      <c r="GT15" s="48" t="str">
        <f t="shared" si="81"/>
        <v>"cl_BLA",</v>
      </c>
      <c r="GU15" s="48" t="str">
        <f t="shared" si="81"/>
        <v/>
      </c>
      <c r="GV15" s="48" t="str">
        <f t="shared" si="81"/>
        <v/>
      </c>
      <c r="GW15" s="48" t="str">
        <f t="shared" si="81"/>
        <v>"cl_RED",</v>
      </c>
      <c r="GX15" s="48" t="str">
        <f t="shared" si="81"/>
        <v/>
      </c>
      <c r="GY15" s="48" t="str">
        <f t="shared" si="81"/>
        <v/>
      </c>
      <c r="GZ15" s="48" t="str">
        <f t="shared" si="81"/>
        <v/>
      </c>
      <c r="HA15" s="48" t="str">
        <f t="shared" si="81"/>
        <v/>
      </c>
      <c r="HB15" s="48" t="str">
        <f t="shared" si="81"/>
        <v>"cl_WHI",</v>
      </c>
      <c r="HC15" s="48" t="str">
        <f t="shared" si="171"/>
        <v>["cl_BLA","cl_RED","cl_WHI"]</v>
      </c>
      <c r="HE15" s="71"/>
      <c r="HF15" s="72" t="str">
        <f t="shared" si="172"/>
        <v>{couname:"[BRA] Minas Gerais",year:"1963 ",region:"rgn_South America",Colors:["cl_BLA","cl_RED","cl_WHI"],Items:["3Color","words2","exact2","lets11","startM","LAEDHI","year19","NoBand","Diagon","Texted","Center","NO_BLU","NO_GRE","NO_YEL","001BLA","002WHI","003RED","myrBLA","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links: "https://en.wikipedia.org/wiki/Flag_of_Minas_Gerais"},</v>
      </c>
      <c r="HG15" s="73" t="str">
        <f t="shared" si="173"/>
        <v>{couname:"[BRA] Minas Gerais",year:"1963 ",region:"rgn_South America",Colors:["cl_BLA","cl_RED","cl_WHI"],Items:["3Color","words2","exact2","lets11","startM","LAEDHI","year19","NoBand","Diagon","Texted","Center","NO_BLU","NO_GRE","NO_YEL","001BLA","002WHI","003RED","myrBLA","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links: "https://en.wikipedia.org/wiki/Flag_of_Minas_Gerais"},</v>
      </c>
      <c r="HH15" s="48" t="str">
        <f t="shared" si="174"/>
        <v>"\nThe flag is based on the flag of the separatist Inconfidência Mineira movement, which sought to make the captaincy of Minas Gerais independent from then colonial Brazil. The equilateral triangle symbolizes the Holy Trinity and its color represents revolution."</v>
      </c>
      <c r="HI15" s="48" t="str">
        <f t="shared" si="175"/>
        <v>"\nThe flag is based on the flag of the separatist Inconfidência Mineira movement, which sought to make the captaincy of Minas Gerais independent from then colonial Brazil. The equilateral triangle symbolizes the Holy Trinity and its color represents revolution."</v>
      </c>
      <c r="HJ15" s="48" t="str">
        <f t="shared" si="176"/>
        <v>"1963 "</v>
      </c>
      <c r="HL15" s="48" t="str">
        <f t="shared" si="177"/>
        <v>"https://en.wikipedia.org/wiki/Flag_of_Minas_Gerais"</v>
      </c>
      <c r="HM15" s="72" t="str">
        <f t="shared" si="178"/>
        <v>{"couname":"[BRA] Minas Gerais","year":"1963 ","region":"rgn_South America","Colors":["cl_BLA","cl_RED","cl_WHI"],"Items":["3Color","words2","exact2","lets11","startM","LAEDHI","year19","NoBand","Diagon","Texted","Center","NO_BLU","NO_GRE","NO_YEL","001BLA","002WHI","003RED","myrBLA","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 "links": "https://en.wikipedia.org/wiki/Flag_of_Minas_Gerais"},</v>
      </c>
      <c r="HN15" s="74" t="str">
        <f t="shared" si="179"/>
        <v>{"couname":"[BRA] Minas Gerais","year":"1963 ","region":"rgn_South America","Colors":["cl_BLA","cl_RED","cl_WHI"],"Items":["3Color","words2","exact2","lets11","startM","LAEDHI","year19","NoBand","Diagon","Texted","Center","NO_BLU","NO_GRE","NO_YEL","001BLA","002WHI","003RED","myrBLA","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 "links": "https://en.wikipedia.org/wiki/Flag_of_Minas_Gerais"},</v>
      </c>
      <c r="HO15" s="75"/>
      <c r="HP15" s="48" t="str" cm="1">
        <f t="array" ref="HP15">IF(_xlfn.TEXTJOIN(", ", TRUE, IF(ISNUMBER(SEARCH("BLA", BL15:BT15)), COLUMN(BL15:BT15) - COLUMN(BL15) + 1, ""))&lt;&gt;"","BLA","")</f>
        <v>BLA</v>
      </c>
      <c r="HQ15" s="48" t="str" cm="1">
        <f t="array" ref="HQ15">IF(_xlfn.TEXTJOIN(", ", TRUE, IF(ISNUMBER(SEARCH("BLU", BL15:BT15)), COLUMN(BL15:BT15) - COLUMN(BL15) + 1, ""))&lt;&gt;"","BLU","")</f>
        <v/>
      </c>
      <c r="HR15" s="48" t="str" cm="1">
        <f t="array" ref="HR15">IF(_xlfn.TEXTJOIN(", ", TRUE, IF(ISNUMBER(SEARCH("GRE", BL15:BT15)), COLUMN(BL15:BT15) - COLUMN(BL15) + 1, ""))&lt;&gt;"","GRE","")</f>
        <v/>
      </c>
      <c r="HS15" s="48" t="str" cm="1">
        <f t="array" ref="HS15">IF(_xlfn.TEXTJOIN(", ", TRUE, IF(ISNUMBER(SEARCH("RED", BL15:BT15)), COLUMN(BL15:BT15) - COLUMN(BL15) + 1, ""))&lt;&gt;"","RED","")</f>
        <v>RED</v>
      </c>
      <c r="HT15" s="48" t="str" cm="1">
        <f t="array" ref="HT15">IF(_xlfn.TEXTJOIN(", ", TRUE, IF(ISNUMBER(SEARCH("YEL", BL15:BT15)), COLUMN(BL15:BT15) - COLUMN(BL15) + 1, ""))&lt;&gt;"","YEL","")</f>
        <v/>
      </c>
      <c r="HU15" s="48" t="str" cm="1">
        <f t="array" ref="HU15">IF(_xlfn.TEXTJOIN(", ", TRUE, IF(ISNUMBER(SEARCH("ORA", BL15:BT15)), COLUMN(BL15:BT15) - COLUMN(BL15) + 1, ""))&lt;&gt;"","ORA","")</f>
        <v/>
      </c>
      <c r="HV15" s="48" t="str" cm="1">
        <f t="array" ref="HV15">IF(_xlfn.TEXTJOIN(", ", TRUE, IF(ISNUMBER(SEARCH("BRO", BL15:BT15)), COLUMN(BL15:BT15) - COLUMN(BL15) + 1, ""))&lt;&gt;"","BRO","")</f>
        <v/>
      </c>
      <c r="HW15" s="48" t="str" cm="1">
        <f t="array" ref="HW15">IF(_xlfn.TEXTJOIN(", ", TRUE, IF(ISNUMBER(SEARCH("PUR", BL15:BT15)), COLUMN(BL15:BT15) - COLUMN(BL15) + 1, ""))&lt;&gt;"","PUR","")</f>
        <v/>
      </c>
      <c r="HX15" s="48" t="str" cm="1">
        <f t="array" ref="HX15">IF(_xlfn.TEXTJOIN(", ", TRUE, IF(ISNUMBER(SEARCH("WHI", BL15:BT15)), COLUMN(BL15:BT15) - COLUMN(BL15) + 1, ""))&lt;&gt;"","WHI","")</f>
        <v>WHI</v>
      </c>
      <c r="HY15" s="76"/>
      <c r="HZ15" s="76"/>
      <c r="IA15" s="6"/>
      <c r="IB15" s="6"/>
      <c r="IC15" s="77"/>
      <c r="ID15" s="77"/>
      <c r="IE15" s="77"/>
      <c r="IF15" s="77"/>
      <c r="IG15" s="77"/>
      <c r="IH15" s="77"/>
      <c r="II15" s="77"/>
      <c r="IJ15" s="77"/>
      <c r="IK15" s="77"/>
      <c r="IL15" s="48">
        <f>SUM(IC15:IK15)</f>
        <v>0</v>
      </c>
      <c r="IM15" s="45">
        <f t="shared" si="180"/>
        <v>-3</v>
      </c>
      <c r="IN15" s="78" t="str">
        <f t="shared" si="181"/>
        <v>http://mkweb.bcgsc.ca/color-summarizer/?url=https://upload.wikimedia.org/wikipedia/commons/thumb/f/f4/Bandeira_de_Minas_Gerais.svg/640px-Bandeira_de_Minas_Gerais.svg.png&amp;precision=low&amp;num_clusters=3&amp;text=1</v>
      </c>
      <c r="IO15" s="48" t="str">
        <f t="shared" si="182"/>
        <v>"black"</v>
      </c>
      <c r="IP15" s="48" t="str">
        <f t="shared" si="183"/>
        <v/>
      </c>
      <c r="IQ15" s="48" t="str">
        <f t="shared" si="184"/>
        <v/>
      </c>
      <c r="IR15" s="48" t="str">
        <f t="shared" si="185"/>
        <v>"red"</v>
      </c>
      <c r="IS15" s="48" t="str">
        <f t="shared" si="186"/>
        <v/>
      </c>
      <c r="IT15" s="48" t="str">
        <f t="shared" si="187"/>
        <v/>
      </c>
      <c r="IU15" s="48" t="str">
        <f t="shared" si="188"/>
        <v/>
      </c>
      <c r="IV15" s="48" t="str">
        <f t="shared" si="189"/>
        <v/>
      </c>
      <c r="IW15" s="48" t="str">
        <f t="shared" si="190"/>
        <v>"white"</v>
      </c>
      <c r="IX15" s="48" t="str">
        <f t="shared" si="191"/>
        <v>{"url":"http://mkweb.bcgsc.ca/color-summarizer/?url=https://upload.wikimedia.org/wikipedia/commons/thumb/f/f4/Bandeira_de_Minas_Gerais.svg/640px-Bandeira_de_Minas_Gerais.svg.png&amp;precision=low&amp;num_clusters=3&amp;text=1","name":"[BRA] Minas Gerais"},</v>
      </c>
      <c r="IY15" s="48">
        <v>679</v>
      </c>
    </row>
    <row r="16" spans="1:259" s="48" customFormat="1" ht="38.4" customHeight="1" thickBot="1" x14ac:dyDescent="0.35">
      <c r="A16" s="79" t="s">
        <v>465</v>
      </c>
      <c r="B16" s="40" t="e" vm="38">
        <v>#VALUE!</v>
      </c>
      <c r="C16" s="41">
        <v>2</v>
      </c>
      <c r="D16" s="42" t="s">
        <v>466</v>
      </c>
      <c r="E16" s="43" t="s">
        <v>467</v>
      </c>
      <c r="F16" s="44" t="s">
        <v>166</v>
      </c>
      <c r="G16" s="45">
        <f>COUNTIF($A$1:$A$8312,A16)</f>
        <v>1</v>
      </c>
      <c r="H16" s="46"/>
      <c r="I16" s="47" t="s">
        <v>468</v>
      </c>
      <c r="J16" s="48" t="str">
        <f>""</f>
        <v/>
      </c>
      <c r="K16" s="49"/>
      <c r="L16" s="50"/>
      <c r="M16" s="50"/>
      <c r="N16" s="51" t="s">
        <v>169</v>
      </c>
      <c r="O16" s="52" t="s">
        <v>452</v>
      </c>
      <c r="P16" s="53" t="s">
        <v>469</v>
      </c>
      <c r="Q16" s="54">
        <v>1</v>
      </c>
      <c r="R16" s="55" t="s">
        <v>169</v>
      </c>
      <c r="S16" s="56">
        <v>3</v>
      </c>
      <c r="T16" s="57" t="s">
        <v>173</v>
      </c>
      <c r="U16" s="58" t="s">
        <v>172</v>
      </c>
      <c r="V16" s="58" t="s">
        <v>172</v>
      </c>
      <c r="W16" s="58" t="s">
        <v>172</v>
      </c>
      <c r="X16" s="58" t="s">
        <v>172</v>
      </c>
      <c r="Y16" s="58" t="s">
        <v>172</v>
      </c>
      <c r="Z16" s="58" t="s">
        <v>172</v>
      </c>
      <c r="AA16" s="58" t="s">
        <v>172</v>
      </c>
      <c r="AB16" s="58" t="s">
        <v>172</v>
      </c>
      <c r="AC16" s="58" t="s">
        <v>172</v>
      </c>
      <c r="AD16" s="58" t="s">
        <v>172</v>
      </c>
      <c r="AE16" s="58" t="s">
        <v>172</v>
      </c>
      <c r="AF16" s="59" t="s">
        <v>172</v>
      </c>
      <c r="AG16" s="59" t="s">
        <v>173</v>
      </c>
      <c r="AH16" s="59" t="s">
        <v>173</v>
      </c>
      <c r="AI16" s="59" t="s">
        <v>172</v>
      </c>
      <c r="AJ16" s="59" t="s">
        <v>172</v>
      </c>
      <c r="AK16" s="59" t="s">
        <v>172</v>
      </c>
      <c r="AL16" s="59" t="s">
        <v>172</v>
      </c>
      <c r="AM16" s="59" t="s">
        <v>172</v>
      </c>
      <c r="AN16" s="59" t="s">
        <v>172</v>
      </c>
      <c r="AO16" s="59" t="s">
        <v>172</v>
      </c>
      <c r="AP16" s="59" t="s">
        <v>172</v>
      </c>
      <c r="AQ16" s="59" t="s">
        <v>172</v>
      </c>
      <c r="AR16" s="59" t="s">
        <v>172</v>
      </c>
      <c r="AS16" s="59" t="s">
        <v>172</v>
      </c>
      <c r="AT16" s="60">
        <v>1</v>
      </c>
      <c r="AU16" s="59" t="s">
        <v>383</v>
      </c>
      <c r="AV16" s="59" t="str">
        <f>IF(LEFT(A16,1)="[",LEFT(A16,5)&amp;AU16&amp;A16,"")</f>
        <v>[BRA]State[BRA] Pará</v>
      </c>
      <c r="AW16" s="59" t="str">
        <f>C16&amp;H16&amp;A16</f>
        <v>2[BRA] Pará</v>
      </c>
      <c r="AX16" s="61"/>
      <c r="AY16" s="61"/>
      <c r="AZ16" s="62" t="s">
        <v>174</v>
      </c>
      <c r="BA16" s="62" t="s">
        <v>174</v>
      </c>
      <c r="BB16" s="62"/>
      <c r="BC16" s="63"/>
      <c r="BD16" s="64" t="s">
        <v>217</v>
      </c>
      <c r="BE16" s="47"/>
      <c r="BF16" s="64" t="s">
        <v>174</v>
      </c>
      <c r="BG16" s="64" t="s">
        <v>174</v>
      </c>
      <c r="BH16" s="64" t="s">
        <v>174</v>
      </c>
      <c r="BI16" s="64"/>
      <c r="BJ16" s="64"/>
      <c r="BK16" s="47"/>
      <c r="BL16" s="64" t="s">
        <v>151</v>
      </c>
      <c r="BM16" s="64" t="s">
        <v>174</v>
      </c>
      <c r="BN16" s="64" t="s">
        <v>153</v>
      </c>
      <c r="BO16" s="64" t="s">
        <v>154</v>
      </c>
      <c r="BP16" s="64" t="s">
        <v>174</v>
      </c>
      <c r="BQ16" s="64" t="s">
        <v>174</v>
      </c>
      <c r="BR16" s="64" t="s">
        <v>174</v>
      </c>
      <c r="BS16" s="64" t="s">
        <v>174</v>
      </c>
      <c r="BT16" s="64" t="s">
        <v>159</v>
      </c>
      <c r="BU16" s="65"/>
      <c r="BV16" s="66"/>
      <c r="BW16" s="66">
        <v>0</v>
      </c>
      <c r="BX16" s="47"/>
      <c r="CB16" s="6"/>
      <c r="CC16" s="6"/>
      <c r="CD16" s="67">
        <v>0</v>
      </c>
      <c r="CE16" s="67">
        <v>0</v>
      </c>
      <c r="CF16" s="67" t="e">
        <v>#REF!</v>
      </c>
      <c r="CG16" s="68" cm="1">
        <f t="array" ref="CG16">SUMPRODUCT(--(LEN(TRIM(BL16:BT16))&gt;0))</f>
        <v>4</v>
      </c>
      <c r="CH16" s="59" t="str">
        <f t="shared" si="104"/>
        <v>n</v>
      </c>
      <c r="CI16" s="59" t="str">
        <f t="shared" si="105"/>
        <v>n</v>
      </c>
      <c r="CJ16" s="59" t="str">
        <f t="shared" si="106"/>
        <v>y</v>
      </c>
      <c r="CK16" s="59" t="str">
        <f t="shared" si="107"/>
        <v>n</v>
      </c>
      <c r="CL16" s="59" t="str">
        <f t="shared" si="108"/>
        <v>n</v>
      </c>
      <c r="CM16" s="59" t="str">
        <f t="shared" si="109"/>
        <v>n</v>
      </c>
      <c r="CN16" s="59" t="str">
        <f t="shared" si="110"/>
        <v>y</v>
      </c>
      <c r="CO16" s="59" t="str">
        <f t="shared" si="111"/>
        <v>n</v>
      </c>
      <c r="CP16" s="59" t="str">
        <f t="shared" si="112"/>
        <v>n</v>
      </c>
      <c r="CQ16" s="59" t="str">
        <f t="shared" si="113"/>
        <v>y</v>
      </c>
      <c r="CR16" s="59" t="str">
        <f t="shared" si="114"/>
        <v>n</v>
      </c>
      <c r="CS16" s="59" t="str">
        <f t="shared" si="115"/>
        <v>n</v>
      </c>
      <c r="CT16" s="69" t="str">
        <f t="shared" si="116"/>
        <v>"[BRA] Pará"</v>
      </c>
      <c r="CU16" s="70" t="str">
        <f t="shared" si="117"/>
        <v>"rgn_South America"</v>
      </c>
      <c r="CV16" s="48" t="str">
        <f t="shared" si="118"/>
        <v>"https://upload.wikimedia.org/wikipedia/commons/thumb/4/44/Bandeira_do_par%C3%A1.png/640px-Bandeira_do_par%C3%A1.png"</v>
      </c>
      <c r="CW16" s="48" t="str">
        <f t="shared" si="15"/>
        <v/>
      </c>
      <c r="CX16" s="48" t="str">
        <f t="shared" si="15"/>
        <v/>
      </c>
      <c r="CY16" s="48" t="str">
        <f t="shared" si="15"/>
        <v>"4Color",</v>
      </c>
      <c r="CZ16" s="48" t="str">
        <f t="shared" si="15"/>
        <v/>
      </c>
      <c r="DA16" s="48" t="str">
        <f t="shared" si="119"/>
        <v/>
      </c>
      <c r="DB16" s="48" t="str">
        <f>IF(Q16&gt;2,CHAR(34)&amp;"words3"&amp;CHAR(34)&amp;",","")</f>
        <v/>
      </c>
      <c r="DD16" s="48" t="str">
        <f>IF(LEN(CHAR(34)&amp;"lets"&amp;LEN(SUBSTITUTE(SUBSTITUTE(IFERROR(TRIM(SUBSTITUTE(A16,MID(A16,FIND("[",A16),FIND("]",A16)-FIND("[",A16)+1),"")),A16)," ",""),"-",""))&amp;CHAR(34)&amp;",")=9,CHAR(34)&amp;"lets"&amp;LEN(SUBSTITUTE(SUBSTITUTE(IFERROR(TRIM(SUBSTITUTE(A16,MID(A16,FIND("[",A16),FIND("]",A16)-FIND("[",A16)+1),"")),A16)," ",""),"-",""))&amp;CHAR(34)&amp;",",CHAR(34)&amp;"lets0"&amp;LEN(SUBSTITUTE(SUBSTITUTE(IFERROR(TRIM(SUBSTITUTE(A16,MID(A16,FIND("[",A16),FIND("]",A16)-FIND("[",A16)+1),"")),A16)," ",""),"-",""))&amp;CHAR(34)&amp;",")</f>
        <v>"lets04",</v>
      </c>
      <c r="DE16" s="48" t="str">
        <f>CHAR(34)&amp;"start"&amp;IFERROR(LEFT(SUBSTITUTE(A16,"["&amp;MID(A16,FIND("[",A16)+1,FIND("]",A16)-FIND("[",A16)-1)&amp;"] ",""),1),LEFT(A16,1))&amp;CHAR(34)&amp;","</f>
        <v>"startP",</v>
      </c>
      <c r="DF16" s="48" t="str">
        <f t="shared" si="121"/>
        <v/>
      </c>
      <c r="DG16" s="48" t="str">
        <f t="shared" si="122"/>
        <v/>
      </c>
      <c r="DH16" s="48" t="str">
        <f t="shared" si="123"/>
        <v/>
      </c>
      <c r="DI16" s="48" t="str">
        <f t="shared" si="124"/>
        <v/>
      </c>
      <c r="DJ16" s="48" t="str">
        <f t="shared" si="125"/>
        <v/>
      </c>
      <c r="DK16" s="48" t="str">
        <f t="shared" si="126"/>
        <v/>
      </c>
      <c r="DL16" s="48" t="str">
        <f t="shared" si="127"/>
        <v/>
      </c>
      <c r="DM16" s="48" t="str" cm="1">
        <f t="array" ref="DM16">IF(CG16=3,CHAR(34) &amp; _xlfn.TEXTJOIN("", TRUE, RIGHT(HP16:HX16, 2)) &amp; CHAR(34) &amp; ",", "")</f>
        <v/>
      </c>
      <c r="DN16" s="48" t="str">
        <f t="shared" si="128"/>
        <v>"year18",</v>
      </c>
      <c r="DO16" s="48" t="str">
        <f t="shared" si="129"/>
        <v/>
      </c>
      <c r="DP16" s="6" t="str">
        <f t="shared" si="130"/>
        <v/>
      </c>
      <c r="DQ16" s="6" t="str">
        <f t="shared" si="131"/>
        <v/>
      </c>
      <c r="DR16" s="6" t="str">
        <f t="shared" si="132"/>
        <v/>
      </c>
      <c r="DS16" s="6" t="str">
        <f t="shared" si="133"/>
        <v/>
      </c>
      <c r="DT16" s="6" t="str">
        <f t="shared" si="134"/>
        <v/>
      </c>
      <c r="DU16" s="6" t="str">
        <f t="shared" si="135"/>
        <v/>
      </c>
      <c r="DW16" s="48" t="str">
        <f t="shared" si="37"/>
        <v/>
      </c>
      <c r="DX16" s="48" t="str">
        <f t="shared" si="37"/>
        <v/>
      </c>
      <c r="DY16" s="48" t="str">
        <f t="shared" si="37"/>
        <v>"3Bands",</v>
      </c>
      <c r="DZ16" s="48" t="str">
        <f t="shared" si="37"/>
        <v/>
      </c>
      <c r="EA16" s="48" t="str">
        <f t="shared" si="38"/>
        <v>"Diagon",</v>
      </c>
      <c r="EB16" s="48" t="str">
        <f t="shared" si="38"/>
        <v/>
      </c>
      <c r="EC16" s="48" t="str">
        <f t="shared" si="38"/>
        <v/>
      </c>
      <c r="ED16" s="48" t="str">
        <f t="shared" si="38"/>
        <v/>
      </c>
      <c r="EE16" s="48" t="str">
        <f t="shared" si="38"/>
        <v/>
      </c>
      <c r="EF16" s="48" t="str">
        <f t="shared" si="136"/>
        <v/>
      </c>
      <c r="EG16" s="48" t="str">
        <f t="shared" si="194"/>
        <v/>
      </c>
      <c r="EH16" s="48" t="str">
        <f t="shared" si="194"/>
        <v/>
      </c>
      <c r="EI16" s="48" t="str">
        <f t="shared" si="194"/>
        <v/>
      </c>
      <c r="EJ16" s="48" t="str">
        <f t="shared" si="194"/>
        <v/>
      </c>
      <c r="EK16" s="48" t="str">
        <f t="shared" si="194"/>
        <v/>
      </c>
      <c r="EL16" s="48" t="str">
        <f t="shared" si="194"/>
        <v/>
      </c>
      <c r="EM16" s="48" t="str">
        <f t="shared" si="194"/>
        <v/>
      </c>
      <c r="EN16" s="48" t="str">
        <f t="shared" si="194"/>
        <v>"Unequa",</v>
      </c>
      <c r="EO16" s="48" t="str">
        <f t="shared" si="194"/>
        <v>"Center",</v>
      </c>
      <c r="EP16" s="48" t="str">
        <f t="shared" si="194"/>
        <v/>
      </c>
      <c r="EQ16" s="48" t="str">
        <f t="shared" si="194"/>
        <v/>
      </c>
      <c r="ER16" s="48" t="str">
        <f t="shared" si="194"/>
        <v/>
      </c>
      <c r="ES16" s="48" t="str">
        <f t="shared" si="194"/>
        <v/>
      </c>
      <c r="ET16" s="48" t="str">
        <f t="shared" si="194"/>
        <v/>
      </c>
      <c r="EU16" s="48" t="str">
        <f t="shared" si="194"/>
        <v/>
      </c>
      <c r="EV16" s="48" t="str">
        <f t="shared" si="194"/>
        <v/>
      </c>
      <c r="EW16" s="48" t="str">
        <f t="shared" si="193"/>
        <v/>
      </c>
      <c r="EX16" s="48" t="str">
        <f t="shared" si="193"/>
        <v/>
      </c>
      <c r="EY16" s="48" t="str">
        <f t="shared" si="193"/>
        <v/>
      </c>
      <c r="EZ16" s="48" t="str">
        <f t="shared" si="193"/>
        <v/>
      </c>
      <c r="FA16" s="48" t="str">
        <f t="shared" si="137"/>
        <v>"sta",</v>
      </c>
      <c r="FB16" s="48" t="str">
        <f t="shared" si="138"/>
        <v/>
      </c>
      <c r="FD16" s="48" t="str">
        <f t="shared" si="139"/>
        <v/>
      </c>
      <c r="FE16" s="48" t="str">
        <f t="shared" si="140"/>
        <v>"NO_BLU",</v>
      </c>
      <c r="FF16" s="48" t="str">
        <f t="shared" si="141"/>
        <v/>
      </c>
      <c r="FG16" s="48" t="str">
        <f t="shared" si="142"/>
        <v/>
      </c>
      <c r="FH16" s="48" t="str">
        <f t="shared" si="143"/>
        <v/>
      </c>
      <c r="FI16" s="48" t="str">
        <f t="shared" si="144"/>
        <v>"NO_YEL",</v>
      </c>
      <c r="FJ16" s="48" t="str">
        <f t="shared" si="145"/>
        <v/>
      </c>
      <c r="FK16" s="48" t="str">
        <f t="shared" si="146"/>
        <v/>
      </c>
      <c r="FL16" s="48" t="str">
        <f t="shared" si="147"/>
        <v/>
      </c>
      <c r="FM16" s="48" t="str">
        <f t="shared" si="148"/>
        <v/>
      </c>
      <c r="FN16" s="48" t="str">
        <f t="shared" si="149"/>
        <v/>
      </c>
      <c r="FO16" s="48" t="str">
        <f t="shared" si="150"/>
        <v/>
      </c>
      <c r="FP16" s="48" t="str">
        <f t="shared" si="151"/>
        <v/>
      </c>
      <c r="FQ16" s="48" t="str">
        <f t="shared" si="152"/>
        <v/>
      </c>
      <c r="FR16" s="48" t="str">
        <f t="shared" si="153"/>
        <v/>
      </c>
      <c r="FS16" s="48" t="str">
        <f t="shared" si="154"/>
        <v/>
      </c>
      <c r="FT16" s="48" t="str">
        <f t="shared" si="155"/>
        <v>"myrEQ",</v>
      </c>
      <c r="FU16" s="48" t="str">
        <f t="shared" si="156"/>
        <v/>
      </c>
      <c r="FV16" s="48" t="str">
        <f t="shared" si="157"/>
        <v/>
      </c>
      <c r="FW16" s="48" t="str">
        <f t="shared" si="158"/>
        <v/>
      </c>
      <c r="FY16" s="48" t="str">
        <f t="shared" si="159"/>
        <v/>
      </c>
      <c r="FZ16" s="48" t="str">
        <f t="shared" si="160"/>
        <v/>
      </c>
      <c r="GA16" s="48" t="str">
        <f t="shared" si="161"/>
        <v/>
      </c>
      <c r="GB16" s="48" t="str">
        <f t="shared" si="162"/>
        <v/>
      </c>
      <c r="GE16" s="48" t="str">
        <f t="shared" si="163"/>
        <v/>
      </c>
      <c r="GF16" s="48" t="str">
        <f t="shared" si="192"/>
        <v/>
      </c>
      <c r="GG16" s="48" t="str">
        <f t="shared" si="164"/>
        <v/>
      </c>
      <c r="GH16" s="48" t="str">
        <f t="shared" si="165"/>
        <v/>
      </c>
      <c r="GI16" s="48" t="str">
        <f t="shared" si="166"/>
        <v/>
      </c>
      <c r="GJ16" s="48" t="str">
        <f t="shared" si="167"/>
        <v/>
      </c>
      <c r="GK16" s="48" t="str">
        <f t="shared" si="168"/>
        <v>"HasSta",</v>
      </c>
      <c r="GL16" s="48" t="str">
        <f t="shared" si="78"/>
        <v>"1Stars",</v>
      </c>
      <c r="GM16" s="48" t="str">
        <f t="shared" si="78"/>
        <v/>
      </c>
      <c r="GN16" s="48" t="str">
        <f t="shared" si="78"/>
        <v/>
      </c>
      <c r="GP16" s="48" t="str">
        <f t="shared" si="169"/>
        <v>"State"</v>
      </c>
      <c r="GS16" s="48" t="str">
        <f t="shared" si="170"/>
        <v>["4Color","lets04","startP","year18","3Bands","Diagon","Unequa","Center","sta","NO_BLU","NO_YEL","myrEQ","HasSta","1Stars"]</v>
      </c>
      <c r="GT16" s="48" t="str">
        <f t="shared" si="81"/>
        <v>"cl_BLA",</v>
      </c>
      <c r="GU16" s="48" t="str">
        <f t="shared" si="81"/>
        <v/>
      </c>
      <c r="GV16" s="48" t="str">
        <f t="shared" si="81"/>
        <v>"cl_GRE",</v>
      </c>
      <c r="GW16" s="48" t="str">
        <f t="shared" si="81"/>
        <v>"cl_RED",</v>
      </c>
      <c r="GX16" s="48" t="str">
        <f t="shared" si="81"/>
        <v/>
      </c>
      <c r="GY16" s="48" t="str">
        <f t="shared" si="81"/>
        <v/>
      </c>
      <c r="GZ16" s="48" t="str">
        <f t="shared" si="81"/>
        <v/>
      </c>
      <c r="HA16" s="48" t="str">
        <f t="shared" si="81"/>
        <v/>
      </c>
      <c r="HB16" s="48" t="str">
        <f t="shared" si="81"/>
        <v>"cl_WHI",</v>
      </c>
      <c r="HC16" s="48" t="str">
        <f t="shared" si="171"/>
        <v>["cl_BLA","cl_GRE","cl_RED","cl_WHI"]</v>
      </c>
      <c r="HE16" s="71"/>
      <c r="HF16" s="72" t="str">
        <f t="shared" si="172"/>
        <v>{couname:"[BRA] Pará",year:"1890 ",region:"rgn_South America",Colors:["cl_BLA","cl_GRE","cl_RED","cl_WHI"],Items:["4Color","lets04","startP","year18","3Bands","Diagon","Unequa","Center","sta","NO_BLU","NO_YEL","myrEQ","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links: "https://en.wikipedia.org/wiki/Flag_of_Pará"},</v>
      </c>
      <c r="HG16" s="73" t="str">
        <f t="shared" si="173"/>
        <v>{couname:"[BRA] Pará",year:"1890 ",region:"rgn_South America",Colors:["cl_BLA","cl_GRE","cl_RED","cl_WHI"],Items:["4Color","lets04","startP","year18","3Bands","Diagon","Unequa","Center","sta","NO_BLU","NO_YEL","myrEQ","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links: "https://en.wikipedia.org/wiki/Flag_of_Pará"},</v>
      </c>
      <c r="HH16" s="48" t="str">
        <f t="shared" si="174"/>
        <v>"\nThe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v>
      </c>
      <c r="HI16" s="48" t="str">
        <f t="shared" si="175"/>
        <v>"\nThe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v>
      </c>
      <c r="HJ16" s="48" t="str">
        <f t="shared" si="176"/>
        <v>"1890 "</v>
      </c>
      <c r="HL16" s="48" t="str">
        <f t="shared" si="177"/>
        <v>"https://en.wikipedia.org/wiki/Flag_of_Pará"</v>
      </c>
      <c r="HM16" s="72" t="str">
        <f t="shared" si="178"/>
        <v>{"couname":"[BRA] Pará","year":"1890 ","region":"rgn_South America","Colors":["cl_BLA","cl_GRE","cl_RED","cl_WHI"],"Items":["4Color","lets04","startP","year18","3Bands","Diagon","Unequa","Center","sta","NO_BLU","NO_YEL","myrEQ","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 "links": "https://en.wikipedia.org/wiki/Flag_of_Pará"},</v>
      </c>
      <c r="HN16" s="74" t="str">
        <f t="shared" si="179"/>
        <v>{"couname":"[BRA] Pará","year":"1890 ","region":"rgn_South America","Colors":["cl_BLA","cl_GRE","cl_RED","cl_WHI"],"Items":["4Color","lets04","startP","year18","3Bands","Diagon","Unequa","Center","sta","NO_BLU","NO_YEL","myrEQ","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 "links": "https://en.wikipedia.org/wiki/Flag_of_Pará"},</v>
      </c>
      <c r="HO16" s="75">
        <v>45644</v>
      </c>
      <c r="HP16" s="48" t="str" cm="1">
        <f t="array" ref="HP16">IF(_xlfn.TEXTJOIN(", ", TRUE, IF(ISNUMBER(SEARCH("BLA", BL16:BT16)), COLUMN(BL16:BT16) - COLUMN(BL16) + 1, ""))&lt;&gt;"","BLA","")</f>
        <v>BLA</v>
      </c>
      <c r="HQ16" s="48" t="str" cm="1">
        <f t="array" ref="HQ16">IF(_xlfn.TEXTJOIN(", ", TRUE, IF(ISNUMBER(SEARCH("BLU", BL16:BT16)), COLUMN(BL16:BT16) - COLUMN(BL16) + 1, ""))&lt;&gt;"","BLU","")</f>
        <v/>
      </c>
      <c r="HR16" s="48" t="str" cm="1">
        <f t="array" ref="HR16">IF(_xlfn.TEXTJOIN(", ", TRUE, IF(ISNUMBER(SEARCH("GRE", BL16:BT16)), COLUMN(BL16:BT16) - COLUMN(BL16) + 1, ""))&lt;&gt;"","GRE","")</f>
        <v>GRE</v>
      </c>
      <c r="HS16" s="48" t="str" cm="1">
        <f t="array" ref="HS16">IF(_xlfn.TEXTJOIN(", ", TRUE, IF(ISNUMBER(SEARCH("RED", BL16:BT16)), COLUMN(BL16:BT16) - COLUMN(BL16) + 1, ""))&lt;&gt;"","RED","")</f>
        <v>RED</v>
      </c>
      <c r="HT16" s="48" t="str" cm="1">
        <f t="array" ref="HT16">IF(_xlfn.TEXTJOIN(", ", TRUE, IF(ISNUMBER(SEARCH("YEL", BL16:BT16)), COLUMN(BL16:BT16) - COLUMN(BL16) + 1, ""))&lt;&gt;"","YEL","")</f>
        <v/>
      </c>
      <c r="HU16" s="48" t="str" cm="1">
        <f t="array" ref="HU16">IF(_xlfn.TEXTJOIN(", ", TRUE, IF(ISNUMBER(SEARCH("ORA", BL16:BT16)), COLUMN(BL16:BT16) - COLUMN(BL16) + 1, ""))&lt;&gt;"","ORA","")</f>
        <v/>
      </c>
      <c r="HV16" s="48" t="str" cm="1">
        <f t="array" ref="HV16">IF(_xlfn.TEXTJOIN(", ", TRUE, IF(ISNUMBER(SEARCH("BRO", BL16:BT16)), COLUMN(BL16:BT16) - COLUMN(BL16) + 1, ""))&lt;&gt;"","BRO","")</f>
        <v/>
      </c>
      <c r="HW16" s="48" t="str" cm="1">
        <f t="array" ref="HW16">IF(_xlfn.TEXTJOIN(", ", TRUE, IF(ISNUMBER(SEARCH("PUR", BL16:BT16)), COLUMN(BL16:BT16) - COLUMN(BL16) + 1, ""))&lt;&gt;"","PUR","")</f>
        <v/>
      </c>
      <c r="HX16" s="48" t="str" cm="1">
        <f t="array" ref="HX16">IF(_xlfn.TEXTJOIN(", ", TRUE, IF(ISNUMBER(SEARCH("WHI", BL16:BT16)), COLUMN(BL16:BT16) - COLUMN(BL16) + 1, ""))&lt;&gt;"","WHI","")</f>
        <v>WHI</v>
      </c>
      <c r="HY16" s="76"/>
      <c r="HZ16" s="76"/>
      <c r="IA16" s="6"/>
      <c r="IB16" s="6"/>
      <c r="IC16" s="77"/>
      <c r="ID16" s="77"/>
      <c r="IE16" s="77"/>
      <c r="IF16" s="77"/>
      <c r="IG16" s="77"/>
      <c r="IH16" s="77"/>
      <c r="II16" s="77"/>
      <c r="IJ16" s="77"/>
      <c r="IK16" s="77"/>
      <c r="IM16" s="45">
        <f t="shared" si="180"/>
        <v>-4</v>
      </c>
      <c r="IN16" s="78" t="str">
        <f t="shared" si="181"/>
        <v>http://mkweb.bcgsc.ca/color-summarizer/?url=https://upload.wikimedia.org/wikipedia/commons/thumb/4/44/Bandeira_do_par%C3%A1.png/640px-Bandeira_do_par%C3%A1.png&amp;precision=low&amp;num_clusters=4&amp;text=1</v>
      </c>
      <c r="IO16" s="48" t="str">
        <f t="shared" si="182"/>
        <v>"black"</v>
      </c>
      <c r="IP16" s="48" t="str">
        <f t="shared" si="183"/>
        <v/>
      </c>
      <c r="IQ16" s="48" t="str">
        <f t="shared" si="184"/>
        <v>"green"</v>
      </c>
      <c r="IR16" s="48" t="str">
        <f t="shared" si="185"/>
        <v>"red"</v>
      </c>
      <c r="IS16" s="48" t="str">
        <f t="shared" si="186"/>
        <v/>
      </c>
      <c r="IT16" s="48" t="str">
        <f t="shared" si="187"/>
        <v/>
      </c>
      <c r="IU16" s="48" t="str">
        <f t="shared" si="188"/>
        <v/>
      </c>
      <c r="IV16" s="48" t="str">
        <f t="shared" si="189"/>
        <v/>
      </c>
      <c r="IW16" s="48" t="str">
        <f t="shared" si="190"/>
        <v>"white"</v>
      </c>
      <c r="IX16" s="48" t="str">
        <f t="shared" si="191"/>
        <v>{"url":"http://mkweb.bcgsc.ca/color-summarizer/?url=https://upload.wikimedia.org/wikipedia/commons/thumb/4/44/Bandeira_do_par%C3%A1.png/640px-Bandeira_do_par%C3%A1.png&amp;precision=low&amp;num_clusters=4&amp;text=1","name":"[BRA] Pará"},</v>
      </c>
      <c r="IY16" s="48">
        <v>1503</v>
      </c>
    </row>
    <row r="17" spans="1:259" s="48" customFormat="1" ht="38.4" customHeight="1" thickBot="1" x14ac:dyDescent="0.35">
      <c r="A17" s="79" t="s">
        <v>470</v>
      </c>
      <c r="B17" s="40" t="e" vm="39">
        <v>#VALUE!</v>
      </c>
      <c r="C17" s="41">
        <v>2</v>
      </c>
      <c r="D17" s="42" t="s">
        <v>471</v>
      </c>
      <c r="E17" s="43" t="s">
        <v>472</v>
      </c>
      <c r="F17" s="44" t="s">
        <v>166</v>
      </c>
      <c r="G17" s="45">
        <f>COUNTIF($A$1:$A$8312,A17)</f>
        <v>1</v>
      </c>
      <c r="H17" s="46"/>
      <c r="I17" s="47" t="s">
        <v>473</v>
      </c>
      <c r="J17" s="48" t="str">
        <f>""</f>
        <v/>
      </c>
      <c r="K17" s="49"/>
      <c r="L17" s="50"/>
      <c r="M17" s="50"/>
      <c r="N17" s="51" t="s">
        <v>169</v>
      </c>
      <c r="O17" s="52" t="s">
        <v>474</v>
      </c>
      <c r="P17" s="53" t="s">
        <v>475</v>
      </c>
      <c r="Q17" s="54">
        <v>1</v>
      </c>
      <c r="R17" s="55" t="s">
        <v>169</v>
      </c>
      <c r="S17" s="56">
        <v>2</v>
      </c>
      <c r="T17" s="57" t="s">
        <v>172</v>
      </c>
      <c r="U17" s="58" t="s">
        <v>172</v>
      </c>
      <c r="V17" s="58" t="s">
        <v>172</v>
      </c>
      <c r="W17" s="58" t="s">
        <v>173</v>
      </c>
      <c r="X17" s="58" t="s">
        <v>172</v>
      </c>
      <c r="Y17" s="58" t="s">
        <v>172</v>
      </c>
      <c r="Z17" s="58" t="s">
        <v>172</v>
      </c>
      <c r="AA17" s="58" t="s">
        <v>172</v>
      </c>
      <c r="AB17" s="58" t="s">
        <v>173</v>
      </c>
      <c r="AC17" s="58" t="s">
        <v>172</v>
      </c>
      <c r="AD17" s="58" t="s">
        <v>172</v>
      </c>
      <c r="AE17" s="58" t="s">
        <v>172</v>
      </c>
      <c r="AF17" s="59" t="s">
        <v>172</v>
      </c>
      <c r="AG17" s="59" t="s">
        <v>172</v>
      </c>
      <c r="AH17" s="59" t="s">
        <v>172</v>
      </c>
      <c r="AI17" s="59" t="s">
        <v>172</v>
      </c>
      <c r="AJ17" s="59" t="s">
        <v>172</v>
      </c>
      <c r="AK17" s="59" t="s">
        <v>172</v>
      </c>
      <c r="AL17" s="59" t="s">
        <v>172</v>
      </c>
      <c r="AM17" s="59" t="s">
        <v>172</v>
      </c>
      <c r="AN17" s="59" t="s">
        <v>172</v>
      </c>
      <c r="AO17" s="59" t="s">
        <v>172</v>
      </c>
      <c r="AP17" s="59" t="s">
        <v>172</v>
      </c>
      <c r="AQ17" s="59" t="s">
        <v>172</v>
      </c>
      <c r="AR17" s="59" t="s">
        <v>172</v>
      </c>
      <c r="AS17" s="59" t="s">
        <v>172</v>
      </c>
      <c r="AT17" s="60">
        <v>0</v>
      </c>
      <c r="AU17" s="59" t="s">
        <v>383</v>
      </c>
      <c r="AV17" s="59" t="str">
        <f>IF(LEFT(A17,1)="[",LEFT(A17,5)&amp;AU17&amp;A17,"")</f>
        <v>[BRA]State[BRA] Paraiba</v>
      </c>
      <c r="AW17" s="59" t="str">
        <f>C17&amp;H17&amp;A17</f>
        <v>2[BRA] Paraiba</v>
      </c>
      <c r="AX17" s="61"/>
      <c r="AY17" s="61"/>
      <c r="AZ17" s="62" t="s">
        <v>159</v>
      </c>
      <c r="BA17" s="62" t="s">
        <v>174</v>
      </c>
      <c r="BB17" s="62"/>
      <c r="BC17" s="63"/>
      <c r="BD17" s="64" t="s">
        <v>159</v>
      </c>
      <c r="BE17" s="47"/>
      <c r="BF17" s="64" t="s">
        <v>174</v>
      </c>
      <c r="BG17" s="64"/>
      <c r="BH17" s="64" t="s">
        <v>174</v>
      </c>
      <c r="BI17" s="64"/>
      <c r="BJ17" s="64"/>
      <c r="BK17" s="47"/>
      <c r="BL17" s="64" t="s">
        <v>151</v>
      </c>
      <c r="BM17" s="64" t="s">
        <v>152</v>
      </c>
      <c r="BN17" s="64" t="s">
        <v>174</v>
      </c>
      <c r="BO17" s="64" t="s">
        <v>154</v>
      </c>
      <c r="BP17" s="64" t="s">
        <v>174</v>
      </c>
      <c r="BQ17" s="64" t="s">
        <v>174</v>
      </c>
      <c r="BR17" s="64" t="s">
        <v>174</v>
      </c>
      <c r="BS17" s="64" t="s">
        <v>174</v>
      </c>
      <c r="BT17" s="64" t="s">
        <v>159</v>
      </c>
      <c r="BU17" s="65" t="s">
        <v>172</v>
      </c>
      <c r="BV17" s="66"/>
      <c r="BW17" s="66">
        <v>0</v>
      </c>
      <c r="BX17" s="47"/>
      <c r="CB17" s="6"/>
      <c r="CC17" s="6"/>
      <c r="CD17" s="67">
        <v>0</v>
      </c>
      <c r="CE17" s="67">
        <v>0</v>
      </c>
      <c r="CF17" s="67" t="e">
        <v>#REF!</v>
      </c>
      <c r="CG17" s="68" cm="1">
        <f t="array" ref="CG17">SUMPRODUCT(--(LEN(TRIM(BL17:BT17))&gt;0))</f>
        <v>4</v>
      </c>
      <c r="CH17" s="59" t="str">
        <f t="shared" si="104"/>
        <v>n</v>
      </c>
      <c r="CI17" s="59" t="str">
        <f t="shared" si="105"/>
        <v>n</v>
      </c>
      <c r="CJ17" s="59" t="str">
        <f t="shared" si="106"/>
        <v>y</v>
      </c>
      <c r="CK17" s="59" t="str">
        <f t="shared" si="107"/>
        <v>n</v>
      </c>
      <c r="CL17" s="59" t="str">
        <f t="shared" si="108"/>
        <v>n</v>
      </c>
      <c r="CM17" s="59" t="str">
        <f t="shared" si="109"/>
        <v>y</v>
      </c>
      <c r="CN17" s="59" t="str">
        <f t="shared" si="110"/>
        <v>n</v>
      </c>
      <c r="CO17" s="59" t="str">
        <f t="shared" si="111"/>
        <v>n</v>
      </c>
      <c r="CP17" s="59" t="str">
        <f t="shared" si="112"/>
        <v>y</v>
      </c>
      <c r="CQ17" s="59" t="str">
        <f t="shared" si="113"/>
        <v>n</v>
      </c>
      <c r="CR17" s="59" t="str">
        <f t="shared" si="114"/>
        <v>n</v>
      </c>
      <c r="CS17" s="59" t="str">
        <f t="shared" si="115"/>
        <v>n</v>
      </c>
      <c r="CT17" s="69" t="str">
        <f t="shared" si="116"/>
        <v>"[BRA] Paraiba"</v>
      </c>
      <c r="CU17" s="70" t="str">
        <f t="shared" si="117"/>
        <v>"rgn_South America"</v>
      </c>
      <c r="CV17" s="48" t="str">
        <f t="shared" si="118"/>
        <v>"https://upload.wikimedia.org/wikipedia/commons/thumb/b/bb/Bandeira_da_Para%C3%ADba.svg/640px-Bandeira_da_Para%C3%ADba.svg.png"</v>
      </c>
      <c r="CW17" s="48" t="str">
        <f t="shared" si="15"/>
        <v/>
      </c>
      <c r="CX17" s="48" t="str">
        <f t="shared" si="15"/>
        <v/>
      </c>
      <c r="CY17" s="48" t="str">
        <f t="shared" si="15"/>
        <v>"4Color",</v>
      </c>
      <c r="CZ17" s="48" t="str">
        <f t="shared" si="15"/>
        <v/>
      </c>
      <c r="DA17" s="48" t="str">
        <f t="shared" si="119"/>
        <v/>
      </c>
      <c r="DB17" s="48" t="str">
        <f>IF(Q17&gt;2,CHAR(34)&amp;"words3"&amp;CHAR(34)&amp;",","")</f>
        <v/>
      </c>
      <c r="DD17" s="48" t="str">
        <f>IF(LEN(CHAR(34)&amp;"lets"&amp;LEN(SUBSTITUTE(SUBSTITUTE(IFERROR(TRIM(SUBSTITUTE(A17,MID(A17,FIND("[",A17),FIND("]",A17)-FIND("[",A17)+1),"")),A17)," ",""),"-",""))&amp;CHAR(34)&amp;",")=9,CHAR(34)&amp;"lets"&amp;LEN(SUBSTITUTE(SUBSTITUTE(IFERROR(TRIM(SUBSTITUTE(A17,MID(A17,FIND("[",A17),FIND("]",A17)-FIND("[",A17)+1),"")),A17)," ",""),"-",""))&amp;CHAR(34)&amp;",",CHAR(34)&amp;"lets0"&amp;LEN(SUBSTITUTE(SUBSTITUTE(IFERROR(TRIM(SUBSTITUTE(A17,MID(A17,FIND("[",A17),FIND("]",A17)-FIND("[",A17)+1),"")),A17)," ",""),"-",""))&amp;CHAR(34)&amp;",")</f>
        <v>"lets07",</v>
      </c>
      <c r="DE17" s="48" t="str">
        <f>CHAR(34)&amp;"start"&amp;IFERROR(LEFT(SUBSTITUTE(A17,"["&amp;MID(A17,FIND("[",A17)+1,FIND("]",A17)-FIND("[",A17)-1)&amp;"] ",""),1),LEFT(A17,1))&amp;CHAR(34)&amp;","</f>
        <v>"startP",</v>
      </c>
      <c r="DF17" s="48" t="str">
        <f t="shared" si="121"/>
        <v/>
      </c>
      <c r="DG17" s="48" t="str">
        <f t="shared" si="122"/>
        <v/>
      </c>
      <c r="DH17" s="48" t="str">
        <f t="shared" si="123"/>
        <v/>
      </c>
      <c r="DI17" s="48" t="str">
        <f t="shared" si="124"/>
        <v/>
      </c>
      <c r="DJ17" s="48" t="str">
        <f t="shared" si="125"/>
        <v/>
      </c>
      <c r="DK17" s="48" t="str">
        <f t="shared" si="126"/>
        <v/>
      </c>
      <c r="DL17" s="48" t="str">
        <f t="shared" si="127"/>
        <v/>
      </c>
      <c r="DM17" s="48" t="str" cm="1">
        <f t="array" ref="DM17">IF(CG17=3,CHAR(34) &amp; _xlfn.TEXTJOIN("", TRUE, RIGHT(HP17:HX17, 2)) &amp; CHAR(34) &amp; ",", "")</f>
        <v/>
      </c>
      <c r="DN17" s="48" t="str">
        <f t="shared" si="128"/>
        <v/>
      </c>
      <c r="DO17" s="48" t="str">
        <f t="shared" si="129"/>
        <v>"year19",</v>
      </c>
      <c r="DP17" s="6" t="str">
        <f t="shared" si="130"/>
        <v/>
      </c>
      <c r="DQ17" s="6" t="str">
        <f t="shared" si="131"/>
        <v/>
      </c>
      <c r="DR17" s="6" t="str">
        <f t="shared" si="132"/>
        <v/>
      </c>
      <c r="DS17" s="6" t="str">
        <f t="shared" si="133"/>
        <v>"allver",</v>
      </c>
      <c r="DT17" s="6" t="str">
        <f t="shared" si="134"/>
        <v/>
      </c>
      <c r="DU17" s="6" t="str">
        <f t="shared" si="135"/>
        <v/>
      </c>
      <c r="DW17" s="48" t="str">
        <f t="shared" si="37"/>
        <v/>
      </c>
      <c r="DX17" s="48" t="str">
        <f t="shared" si="37"/>
        <v>"2Bands",</v>
      </c>
      <c r="DY17" s="48" t="str">
        <f t="shared" si="37"/>
        <v/>
      </c>
      <c r="DZ17" s="48" t="str">
        <f t="shared" si="37"/>
        <v/>
      </c>
      <c r="EA17" s="48" t="str">
        <f t="shared" si="38"/>
        <v/>
      </c>
      <c r="EB17" s="48" t="str">
        <f t="shared" si="38"/>
        <v/>
      </c>
      <c r="EC17" s="48" t="str">
        <f t="shared" si="38"/>
        <v/>
      </c>
      <c r="ED17" s="48" t="str">
        <f t="shared" si="38"/>
        <v>"Vertic",</v>
      </c>
      <c r="EE17" s="48" t="str">
        <f t="shared" si="38"/>
        <v/>
      </c>
      <c r="EF17" s="48" t="str">
        <f t="shared" si="136"/>
        <v/>
      </c>
      <c r="EG17" s="48" t="str">
        <f t="shared" si="194"/>
        <v/>
      </c>
      <c r="EH17" s="48" t="str">
        <f t="shared" si="194"/>
        <v/>
      </c>
      <c r="EI17" s="48" t="str">
        <f t="shared" si="194"/>
        <v>"Texted",</v>
      </c>
      <c r="EJ17" s="48" t="str">
        <f t="shared" si="194"/>
        <v/>
      </c>
      <c r="EK17" s="48" t="str">
        <f t="shared" si="194"/>
        <v/>
      </c>
      <c r="EL17" s="48" t="str">
        <f t="shared" si="194"/>
        <v/>
      </c>
      <c r="EM17" s="48" t="str">
        <f t="shared" si="194"/>
        <v/>
      </c>
      <c r="EN17" s="48" t="str">
        <f t="shared" si="194"/>
        <v/>
      </c>
      <c r="EO17" s="48" t="str">
        <f t="shared" si="194"/>
        <v/>
      </c>
      <c r="EP17" s="48" t="str">
        <f t="shared" si="194"/>
        <v/>
      </c>
      <c r="EQ17" s="48" t="str">
        <f t="shared" si="194"/>
        <v/>
      </c>
      <c r="ER17" s="48" t="str">
        <f t="shared" si="194"/>
        <v/>
      </c>
      <c r="ES17" s="48" t="str">
        <f t="shared" si="194"/>
        <v/>
      </c>
      <c r="ET17" s="48" t="str">
        <f t="shared" si="194"/>
        <v/>
      </c>
      <c r="EU17" s="48" t="str">
        <f t="shared" si="194"/>
        <v/>
      </c>
      <c r="EV17" s="48" t="str">
        <f t="shared" si="194"/>
        <v/>
      </c>
      <c r="EW17" s="48" t="str">
        <f t="shared" si="193"/>
        <v/>
      </c>
      <c r="EX17" s="48" t="str">
        <f t="shared" si="193"/>
        <v/>
      </c>
      <c r="EY17" s="48" t="str">
        <f t="shared" si="193"/>
        <v/>
      </c>
      <c r="EZ17" s="48" t="str">
        <f t="shared" si="193"/>
        <v/>
      </c>
      <c r="FA17" s="48" t="str">
        <f t="shared" si="137"/>
        <v/>
      </c>
      <c r="FB17" s="48" t="str">
        <f t="shared" si="138"/>
        <v/>
      </c>
      <c r="FD17" s="48" t="str">
        <f t="shared" si="139"/>
        <v/>
      </c>
      <c r="FE17" s="48" t="str">
        <f t="shared" si="140"/>
        <v/>
      </c>
      <c r="FF17" s="48" t="str">
        <f t="shared" si="141"/>
        <v/>
      </c>
      <c r="FG17" s="48" t="str">
        <f t="shared" si="142"/>
        <v/>
      </c>
      <c r="FH17" s="48" t="str">
        <f t="shared" si="143"/>
        <v>"NO_GRE",</v>
      </c>
      <c r="FI17" s="48" t="str">
        <f t="shared" si="144"/>
        <v>"NO_YEL",</v>
      </c>
      <c r="FJ17" s="48" t="str">
        <f t="shared" si="145"/>
        <v/>
      </c>
      <c r="FK17" s="48" t="str">
        <f t="shared" si="146"/>
        <v/>
      </c>
      <c r="FL17" s="48" t="str">
        <f t="shared" si="147"/>
        <v/>
      </c>
      <c r="FM17" s="48" t="str">
        <f t="shared" si="148"/>
        <v/>
      </c>
      <c r="FN17" s="48" t="str">
        <f t="shared" si="149"/>
        <v/>
      </c>
      <c r="FO17" s="48" t="str">
        <f t="shared" si="150"/>
        <v/>
      </c>
      <c r="FP17" s="48" t="str">
        <f t="shared" si="151"/>
        <v/>
      </c>
      <c r="FQ17" s="48" t="str">
        <f t="shared" si="152"/>
        <v/>
      </c>
      <c r="FR17" s="48" t="str">
        <f t="shared" si="153"/>
        <v/>
      </c>
      <c r="FS17" s="48" t="str">
        <f t="shared" si="154"/>
        <v/>
      </c>
      <c r="FT17" s="48" t="str">
        <f t="shared" si="155"/>
        <v>"myrWHI",</v>
      </c>
      <c r="FU17" s="48" t="str">
        <f t="shared" si="156"/>
        <v/>
      </c>
      <c r="FV17" s="48" t="str">
        <f t="shared" si="157"/>
        <v/>
      </c>
      <c r="FW17" s="48" t="str">
        <f t="shared" si="158"/>
        <v/>
      </c>
      <c r="FY17" s="48" t="str">
        <f t="shared" si="159"/>
        <v/>
      </c>
      <c r="FZ17" s="48" t="str">
        <f t="shared" si="160"/>
        <v/>
      </c>
      <c r="GA17" s="48" t="str">
        <f t="shared" si="161"/>
        <v/>
      </c>
      <c r="GB17" s="48" t="str">
        <f t="shared" si="162"/>
        <v/>
      </c>
      <c r="GE17" s="48" t="str">
        <f t="shared" si="163"/>
        <v/>
      </c>
      <c r="GF17" s="48" t="str">
        <f t="shared" si="192"/>
        <v/>
      </c>
      <c r="GG17" s="48" t="str">
        <f t="shared" si="164"/>
        <v/>
      </c>
      <c r="GH17" s="48" t="str">
        <f t="shared" si="165"/>
        <v/>
      </c>
      <c r="GI17" s="48" t="str">
        <f t="shared" si="166"/>
        <v/>
      </c>
      <c r="GJ17" s="48" t="str">
        <f t="shared" si="167"/>
        <v>"NoStar",</v>
      </c>
      <c r="GK17" s="48" t="str">
        <f t="shared" si="168"/>
        <v/>
      </c>
      <c r="GL17" s="48" t="str">
        <f t="shared" si="78"/>
        <v/>
      </c>
      <c r="GM17" s="48" t="str">
        <f t="shared" si="78"/>
        <v/>
      </c>
      <c r="GN17" s="48" t="str">
        <f t="shared" si="78"/>
        <v/>
      </c>
      <c r="GP17" s="48" t="str">
        <f t="shared" si="169"/>
        <v>"State"</v>
      </c>
      <c r="GS17" s="48" t="str">
        <f t="shared" si="170"/>
        <v>["4Color","lets07","startP","year19","allver","2Bands","Vertic","Texted","NO_GRE","NO_YEL","myrWHI","NoStar"]</v>
      </c>
      <c r="GT17" s="48" t="str">
        <f t="shared" si="81"/>
        <v>"cl_BLA",</v>
      </c>
      <c r="GU17" s="48" t="str">
        <f t="shared" si="81"/>
        <v>"cl_BLU",</v>
      </c>
      <c r="GV17" s="48" t="str">
        <f t="shared" si="81"/>
        <v/>
      </c>
      <c r="GW17" s="48" t="str">
        <f t="shared" si="81"/>
        <v>"cl_RED",</v>
      </c>
      <c r="GX17" s="48" t="str">
        <f t="shared" si="81"/>
        <v/>
      </c>
      <c r="GY17" s="48" t="str">
        <f t="shared" si="81"/>
        <v/>
      </c>
      <c r="GZ17" s="48" t="str">
        <f t="shared" si="81"/>
        <v/>
      </c>
      <c r="HA17" s="48" t="str">
        <f t="shared" si="81"/>
        <v/>
      </c>
      <c r="HB17" s="48" t="str">
        <f t="shared" si="81"/>
        <v>"cl_WHI",</v>
      </c>
      <c r="HC17" s="48" t="str">
        <f t="shared" si="171"/>
        <v>["cl_BLA","cl_BLU","cl_RED","cl_WHI"]</v>
      </c>
      <c r="HE17" s="71"/>
      <c r="HF17" s="72" t="str">
        <f t="shared" si="172"/>
        <v>{couname:"[BRA] Paraiba",year:"1965 ",region:"rgn_South America",Colors:["cl_BLA","cl_BLU","cl_RED","cl_WHI"],Items:["4Color","lets07","startP","year19","allver","2Bands","Vertic","Texted","NO_GRE","NO_YEL","myrWHI","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links: "https://en.wikipedia.org/wiki/Paraíba"},</v>
      </c>
      <c r="HG17" s="73" t="str">
        <f t="shared" si="173"/>
        <v>{couname:"[BRA] Paraiba",year:"1965 ",region:"rgn_South America",Colors:["cl_BLA","cl_BLU","cl_RED","cl_WHI"],Items:["4Color","lets07","startP","year19","allver","2Bands","Vertic","Texted","NO_GRE","NO_YEL","myrWHI","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links: "https://en.wikipedia.org/wiki/Paraíba"},</v>
      </c>
      <c r="HH17" s="48" t="str">
        <f t="shared" si="174"/>
        <v>"\nThe word nego on the state flag is Portuguese for I deny or I refuse, referring to the events that led to the Brazilian Revolution of 1930. The red color stands for the blood of João Pessoa after his assassination, while the black color represents mourning."</v>
      </c>
      <c r="HI17" s="48" t="str">
        <f t="shared" si="175"/>
        <v>"\nThe word nego on the state flag is Portuguese for I deny or I refuse, referring to the events that led to the Brazilian Revolution of 1930. The red color stands for the blood of João Pessoa after his assassination, while the black color represents mourning."</v>
      </c>
      <c r="HJ17" s="48" t="str">
        <f t="shared" si="176"/>
        <v>"1965 "</v>
      </c>
      <c r="HL17" s="48" t="str">
        <f t="shared" si="177"/>
        <v>"https://en.wikipedia.org/wiki/Paraíba"</v>
      </c>
      <c r="HM17" s="72" t="str">
        <f t="shared" si="178"/>
        <v>{"couname":"[BRA] Paraiba","year":"1965 ","region":"rgn_South America","Colors":["cl_BLA","cl_BLU","cl_RED","cl_WHI"],"Items":["4Color","lets07","startP","year19","allver","2Bands","Vertic","Texted","NO_GRE","NO_YEL","myrWHI","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 "links": "https://en.wikipedia.org/wiki/Paraíba"},</v>
      </c>
      <c r="HN17" s="74" t="str">
        <f t="shared" si="179"/>
        <v>{"couname":"[BRA] Paraiba","year":"1965 ","region":"rgn_South America","Colors":["cl_BLA","cl_BLU","cl_RED","cl_WHI"],"Items":["4Color","lets07","startP","year19","allver","2Bands","Vertic","Texted","NO_GRE","NO_YEL","myrWHI","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 "links": "https://en.wikipedia.org/wiki/Paraíba"},</v>
      </c>
      <c r="HO17" s="75">
        <v>45618</v>
      </c>
      <c r="HP17" s="48" t="str" cm="1">
        <f t="array" ref="HP17">IF(_xlfn.TEXTJOIN(", ", TRUE, IF(ISNUMBER(SEARCH("BLA", BL17:BT17)), COLUMN(BL17:BT17) - COLUMN(BL17) + 1, ""))&lt;&gt;"","BLA","")</f>
        <v>BLA</v>
      </c>
      <c r="HQ17" s="48" t="str" cm="1">
        <f t="array" ref="HQ17">IF(_xlfn.TEXTJOIN(", ", TRUE, IF(ISNUMBER(SEARCH("BLU", BL17:BT17)), COLUMN(BL17:BT17) - COLUMN(BL17) + 1, ""))&lt;&gt;"","BLU","")</f>
        <v>BLU</v>
      </c>
      <c r="HR17" s="48" t="str" cm="1">
        <f t="array" ref="HR17">IF(_xlfn.TEXTJOIN(", ", TRUE, IF(ISNUMBER(SEARCH("GRE", BL17:BT17)), COLUMN(BL17:BT17) - COLUMN(BL17) + 1, ""))&lt;&gt;"","GRE","")</f>
        <v/>
      </c>
      <c r="HS17" s="48" t="str" cm="1">
        <f t="array" ref="HS17">IF(_xlfn.TEXTJOIN(", ", TRUE, IF(ISNUMBER(SEARCH("RED", BL17:BT17)), COLUMN(BL17:BT17) - COLUMN(BL17) + 1, ""))&lt;&gt;"","RED","")</f>
        <v>RED</v>
      </c>
      <c r="HT17" s="48" t="str" cm="1">
        <f t="array" ref="HT17">IF(_xlfn.TEXTJOIN(", ", TRUE, IF(ISNUMBER(SEARCH("YEL", BL17:BT17)), COLUMN(BL17:BT17) - COLUMN(BL17) + 1, ""))&lt;&gt;"","YEL","")</f>
        <v/>
      </c>
      <c r="HU17" s="48" t="str" cm="1">
        <f t="array" ref="HU17">IF(_xlfn.TEXTJOIN(", ", TRUE, IF(ISNUMBER(SEARCH("ORA", BL17:BT17)), COLUMN(BL17:BT17) - COLUMN(BL17) + 1, ""))&lt;&gt;"","ORA","")</f>
        <v/>
      </c>
      <c r="HV17" s="48" t="str" cm="1">
        <f t="array" ref="HV17">IF(_xlfn.TEXTJOIN(", ", TRUE, IF(ISNUMBER(SEARCH("BRO", BL17:BT17)), COLUMN(BL17:BT17) - COLUMN(BL17) + 1, ""))&lt;&gt;"","BRO","")</f>
        <v/>
      </c>
      <c r="HW17" s="48" t="str" cm="1">
        <f t="array" ref="HW17">IF(_xlfn.TEXTJOIN(", ", TRUE, IF(ISNUMBER(SEARCH("PUR", BL17:BT17)), COLUMN(BL17:BT17) - COLUMN(BL17) + 1, ""))&lt;&gt;"","PUR","")</f>
        <v/>
      </c>
      <c r="HX17" s="48" t="str" cm="1">
        <f t="array" ref="HX17">IF(_xlfn.TEXTJOIN(", ", TRUE, IF(ISNUMBER(SEARCH("WHI", BL17:BT17)), COLUMN(BL17:BT17) - COLUMN(BL17) + 1, ""))&lt;&gt;"","WHI","")</f>
        <v>WHI</v>
      </c>
      <c r="HY17" s="76"/>
      <c r="HZ17" s="76"/>
      <c r="IA17" s="6"/>
      <c r="IB17" s="6"/>
      <c r="IC17" s="77"/>
      <c r="ID17" s="77"/>
      <c r="IE17" s="77"/>
      <c r="IF17" s="77"/>
      <c r="IG17" s="77"/>
      <c r="IH17" s="77"/>
      <c r="II17" s="77"/>
      <c r="IJ17" s="77"/>
      <c r="IK17" s="77"/>
      <c r="IM17" s="45">
        <f t="shared" si="180"/>
        <v>-4</v>
      </c>
      <c r="IN17" s="78" t="str">
        <f t="shared" si="181"/>
        <v>http://mkweb.bcgsc.ca/color-summarizer/?url=https://upload.wikimedia.org/wikipedia/commons/thumb/b/bb/Bandeira_da_Para%C3%ADba.svg/640px-Bandeira_da_Para%C3%ADba.svg.png&amp;precision=low&amp;num_clusters=4&amp;text=1</v>
      </c>
      <c r="IO17" s="48" t="str">
        <f t="shared" si="182"/>
        <v>"black"</v>
      </c>
      <c r="IP17" s="48" t="str">
        <f t="shared" si="183"/>
        <v>"blue"</v>
      </c>
      <c r="IQ17" s="48" t="str">
        <f t="shared" si="184"/>
        <v/>
      </c>
      <c r="IR17" s="48" t="str">
        <f t="shared" si="185"/>
        <v>"red"</v>
      </c>
      <c r="IS17" s="48" t="str">
        <f t="shared" si="186"/>
        <v/>
      </c>
      <c r="IT17" s="48" t="str">
        <f t="shared" si="187"/>
        <v/>
      </c>
      <c r="IU17" s="48" t="str">
        <f t="shared" si="188"/>
        <v/>
      </c>
      <c r="IV17" s="48" t="str">
        <f t="shared" si="189"/>
        <v/>
      </c>
      <c r="IW17" s="48" t="str">
        <f t="shared" si="190"/>
        <v>"white"</v>
      </c>
      <c r="IX17" s="48" t="str">
        <f t="shared" si="191"/>
        <v>{"url":"http://mkweb.bcgsc.ca/color-summarizer/?url=https://upload.wikimedia.org/wikipedia/commons/thumb/b/bb/Bandeira_da_Para%C3%ADba.svg/640px-Bandeira_da_Para%C3%ADba.svg.png&amp;precision=low&amp;num_clusters=4&amp;text=1","name":"[BRA] Paraiba"},</v>
      </c>
      <c r="IY17" s="48">
        <v>1050</v>
      </c>
    </row>
    <row r="18" spans="1:259" s="48" customFormat="1" ht="38.4" customHeight="1" thickBot="1" x14ac:dyDescent="0.35">
      <c r="A18" s="79" t="s">
        <v>476</v>
      </c>
      <c r="B18" s="40" t="e" vm="40">
        <v>#VALUE!</v>
      </c>
      <c r="C18" s="41">
        <v>2</v>
      </c>
      <c r="D18" s="42" t="s">
        <v>477</v>
      </c>
      <c r="E18" s="43" t="s">
        <v>478</v>
      </c>
      <c r="F18" s="44" t="s">
        <v>166</v>
      </c>
      <c r="G18" s="45">
        <f>COUNTIF($A$1:$A$8312,A18)</f>
        <v>1</v>
      </c>
      <c r="H18" s="46"/>
      <c r="I18" s="47" t="s">
        <v>479</v>
      </c>
      <c r="J18" s="48" t="str">
        <f>""</f>
        <v/>
      </c>
      <c r="K18" s="49"/>
      <c r="L18" s="50"/>
      <c r="M18" s="50"/>
      <c r="N18" s="51" t="s">
        <v>169</v>
      </c>
      <c r="O18" s="52" t="s">
        <v>480</v>
      </c>
      <c r="P18" s="53" t="s">
        <v>481</v>
      </c>
      <c r="Q18" s="54">
        <v>1</v>
      </c>
      <c r="R18" s="55" t="s">
        <v>169</v>
      </c>
      <c r="S18" s="56">
        <v>3</v>
      </c>
      <c r="T18" s="57" t="s">
        <v>173</v>
      </c>
      <c r="U18" s="58" t="s">
        <v>172</v>
      </c>
      <c r="V18" s="58" t="s">
        <v>172</v>
      </c>
      <c r="W18" s="58" t="s">
        <v>172</v>
      </c>
      <c r="X18" s="58" t="s">
        <v>173</v>
      </c>
      <c r="Y18" s="58" t="s">
        <v>172</v>
      </c>
      <c r="Z18" s="58" t="s">
        <v>172</v>
      </c>
      <c r="AA18" s="58" t="s">
        <v>173</v>
      </c>
      <c r="AB18" s="58" t="s">
        <v>173</v>
      </c>
      <c r="AC18" s="58" t="s">
        <v>172</v>
      </c>
      <c r="AD18" s="58" t="s">
        <v>172</v>
      </c>
      <c r="AE18" s="58" t="s">
        <v>172</v>
      </c>
      <c r="AF18" s="59" t="s">
        <v>172</v>
      </c>
      <c r="AG18" s="59" t="s">
        <v>173</v>
      </c>
      <c r="AH18" s="59" t="s">
        <v>173</v>
      </c>
      <c r="AI18" s="59" t="s">
        <v>172</v>
      </c>
      <c r="AJ18" s="59" t="s">
        <v>172</v>
      </c>
      <c r="AK18" s="59" t="s">
        <v>172</v>
      </c>
      <c r="AL18" s="59" t="s">
        <v>172</v>
      </c>
      <c r="AM18" s="59" t="s">
        <v>172</v>
      </c>
      <c r="AN18" s="59" t="s">
        <v>172</v>
      </c>
      <c r="AO18" s="59" t="s">
        <v>172</v>
      </c>
      <c r="AP18" s="59" t="s">
        <v>172</v>
      </c>
      <c r="AQ18" s="59" t="s">
        <v>172</v>
      </c>
      <c r="AR18" s="59" t="s">
        <v>172</v>
      </c>
      <c r="AS18" s="59" t="s">
        <v>172</v>
      </c>
      <c r="AT18" s="60">
        <v>5</v>
      </c>
      <c r="AU18" s="59" t="s">
        <v>383</v>
      </c>
      <c r="AV18" s="59" t="str">
        <f>IF(LEFT(A18,1)="[",LEFT(A18,5)&amp;AU18&amp;A18,"")</f>
        <v>[BRA]State[BRA] Paraná</v>
      </c>
      <c r="AW18" s="59" t="str">
        <f>C18&amp;H18&amp;A18</f>
        <v>2[BRA] Paraná</v>
      </c>
      <c r="AX18" s="61"/>
      <c r="AY18" s="61"/>
      <c r="AZ18" s="62" t="s">
        <v>159</v>
      </c>
      <c r="BA18" s="62" t="s">
        <v>174</v>
      </c>
      <c r="BB18" s="62"/>
      <c r="BC18" s="63"/>
      <c r="BD18" s="64" t="s">
        <v>159</v>
      </c>
      <c r="BE18" s="47"/>
      <c r="BF18" s="64" t="s">
        <v>174</v>
      </c>
      <c r="BG18" s="64"/>
      <c r="BH18" s="64" t="s">
        <v>174</v>
      </c>
      <c r="BI18" s="64"/>
      <c r="BJ18" s="64"/>
      <c r="BK18" s="47"/>
      <c r="BL18" s="64" t="s">
        <v>174</v>
      </c>
      <c r="BM18" s="64" t="s">
        <v>152</v>
      </c>
      <c r="BN18" s="64" t="s">
        <v>174</v>
      </c>
      <c r="BO18" s="64" t="s">
        <v>154</v>
      </c>
      <c r="BP18" s="64" t="s">
        <v>174</v>
      </c>
      <c r="BQ18" s="64" t="s">
        <v>174</v>
      </c>
      <c r="BR18" s="64" t="s">
        <v>174</v>
      </c>
      <c r="BS18" s="64" t="s">
        <v>174</v>
      </c>
      <c r="BT18" s="64" t="s">
        <v>159</v>
      </c>
      <c r="BU18" s="65" t="s">
        <v>172</v>
      </c>
      <c r="BV18" s="66"/>
      <c r="BW18" s="66">
        <v>0</v>
      </c>
      <c r="BX18" s="47"/>
      <c r="CB18" s="6"/>
      <c r="CC18" s="6"/>
      <c r="CD18" s="67">
        <v>0</v>
      </c>
      <c r="CE18" s="67">
        <v>0</v>
      </c>
      <c r="CF18" s="67" t="e">
        <v>#REF!</v>
      </c>
      <c r="CG18" s="68" cm="1">
        <f t="array" ref="CG18">SUMPRODUCT(--(LEN(TRIM(BL18:BT18))&gt;0))</f>
        <v>3</v>
      </c>
      <c r="CH18" s="59" t="str">
        <f t="shared" si="104"/>
        <v>n</v>
      </c>
      <c r="CI18" s="59" t="str">
        <f t="shared" si="105"/>
        <v>y</v>
      </c>
      <c r="CJ18" s="59" t="str">
        <f t="shared" si="106"/>
        <v>n</v>
      </c>
      <c r="CK18" s="59" t="str">
        <f t="shared" si="107"/>
        <v>n</v>
      </c>
      <c r="CL18" s="59" t="str">
        <f t="shared" si="108"/>
        <v>n</v>
      </c>
      <c r="CM18" s="59" t="str">
        <f t="shared" si="109"/>
        <v>n</v>
      </c>
      <c r="CN18" s="59" t="str">
        <f t="shared" si="110"/>
        <v>y</v>
      </c>
      <c r="CO18" s="59" t="str">
        <f t="shared" si="111"/>
        <v>n</v>
      </c>
      <c r="CP18" s="59" t="str">
        <f t="shared" si="112"/>
        <v>n</v>
      </c>
      <c r="CQ18" s="59" t="str">
        <f t="shared" si="113"/>
        <v>n</v>
      </c>
      <c r="CR18" s="59" t="str">
        <f t="shared" si="114"/>
        <v>n</v>
      </c>
      <c r="CS18" s="59" t="str">
        <f t="shared" si="115"/>
        <v>y</v>
      </c>
      <c r="CT18" s="69" t="str">
        <f t="shared" si="116"/>
        <v>"[BRA] Paraná"</v>
      </c>
      <c r="CU18" s="70" t="str">
        <f t="shared" si="117"/>
        <v>"rgn_South America"</v>
      </c>
      <c r="CV18" s="48" t="str">
        <f t="shared" si="118"/>
        <v>"https://upload.wikimedia.org/wikipedia/commons/thumb/9/93/Bandeira_do_Paran%C3%A1.svg/640px-Bandeira_do_Paran%C3%A1.svg.png"</v>
      </c>
      <c r="CW18" s="48" t="str">
        <f t="shared" ref="CW18:CZ33" si="195">IF(CH18="y",CHAR(34)&amp;CH$1&amp;CHAR(34)&amp;",","")</f>
        <v/>
      </c>
      <c r="CX18" s="48" t="str">
        <f t="shared" si="195"/>
        <v>"3Color",</v>
      </c>
      <c r="CY18" s="48" t="str">
        <f t="shared" si="195"/>
        <v/>
      </c>
      <c r="CZ18" s="48" t="str">
        <f t="shared" si="195"/>
        <v/>
      </c>
      <c r="DA18" s="48" t="str">
        <f t="shared" si="119"/>
        <v/>
      </c>
      <c r="DB18" s="48" t="str">
        <f>IF(Q18&gt;2,CHAR(34)&amp;"words3"&amp;CHAR(34)&amp;",","")</f>
        <v/>
      </c>
      <c r="DD18" s="48" t="str">
        <f>IF(LEN(CHAR(34)&amp;"lets"&amp;LEN(SUBSTITUTE(SUBSTITUTE(IFERROR(TRIM(SUBSTITUTE(A18,MID(A18,FIND("[",A18),FIND("]",A18)-FIND("[",A18)+1),"")),A18)," ",""),"-",""))&amp;CHAR(34)&amp;",")=9,CHAR(34)&amp;"lets"&amp;LEN(SUBSTITUTE(SUBSTITUTE(IFERROR(TRIM(SUBSTITUTE(A18,MID(A18,FIND("[",A18),FIND("]",A18)-FIND("[",A18)+1),"")),A18)," ",""),"-",""))&amp;CHAR(34)&amp;",",CHAR(34)&amp;"lets0"&amp;LEN(SUBSTITUTE(SUBSTITUTE(IFERROR(TRIM(SUBSTITUTE(A18,MID(A18,FIND("[",A18),FIND("]",A18)-FIND("[",A18)+1),"")),A18)," ",""),"-",""))&amp;CHAR(34)&amp;",")</f>
        <v>"lets06",</v>
      </c>
      <c r="DE18" s="48" t="str">
        <f>CHAR(34)&amp;"start"&amp;IFERROR(LEFT(SUBSTITUTE(A18,"["&amp;MID(A18,FIND("[",A18)+1,FIND("]",A18)-FIND("[",A18)-1)&amp;"] ",""),1),LEFT(A18,1))&amp;CHAR(34)&amp;","</f>
        <v>"startP",</v>
      </c>
      <c r="DF18" s="48" t="str">
        <f t="shared" si="121"/>
        <v/>
      </c>
      <c r="DG18" s="48" t="str">
        <f t="shared" si="122"/>
        <v/>
      </c>
      <c r="DH18" s="48" t="str">
        <f t="shared" si="123"/>
        <v/>
      </c>
      <c r="DI18" s="48" t="str">
        <f t="shared" si="124"/>
        <v/>
      </c>
      <c r="DJ18" s="48" t="str">
        <f t="shared" si="125"/>
        <v/>
      </c>
      <c r="DK18" s="48" t="str">
        <f t="shared" si="126"/>
        <v/>
      </c>
      <c r="DL18" s="48" t="str">
        <f t="shared" si="127"/>
        <v/>
      </c>
      <c r="DM18" s="48" t="str" cm="1">
        <f t="array" ref="DM18">IF(CG18=3,CHAR(34) &amp; _xlfn.TEXTJOIN("", TRUE, RIGHT(HP18:HX18, 2)) &amp; CHAR(34) &amp; ",", "")</f>
        <v>"LUEDHI",</v>
      </c>
      <c r="DN18" s="48" t="str">
        <f t="shared" si="128"/>
        <v>"year18",</v>
      </c>
      <c r="DO18" s="48" t="str">
        <f t="shared" si="129"/>
        <v/>
      </c>
      <c r="DP18" s="6" t="str">
        <f t="shared" si="130"/>
        <v/>
      </c>
      <c r="DQ18" s="6" t="str">
        <f t="shared" si="131"/>
        <v/>
      </c>
      <c r="DR18" s="6" t="str">
        <f t="shared" si="132"/>
        <v/>
      </c>
      <c r="DS18" s="6" t="str">
        <f t="shared" si="133"/>
        <v/>
      </c>
      <c r="DT18" s="6" t="str">
        <f t="shared" si="134"/>
        <v/>
      </c>
      <c r="DU18" s="6" t="str">
        <f t="shared" si="135"/>
        <v/>
      </c>
      <c r="DW18" s="48" t="str">
        <f t="shared" ref="DW18:DZ33" si="196">IF(CL18="y",CHAR(34)&amp;CL$1&amp;CHAR(34)&amp;",","")</f>
        <v/>
      </c>
      <c r="DX18" s="48" t="str">
        <f t="shared" si="196"/>
        <v/>
      </c>
      <c r="DY18" s="48" t="str">
        <f t="shared" si="196"/>
        <v>"3Bands",</v>
      </c>
      <c r="DZ18" s="48" t="str">
        <f t="shared" si="196"/>
        <v/>
      </c>
      <c r="EA18" s="48" t="str">
        <f t="shared" ref="EA18:EE33" si="197">IF(T18="y",CHAR(34)&amp;T$1&amp;CHAR(34)&amp;",","")</f>
        <v>"Diagon",</v>
      </c>
      <c r="EB18" s="48" t="str">
        <f t="shared" si="197"/>
        <v/>
      </c>
      <c r="EC18" s="48" t="str">
        <f t="shared" si="197"/>
        <v/>
      </c>
      <c r="ED18" s="48" t="str">
        <f t="shared" si="197"/>
        <v/>
      </c>
      <c r="EE18" s="48" t="str">
        <f t="shared" si="197"/>
        <v>"Circle",</v>
      </c>
      <c r="EF18" s="48" t="str">
        <f t="shared" si="136"/>
        <v/>
      </c>
      <c r="EG18" s="48" t="str">
        <f t="shared" si="194"/>
        <v/>
      </c>
      <c r="EH18" s="48" t="str">
        <f t="shared" si="194"/>
        <v>"Plants",</v>
      </c>
      <c r="EI18" s="48" t="str">
        <f t="shared" si="194"/>
        <v>"Texted",</v>
      </c>
      <c r="EJ18" s="48" t="str">
        <f t="shared" si="194"/>
        <v/>
      </c>
      <c r="EK18" s="48" t="str">
        <f t="shared" si="194"/>
        <v/>
      </c>
      <c r="EL18" s="48" t="str">
        <f t="shared" si="194"/>
        <v/>
      </c>
      <c r="EM18" s="48" t="str">
        <f t="shared" si="194"/>
        <v/>
      </c>
      <c r="EN18" s="48" t="str">
        <f t="shared" si="194"/>
        <v>"Unequa",</v>
      </c>
      <c r="EO18" s="48" t="str">
        <f t="shared" si="194"/>
        <v>"Center",</v>
      </c>
      <c r="EP18" s="48" t="str">
        <f t="shared" si="194"/>
        <v/>
      </c>
      <c r="EQ18" s="48" t="str">
        <f t="shared" si="194"/>
        <v/>
      </c>
      <c r="ER18" s="48" t="str">
        <f t="shared" si="194"/>
        <v/>
      </c>
      <c r="ES18" s="48" t="str">
        <f t="shared" si="194"/>
        <v/>
      </c>
      <c r="ET18" s="48" t="str">
        <f t="shared" si="194"/>
        <v/>
      </c>
      <c r="EU18" s="48" t="str">
        <f t="shared" si="194"/>
        <v/>
      </c>
      <c r="EV18" s="48" t="str">
        <f t="shared" si="194"/>
        <v/>
      </c>
      <c r="EW18" s="48" t="str">
        <f t="shared" si="193"/>
        <v/>
      </c>
      <c r="EX18" s="48" t="str">
        <f t="shared" si="193"/>
        <v/>
      </c>
      <c r="EY18" s="48" t="str">
        <f t="shared" si="193"/>
        <v/>
      </c>
      <c r="EZ18" s="48" t="str">
        <f t="shared" si="193"/>
        <v/>
      </c>
      <c r="FA18" s="48" t="str">
        <f t="shared" si="137"/>
        <v>"staWHI",</v>
      </c>
      <c r="FB18" s="48" t="str">
        <f t="shared" si="138"/>
        <v/>
      </c>
      <c r="FD18" s="48" t="str">
        <f t="shared" si="139"/>
        <v/>
      </c>
      <c r="FE18" s="48" t="str">
        <f t="shared" si="140"/>
        <v/>
      </c>
      <c r="FF18" s="48" t="str">
        <f t="shared" si="141"/>
        <v/>
      </c>
      <c r="FG18" s="48" t="str">
        <f t="shared" si="142"/>
        <v/>
      </c>
      <c r="FH18" s="48" t="str">
        <f t="shared" si="143"/>
        <v>"NO_GRE",</v>
      </c>
      <c r="FI18" s="48" t="str">
        <f t="shared" si="144"/>
        <v>"NO_YEL",</v>
      </c>
      <c r="FJ18" s="48" t="str">
        <f t="shared" si="145"/>
        <v>"NO_BLA",</v>
      </c>
      <c r="FK18" s="48" t="str">
        <f t="shared" si="146"/>
        <v/>
      </c>
      <c r="FL18" s="48" t="str">
        <f t="shared" si="147"/>
        <v/>
      </c>
      <c r="FM18" s="48" t="str">
        <f t="shared" si="148"/>
        <v/>
      </c>
      <c r="FN18" s="48" t="str">
        <f t="shared" si="149"/>
        <v/>
      </c>
      <c r="FO18" s="48" t="str">
        <f t="shared" si="150"/>
        <v/>
      </c>
      <c r="FP18" s="48" t="str">
        <f t="shared" si="151"/>
        <v/>
      </c>
      <c r="FQ18" s="48" t="str">
        <f t="shared" si="152"/>
        <v/>
      </c>
      <c r="FR18" s="48" t="str">
        <f t="shared" si="153"/>
        <v/>
      </c>
      <c r="FS18" s="48" t="str">
        <f t="shared" si="154"/>
        <v/>
      </c>
      <c r="FT18" s="48" t="str">
        <f t="shared" si="155"/>
        <v>"myrWHI",</v>
      </c>
      <c r="FU18" s="48" t="str">
        <f t="shared" si="156"/>
        <v/>
      </c>
      <c r="FV18" s="48" t="str">
        <f t="shared" si="157"/>
        <v/>
      </c>
      <c r="FW18" s="48" t="str">
        <f t="shared" si="158"/>
        <v/>
      </c>
      <c r="FY18" s="48" t="str">
        <f t="shared" si="159"/>
        <v/>
      </c>
      <c r="FZ18" s="48" t="str">
        <f t="shared" si="160"/>
        <v/>
      </c>
      <c r="GA18" s="48" t="str">
        <f t="shared" si="161"/>
        <v/>
      </c>
      <c r="GB18" s="48" t="str">
        <f t="shared" si="162"/>
        <v/>
      </c>
      <c r="GE18" s="48" t="str">
        <f t="shared" si="163"/>
        <v/>
      </c>
      <c r="GF18" s="48" t="str">
        <f t="shared" si="192"/>
        <v/>
      </c>
      <c r="GG18" s="48" t="str">
        <f t="shared" si="164"/>
        <v/>
      </c>
      <c r="GH18" s="48" t="str">
        <f t="shared" si="165"/>
        <v/>
      </c>
      <c r="GI18" s="48" t="str">
        <f t="shared" si="166"/>
        <v/>
      </c>
      <c r="GJ18" s="48" t="str">
        <f t="shared" si="167"/>
        <v/>
      </c>
      <c r="GK18" s="48" t="str">
        <f t="shared" si="168"/>
        <v>"HasSta",</v>
      </c>
      <c r="GL18" s="48" t="str">
        <f t="shared" ref="GL18:GN33" si="198">IF(CQ18="y",CHAR(34)&amp;CQ$1&amp;CHAR(34)&amp;",","")</f>
        <v/>
      </c>
      <c r="GM18" s="48" t="str">
        <f t="shared" si="198"/>
        <v/>
      </c>
      <c r="GN18" s="48" t="str">
        <f t="shared" si="198"/>
        <v>"3+Star",</v>
      </c>
      <c r="GP18" s="48" t="str">
        <f t="shared" si="169"/>
        <v>"State"</v>
      </c>
      <c r="GS18" s="48" t="str">
        <f t="shared" si="170"/>
        <v>["3Color","lets06","startP","LUEDHI","year18","3Bands","Diagon","Circle","Plants","Texted","Unequa","Center","staWHI","NO_GRE","NO_YEL","NO_BLA","myrWHI","HasSta","3+Star"]</v>
      </c>
      <c r="GT18" s="48" t="str">
        <f t="shared" ref="GT18:HB33" si="199">IF(BL18&lt;&gt;"",CHAR(34)&amp;"cl_"&amp;BL18&amp;CHAR(34)&amp;",","")</f>
        <v/>
      </c>
      <c r="GU18" s="48" t="str">
        <f t="shared" si="199"/>
        <v>"cl_BLU",</v>
      </c>
      <c r="GV18" s="48" t="str">
        <f t="shared" si="199"/>
        <v/>
      </c>
      <c r="GW18" s="48" t="str">
        <f t="shared" si="199"/>
        <v>"cl_RED",</v>
      </c>
      <c r="GX18" s="48" t="str">
        <f t="shared" si="199"/>
        <v/>
      </c>
      <c r="GY18" s="48" t="str">
        <f t="shared" si="199"/>
        <v/>
      </c>
      <c r="GZ18" s="48" t="str">
        <f t="shared" si="199"/>
        <v/>
      </c>
      <c r="HA18" s="48" t="str">
        <f t="shared" si="199"/>
        <v/>
      </c>
      <c r="HB18" s="48" t="str">
        <f t="shared" si="199"/>
        <v>"cl_WHI",</v>
      </c>
      <c r="HC18" s="48" t="str">
        <f t="shared" si="171"/>
        <v>["cl_BLU","cl_RED","cl_WHI"]</v>
      </c>
      <c r="HE18" s="71"/>
      <c r="HF18" s="72" t="str">
        <f t="shared" si="172"/>
        <v>{couname:"[BRA] Paraná",year:"1892 ",region:"rgn_South America",Colors:["cl_BLU","cl_RED","cl_WHI"],Items:["3Color","lets06","startP","LUEDHI","year18","3Bands","Diagon","Circle","Plants","Texted","Unequa","Center","staWHI","NO_GRE","NO_YEL","NO_BLA","myrWHI","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links: "https://en.wikipedia.org/wiki/Flag_of_Paraná_(state)"},</v>
      </c>
      <c r="HG18" s="73" t="str">
        <f t="shared" si="173"/>
        <v>{couname:"[BRA] Paraná",year:"1892 ",region:"rgn_South America",Colors:["cl_BLU","cl_RED","cl_WHI"],Items:["3Color","lets06","startP","LUEDHI","year18","3Bands","Diagon","Circle","Plants","Texted","Unequa","Center","staWHI","NO_GRE","NO_YEL","NO_BLA","myrWHI","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links: "https://en.wikipedia.org/wiki/Flag_of_Paraná_(state)"},</v>
      </c>
      <c r="HH18" s="48" t="str">
        <f t="shared" si="174"/>
        <v>"\nIt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v>
      </c>
      <c r="HI18" s="48" t="str">
        <f t="shared" si="175"/>
        <v>"\nIt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v>
      </c>
      <c r="HJ18" s="48" t="str">
        <f t="shared" si="176"/>
        <v>"1892 "</v>
      </c>
      <c r="HL18" s="48" t="str">
        <f t="shared" si="177"/>
        <v>"https://en.wikipedia.org/wiki/Flag_of_Paraná_(state)"</v>
      </c>
      <c r="HM18" s="72" t="str">
        <f t="shared" si="178"/>
        <v>{"couname":"[BRA] Paraná","year":"1892 ","region":"rgn_South America","Colors":["cl_BLU","cl_RED","cl_WHI"],"Items":["3Color","lets06","startP","LUEDHI","year18","3Bands","Diagon","Circle","Plants","Texted","Unequa","Center","staWHI","NO_GRE","NO_YEL","NO_BLA","myrWHI","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 "links": "https://en.wikipedia.org/wiki/Flag_of_Paraná_(state)"},</v>
      </c>
      <c r="HN18" s="74" t="str">
        <f t="shared" si="179"/>
        <v>{"couname":"[BRA] Paraná","year":"1892 ","region":"rgn_South America","Colors":["cl_BLU","cl_RED","cl_WHI"],"Items":["3Color","lets06","startP","LUEDHI","year18","3Bands","Diagon","Circle","Plants","Texted","Unequa","Center","staWHI","NO_GRE","NO_YEL","NO_BLA","myrWHI","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 "links": "https://en.wikipedia.org/wiki/Flag_of_Paraná_(state)"},</v>
      </c>
      <c r="HO18" s="75">
        <v>45596</v>
      </c>
      <c r="HP18" s="48" t="str" cm="1">
        <f t="array" ref="HP18">IF(_xlfn.TEXTJOIN(", ", TRUE, IF(ISNUMBER(SEARCH("BLA", BL18:BT18)), COLUMN(BL18:BT18) - COLUMN(BL18) + 1, ""))&lt;&gt;"","BLA","")</f>
        <v/>
      </c>
      <c r="HQ18" s="48" t="str" cm="1">
        <f t="array" ref="HQ18">IF(_xlfn.TEXTJOIN(", ", TRUE, IF(ISNUMBER(SEARCH("BLU", BL18:BT18)), COLUMN(BL18:BT18) - COLUMN(BL18) + 1, ""))&lt;&gt;"","BLU","")</f>
        <v>BLU</v>
      </c>
      <c r="HR18" s="48" t="str" cm="1">
        <f t="array" ref="HR18">IF(_xlfn.TEXTJOIN(", ", TRUE, IF(ISNUMBER(SEARCH("GRE", BL18:BT18)), COLUMN(BL18:BT18) - COLUMN(BL18) + 1, ""))&lt;&gt;"","GRE","")</f>
        <v/>
      </c>
      <c r="HS18" s="48" t="str" cm="1">
        <f t="array" ref="HS18">IF(_xlfn.TEXTJOIN(", ", TRUE, IF(ISNUMBER(SEARCH("RED", BL18:BT18)), COLUMN(BL18:BT18) - COLUMN(BL18) + 1, ""))&lt;&gt;"","RED","")</f>
        <v>RED</v>
      </c>
      <c r="HT18" s="48" t="str" cm="1">
        <f t="array" ref="HT18">IF(_xlfn.TEXTJOIN(", ", TRUE, IF(ISNUMBER(SEARCH("YEL", BL18:BT18)), COLUMN(BL18:BT18) - COLUMN(BL18) + 1, ""))&lt;&gt;"","YEL","")</f>
        <v/>
      </c>
      <c r="HU18" s="48" t="str" cm="1">
        <f t="array" ref="HU18">IF(_xlfn.TEXTJOIN(", ", TRUE, IF(ISNUMBER(SEARCH("ORA", BL18:BT18)), COLUMN(BL18:BT18) - COLUMN(BL18) + 1, ""))&lt;&gt;"","ORA","")</f>
        <v/>
      </c>
      <c r="HV18" s="48" t="str" cm="1">
        <f t="array" ref="HV18">IF(_xlfn.TEXTJOIN(", ", TRUE, IF(ISNUMBER(SEARCH("BRO", BL18:BT18)), COLUMN(BL18:BT18) - COLUMN(BL18) + 1, ""))&lt;&gt;"","BRO","")</f>
        <v/>
      </c>
      <c r="HW18" s="48" t="str" cm="1">
        <f t="array" ref="HW18">IF(_xlfn.TEXTJOIN(", ", TRUE, IF(ISNUMBER(SEARCH("PUR", BL18:BT18)), COLUMN(BL18:BT18) - COLUMN(BL18) + 1, ""))&lt;&gt;"","PUR","")</f>
        <v/>
      </c>
      <c r="HX18" s="48" t="str" cm="1">
        <f t="array" ref="HX18">IF(_xlfn.TEXTJOIN(", ", TRUE, IF(ISNUMBER(SEARCH("WHI", BL18:BT18)), COLUMN(BL18:BT18) - COLUMN(BL18) + 1, ""))&lt;&gt;"","WHI","")</f>
        <v>WHI</v>
      </c>
      <c r="HY18" s="76"/>
      <c r="HZ18" s="76"/>
      <c r="IA18" s="6"/>
      <c r="IB18" s="6"/>
      <c r="IC18" s="77"/>
      <c r="ID18" s="77"/>
      <c r="IE18" s="77"/>
      <c r="IF18" s="77"/>
      <c r="IG18" s="77"/>
      <c r="IH18" s="77"/>
      <c r="II18" s="77"/>
      <c r="IJ18" s="77"/>
      <c r="IK18" s="77"/>
      <c r="IM18" s="45">
        <f t="shared" si="180"/>
        <v>-3</v>
      </c>
      <c r="IN18" s="78" t="str">
        <f t="shared" si="181"/>
        <v>http://mkweb.bcgsc.ca/color-summarizer/?url=https://upload.wikimedia.org/wikipedia/commons/thumb/9/93/Bandeira_do_Paran%C3%A1.svg/640px-Bandeira_do_Paran%C3%A1.svg.png&amp;precision=low&amp;num_clusters=3&amp;text=1</v>
      </c>
      <c r="IO18" s="48" t="str">
        <f t="shared" si="182"/>
        <v/>
      </c>
      <c r="IP18" s="48" t="str">
        <f t="shared" si="183"/>
        <v>"blue"</v>
      </c>
      <c r="IQ18" s="48" t="str">
        <f t="shared" si="184"/>
        <v/>
      </c>
      <c r="IR18" s="48" t="str">
        <f t="shared" si="185"/>
        <v>"red"</v>
      </c>
      <c r="IS18" s="48" t="str">
        <f t="shared" si="186"/>
        <v/>
      </c>
      <c r="IT18" s="48" t="str">
        <f t="shared" si="187"/>
        <v/>
      </c>
      <c r="IU18" s="48" t="str">
        <f t="shared" si="188"/>
        <v/>
      </c>
      <c r="IV18" s="48" t="str">
        <f t="shared" si="189"/>
        <v/>
      </c>
      <c r="IW18" s="48" t="str">
        <f t="shared" si="190"/>
        <v>"white"</v>
      </c>
      <c r="IX18" s="48" t="str">
        <f t="shared" si="191"/>
        <v>{"url":"http://mkweb.bcgsc.ca/color-summarizer/?url=https://upload.wikimedia.org/wikipedia/commons/thumb/9/93/Bandeira_do_Paran%C3%A1.svg/640px-Bandeira_do_Paran%C3%A1.svg.png&amp;precision=low&amp;num_clusters=3&amp;text=1","name":"[BRA] Paraná"},</v>
      </c>
      <c r="IY18" s="48">
        <v>1371</v>
      </c>
    </row>
    <row r="19" spans="1:259" s="48" customFormat="1" ht="38.4" customHeight="1" thickBot="1" x14ac:dyDescent="0.35">
      <c r="A19" s="79" t="s">
        <v>482</v>
      </c>
      <c r="B19" s="40" t="e" vm="41">
        <v>#VALUE!</v>
      </c>
      <c r="C19" s="41">
        <v>2</v>
      </c>
      <c r="D19" s="42" t="s">
        <v>483</v>
      </c>
      <c r="E19" s="43" t="s">
        <v>484</v>
      </c>
      <c r="F19" s="44" t="s">
        <v>166</v>
      </c>
      <c r="G19" s="45">
        <f>COUNTIF($A$1:$A$8312,A19)</f>
        <v>1</v>
      </c>
      <c r="H19" s="46"/>
      <c r="I19" s="47" t="s">
        <v>485</v>
      </c>
      <c r="J19" s="48" t="str">
        <f>""</f>
        <v/>
      </c>
      <c r="K19" s="49"/>
      <c r="L19" s="50"/>
      <c r="M19" s="50"/>
      <c r="N19" s="51" t="s">
        <v>169</v>
      </c>
      <c r="O19" s="52" t="s">
        <v>486</v>
      </c>
      <c r="P19" s="53" t="s">
        <v>487</v>
      </c>
      <c r="Q19" s="54">
        <v>1</v>
      </c>
      <c r="R19" s="55" t="s">
        <v>169</v>
      </c>
      <c r="S19" s="56">
        <v>2</v>
      </c>
      <c r="T19" s="57" t="s">
        <v>172</v>
      </c>
      <c r="U19" s="58" t="s">
        <v>173</v>
      </c>
      <c r="V19" s="58" t="s">
        <v>173</v>
      </c>
      <c r="W19" s="58" t="s">
        <v>172</v>
      </c>
      <c r="X19" s="58" t="s">
        <v>173</v>
      </c>
      <c r="Y19" s="58" t="s">
        <v>172</v>
      </c>
      <c r="Z19" s="58" t="s">
        <v>172</v>
      </c>
      <c r="AA19" s="58" t="s">
        <v>172</v>
      </c>
      <c r="AB19" s="58" t="s">
        <v>172</v>
      </c>
      <c r="AC19" s="58" t="s">
        <v>172</v>
      </c>
      <c r="AD19" s="58" t="s">
        <v>173</v>
      </c>
      <c r="AE19" s="58" t="s">
        <v>172</v>
      </c>
      <c r="AF19" s="59" t="s">
        <v>172</v>
      </c>
      <c r="AG19" s="59" t="s">
        <v>172</v>
      </c>
      <c r="AH19" s="59" t="s">
        <v>172</v>
      </c>
      <c r="AI19" s="59" t="s">
        <v>172</v>
      </c>
      <c r="AJ19" s="59" t="s">
        <v>172</v>
      </c>
      <c r="AK19" s="59" t="s">
        <v>172</v>
      </c>
      <c r="AL19" s="59" t="s">
        <v>172</v>
      </c>
      <c r="AM19" s="59" t="s">
        <v>172</v>
      </c>
      <c r="AN19" s="59" t="s">
        <v>172</v>
      </c>
      <c r="AO19" s="59" t="s">
        <v>172</v>
      </c>
      <c r="AP19" s="59" t="s">
        <v>172</v>
      </c>
      <c r="AQ19" s="59" t="s">
        <v>172</v>
      </c>
      <c r="AR19" s="59" t="s">
        <v>172</v>
      </c>
      <c r="AS19" s="59" t="s">
        <v>172</v>
      </c>
      <c r="AT19" s="60">
        <v>1</v>
      </c>
      <c r="AU19" s="59" t="s">
        <v>383</v>
      </c>
      <c r="AV19" s="59" t="str">
        <f>IF(LEFT(A19,1)="[",LEFT(A19,5)&amp;AU19&amp;A19,"")</f>
        <v>[BRA]State[BRA] Pernambuco</v>
      </c>
      <c r="AW19" s="59" t="str">
        <f>C19&amp;H19&amp;A19</f>
        <v>2[BRA] Pernambuco</v>
      </c>
      <c r="AX19" s="61" t="str">
        <f>_xlfn.TEXTJOIN(";",TRUE,AU19:AW19)</f>
        <v>State;[BRA]State[BRA] Pernambuco;2[BRA] Pernambuco</v>
      </c>
      <c r="AY19" s="61" t="s">
        <v>173</v>
      </c>
      <c r="AZ19" s="62"/>
      <c r="BA19" s="62"/>
      <c r="BB19" s="62"/>
      <c r="BC19" s="63"/>
      <c r="BD19" s="64" t="s">
        <v>152</v>
      </c>
      <c r="BE19" s="47"/>
      <c r="BF19" s="64"/>
      <c r="BG19" s="64"/>
      <c r="BH19" s="64"/>
      <c r="BI19" s="64"/>
      <c r="BJ19" s="64"/>
      <c r="BK19" s="47"/>
      <c r="BL19" s="64" t="s">
        <v>152</v>
      </c>
      <c r="BM19" s="64" t="s">
        <v>155</v>
      </c>
      <c r="BN19" s="64"/>
      <c r="BO19" s="64"/>
      <c r="BP19" s="64"/>
      <c r="BQ19" s="64"/>
      <c r="BR19" s="64"/>
      <c r="BS19" s="64"/>
      <c r="BT19" s="64"/>
      <c r="BU19" s="65"/>
      <c r="BV19" s="66" t="s">
        <v>278</v>
      </c>
      <c r="BW19" s="66">
        <v>0</v>
      </c>
      <c r="BX19" s="47"/>
      <c r="CB19" s="6" t="s">
        <v>488</v>
      </c>
      <c r="CC19" s="6"/>
      <c r="CD19" s="67">
        <v>0</v>
      </c>
      <c r="CE19" s="67">
        <v>0</v>
      </c>
      <c r="CF19" s="67" t="e">
        <v>#REF!</v>
      </c>
      <c r="CG19" s="68" cm="1">
        <f t="array" ref="CG19">SUMPRODUCT(--(LEN(TRIM(BL19:BT19))&gt;0))</f>
        <v>2</v>
      </c>
      <c r="CH19" s="59" t="str">
        <f t="shared" si="104"/>
        <v>y</v>
      </c>
      <c r="CI19" s="59" t="str">
        <f t="shared" si="105"/>
        <v>n</v>
      </c>
      <c r="CJ19" s="59" t="str">
        <f t="shared" si="106"/>
        <v>n</v>
      </c>
      <c r="CK19" s="59" t="str">
        <f t="shared" si="107"/>
        <v>n</v>
      </c>
      <c r="CL19" s="59" t="str">
        <f t="shared" si="108"/>
        <v>n</v>
      </c>
      <c r="CM19" s="59" t="str">
        <f t="shared" si="109"/>
        <v>y</v>
      </c>
      <c r="CN19" s="59" t="str">
        <f t="shared" si="110"/>
        <v>n</v>
      </c>
      <c r="CO19" s="59" t="str">
        <f t="shared" si="111"/>
        <v>n</v>
      </c>
      <c r="CP19" s="59" t="str">
        <f t="shared" si="112"/>
        <v>n</v>
      </c>
      <c r="CQ19" s="59" t="str">
        <f t="shared" si="113"/>
        <v>y</v>
      </c>
      <c r="CR19" s="59" t="str">
        <f t="shared" si="114"/>
        <v>n</v>
      </c>
      <c r="CS19" s="59" t="str">
        <f t="shared" si="115"/>
        <v>n</v>
      </c>
      <c r="CT19" s="69" t="str">
        <f t="shared" si="116"/>
        <v>"[BRA] Pernambuco"</v>
      </c>
      <c r="CU19" s="70" t="str">
        <f t="shared" si="117"/>
        <v>"rgn_South America"</v>
      </c>
      <c r="CV19" s="48" t="str">
        <f t="shared" si="118"/>
        <v>"https://upload.wikimedia.org/wikipedia/commons/thumb/5/59/Bandeira_de_Pernambuco.svg/640px-Bandeira_de_Pernambuco.svg.png"</v>
      </c>
      <c r="CW19" s="48" t="str">
        <f t="shared" si="195"/>
        <v>"2Color",</v>
      </c>
      <c r="CX19" s="48" t="str">
        <f t="shared" si="195"/>
        <v/>
      </c>
      <c r="CY19" s="48" t="str">
        <f t="shared" si="195"/>
        <v/>
      </c>
      <c r="CZ19" s="48" t="str">
        <f t="shared" si="195"/>
        <v/>
      </c>
      <c r="DA19" s="48" t="str">
        <f t="shared" si="119"/>
        <v/>
      </c>
      <c r="DB19" s="48" t="str">
        <f t="shared" ref="DB19:DB28" si="200">IF(Q19&gt;2,CHAR(34)&amp;"words3"&amp;CHAR(34)&amp;",","")</f>
        <v/>
      </c>
      <c r="DC19" s="48" t="str">
        <f t="shared" ref="DC19:DC26" si="201">IF(Q19=2,CHAR(34)&amp;"exact2"&amp;CHAR(34)&amp;",","")</f>
        <v/>
      </c>
      <c r="DD19" s="48" t="str">
        <f t="shared" ref="DD19:DD26" si="202">IF(LEN(CHAR(34)&amp;"lets"&amp;LEN(SUBSTITUTE(SUBSTITUTE(IFERROR(TRIM(SUBSTITUTE(SUBSTITUTE(SUBSTITUTE(IFERROR(TRIM(SUBSTITUTE(A19,MID(A19,FIND("(",A19),FIND(")",A19)-FIND("(",A19)+1),"")),A19),"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",""),"-",""))&amp;CHAR(34)&amp;",")=9,CHAR(34)&amp;"lets"&amp;LEN(SUBSTITUTE(SUBSTITUTE(IFERROR(TRIM(SUBSTITUTE(SUBSTITUTE(SUBSTITUTE(IFERROR(TRIM(SUBSTITUTE(A19,MID(A19,FIND("(",A19),FIND(")",A19)-FIND("(",A19)+1),"")),A19),"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",""),"-",""))&amp;CHAR(34)&amp;",",CHAR(34)&amp;"lets0"&amp;LEN(SUBSTITUTE(SUBSTITUTE(IFERROR(TRIM(SUBSTITUTE(SUBSTITUTE(SUBSTITUTE(IFERROR(TRIM(SUBSTITUTE(A19,MID(A19,FIND("(",A19),FIND(")",A19)-FIND("(",A19)+1),"")),A19),"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f>
        <v>"lets10",</v>
      </c>
      <c r="DE19" s="48" t="str">
        <f t="shared" ref="DE19:DE26" si="203">IFERROR(CHAR(34)&amp;"start"&amp;LEFT(TRIM(SUBSTITUTE(SUBSTITUTE(TRIM(SUBSTITUTE(SUBSTITUTE(A19, MID(A19, FIND("[", A19), FIND("]", A19) - FIND("[", A19) + 1), ""), "  ", " ")), MID(TRIM(SUBSTITUTE(SUBSTITUTE(A19, MID(A19, FIND("[", A19), FIND("]", A19) - FIND("[", A19) + 1), ""), "  ", " ")), FIND("[", TRIM(SUBSTITUTE(SUBSTITUTE(A19, MID(A19, FIND("[", A19), FIND("]", A19) - FIND("[", A19) + 1), ""), "  ", " "))), FIND("]", TRIM(SUBSTITUTE(SUBSTITUTE(A19, MID(A19, FIND("[", A19), FIND("]", A19) - FIND("[", A19) + 1), ""), "  ", " "))) - FIND("[", TRIM(SUBSTITUTE(SUBSTITUTE(A19, MID(A19, FIND("[", A19), FIND("]", A19) - FIND("[", A19) + 1), ""), "  ", " "))) + 1), ""), "  ", " ")),1)&amp;CHAR(34)&amp;",",CHAR(34)&amp;"start"&amp;IFERROR(LEFT(SUBSTITUTE(A19,"["&amp;MID(A19,FIND("[",A19)+1,FIND("]",A19)-FIND("[",A19)-1)&amp;"] ",""),1),LEFT(A19,1))&amp;CHAR(34)&amp;",")</f>
        <v>"startP",</v>
      </c>
      <c r="DF19" s="48" t="str">
        <f t="shared" si="121"/>
        <v/>
      </c>
      <c r="DG19" s="48" t="str">
        <f t="shared" si="122"/>
        <v/>
      </c>
      <c r="DH19" s="48" t="str">
        <f t="shared" si="123"/>
        <v/>
      </c>
      <c r="DI19" s="48" t="str">
        <f t="shared" si="124"/>
        <v/>
      </c>
      <c r="DJ19" s="48" t="str">
        <f t="shared" si="125"/>
        <v/>
      </c>
      <c r="DK19" s="48" t="str">
        <f t="shared" si="126"/>
        <v/>
      </c>
      <c r="DL19" s="48" t="str">
        <f t="shared" si="127"/>
        <v>"BLUYEL",</v>
      </c>
      <c r="DM19" s="48" t="str" cm="1">
        <f t="array" ref="DM19">IF(CG19=3,CHAR(34) &amp; _xlfn.TEXTJOIN("", TRUE, RIGHT(HP19:HX19, 2)) &amp; CHAR(34) &amp; ",", "")</f>
        <v/>
      </c>
      <c r="DN19" s="48" t="str">
        <f t="shared" si="128"/>
        <v/>
      </c>
      <c r="DO19" s="48" t="str">
        <f t="shared" si="129"/>
        <v>"year19",</v>
      </c>
      <c r="DP19" s="6" t="str">
        <f t="shared" si="130"/>
        <v/>
      </c>
      <c r="DQ19" s="6" t="str">
        <f t="shared" si="131"/>
        <v/>
      </c>
      <c r="DR19" s="6" t="str">
        <f t="shared" si="132"/>
        <v/>
      </c>
      <c r="DS19" s="6" t="str">
        <f t="shared" si="133"/>
        <v/>
      </c>
      <c r="DT19" s="6" t="str">
        <f t="shared" si="134"/>
        <v>"allhor",</v>
      </c>
      <c r="DU19" s="6" t="str">
        <f t="shared" si="135"/>
        <v/>
      </c>
      <c r="DV19" s="48" t="str">
        <f t="shared" ref="DV19:DV26" si="204">IF(IA19&lt;&gt;"",(IF(IA19="y",CHAR(34)&amp;"largec"&amp;CHAR(34)&amp;",",CHAR(34)&amp;"smallc"&amp;CHAR(34)&amp;",")),"")</f>
        <v/>
      </c>
      <c r="DW19" s="48" t="str">
        <f t="shared" si="196"/>
        <v/>
      </c>
      <c r="DX19" s="48" t="str">
        <f t="shared" si="196"/>
        <v>"2Bands",</v>
      </c>
      <c r="DY19" s="48" t="str">
        <f t="shared" si="196"/>
        <v/>
      </c>
      <c r="DZ19" s="48" t="str">
        <f t="shared" si="196"/>
        <v/>
      </c>
      <c r="EA19" s="48" t="str">
        <f t="shared" si="197"/>
        <v/>
      </c>
      <c r="EB19" s="48" t="str">
        <f t="shared" si="197"/>
        <v>"Crosse",</v>
      </c>
      <c r="EC19" s="48" t="str">
        <f t="shared" si="197"/>
        <v>"Horizo",</v>
      </c>
      <c r="ED19" s="48" t="str">
        <f t="shared" si="197"/>
        <v/>
      </c>
      <c r="EE19" s="48" t="str">
        <f t="shared" si="197"/>
        <v>"Circle",</v>
      </c>
      <c r="EF19" s="48" t="str">
        <f t="shared" si="136"/>
        <v/>
      </c>
      <c r="EG19" s="48" t="str">
        <f t="shared" si="194"/>
        <v/>
      </c>
      <c r="EH19" s="48" t="str">
        <f t="shared" si="194"/>
        <v/>
      </c>
      <c r="EI19" s="48" t="str">
        <f t="shared" si="194"/>
        <v/>
      </c>
      <c r="EJ19" s="48" t="str">
        <f t="shared" si="194"/>
        <v/>
      </c>
      <c r="EK19" s="48" t="str">
        <f t="shared" si="194"/>
        <v>"HasSun",</v>
      </c>
      <c r="EL19" s="48" t="str">
        <f t="shared" si="194"/>
        <v/>
      </c>
      <c r="EM19" s="48" t="str">
        <f t="shared" si="194"/>
        <v/>
      </c>
      <c r="EN19" s="48" t="str">
        <f t="shared" si="194"/>
        <v/>
      </c>
      <c r="EO19" s="48" t="str">
        <f t="shared" si="194"/>
        <v/>
      </c>
      <c r="EP19" s="48" t="str">
        <f t="shared" si="194"/>
        <v/>
      </c>
      <c r="EQ19" s="48" t="str">
        <f t="shared" si="194"/>
        <v/>
      </c>
      <c r="ER19" s="48" t="str">
        <f t="shared" si="194"/>
        <v/>
      </c>
      <c r="ES19" s="48" t="str">
        <f t="shared" si="194"/>
        <v/>
      </c>
      <c r="ET19" s="48" t="str">
        <f t="shared" si="194"/>
        <v/>
      </c>
      <c r="EU19" s="48" t="str">
        <f t="shared" si="194"/>
        <v/>
      </c>
      <c r="EV19" s="48" t="str">
        <f t="shared" si="194"/>
        <v/>
      </c>
      <c r="EW19" s="48" t="str">
        <f t="shared" si="193"/>
        <v/>
      </c>
      <c r="EX19" s="48" t="str">
        <f t="shared" si="193"/>
        <v/>
      </c>
      <c r="EY19" s="48" t="str">
        <f t="shared" si="193"/>
        <v/>
      </c>
      <c r="EZ19" s="48" t="str">
        <f t="shared" si="193"/>
        <v/>
      </c>
      <c r="FA19" s="48" t="str">
        <f t="shared" si="137"/>
        <v>"sta",</v>
      </c>
      <c r="FB19" s="48" t="str">
        <f t="shared" si="138"/>
        <v/>
      </c>
      <c r="FC19" s="48" t="str">
        <f t="shared" ref="FC19:FC26" si="205">IF(AND(AT19&gt;0,BB19&lt;&gt;""),CHAR(34)&amp;"sta"&amp;BB19&amp;CHAR(34)&amp;",","")</f>
        <v/>
      </c>
      <c r="FD19" s="48" t="str">
        <f t="shared" si="139"/>
        <v/>
      </c>
      <c r="FE19" s="48" t="str">
        <f t="shared" si="140"/>
        <v/>
      </c>
      <c r="FF19" s="48" t="str">
        <f t="shared" si="141"/>
        <v>"NO_WHI",</v>
      </c>
      <c r="FG19" s="48" t="str">
        <f t="shared" si="142"/>
        <v>"NO_RED",</v>
      </c>
      <c r="FH19" s="48" t="str">
        <f t="shared" si="143"/>
        <v>"NO_GRE",</v>
      </c>
      <c r="FI19" s="48" t="str">
        <f t="shared" si="144"/>
        <v/>
      </c>
      <c r="FJ19" s="48" t="str">
        <f t="shared" si="145"/>
        <v>"NO_BLA",</v>
      </c>
      <c r="FK19" s="48" t="str">
        <f t="shared" si="146"/>
        <v>"WHGRNO",</v>
      </c>
      <c r="FL19" s="48" t="str">
        <f t="shared" si="147"/>
        <v/>
      </c>
      <c r="FM19" s="48" t="str">
        <f t="shared" si="148"/>
        <v>"BAWHNO",</v>
      </c>
      <c r="FN19" s="48" t="str">
        <f t="shared" si="149"/>
        <v/>
      </c>
      <c r="FO19" s="48" t="str">
        <f t="shared" si="150"/>
        <v/>
      </c>
      <c r="FP19" s="48" t="str">
        <f t="shared" si="151"/>
        <v>"WHRENO",</v>
      </c>
      <c r="FQ19" s="48" t="str">
        <f t="shared" si="152"/>
        <v/>
      </c>
      <c r="FR19" s="48" t="str">
        <f t="shared" si="153"/>
        <v/>
      </c>
      <c r="FS19" s="48" t="str">
        <f t="shared" si="154"/>
        <v/>
      </c>
      <c r="FT19" s="48" t="str">
        <f t="shared" si="155"/>
        <v>"myrBLU",</v>
      </c>
      <c r="FU19" s="48" t="str">
        <f t="shared" si="156"/>
        <v>"island",</v>
      </c>
      <c r="FV19" s="48" t="str">
        <f t="shared" si="157"/>
        <v/>
      </c>
      <c r="FW19" s="48" t="str">
        <f t="shared" si="158"/>
        <v/>
      </c>
      <c r="FX19" s="48" t="str">
        <f t="shared" ref="FX19:FX26" si="206">SUBSTITUTE(IFERROR(SEARCH("[",A19),IFERROR(IF(AND(CA19&lt;&gt;"y",SEARCH("Europe",R19)&gt;0),CHAR(34)&amp;"noeuni"&amp;CHAR(34)&amp;",",""),"")),"1","")</f>
        <v/>
      </c>
      <c r="FY19" s="48" t="str">
        <f t="shared" si="159"/>
        <v/>
      </c>
      <c r="FZ19" s="48" t="str">
        <f t="shared" si="160"/>
        <v>"englis",</v>
      </c>
      <c r="GA19" s="48" t="str">
        <f t="shared" si="161"/>
        <v/>
      </c>
      <c r="GB19" s="48" t="str">
        <f t="shared" si="162"/>
        <v/>
      </c>
      <c r="GC19" s="48" t="str">
        <f t="shared" ref="GC19:GC26" si="207">IFERROR(IF(SEARCH("Portuguese",CB19)&gt;0,CHAR(34)&amp;"portug"&amp;CHAR(34)&amp;",",""),"")</f>
        <v/>
      </c>
      <c r="GD19" s="48" t="str">
        <f t="shared" ref="GD19:GD26" si="208">IFERROR(IF(SEARCH("German",CB19)&gt;0,CHAR(34)&amp;"german"&amp;CHAR(34)&amp;",",""),"")</f>
        <v/>
      </c>
      <c r="GE19" s="48" t="str">
        <f t="shared" si="163"/>
        <v/>
      </c>
      <c r="GF19" s="48" t="str">
        <f>IFERROR(IF(SEARCH("Histor",AU19)&gt;0,CHAR(34)&amp;"histor"&amp;CHAR(34)&amp;",",""),"")</f>
        <v/>
      </c>
      <c r="GG19" s="48" t="str">
        <f t="shared" si="164"/>
        <v/>
      </c>
      <c r="GH19" s="48" t="str">
        <f t="shared" si="165"/>
        <v/>
      </c>
      <c r="GI19" s="48" t="str">
        <f t="shared" si="166"/>
        <v/>
      </c>
      <c r="GJ19" s="48" t="str">
        <f t="shared" si="167"/>
        <v/>
      </c>
      <c r="GK19" s="48" t="str">
        <f t="shared" si="168"/>
        <v>"HasSta",</v>
      </c>
      <c r="GL19" s="48" t="str">
        <f t="shared" si="198"/>
        <v>"1Stars",</v>
      </c>
      <c r="GM19" s="48" t="str">
        <f t="shared" si="198"/>
        <v/>
      </c>
      <c r="GN19" s="48" t="str">
        <f t="shared" si="198"/>
        <v/>
      </c>
      <c r="GP19" s="48" t="str">
        <f t="shared" si="169"/>
        <v>"State"</v>
      </c>
      <c r="GS19" s="48" t="str">
        <f t="shared" si="170"/>
        <v>["2Color","lets10","startP","BLUYEL","year19","allhor","2Bands","Crosse","Horizo","Circle","HasSun","sta","NO_WHI","NO_RED","NO_GRE","NO_BLA","WHGRNO","BAWHNO","WHRENO","myrBLU","island","englis","HasSta","1Stars"]</v>
      </c>
      <c r="GT19" s="48" t="str">
        <f t="shared" si="199"/>
        <v>"cl_BLU",</v>
      </c>
      <c r="GU19" s="48" t="str">
        <f t="shared" si="199"/>
        <v>"cl_YEL",</v>
      </c>
      <c r="GV19" s="48" t="str">
        <f t="shared" si="199"/>
        <v/>
      </c>
      <c r="GW19" s="48" t="str">
        <f t="shared" si="199"/>
        <v/>
      </c>
      <c r="GX19" s="48" t="str">
        <f t="shared" si="199"/>
        <v/>
      </c>
      <c r="GY19" s="48" t="str">
        <f t="shared" si="199"/>
        <v/>
      </c>
      <c r="GZ19" s="48" t="str">
        <f t="shared" si="199"/>
        <v/>
      </c>
      <c r="HA19" s="48" t="str">
        <f t="shared" si="199"/>
        <v/>
      </c>
      <c r="HB19" s="48" t="str">
        <f t="shared" si="199"/>
        <v/>
      </c>
      <c r="HC19" s="48" t="str">
        <f t="shared" si="171"/>
        <v>["cl_BLU","cl_YEL"]</v>
      </c>
      <c r="HE19" s="71"/>
      <c r="HF19" s="72" t="str">
        <f t="shared" si="172"/>
        <v>{couname:"[BRA] Pernambuco",year:"1917 ",region:"rgn_South America",Colors:["cl_BLU","cl_YEL"],Items:["2Color","lets10","startP","BLUYEL","year19","allhor","2Bands","Crosse","Horizo","Circle","HasSun","sta","NO_WHI","NO_RED","NO_GRE","NO_BLA","WHGRNO","BAWHNO","WHRENO","myrBLU","island","englis","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links: "https://en.wikipedia.org/wiki/Flag_of_Pernambuco"},</v>
      </c>
      <c r="HG19" s="73" t="str">
        <f t="shared" si="173"/>
        <v>{couname:"[BRA] Pernambuco",year:"1917 ",region:"rgn_South America",Colors:["cl_BLU","cl_YEL"],Items:["2Color","lets10","startP","BLUYEL","year19","allhor","2Bands","Crosse","Horizo","Circle","HasSun","sta","NO_WHI","NO_RED","NO_GRE","NO_BLA","WHGRNO","BAWHNO","WHRENO","myrBLU","island","englis","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links: "https://en.wikipedia.org/wiki/Flag_of_Pernambuco"},</v>
      </c>
      <c r="HH19" s="48" t="str">
        <f t="shared" si="174"/>
        <v>"\nThe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v>
      </c>
      <c r="HI19" s="48" t="str">
        <f t="shared" si="175"/>
        <v>"\nThe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v>
      </c>
      <c r="HJ19" s="48" t="str">
        <f t="shared" si="176"/>
        <v>"1917 "</v>
      </c>
      <c r="HL19" s="48" t="str">
        <f t="shared" si="177"/>
        <v>"https://en.wikipedia.org/wiki/Flag_of_Pernambuco"</v>
      </c>
      <c r="HM19" s="72" t="str">
        <f t="shared" si="178"/>
        <v>{"couname":"[BRA] Pernambuco","year":"1917 ","region":"rgn_South America","Colors":["cl_BLU","cl_YEL"],"Items":["2Color","lets10","startP","BLUYEL","year19","allhor","2Bands","Crosse","Horizo","Circle","HasSun","sta","NO_WHI","NO_RED","NO_GRE","NO_BLA","WHGRNO","BAWHNO","WHRENO","myrBLU","island","englis","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 "links": "https://en.wikipedia.org/wiki/Flag_of_Pernambuco"},</v>
      </c>
      <c r="HN19" s="74" t="str">
        <f t="shared" si="179"/>
        <v>{"couname":"[BRA] Pernambuco","year":"1917 ","region":"rgn_South America","Colors":["cl_BLU","cl_YEL"],"Items":["2Color","lets10","startP","BLUYEL","year19","allhor","2Bands","Crosse","Horizo","Circle","HasSun","sta","NO_WHI","NO_RED","NO_GRE","NO_BLA","WHGRNO","BAWHNO","WHRENO","myrBLU","island","englis","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 "links": "https://en.wikipedia.org/wiki/Flag_of_Pernambuco"},</v>
      </c>
      <c r="HO19" s="75"/>
      <c r="HP19" s="48" t="str" cm="1">
        <f t="array" ref="HP19">IF(_xlfn.TEXTJOIN(", ", TRUE, IF(ISNUMBER(SEARCH("BLA", BL19:BT19)), COLUMN(BL19:BT19) - COLUMN(BL19) + 1, ""))&lt;&gt;"","BLA","")</f>
        <v/>
      </c>
      <c r="HQ19" s="48" t="str" cm="1">
        <f t="array" ref="HQ19">IF(_xlfn.TEXTJOIN(", ", TRUE, IF(ISNUMBER(SEARCH("BLU", BL19:BT19)), COLUMN(BL19:BT19) - COLUMN(BL19) + 1, ""))&lt;&gt;"","BLU","")</f>
        <v>BLU</v>
      </c>
      <c r="HR19" s="48" t="str" cm="1">
        <f t="array" ref="HR19">IF(_xlfn.TEXTJOIN(", ", TRUE, IF(ISNUMBER(SEARCH("GRE", BL19:BT19)), COLUMN(BL19:BT19) - COLUMN(BL19) + 1, ""))&lt;&gt;"","GRE","")</f>
        <v/>
      </c>
      <c r="HS19" s="48" t="str" cm="1">
        <f t="array" ref="HS19">IF(_xlfn.TEXTJOIN(", ", TRUE, IF(ISNUMBER(SEARCH("RED", BL19:BT19)), COLUMN(BL19:BT19) - COLUMN(BL19) + 1, ""))&lt;&gt;"","RED","")</f>
        <v/>
      </c>
      <c r="HT19" s="48" t="str" cm="1">
        <f t="array" ref="HT19">IF(_xlfn.TEXTJOIN(", ", TRUE, IF(ISNUMBER(SEARCH("YEL", BL19:BT19)), COLUMN(BL19:BT19) - COLUMN(BL19) + 1, ""))&lt;&gt;"","YEL","")</f>
        <v>YEL</v>
      </c>
      <c r="HU19" s="48" t="str" cm="1">
        <f t="array" ref="HU19">IF(_xlfn.TEXTJOIN(", ", TRUE, IF(ISNUMBER(SEARCH("ORA", BL19:BT19)), COLUMN(BL19:BT19) - COLUMN(BL19) + 1, ""))&lt;&gt;"","ORA","")</f>
        <v/>
      </c>
      <c r="HV19" s="48" t="str" cm="1">
        <f t="array" ref="HV19">IF(_xlfn.TEXTJOIN(", ", TRUE, IF(ISNUMBER(SEARCH("BRO", BL19:BT19)), COLUMN(BL19:BT19) - COLUMN(BL19) + 1, ""))&lt;&gt;"","BRO","")</f>
        <v/>
      </c>
      <c r="HW19" s="48" t="str" cm="1">
        <f t="array" ref="HW19">IF(_xlfn.TEXTJOIN(", ", TRUE, IF(ISNUMBER(SEARCH("PUR", BL19:BT19)), COLUMN(BL19:BT19) - COLUMN(BL19) + 1, ""))&lt;&gt;"","PUR","")</f>
        <v/>
      </c>
      <c r="HX19" s="48" t="str" cm="1">
        <f t="array" ref="HX19">IF(_xlfn.TEXTJOIN(", ", TRUE, IF(ISNUMBER(SEARCH("WHI", BL19:BT19)), COLUMN(BL19:BT19) - COLUMN(BL19) + 1, ""))&lt;&gt;"","WHI","")</f>
        <v/>
      </c>
      <c r="HY19" s="76"/>
      <c r="HZ19" s="76"/>
      <c r="IA19" s="6"/>
      <c r="IB19" s="6"/>
      <c r="IC19" s="77"/>
      <c r="ID19" s="77"/>
      <c r="IE19" s="77"/>
      <c r="IF19" s="77"/>
      <c r="IG19" s="77"/>
      <c r="IH19" s="77"/>
      <c r="II19" s="77"/>
      <c r="IJ19" s="77"/>
      <c r="IK19" s="77"/>
      <c r="IL19" s="48">
        <f t="shared" ref="IL19:IL26" si="209">SUM(IC19:IK19)</f>
        <v>0</v>
      </c>
      <c r="IM19" s="45">
        <f t="shared" si="180"/>
        <v>-2</v>
      </c>
      <c r="IN19" s="78" t="str">
        <f t="shared" si="181"/>
        <v>http://mkweb.bcgsc.ca/color-summarizer/?url=https://upload.wikimedia.org/wikipedia/commons/thumb/5/59/Bandeira_de_Pernambuco.svg/640px-Bandeira_de_Pernambuco.svg.png&amp;precision=low&amp;num_clusters=2&amp;text=1</v>
      </c>
      <c r="IO19" s="48" t="str">
        <f t="shared" si="182"/>
        <v/>
      </c>
      <c r="IP19" s="48" t="str">
        <f t="shared" si="183"/>
        <v>"blue"</v>
      </c>
      <c r="IQ19" s="48" t="str">
        <f t="shared" si="184"/>
        <v/>
      </c>
      <c r="IR19" s="48" t="str">
        <f t="shared" si="185"/>
        <v/>
      </c>
      <c r="IS19" s="48" t="str">
        <f t="shared" si="186"/>
        <v>"yellow"</v>
      </c>
      <c r="IT19" s="48" t="str">
        <f t="shared" si="187"/>
        <v/>
      </c>
      <c r="IU19" s="48" t="str">
        <f t="shared" si="188"/>
        <v/>
      </c>
      <c r="IV19" s="48" t="str">
        <f t="shared" si="189"/>
        <v/>
      </c>
      <c r="IW19" s="48" t="str">
        <f t="shared" si="190"/>
        <v/>
      </c>
      <c r="IX19" s="48" t="str">
        <f t="shared" si="191"/>
        <v>{"url":"http://mkweb.bcgsc.ca/color-summarizer/?url=https://upload.wikimedia.org/wikipedia/commons/thumb/5/59/Bandeira_de_Pernambuco.svg/640px-Bandeira_de_Pernambuco.svg.png&amp;precision=low&amp;num_clusters=2&amp;text=1","name":"[BRA] Pernambuco"},</v>
      </c>
      <c r="IY19" s="48">
        <v>166</v>
      </c>
    </row>
    <row r="20" spans="1:259" s="48" customFormat="1" ht="38.4" customHeight="1" thickBot="1" x14ac:dyDescent="0.35">
      <c r="A20" s="79" t="s">
        <v>489</v>
      </c>
      <c r="B20" s="40" t="e" vm="42">
        <v>#VALUE!</v>
      </c>
      <c r="C20" s="41">
        <v>2</v>
      </c>
      <c r="D20" s="42" t="s">
        <v>490</v>
      </c>
      <c r="E20" s="43" t="s">
        <v>491</v>
      </c>
      <c r="F20" s="44" t="s">
        <v>166</v>
      </c>
      <c r="G20" s="45">
        <f>COUNTIF($A$1:$A$8312,A20)</f>
        <v>1</v>
      </c>
      <c r="H20" s="46"/>
      <c r="I20" s="47" t="s">
        <v>492</v>
      </c>
      <c r="J20" s="48" t="str">
        <f>""</f>
        <v/>
      </c>
      <c r="K20" s="49"/>
      <c r="L20" s="50"/>
      <c r="M20" s="50"/>
      <c r="N20" s="51" t="s">
        <v>169</v>
      </c>
      <c r="O20" s="52" t="s">
        <v>421</v>
      </c>
      <c r="P20" s="53" t="s">
        <v>493</v>
      </c>
      <c r="Q20" s="54">
        <v>1</v>
      </c>
      <c r="R20" s="55" t="s">
        <v>169</v>
      </c>
      <c r="S20" s="56">
        <v>13</v>
      </c>
      <c r="T20" s="57" t="s">
        <v>172</v>
      </c>
      <c r="U20" s="58" t="s">
        <v>172</v>
      </c>
      <c r="V20" s="58" t="s">
        <v>173</v>
      </c>
      <c r="W20" s="58" t="s">
        <v>172</v>
      </c>
      <c r="X20" s="58" t="s">
        <v>172</v>
      </c>
      <c r="Y20" s="58" t="s">
        <v>172</v>
      </c>
      <c r="Z20" s="58" t="s">
        <v>172</v>
      </c>
      <c r="AA20" s="58" t="s">
        <v>172</v>
      </c>
      <c r="AB20" s="58" t="s">
        <v>173</v>
      </c>
      <c r="AC20" s="58" t="s">
        <v>172</v>
      </c>
      <c r="AD20" s="58" t="s">
        <v>172</v>
      </c>
      <c r="AE20" s="58" t="s">
        <v>172</v>
      </c>
      <c r="AF20" s="59" t="s">
        <v>172</v>
      </c>
      <c r="AG20" s="59" t="s">
        <v>172</v>
      </c>
      <c r="AH20" s="59" t="s">
        <v>172</v>
      </c>
      <c r="AI20" s="59" t="s">
        <v>173</v>
      </c>
      <c r="AJ20" s="59" t="s">
        <v>172</v>
      </c>
      <c r="AK20" s="59" t="s">
        <v>172</v>
      </c>
      <c r="AL20" s="59" t="s">
        <v>172</v>
      </c>
      <c r="AM20" s="59" t="s">
        <v>172</v>
      </c>
      <c r="AN20" s="59" t="s">
        <v>172</v>
      </c>
      <c r="AO20" s="59" t="s">
        <v>172</v>
      </c>
      <c r="AP20" s="59" t="s">
        <v>172</v>
      </c>
      <c r="AQ20" s="59" t="s">
        <v>172</v>
      </c>
      <c r="AR20" s="59" t="s">
        <v>172</v>
      </c>
      <c r="AS20" s="59" t="s">
        <v>172</v>
      </c>
      <c r="AT20" s="60">
        <v>1</v>
      </c>
      <c r="AU20" s="59" t="s">
        <v>383</v>
      </c>
      <c r="AV20" s="59" t="str">
        <f>IF(LEFT(A20,1)="[",LEFT(A20,5)&amp;AU20&amp;A20,"")</f>
        <v>[BRA]State[BRA] Piauí</v>
      </c>
      <c r="AW20" s="59" t="str">
        <f>C20&amp;H20&amp;A20</f>
        <v>2[BRA] Piauí</v>
      </c>
      <c r="AX20" s="61"/>
      <c r="AY20" s="61"/>
      <c r="AZ20" s="62" t="s">
        <v>159</v>
      </c>
      <c r="BA20" s="62"/>
      <c r="BB20" s="62"/>
      <c r="BC20" s="63"/>
      <c r="BD20" s="64" t="s">
        <v>217</v>
      </c>
      <c r="BE20" s="47"/>
      <c r="BF20" s="64" t="s">
        <v>153</v>
      </c>
      <c r="BG20" s="64" t="s">
        <v>151</v>
      </c>
      <c r="BH20" s="64" t="s">
        <v>152</v>
      </c>
      <c r="BI20" s="64"/>
      <c r="BJ20" s="64"/>
      <c r="BK20" s="47"/>
      <c r="BL20" s="64" t="s">
        <v>151</v>
      </c>
      <c r="BM20" s="64" t="s">
        <v>152</v>
      </c>
      <c r="BN20" s="64" t="s">
        <v>153</v>
      </c>
      <c r="BO20" s="64" t="s">
        <v>174</v>
      </c>
      <c r="BP20" s="64" t="s">
        <v>174</v>
      </c>
      <c r="BQ20" s="64" t="s">
        <v>174</v>
      </c>
      <c r="BR20" s="64" t="s">
        <v>174</v>
      </c>
      <c r="BS20" s="64" t="s">
        <v>174</v>
      </c>
      <c r="BT20" s="64" t="s">
        <v>159</v>
      </c>
      <c r="BU20" s="65"/>
      <c r="BV20" s="66"/>
      <c r="BW20" s="66">
        <v>0</v>
      </c>
      <c r="BX20" s="47"/>
      <c r="CB20" s="6"/>
      <c r="CC20" s="6"/>
      <c r="CD20" s="67">
        <v>0</v>
      </c>
      <c r="CE20" s="67">
        <v>0</v>
      </c>
      <c r="CF20" s="67" t="e">
        <v>#REF!</v>
      </c>
      <c r="CG20" s="68" cm="1">
        <f t="array" ref="CG20">SUMPRODUCT(--(LEN(TRIM(BL20:BT20))&gt;0))</f>
        <v>4</v>
      </c>
      <c r="CH20" s="59" t="str">
        <f t="shared" si="104"/>
        <v>n</v>
      </c>
      <c r="CI20" s="59" t="str">
        <f t="shared" si="105"/>
        <v>n</v>
      </c>
      <c r="CJ20" s="59" t="str">
        <f t="shared" si="106"/>
        <v>y</v>
      </c>
      <c r="CK20" s="59" t="str">
        <f t="shared" si="107"/>
        <v>n</v>
      </c>
      <c r="CL20" s="59" t="str">
        <f t="shared" si="108"/>
        <v>n</v>
      </c>
      <c r="CM20" s="59" t="str">
        <f t="shared" si="109"/>
        <v>n</v>
      </c>
      <c r="CN20" s="59" t="str">
        <f t="shared" si="110"/>
        <v>n</v>
      </c>
      <c r="CO20" s="59" t="str">
        <f t="shared" si="111"/>
        <v>y</v>
      </c>
      <c r="CP20" s="59" t="str">
        <f t="shared" si="112"/>
        <v>n</v>
      </c>
      <c r="CQ20" s="59" t="str">
        <f t="shared" si="113"/>
        <v>y</v>
      </c>
      <c r="CR20" s="59" t="str">
        <f t="shared" si="114"/>
        <v>n</v>
      </c>
      <c r="CS20" s="59" t="str">
        <f t="shared" si="115"/>
        <v>n</v>
      </c>
      <c r="CT20" s="69" t="str">
        <f t="shared" si="116"/>
        <v>"[BRA] Piauí"</v>
      </c>
      <c r="CU20" s="70" t="str">
        <f t="shared" si="117"/>
        <v>"rgn_South America"</v>
      </c>
      <c r="CV20" s="48" t="str">
        <f t="shared" si="118"/>
        <v>"https://upload.wikimedia.org/wikipedia/commons/thumb/3/33/Bandeira_do_Piau%C3%AD.svg/640px-Bandeira_do_Piau%C3%AD.svg.png"</v>
      </c>
      <c r="CW20" s="48" t="str">
        <f t="shared" si="195"/>
        <v/>
      </c>
      <c r="CX20" s="48" t="str">
        <f t="shared" si="195"/>
        <v/>
      </c>
      <c r="CY20" s="48" t="str">
        <f t="shared" si="195"/>
        <v>"4Color",</v>
      </c>
      <c r="CZ20" s="48" t="str">
        <f t="shared" si="195"/>
        <v/>
      </c>
      <c r="DA20" s="48" t="str">
        <f t="shared" si="119"/>
        <v/>
      </c>
      <c r="DB20" s="48" t="str">
        <f t="shared" si="200"/>
        <v/>
      </c>
      <c r="DC20" s="48" t="str">
        <f t="shared" si="201"/>
        <v/>
      </c>
      <c r="DD20" s="48" t="str">
        <f t="shared" si="202"/>
        <v>"lets05",</v>
      </c>
      <c r="DE20" s="48" t="str">
        <f t="shared" si="203"/>
        <v>"startP",</v>
      </c>
      <c r="DF20" s="48" t="str">
        <f t="shared" si="121"/>
        <v/>
      </c>
      <c r="DG20" s="48" t="str">
        <f t="shared" si="122"/>
        <v/>
      </c>
      <c r="DH20" s="48" t="str">
        <f t="shared" si="123"/>
        <v/>
      </c>
      <c r="DI20" s="48" t="str">
        <f t="shared" si="124"/>
        <v/>
      </c>
      <c r="DJ20" s="48" t="str">
        <f t="shared" si="125"/>
        <v/>
      </c>
      <c r="DK20" s="48" t="str">
        <f t="shared" si="126"/>
        <v/>
      </c>
      <c r="DL20" s="48" t="str">
        <f t="shared" si="127"/>
        <v/>
      </c>
      <c r="DM20" s="48" t="str" cm="1">
        <f t="array" ref="DM20">IF(CG20=3,CHAR(34) &amp; _xlfn.TEXTJOIN("", TRUE, RIGHT(HP20:HX20, 2)) &amp; CHAR(34) &amp; ",", "")</f>
        <v/>
      </c>
      <c r="DN20" s="48" t="str">
        <f t="shared" si="128"/>
        <v/>
      </c>
      <c r="DO20" s="48" t="str">
        <f t="shared" si="129"/>
        <v>"year19",</v>
      </c>
      <c r="DP20" s="6" t="str">
        <f t="shared" si="130"/>
        <v/>
      </c>
      <c r="DQ20" s="6" t="str">
        <f t="shared" si="131"/>
        <v/>
      </c>
      <c r="DR20" s="6" t="str">
        <f t="shared" si="132"/>
        <v/>
      </c>
      <c r="DS20" s="6" t="str">
        <f t="shared" si="133"/>
        <v/>
      </c>
      <c r="DT20" s="6" t="str">
        <f t="shared" si="134"/>
        <v>"allhor",</v>
      </c>
      <c r="DU20" s="6" t="str">
        <f t="shared" si="135"/>
        <v/>
      </c>
      <c r="DV20" s="48" t="str">
        <f t="shared" si="204"/>
        <v/>
      </c>
      <c r="DW20" s="48" t="str">
        <f t="shared" si="196"/>
        <v/>
      </c>
      <c r="DX20" s="48" t="str">
        <f t="shared" si="196"/>
        <v/>
      </c>
      <c r="DY20" s="48" t="str">
        <f t="shared" si="196"/>
        <v/>
      </c>
      <c r="DZ20" s="48" t="str">
        <f t="shared" si="196"/>
        <v>"4+Band",</v>
      </c>
      <c r="EA20" s="48" t="str">
        <f t="shared" si="197"/>
        <v/>
      </c>
      <c r="EB20" s="48" t="str">
        <f t="shared" si="197"/>
        <v/>
      </c>
      <c r="EC20" s="48" t="str">
        <f t="shared" si="197"/>
        <v>"Horizo",</v>
      </c>
      <c r="ED20" s="48" t="str">
        <f t="shared" si="197"/>
        <v/>
      </c>
      <c r="EE20" s="48" t="str">
        <f t="shared" si="197"/>
        <v/>
      </c>
      <c r="EF20" s="48" t="str">
        <f t="shared" si="136"/>
        <v/>
      </c>
      <c r="EG20" s="48" t="str">
        <f t="shared" si="194"/>
        <v/>
      </c>
      <c r="EH20" s="48" t="str">
        <f t="shared" si="194"/>
        <v/>
      </c>
      <c r="EI20" s="48" t="str">
        <f t="shared" si="194"/>
        <v>"Texted",</v>
      </c>
      <c r="EJ20" s="48" t="str">
        <f t="shared" si="194"/>
        <v/>
      </c>
      <c r="EK20" s="48" t="str">
        <f t="shared" si="194"/>
        <v/>
      </c>
      <c r="EL20" s="48" t="str">
        <f t="shared" si="194"/>
        <v/>
      </c>
      <c r="EM20" s="48" t="str">
        <f t="shared" si="194"/>
        <v/>
      </c>
      <c r="EN20" s="48" t="str">
        <f t="shared" si="194"/>
        <v/>
      </c>
      <c r="EO20" s="48" t="str">
        <f t="shared" si="194"/>
        <v/>
      </c>
      <c r="EP20" s="48" t="str">
        <f t="shared" si="194"/>
        <v>"Canton",</v>
      </c>
      <c r="EQ20" s="48" t="str">
        <f t="shared" si="194"/>
        <v/>
      </c>
      <c r="ER20" s="48" t="str">
        <f t="shared" si="194"/>
        <v/>
      </c>
      <c r="ES20" s="48" t="str">
        <f t="shared" si="194"/>
        <v/>
      </c>
      <c r="ET20" s="48" t="str">
        <f t="shared" si="194"/>
        <v/>
      </c>
      <c r="EU20" s="48" t="str">
        <f t="shared" si="194"/>
        <v/>
      </c>
      <c r="EV20" s="48" t="str">
        <f t="shared" si="194"/>
        <v/>
      </c>
      <c r="EW20" s="48" t="str">
        <f t="shared" si="193"/>
        <v/>
      </c>
      <c r="EX20" s="48" t="str">
        <f t="shared" si="193"/>
        <v/>
      </c>
      <c r="EY20" s="48" t="str">
        <f t="shared" si="193"/>
        <v/>
      </c>
      <c r="EZ20" s="48" t="str">
        <f t="shared" si="193"/>
        <v/>
      </c>
      <c r="FA20" s="48" t="str">
        <f t="shared" si="137"/>
        <v>"staWHI",</v>
      </c>
      <c r="FB20" s="48" t="str">
        <f t="shared" si="138"/>
        <v/>
      </c>
      <c r="FC20" s="48" t="str">
        <f t="shared" si="205"/>
        <v/>
      </c>
      <c r="FD20" s="48" t="str">
        <f t="shared" si="139"/>
        <v/>
      </c>
      <c r="FE20" s="48" t="str">
        <f t="shared" si="140"/>
        <v/>
      </c>
      <c r="FF20" s="48" t="str">
        <f t="shared" si="141"/>
        <v/>
      </c>
      <c r="FG20" s="48" t="str">
        <f t="shared" si="142"/>
        <v>"NO_RED",</v>
      </c>
      <c r="FH20" s="48" t="str">
        <f t="shared" si="143"/>
        <v/>
      </c>
      <c r="FI20" s="48" t="str">
        <f t="shared" si="144"/>
        <v>"NO_YEL",</v>
      </c>
      <c r="FJ20" s="48" t="str">
        <f t="shared" si="145"/>
        <v/>
      </c>
      <c r="FK20" s="48" t="str">
        <f t="shared" si="146"/>
        <v/>
      </c>
      <c r="FL20" s="48" t="str">
        <f t="shared" si="147"/>
        <v/>
      </c>
      <c r="FM20" s="48" t="str">
        <f t="shared" si="148"/>
        <v/>
      </c>
      <c r="FN20" s="48" t="str">
        <f t="shared" si="149"/>
        <v/>
      </c>
      <c r="FO20" s="48" t="str">
        <f t="shared" si="150"/>
        <v/>
      </c>
      <c r="FP20" s="48" t="str">
        <f t="shared" si="151"/>
        <v/>
      </c>
      <c r="FQ20" s="48" t="str">
        <f t="shared" si="152"/>
        <v>"001GRE",</v>
      </c>
      <c r="FR20" s="48" t="str">
        <f t="shared" si="153"/>
        <v>"002BLA",</v>
      </c>
      <c r="FS20" s="48" t="str">
        <f t="shared" si="154"/>
        <v>"003BLU",</v>
      </c>
      <c r="FT20" s="48" t="str">
        <f t="shared" si="155"/>
        <v>"myrEQ",</v>
      </c>
      <c r="FU20" s="48" t="str">
        <f t="shared" si="156"/>
        <v/>
      </c>
      <c r="FV20" s="48" t="str">
        <f t="shared" si="157"/>
        <v/>
      </c>
      <c r="FW20" s="48" t="str">
        <f t="shared" si="158"/>
        <v/>
      </c>
      <c r="FX20" s="48" t="str">
        <f t="shared" si="206"/>
        <v/>
      </c>
      <c r="FY20" s="48" t="str">
        <f t="shared" si="159"/>
        <v/>
      </c>
      <c r="FZ20" s="48" t="str">
        <f t="shared" si="160"/>
        <v/>
      </c>
      <c r="GA20" s="48" t="str">
        <f t="shared" si="161"/>
        <v/>
      </c>
      <c r="GB20" s="48" t="str">
        <f t="shared" si="162"/>
        <v/>
      </c>
      <c r="GC20" s="48" t="str">
        <f t="shared" si="207"/>
        <v/>
      </c>
      <c r="GD20" s="48" t="str">
        <f t="shared" si="208"/>
        <v/>
      </c>
      <c r="GE20" s="48" t="str">
        <f t="shared" si="163"/>
        <v/>
      </c>
      <c r="GF20" s="48" t="str">
        <f t="shared" ref="GF20:GF28" si="210">IFERROR(IF(SEARCH("Historical",AU20)&gt;0,CHAR(34)&amp;"histor"&amp;CHAR(34)&amp;",",""),"")</f>
        <v/>
      </c>
      <c r="GG20" s="48" t="str">
        <f t="shared" si="164"/>
        <v/>
      </c>
      <c r="GH20" s="48" t="str">
        <f t="shared" si="165"/>
        <v/>
      </c>
      <c r="GI20" s="48" t="str">
        <f t="shared" si="166"/>
        <v/>
      </c>
      <c r="GJ20" s="48" t="str">
        <f t="shared" si="167"/>
        <v/>
      </c>
      <c r="GK20" s="48" t="str">
        <f t="shared" si="168"/>
        <v>"HasSta",</v>
      </c>
      <c r="GL20" s="48" t="str">
        <f t="shared" si="198"/>
        <v>"1Stars",</v>
      </c>
      <c r="GM20" s="48" t="str">
        <f t="shared" si="198"/>
        <v/>
      </c>
      <c r="GN20" s="48" t="str">
        <f t="shared" si="198"/>
        <v/>
      </c>
      <c r="GP20" s="48" t="str">
        <f t="shared" si="169"/>
        <v>"State"</v>
      </c>
      <c r="GS20" s="48" t="str">
        <f t="shared" si="170"/>
        <v>["4Color","lets05","startP","year19","allhor","4+Band","Horizo","Texted","Canton","staWHI","NO_RED","NO_YEL","001GRE","002BLA","003BLU","myrEQ","HasSta","1Stars"]</v>
      </c>
      <c r="GT20" s="48" t="str">
        <f t="shared" si="199"/>
        <v>"cl_BLA",</v>
      </c>
      <c r="GU20" s="48" t="str">
        <f t="shared" si="199"/>
        <v>"cl_BLU",</v>
      </c>
      <c r="GV20" s="48" t="str">
        <f t="shared" si="199"/>
        <v>"cl_GRE",</v>
      </c>
      <c r="GW20" s="48" t="str">
        <f t="shared" si="199"/>
        <v/>
      </c>
      <c r="GX20" s="48" t="str">
        <f t="shared" si="199"/>
        <v/>
      </c>
      <c r="GY20" s="48" t="str">
        <f t="shared" si="199"/>
        <v/>
      </c>
      <c r="GZ20" s="48" t="str">
        <f t="shared" si="199"/>
        <v/>
      </c>
      <c r="HA20" s="48" t="str">
        <f t="shared" si="199"/>
        <v/>
      </c>
      <c r="HB20" s="48" t="str">
        <f t="shared" si="199"/>
        <v>"cl_WHI",</v>
      </c>
      <c r="HC20" s="48" t="str">
        <f t="shared" si="171"/>
        <v>["cl_BLA","cl_BLU","cl_GRE","cl_WHI"]</v>
      </c>
      <c r="HE20" s="71"/>
      <c r="HF20" s="72" t="str">
        <f t="shared" si="172"/>
        <v>{couname:"[BRA] Piauí",year:"1922 ",region:"rgn_South America",Colors:["cl_BLA","cl_BLU","cl_GRE","cl_WHI"],Items:["4Color","lets05","startP","year19","allhor","4+Band","Horizo","Texted","Canton","staWHI","NO_RED","NO_YEL","001GRE","002BLA","003BLU","myrEQ","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links: "https://en.wikipedia.org/wiki/Flag_of_Piauí"},</v>
      </c>
      <c r="HG20" s="73" t="str">
        <f t="shared" si="173"/>
        <v>{couname:"[BRA] Piauí",year:"1922 ",region:"rgn_South America",Colors:["cl_BLA","cl_BLU","cl_GRE","cl_WHI"],Items:["4Color","lets05","startP","year19","allhor","4+Band","Horizo","Texted","Canton","staWHI","NO_RED","NO_YEL","001GRE","002BLA","003BLU","myrEQ","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links: "https://en.wikipedia.org/wiki/Flag_of_Piauí"},</v>
      </c>
      <c r="HH20" s="48" t="str">
        <f t="shared" si="174"/>
        <v>"\nYellow represents the mineral wealth, green represents hope. The star represents Antares, which in the Brazilian flag symbolizes the state of Piauí. The inscription inside the blue rectangle: 13 DE MARÇO DE 1823, was the day of the Battle of Jenipapo, in the state's territory."</v>
      </c>
      <c r="HI20" s="48" t="str">
        <f t="shared" si="175"/>
        <v>"\nYellow represents the mineral wealth, green represents hope. The star represents Antares, which in the Brazilian flag symbolizes the state of Piauí. The inscription inside the blue rectangle: 13 DE MARÇO DE 1823, was the day of the Battle of Jenipapo, in the state's territory."</v>
      </c>
      <c r="HJ20" s="48" t="str">
        <f t="shared" si="176"/>
        <v>"1922 "</v>
      </c>
      <c r="HL20" s="48" t="str">
        <f t="shared" si="177"/>
        <v>"https://en.wikipedia.org/wiki/Flag_of_Piauí"</v>
      </c>
      <c r="HM20" s="72" t="str">
        <f t="shared" si="178"/>
        <v>{"couname":"[BRA] Piauí","year":"1922 ","region":"rgn_South America","Colors":["cl_BLA","cl_BLU","cl_GRE","cl_WHI"],"Items":["4Color","lets05","startP","year19","allhor","4+Band","Horizo","Texted","Canton","staWHI","NO_RED","NO_YEL","001GRE","002BLA","003BLU","myrEQ","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 "links": "https://en.wikipedia.org/wiki/Flag_of_Piauí"},</v>
      </c>
      <c r="HN20" s="74" t="str">
        <f t="shared" si="179"/>
        <v>{"couname":"[BRA] Piauí","year":"1922 ","region":"rgn_South America","Colors":["cl_BLA","cl_BLU","cl_GRE","cl_WHI"],"Items":["4Color","lets05","startP","year19","allhor","4+Band","Horizo","Texted","Canton","staWHI","NO_RED","NO_YEL","001GRE","002BLA","003BLU","myrEQ","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 "links": "https://en.wikipedia.org/wiki/Flag_of_Piauí"},</v>
      </c>
      <c r="HO20" s="75"/>
      <c r="HP20" s="48" t="str" cm="1">
        <f t="array" ref="HP20">IF(_xlfn.TEXTJOIN(", ", TRUE, IF(ISNUMBER(SEARCH("BLA", BL20:BT20)), COLUMN(BL20:BT20) - COLUMN(BL20) + 1, ""))&lt;&gt;"","BLA","")</f>
        <v>BLA</v>
      </c>
      <c r="HQ20" s="48" t="str" cm="1">
        <f t="array" ref="HQ20">IF(_xlfn.TEXTJOIN(", ", TRUE, IF(ISNUMBER(SEARCH("BLU", BL20:BT20)), COLUMN(BL20:BT20) - COLUMN(BL20) + 1, ""))&lt;&gt;"","BLU","")</f>
        <v>BLU</v>
      </c>
      <c r="HR20" s="48" t="str" cm="1">
        <f t="array" ref="HR20">IF(_xlfn.TEXTJOIN(", ", TRUE, IF(ISNUMBER(SEARCH("GRE", BL20:BT20)), COLUMN(BL20:BT20) - COLUMN(BL20) + 1, ""))&lt;&gt;"","GRE","")</f>
        <v>GRE</v>
      </c>
      <c r="HS20" s="48" t="str" cm="1">
        <f t="array" ref="HS20">IF(_xlfn.TEXTJOIN(", ", TRUE, IF(ISNUMBER(SEARCH("RED", BL20:BT20)), COLUMN(BL20:BT20) - COLUMN(BL20) + 1, ""))&lt;&gt;"","RED","")</f>
        <v/>
      </c>
      <c r="HT20" s="48" t="str" cm="1">
        <f t="array" ref="HT20">IF(_xlfn.TEXTJOIN(", ", TRUE, IF(ISNUMBER(SEARCH("YEL", BL20:BT20)), COLUMN(BL20:BT20) - COLUMN(BL20) + 1, ""))&lt;&gt;"","YEL","")</f>
        <v/>
      </c>
      <c r="HU20" s="48" t="str" cm="1">
        <f t="array" ref="HU20">IF(_xlfn.TEXTJOIN(", ", TRUE, IF(ISNUMBER(SEARCH("ORA", BL20:BT20)), COLUMN(BL20:BT20) - COLUMN(BL20) + 1, ""))&lt;&gt;"","ORA","")</f>
        <v/>
      </c>
      <c r="HV20" s="48" t="str" cm="1">
        <f t="array" ref="HV20">IF(_xlfn.TEXTJOIN(", ", TRUE, IF(ISNUMBER(SEARCH("BRO", BL20:BT20)), COLUMN(BL20:BT20) - COLUMN(BL20) + 1, ""))&lt;&gt;"","BRO","")</f>
        <v/>
      </c>
      <c r="HW20" s="48" t="str" cm="1">
        <f t="array" ref="HW20">IF(_xlfn.TEXTJOIN(", ", TRUE, IF(ISNUMBER(SEARCH("PUR", BL20:BT20)), COLUMN(BL20:BT20) - COLUMN(BL20) + 1, ""))&lt;&gt;"","PUR","")</f>
        <v/>
      </c>
      <c r="HX20" s="48" t="str" cm="1">
        <f t="array" ref="HX20">IF(_xlfn.TEXTJOIN(", ", TRUE, IF(ISNUMBER(SEARCH("WHI", BL20:BT20)), COLUMN(BL20:BT20) - COLUMN(BL20) + 1, ""))&lt;&gt;"","WHI","")</f>
        <v>WHI</v>
      </c>
      <c r="HY20" s="76"/>
      <c r="HZ20" s="76"/>
      <c r="IA20" s="6"/>
      <c r="IB20" s="6"/>
      <c r="IC20" s="77"/>
      <c r="ID20" s="77"/>
      <c r="IE20" s="77"/>
      <c r="IF20" s="77"/>
      <c r="IG20" s="77"/>
      <c r="IH20" s="77"/>
      <c r="II20" s="77"/>
      <c r="IJ20" s="77"/>
      <c r="IK20" s="77"/>
      <c r="IL20" s="48">
        <f t="shared" si="209"/>
        <v>0</v>
      </c>
      <c r="IM20" s="45">
        <f t="shared" si="180"/>
        <v>-4</v>
      </c>
      <c r="IN20" s="78" t="str">
        <f t="shared" si="181"/>
        <v>http://mkweb.bcgsc.ca/color-summarizer/?url=https://upload.wikimedia.org/wikipedia/commons/thumb/3/33/Bandeira_do_Piau%C3%AD.svg/640px-Bandeira_do_Piau%C3%AD.svg.png&amp;precision=low&amp;num_clusters=4&amp;text=1</v>
      </c>
      <c r="IO20" s="48" t="str">
        <f t="shared" si="182"/>
        <v>"black"</v>
      </c>
      <c r="IP20" s="48" t="str">
        <f t="shared" si="183"/>
        <v>"blue"</v>
      </c>
      <c r="IQ20" s="48" t="str">
        <f t="shared" si="184"/>
        <v>"green"</v>
      </c>
      <c r="IR20" s="48" t="str">
        <f t="shared" si="185"/>
        <v/>
      </c>
      <c r="IS20" s="48" t="str">
        <f t="shared" si="186"/>
        <v/>
      </c>
      <c r="IT20" s="48" t="str">
        <f t="shared" si="187"/>
        <v/>
      </c>
      <c r="IU20" s="48" t="str">
        <f t="shared" si="188"/>
        <v/>
      </c>
      <c r="IV20" s="48" t="str">
        <f t="shared" si="189"/>
        <v/>
      </c>
      <c r="IW20" s="48" t="str">
        <f t="shared" si="190"/>
        <v>"white"</v>
      </c>
      <c r="IX20" s="48" t="str">
        <f t="shared" si="191"/>
        <v>{"url":"http://mkweb.bcgsc.ca/color-summarizer/?url=https://upload.wikimedia.org/wikipedia/commons/thumb/3/33/Bandeira_do_Piau%C3%AD.svg/640px-Bandeira_do_Piau%C3%AD.svg.png&amp;precision=low&amp;num_clusters=4&amp;text=1","name":"[BRA] Piauí"},</v>
      </c>
      <c r="IY20" s="48">
        <v>685</v>
      </c>
    </row>
    <row r="21" spans="1:259" s="48" customFormat="1" ht="38.4" customHeight="1" thickBot="1" x14ac:dyDescent="0.35">
      <c r="A21" s="79" t="s">
        <v>494</v>
      </c>
      <c r="B21" s="40" t="e" vm="43">
        <v>#VALUE!</v>
      </c>
      <c r="C21" s="41">
        <v>2</v>
      </c>
      <c r="D21" s="42" t="s">
        <v>495</v>
      </c>
      <c r="E21" s="43" t="s">
        <v>496</v>
      </c>
      <c r="F21" s="44" t="s">
        <v>166</v>
      </c>
      <c r="G21" s="45">
        <f>COUNTIF($A$1:$A$8312,A21)</f>
        <v>1</v>
      </c>
      <c r="H21" s="46"/>
      <c r="I21" s="47" t="s">
        <v>497</v>
      </c>
      <c r="J21" s="48" t="str">
        <f>""</f>
        <v/>
      </c>
      <c r="K21" s="49"/>
      <c r="L21" s="50"/>
      <c r="M21" s="50"/>
      <c r="N21" s="51" t="s">
        <v>169</v>
      </c>
      <c r="O21" s="52" t="s">
        <v>252</v>
      </c>
      <c r="P21" s="53" t="s">
        <v>498</v>
      </c>
      <c r="Q21" s="54">
        <v>3</v>
      </c>
      <c r="R21" s="55" t="s">
        <v>169</v>
      </c>
      <c r="S21" s="56">
        <v>0</v>
      </c>
      <c r="T21" s="57" t="s">
        <v>172</v>
      </c>
      <c r="U21" s="58" t="s">
        <v>172</v>
      </c>
      <c r="V21" s="58" t="s">
        <v>172</v>
      </c>
      <c r="W21" s="58" t="s">
        <v>172</v>
      </c>
      <c r="X21" s="58" t="s">
        <v>173</v>
      </c>
      <c r="Y21" s="58" t="s">
        <v>499</v>
      </c>
      <c r="Z21" s="58" t="s">
        <v>173</v>
      </c>
      <c r="AA21" s="58" t="s">
        <v>173</v>
      </c>
      <c r="AB21" s="58" t="s">
        <v>173</v>
      </c>
      <c r="AC21" s="58" t="s">
        <v>172</v>
      </c>
      <c r="AD21" s="58" t="s">
        <v>172</v>
      </c>
      <c r="AE21" s="58" t="s">
        <v>172</v>
      </c>
      <c r="AF21" s="59" t="s">
        <v>172</v>
      </c>
      <c r="AG21" s="59" t="s">
        <v>172</v>
      </c>
      <c r="AH21" s="59" t="s">
        <v>173</v>
      </c>
      <c r="AI21" s="59" t="s">
        <v>172</v>
      </c>
      <c r="AJ21" s="59" t="s">
        <v>172</v>
      </c>
      <c r="AK21" s="59" t="s">
        <v>172</v>
      </c>
      <c r="AL21" s="59" t="s">
        <v>172</v>
      </c>
      <c r="AM21" s="59" t="s">
        <v>173</v>
      </c>
      <c r="AN21" s="59" t="s">
        <v>172</v>
      </c>
      <c r="AO21" s="59" t="s">
        <v>172</v>
      </c>
      <c r="AP21" s="59" t="s">
        <v>172</v>
      </c>
      <c r="AQ21" s="59" t="s">
        <v>172</v>
      </c>
      <c r="AR21" s="59" t="s">
        <v>172</v>
      </c>
      <c r="AS21" s="59" t="s">
        <v>172</v>
      </c>
      <c r="AT21" s="60">
        <v>2</v>
      </c>
      <c r="AU21" s="59" t="s">
        <v>383</v>
      </c>
      <c r="AV21" s="59" t="str">
        <f>IF(LEFT(A21,1)="[",LEFT(A21,5)&amp;AU21&amp;A21,"")</f>
        <v>[BRA]State[BRA] Rio de Janeiro (State)</v>
      </c>
      <c r="AW21" s="59" t="str">
        <f>C21&amp;H21&amp;A21</f>
        <v>2[BRA] Rio de Janeiro (State)</v>
      </c>
      <c r="AX21" s="61"/>
      <c r="AY21" s="61"/>
      <c r="AZ21" s="62" t="s">
        <v>155</v>
      </c>
      <c r="BA21" s="62"/>
      <c r="BB21" s="62"/>
      <c r="BC21" s="63"/>
      <c r="BD21" s="64" t="s">
        <v>152</v>
      </c>
      <c r="BE21" s="47"/>
      <c r="BF21" s="64" t="s">
        <v>174</v>
      </c>
      <c r="BG21" s="64" t="s">
        <v>174</v>
      </c>
      <c r="BH21" s="64" t="s">
        <v>174</v>
      </c>
      <c r="BI21" s="64"/>
      <c r="BJ21" s="64"/>
      <c r="BK21" s="47"/>
      <c r="BL21" s="64" t="s">
        <v>151</v>
      </c>
      <c r="BM21" s="64" t="s">
        <v>152</v>
      </c>
      <c r="BN21" s="64" t="s">
        <v>174</v>
      </c>
      <c r="BO21" s="64" t="s">
        <v>154</v>
      </c>
      <c r="BP21" s="64" t="s">
        <v>155</v>
      </c>
      <c r="BQ21" s="64" t="s">
        <v>174</v>
      </c>
      <c r="BR21" s="64" t="s">
        <v>174</v>
      </c>
      <c r="BS21" s="64" t="s">
        <v>174</v>
      </c>
      <c r="BT21" s="64" t="s">
        <v>159</v>
      </c>
      <c r="BU21" s="65"/>
      <c r="BV21" s="66"/>
      <c r="BW21" s="66">
        <v>0</v>
      </c>
      <c r="BX21" s="47"/>
      <c r="CB21" s="6"/>
      <c r="CC21" s="6"/>
      <c r="CD21" s="67">
        <v>0</v>
      </c>
      <c r="CE21" s="67">
        <v>0</v>
      </c>
      <c r="CF21" s="67" t="e">
        <v>#REF!</v>
      </c>
      <c r="CG21" s="68" cm="1">
        <f t="array" ref="CG21">SUMPRODUCT(--(LEN(TRIM(BL21:BT21))&gt;0))</f>
        <v>5</v>
      </c>
      <c r="CH21" s="59" t="str">
        <f t="shared" si="104"/>
        <v>n</v>
      </c>
      <c r="CI21" s="59" t="str">
        <f t="shared" si="105"/>
        <v>n</v>
      </c>
      <c r="CJ21" s="59" t="str">
        <f t="shared" si="106"/>
        <v>n</v>
      </c>
      <c r="CK21" s="59" t="str">
        <f t="shared" si="107"/>
        <v>y</v>
      </c>
      <c r="CL21" s="59" t="str">
        <f t="shared" si="108"/>
        <v>y</v>
      </c>
      <c r="CM21" s="59" t="str">
        <f t="shared" si="109"/>
        <v>n</v>
      </c>
      <c r="CN21" s="59" t="str">
        <f t="shared" si="110"/>
        <v>n</v>
      </c>
      <c r="CO21" s="59" t="str">
        <f t="shared" si="111"/>
        <v>n</v>
      </c>
      <c r="CP21" s="59" t="str">
        <f t="shared" si="112"/>
        <v>n</v>
      </c>
      <c r="CQ21" s="59" t="str">
        <f t="shared" si="113"/>
        <v>n</v>
      </c>
      <c r="CR21" s="59" t="str">
        <f t="shared" si="114"/>
        <v>y</v>
      </c>
      <c r="CS21" s="59" t="str">
        <f t="shared" si="115"/>
        <v>n</v>
      </c>
      <c r="CT21" s="69" t="str">
        <f t="shared" si="116"/>
        <v>"[BRA] Rio de Janeiro (State)"</v>
      </c>
      <c r="CU21" s="70" t="str">
        <f t="shared" si="117"/>
        <v>"rgn_South America"</v>
      </c>
      <c r="CV21" s="48" t="str">
        <f t="shared" si="118"/>
        <v>"https://upload.wikimedia.org/wikipedia/commons/thumb/7/73/Bandeira_do_estado_do_Rio_de_Janeiro.svg/640px-Bandeira_do_estado_do_Rio_de_Janeiro.svg.png"</v>
      </c>
      <c r="CW21" s="48" t="str">
        <f t="shared" si="195"/>
        <v/>
      </c>
      <c r="CX21" s="48" t="str">
        <f t="shared" si="195"/>
        <v/>
      </c>
      <c r="CY21" s="48" t="str">
        <f t="shared" si="195"/>
        <v/>
      </c>
      <c r="CZ21" s="48" t="str">
        <f t="shared" si="195"/>
        <v>"5+Colo",</v>
      </c>
      <c r="DA21" s="48" t="str">
        <f t="shared" si="119"/>
        <v>"words2",</v>
      </c>
      <c r="DB21" s="48" t="str">
        <f t="shared" si="200"/>
        <v>"words3",</v>
      </c>
      <c r="DC21" s="48" t="str">
        <f t="shared" si="201"/>
        <v/>
      </c>
      <c r="DD21" s="48" t="str">
        <f t="shared" si="202"/>
        <v>"lets12",</v>
      </c>
      <c r="DE21" s="48" t="str">
        <f t="shared" si="203"/>
        <v>"startR",</v>
      </c>
      <c r="DF21" s="48" t="str">
        <f t="shared" si="121"/>
        <v/>
      </c>
      <c r="DG21" s="48" t="str">
        <f t="shared" si="122"/>
        <v/>
      </c>
      <c r="DH21" s="48" t="str">
        <f t="shared" si="123"/>
        <v/>
      </c>
      <c r="DI21" s="48" t="str">
        <f t="shared" si="124"/>
        <v/>
      </c>
      <c r="DJ21" s="48" t="str">
        <f t="shared" si="125"/>
        <v/>
      </c>
      <c r="DK21" s="48" t="str">
        <f t="shared" si="126"/>
        <v/>
      </c>
      <c r="DL21" s="48" t="str">
        <f t="shared" si="127"/>
        <v/>
      </c>
      <c r="DM21" s="48" t="str" cm="1">
        <f t="array" ref="DM21">IF(CG21=3,CHAR(34) &amp; _xlfn.TEXTJOIN("", TRUE, RIGHT(HP21:HX21, 2)) &amp; CHAR(34) &amp; ",", "")</f>
        <v/>
      </c>
      <c r="DN21" s="48" t="str">
        <f t="shared" si="128"/>
        <v/>
      </c>
      <c r="DO21" s="48" t="str">
        <f t="shared" si="129"/>
        <v>"year19",</v>
      </c>
      <c r="DP21" s="6" t="str">
        <f t="shared" si="130"/>
        <v/>
      </c>
      <c r="DQ21" s="6" t="str">
        <f t="shared" si="131"/>
        <v/>
      </c>
      <c r="DR21" s="6" t="str">
        <f t="shared" si="132"/>
        <v/>
      </c>
      <c r="DS21" s="6" t="str">
        <f t="shared" si="133"/>
        <v/>
      </c>
      <c r="DT21" s="6" t="str">
        <f t="shared" si="134"/>
        <v/>
      </c>
      <c r="DU21" s="6" t="str">
        <f t="shared" si="135"/>
        <v/>
      </c>
      <c r="DV21" s="48" t="str">
        <f t="shared" si="204"/>
        <v/>
      </c>
      <c r="DW21" s="48" t="str">
        <f t="shared" si="196"/>
        <v>"NoBand",</v>
      </c>
      <c r="DX21" s="48" t="str">
        <f t="shared" si="196"/>
        <v/>
      </c>
      <c r="DY21" s="48" t="str">
        <f t="shared" si="196"/>
        <v/>
      </c>
      <c r="DZ21" s="48" t="str">
        <f t="shared" si="196"/>
        <v/>
      </c>
      <c r="EA21" s="48" t="str">
        <f t="shared" si="197"/>
        <v/>
      </c>
      <c r="EB21" s="48" t="str">
        <f t="shared" si="197"/>
        <v/>
      </c>
      <c r="EC21" s="48" t="str">
        <f t="shared" si="197"/>
        <v/>
      </c>
      <c r="ED21" s="48" t="str">
        <f t="shared" si="197"/>
        <v/>
      </c>
      <c r="EE21" s="48" t="str">
        <f t="shared" si="197"/>
        <v>"Circle",</v>
      </c>
      <c r="EF21" s="48" t="str">
        <f t="shared" si="136"/>
        <v>"Animal",</v>
      </c>
      <c r="EG21" s="48" t="str">
        <f t="shared" si="194"/>
        <v>"Bird",</v>
      </c>
      <c r="EH21" s="48" t="str">
        <f t="shared" si="194"/>
        <v>"Plants",</v>
      </c>
      <c r="EI21" s="48" t="str">
        <f t="shared" si="194"/>
        <v>"Texted",</v>
      </c>
      <c r="EJ21" s="48" t="str">
        <f t="shared" si="194"/>
        <v/>
      </c>
      <c r="EK21" s="48" t="str">
        <f t="shared" si="194"/>
        <v/>
      </c>
      <c r="EL21" s="48" t="str">
        <f t="shared" si="194"/>
        <v/>
      </c>
      <c r="EM21" s="48" t="str">
        <f t="shared" si="194"/>
        <v/>
      </c>
      <c r="EN21" s="48" t="str">
        <f t="shared" si="194"/>
        <v/>
      </c>
      <c r="EO21" s="48" t="str">
        <f t="shared" si="194"/>
        <v>"Center",</v>
      </c>
      <c r="EP21" s="48" t="str">
        <f t="shared" si="194"/>
        <v/>
      </c>
      <c r="EQ21" s="48" t="str">
        <f t="shared" si="194"/>
        <v/>
      </c>
      <c r="ER21" s="48" t="str">
        <f t="shared" si="194"/>
        <v/>
      </c>
      <c r="ES21" s="48" t="str">
        <f t="shared" si="194"/>
        <v/>
      </c>
      <c r="ET21" s="48" t="str">
        <f t="shared" si="194"/>
        <v>"Geogrh",</v>
      </c>
      <c r="EU21" s="48" t="str">
        <f t="shared" si="194"/>
        <v/>
      </c>
      <c r="EV21" s="48" t="str">
        <f t="shared" si="194"/>
        <v/>
      </c>
      <c r="EW21" s="48" t="str">
        <f t="shared" si="193"/>
        <v/>
      </c>
      <c r="EX21" s="48" t="str">
        <f t="shared" si="193"/>
        <v/>
      </c>
      <c r="EY21" s="48" t="str">
        <f t="shared" si="193"/>
        <v/>
      </c>
      <c r="EZ21" s="48" t="str">
        <f t="shared" si="193"/>
        <v/>
      </c>
      <c r="FA21" s="48" t="str">
        <f t="shared" si="137"/>
        <v>"staYEL",</v>
      </c>
      <c r="FB21" s="48" t="str">
        <f t="shared" si="138"/>
        <v/>
      </c>
      <c r="FC21" s="48" t="str">
        <f t="shared" si="205"/>
        <v/>
      </c>
      <c r="FD21" s="48" t="str">
        <f t="shared" si="139"/>
        <v/>
      </c>
      <c r="FE21" s="48" t="str">
        <f t="shared" si="140"/>
        <v/>
      </c>
      <c r="FF21" s="48" t="str">
        <f t="shared" si="141"/>
        <v/>
      </c>
      <c r="FG21" s="48" t="str">
        <f t="shared" si="142"/>
        <v/>
      </c>
      <c r="FH21" s="48" t="str">
        <f t="shared" si="143"/>
        <v>"NO_GRE",</v>
      </c>
      <c r="FI21" s="48" t="str">
        <f t="shared" si="144"/>
        <v/>
      </c>
      <c r="FJ21" s="48" t="str">
        <f t="shared" si="145"/>
        <v/>
      </c>
      <c r="FK21" s="48" t="str">
        <f t="shared" si="146"/>
        <v/>
      </c>
      <c r="FL21" s="48" t="str">
        <f t="shared" si="147"/>
        <v/>
      </c>
      <c r="FM21" s="48" t="str">
        <f t="shared" si="148"/>
        <v/>
      </c>
      <c r="FN21" s="48" t="str">
        <f t="shared" si="149"/>
        <v/>
      </c>
      <c r="FO21" s="48" t="str">
        <f t="shared" si="150"/>
        <v/>
      </c>
      <c r="FP21" s="48" t="str">
        <f t="shared" si="151"/>
        <v/>
      </c>
      <c r="FQ21" s="48" t="str">
        <f t="shared" si="152"/>
        <v/>
      </c>
      <c r="FR21" s="48" t="str">
        <f t="shared" si="153"/>
        <v/>
      </c>
      <c r="FS21" s="48" t="str">
        <f t="shared" si="154"/>
        <v/>
      </c>
      <c r="FT21" s="48" t="str">
        <f t="shared" si="155"/>
        <v>"myrBLU",</v>
      </c>
      <c r="FU21" s="48" t="str">
        <f t="shared" si="156"/>
        <v/>
      </c>
      <c r="FV21" s="48" t="str">
        <f t="shared" si="157"/>
        <v/>
      </c>
      <c r="FW21" s="48" t="str">
        <f t="shared" si="158"/>
        <v/>
      </c>
      <c r="FX21" s="48" t="str">
        <f t="shared" si="206"/>
        <v/>
      </c>
      <c r="FY21" s="48" t="str">
        <f t="shared" si="159"/>
        <v/>
      </c>
      <c r="FZ21" s="48" t="str">
        <f t="shared" si="160"/>
        <v/>
      </c>
      <c r="GA21" s="48" t="str">
        <f t="shared" si="161"/>
        <v/>
      </c>
      <c r="GB21" s="48" t="str">
        <f t="shared" si="162"/>
        <v/>
      </c>
      <c r="GC21" s="48" t="str">
        <f t="shared" si="207"/>
        <v/>
      </c>
      <c r="GD21" s="48" t="str">
        <f t="shared" si="208"/>
        <v/>
      </c>
      <c r="GE21" s="48" t="str">
        <f t="shared" si="163"/>
        <v/>
      </c>
      <c r="GF21" s="48" t="str">
        <f t="shared" si="210"/>
        <v/>
      </c>
      <c r="GG21" s="48" t="str">
        <f t="shared" si="164"/>
        <v/>
      </c>
      <c r="GH21" s="48" t="str">
        <f t="shared" si="165"/>
        <v/>
      </c>
      <c r="GI21" s="48" t="str">
        <f t="shared" si="166"/>
        <v/>
      </c>
      <c r="GJ21" s="48" t="str">
        <f t="shared" si="167"/>
        <v/>
      </c>
      <c r="GK21" s="48" t="str">
        <f t="shared" si="168"/>
        <v>"HasSta",</v>
      </c>
      <c r="GL21" s="48" t="str">
        <f t="shared" si="198"/>
        <v/>
      </c>
      <c r="GM21" s="48" t="str">
        <f t="shared" si="198"/>
        <v>"2Stars",</v>
      </c>
      <c r="GN21" s="48" t="str">
        <f t="shared" si="198"/>
        <v/>
      </c>
      <c r="GP21" s="48" t="str">
        <f t="shared" si="169"/>
        <v>"State"</v>
      </c>
      <c r="GS21" s="48" t="str">
        <f t="shared" si="170"/>
        <v>["5+Colo","words2","words3","lets12","startR","year19","NoBand","Circle","Animal","Bird","Plants","Texted","Center","Geogrh","staYEL","NO_GRE","myrBLU","HasSta","2Stars"]</v>
      </c>
      <c r="GT21" s="48" t="str">
        <f t="shared" si="199"/>
        <v>"cl_BLA",</v>
      </c>
      <c r="GU21" s="48" t="str">
        <f t="shared" si="199"/>
        <v>"cl_BLU",</v>
      </c>
      <c r="GV21" s="48" t="str">
        <f t="shared" si="199"/>
        <v/>
      </c>
      <c r="GW21" s="48" t="str">
        <f t="shared" si="199"/>
        <v>"cl_RED",</v>
      </c>
      <c r="GX21" s="48" t="str">
        <f t="shared" si="199"/>
        <v>"cl_YEL",</v>
      </c>
      <c r="GY21" s="48" t="str">
        <f t="shared" si="199"/>
        <v/>
      </c>
      <c r="GZ21" s="48" t="str">
        <f t="shared" si="199"/>
        <v/>
      </c>
      <c r="HA21" s="48" t="str">
        <f t="shared" si="199"/>
        <v/>
      </c>
      <c r="HB21" s="48" t="str">
        <f t="shared" si="199"/>
        <v>"cl_WHI",</v>
      </c>
      <c r="HC21" s="48" t="str">
        <f t="shared" si="171"/>
        <v>["cl_BLA","cl_BLU","cl_RED","cl_YEL","cl_WHI"]</v>
      </c>
      <c r="HE21" s="71"/>
      <c r="HF21" s="72" t="str">
        <f t="shared" si="172"/>
        <v>{couname:"[BRA] Rio de Janeiro (State)",year:"1975 ",region:"rgn_South America",Colors:["cl_BLA","cl_BLU","cl_RED","cl_YEL","cl_WHI"],Items:["5+Colo","words2","words3","lets12","startR","year19","NoBand","Circle","Animal","Bird","Plants","Texted","Center","Geogrh","staYEL","NO_GRE","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links: "https://www.fotw.info/flags/br-rj.html"},</v>
      </c>
      <c r="HG21" s="73" t="str">
        <f t="shared" si="173"/>
        <v>{couname:"[BRA] Rio de Janeiro (State)",year:"1975 ",region:"rgn_South America",Colors:["cl_BLA","cl_BLU","cl_RED","cl_YEL","cl_WHI"],Items:["5+Colo","words2","words3","lets12","startR","year19","NoBand","Circle","Animal","Bird","Plants","Texted","Center","Geogrh","staYEL","NO_GRE","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links: "https://www.fotw.info/flags/br-rj.html"},</v>
      </c>
      <c r="HH21" s="48" t="str">
        <f t="shared" si="174"/>
        <v>"\nNot available"</v>
      </c>
      <c r="HI21" s="48" t="str">
        <f t="shared" si="175"/>
        <v>"\nNot available"</v>
      </c>
      <c r="HJ21" s="48" t="str">
        <f t="shared" si="176"/>
        <v>"1975 "</v>
      </c>
      <c r="HL21" s="48" t="str">
        <f t="shared" si="177"/>
        <v>"https://www.fotw.info/flags/br-rj.html"</v>
      </c>
      <c r="HM21" s="72" t="str">
        <f t="shared" si="178"/>
        <v>{"couname":"[BRA] Rio de Janeiro (State)","year":"1975 ","region":"rgn_South America","Colors":["cl_BLA","cl_BLU","cl_RED","cl_YEL","cl_WHI"],"Items":["5+Colo","words2","words3","lets12","startR","year19","NoBand","Circle","Animal","Bird","Plants","Texted","Center","Geogrh","staYEL","NO_GRE","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 "links": "https://www.fotw.info/flags/br-rj.html"},</v>
      </c>
      <c r="HN21" s="74" t="str">
        <f t="shared" si="179"/>
        <v>{"couname":"[BRA] Rio de Janeiro (State)","year":"1975 ","region":"rgn_South America","Colors":["cl_BLA","cl_BLU","cl_RED","cl_YEL","cl_WHI"],"Items":["5+Colo","words2","words3","lets12","startR","year19","NoBand","Circle","Animal","Bird","Plants","Texted","Center","Geogrh","staYEL","NO_GRE","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 "links": "https://www.fotw.info/flags/br-rj.html"},</v>
      </c>
      <c r="HO21" s="75"/>
      <c r="HP21" s="48" t="str" cm="1">
        <f t="array" ref="HP21">IF(_xlfn.TEXTJOIN(", ", TRUE, IF(ISNUMBER(SEARCH("BLA", BL21:BT21)), COLUMN(BL21:BT21) - COLUMN(BL21) + 1, ""))&lt;&gt;"","BLA","")</f>
        <v>BLA</v>
      </c>
      <c r="HQ21" s="48" t="str" cm="1">
        <f t="array" ref="HQ21">IF(_xlfn.TEXTJOIN(", ", TRUE, IF(ISNUMBER(SEARCH("BLU", BL21:BT21)), COLUMN(BL21:BT21) - COLUMN(BL21) + 1, ""))&lt;&gt;"","BLU","")</f>
        <v>BLU</v>
      </c>
      <c r="HR21" s="48" t="str" cm="1">
        <f t="array" ref="HR21">IF(_xlfn.TEXTJOIN(", ", TRUE, IF(ISNUMBER(SEARCH("GRE", BL21:BT21)), COLUMN(BL21:BT21) - COLUMN(BL21) + 1, ""))&lt;&gt;"","GRE","")</f>
        <v/>
      </c>
      <c r="HS21" s="48" t="str" cm="1">
        <f t="array" ref="HS21">IF(_xlfn.TEXTJOIN(", ", TRUE, IF(ISNUMBER(SEARCH("RED", BL21:BT21)), COLUMN(BL21:BT21) - COLUMN(BL21) + 1, ""))&lt;&gt;"","RED","")</f>
        <v>RED</v>
      </c>
      <c r="HT21" s="48" t="str" cm="1">
        <f t="array" ref="HT21">IF(_xlfn.TEXTJOIN(", ", TRUE, IF(ISNUMBER(SEARCH("YEL", BL21:BT21)), COLUMN(BL21:BT21) - COLUMN(BL21) + 1, ""))&lt;&gt;"","YEL","")</f>
        <v>YEL</v>
      </c>
      <c r="HU21" s="48" t="str" cm="1">
        <f t="array" ref="HU21">IF(_xlfn.TEXTJOIN(", ", TRUE, IF(ISNUMBER(SEARCH("ORA", BL21:BT21)), COLUMN(BL21:BT21) - COLUMN(BL21) + 1, ""))&lt;&gt;"","ORA","")</f>
        <v/>
      </c>
      <c r="HV21" s="48" t="str" cm="1">
        <f t="array" ref="HV21">IF(_xlfn.TEXTJOIN(", ", TRUE, IF(ISNUMBER(SEARCH("BRO", BL21:BT21)), COLUMN(BL21:BT21) - COLUMN(BL21) + 1, ""))&lt;&gt;"","BRO","")</f>
        <v/>
      </c>
      <c r="HW21" s="48" t="str" cm="1">
        <f t="array" ref="HW21">IF(_xlfn.TEXTJOIN(", ", TRUE, IF(ISNUMBER(SEARCH("PUR", BL21:BT21)), COLUMN(BL21:BT21) - COLUMN(BL21) + 1, ""))&lt;&gt;"","PUR","")</f>
        <v/>
      </c>
      <c r="HX21" s="48" t="str" cm="1">
        <f t="array" ref="HX21">IF(_xlfn.TEXTJOIN(", ", TRUE, IF(ISNUMBER(SEARCH("WHI", BL21:BT21)), COLUMN(BL21:BT21) - COLUMN(BL21) + 1, ""))&lt;&gt;"","WHI","")</f>
        <v>WHI</v>
      </c>
      <c r="HY21" s="76"/>
      <c r="HZ21" s="76"/>
      <c r="IA21" s="6"/>
      <c r="IB21" s="6"/>
      <c r="IC21" s="77"/>
      <c r="ID21" s="77"/>
      <c r="IE21" s="77"/>
      <c r="IF21" s="77"/>
      <c r="IG21" s="77"/>
      <c r="IH21" s="77"/>
      <c r="II21" s="77"/>
      <c r="IJ21" s="77"/>
      <c r="IK21" s="77"/>
      <c r="IL21" s="48">
        <f t="shared" si="209"/>
        <v>0</v>
      </c>
      <c r="IM21" s="45">
        <f t="shared" si="180"/>
        <v>-5</v>
      </c>
      <c r="IN21" s="78" t="str">
        <f t="shared" si="181"/>
        <v>http://mkweb.bcgsc.ca/color-summarizer/?url=https://upload.wikimedia.org/wikipedia/commons/thumb/7/73/Bandeira_do_estado_do_Rio_de_Janeiro.svg/640px-Bandeira_do_estado_do_Rio_de_Janeiro.svg.png&amp;precision=low&amp;num_clusters=5&amp;text=1</v>
      </c>
      <c r="IO21" s="48" t="str">
        <f t="shared" si="182"/>
        <v>"black"</v>
      </c>
      <c r="IP21" s="48" t="str">
        <f t="shared" si="183"/>
        <v>"blue"</v>
      </c>
      <c r="IQ21" s="48" t="str">
        <f t="shared" si="184"/>
        <v/>
      </c>
      <c r="IR21" s="48" t="str">
        <f t="shared" si="185"/>
        <v>"red"</v>
      </c>
      <c r="IS21" s="48" t="str">
        <f t="shared" si="186"/>
        <v>"yellow"</v>
      </c>
      <c r="IT21" s="48" t="str">
        <f t="shared" si="187"/>
        <v/>
      </c>
      <c r="IU21" s="48" t="str">
        <f t="shared" si="188"/>
        <v/>
      </c>
      <c r="IV21" s="48" t="str">
        <f t="shared" si="189"/>
        <v/>
      </c>
      <c r="IW21" s="48" t="str">
        <f t="shared" si="190"/>
        <v>"white"</v>
      </c>
      <c r="IX21" s="48" t="str">
        <f t="shared" si="191"/>
        <v>{"url":"http://mkweb.bcgsc.ca/color-summarizer/?url=https://upload.wikimedia.org/wikipedia/commons/thumb/7/73/Bandeira_do_estado_do_Rio_de_Janeiro.svg/640px-Bandeira_do_estado_do_Rio_de_Janeiro.svg.png&amp;precision=low&amp;num_clusters=5&amp;text=1","name":"[BRA] Rio de Janeiro (State)"},</v>
      </c>
      <c r="IY21" s="48">
        <v>686</v>
      </c>
    </row>
    <row r="22" spans="1:259" s="48" customFormat="1" ht="38.4" customHeight="1" thickBot="1" x14ac:dyDescent="0.35">
      <c r="A22" s="79" t="s">
        <v>500</v>
      </c>
      <c r="B22" s="40" t="e" vm="44">
        <v>#VALUE!</v>
      </c>
      <c r="C22" s="41">
        <v>2</v>
      </c>
      <c r="D22" s="42" t="s">
        <v>501</v>
      </c>
      <c r="E22" s="43" t="s">
        <v>502</v>
      </c>
      <c r="F22" s="44" t="s">
        <v>166</v>
      </c>
      <c r="G22" s="45">
        <f>COUNTIF($A$1:$A$8312,A22)</f>
        <v>1</v>
      </c>
      <c r="H22" s="46"/>
      <c r="I22" s="47" t="s">
        <v>503</v>
      </c>
      <c r="J22" s="48" t="str">
        <f>""</f>
        <v/>
      </c>
      <c r="K22" s="49"/>
      <c r="L22" s="50"/>
      <c r="M22" s="50"/>
      <c r="N22" s="51" t="s">
        <v>169</v>
      </c>
      <c r="O22" s="52" t="s">
        <v>504</v>
      </c>
      <c r="P22" s="53" t="s">
        <v>505</v>
      </c>
      <c r="Q22" s="54">
        <v>4</v>
      </c>
      <c r="R22" s="55" t="s">
        <v>169</v>
      </c>
      <c r="S22" s="56">
        <v>2</v>
      </c>
      <c r="T22" s="57" t="s">
        <v>172</v>
      </c>
      <c r="U22" s="58" t="s">
        <v>172</v>
      </c>
      <c r="V22" s="58" t="s">
        <v>173</v>
      </c>
      <c r="W22" s="58" t="s">
        <v>172</v>
      </c>
      <c r="X22" s="58" t="s">
        <v>172</v>
      </c>
      <c r="Y22" s="58" t="s">
        <v>172</v>
      </c>
      <c r="Z22" s="58" t="s">
        <v>172</v>
      </c>
      <c r="AA22" s="58" t="s">
        <v>173</v>
      </c>
      <c r="AB22" s="58" t="s">
        <v>172</v>
      </c>
      <c r="AC22" s="58" t="s">
        <v>172</v>
      </c>
      <c r="AD22" s="58" t="s">
        <v>172</v>
      </c>
      <c r="AE22" s="58" t="s">
        <v>172</v>
      </c>
      <c r="AF22" s="59" t="s">
        <v>172</v>
      </c>
      <c r="AG22" s="59" t="s">
        <v>172</v>
      </c>
      <c r="AH22" s="59" t="s">
        <v>173</v>
      </c>
      <c r="AI22" s="59" t="s">
        <v>172</v>
      </c>
      <c r="AJ22" s="59" t="s">
        <v>172</v>
      </c>
      <c r="AK22" s="59" t="s">
        <v>172</v>
      </c>
      <c r="AL22" s="59" t="s">
        <v>173</v>
      </c>
      <c r="AM22" s="59" t="s">
        <v>172</v>
      </c>
      <c r="AN22" s="59" t="s">
        <v>172</v>
      </c>
      <c r="AO22" s="59" t="s">
        <v>172</v>
      </c>
      <c r="AP22" s="59" t="s">
        <v>173</v>
      </c>
      <c r="AQ22" s="59" t="s">
        <v>172</v>
      </c>
      <c r="AR22" s="59" t="s">
        <v>172</v>
      </c>
      <c r="AS22" s="59" t="s">
        <v>173</v>
      </c>
      <c r="AT22" s="60">
        <v>1</v>
      </c>
      <c r="AU22" s="59" t="s">
        <v>383</v>
      </c>
      <c r="AV22" s="59" t="str">
        <f>IF(LEFT(A22,1)="[",LEFT(A22,5)&amp;AU22&amp;A22,"")</f>
        <v>[BRA]State[BRA] Rio Grande do Norte</v>
      </c>
      <c r="AW22" s="59" t="str">
        <f>C22&amp;H22&amp;A22</f>
        <v>2[BRA] Rio Grande do Norte</v>
      </c>
      <c r="AX22" s="61"/>
      <c r="AY22" s="61"/>
      <c r="AZ22" s="62" t="s">
        <v>174</v>
      </c>
      <c r="BA22" s="62"/>
      <c r="BB22" s="62"/>
      <c r="BC22" s="63"/>
      <c r="BD22" s="64" t="s">
        <v>217</v>
      </c>
      <c r="BE22" s="47"/>
      <c r="BF22" s="64" t="s">
        <v>153</v>
      </c>
      <c r="BG22" s="64" t="s">
        <v>174</v>
      </c>
      <c r="BH22" s="64" t="s">
        <v>152</v>
      </c>
      <c r="BI22" s="64"/>
      <c r="BJ22" s="64"/>
      <c r="BK22" s="47"/>
      <c r="BL22" s="64" t="s">
        <v>151</v>
      </c>
      <c r="BM22" s="64" t="s">
        <v>152</v>
      </c>
      <c r="BN22" s="64" t="s">
        <v>153</v>
      </c>
      <c r="BO22" s="64" t="s">
        <v>154</v>
      </c>
      <c r="BP22" s="64" t="s">
        <v>174</v>
      </c>
      <c r="BQ22" s="64" t="s">
        <v>156</v>
      </c>
      <c r="BR22" s="64" t="s">
        <v>174</v>
      </c>
      <c r="BS22" s="64" t="s">
        <v>174</v>
      </c>
      <c r="BT22" s="64" t="s">
        <v>159</v>
      </c>
      <c r="BU22" s="65"/>
      <c r="BV22" s="66"/>
      <c r="BW22" s="66">
        <v>0</v>
      </c>
      <c r="BX22" s="47"/>
      <c r="CB22" s="6"/>
      <c r="CC22" s="6"/>
      <c r="CD22" s="67">
        <v>0</v>
      </c>
      <c r="CE22" s="67">
        <v>0</v>
      </c>
      <c r="CF22" s="67" t="e">
        <v>#REF!</v>
      </c>
      <c r="CG22" s="68" cm="1">
        <f t="array" ref="CG22">SUMPRODUCT(--(LEN(TRIM(BL22:BT22))&gt;0))</f>
        <v>6</v>
      </c>
      <c r="CH22" s="59" t="str">
        <f t="shared" si="104"/>
        <v>n</v>
      </c>
      <c r="CI22" s="59" t="str">
        <f t="shared" si="105"/>
        <v>n</v>
      </c>
      <c r="CJ22" s="59" t="str">
        <f t="shared" si="106"/>
        <v>n</v>
      </c>
      <c r="CK22" s="59" t="str">
        <f t="shared" si="107"/>
        <v>y</v>
      </c>
      <c r="CL22" s="59" t="str">
        <f t="shared" si="108"/>
        <v>n</v>
      </c>
      <c r="CM22" s="59" t="str">
        <f t="shared" si="109"/>
        <v>y</v>
      </c>
      <c r="CN22" s="59" t="str">
        <f t="shared" si="110"/>
        <v>n</v>
      </c>
      <c r="CO22" s="59" t="str">
        <f t="shared" si="111"/>
        <v>n</v>
      </c>
      <c r="CP22" s="59" t="str">
        <f t="shared" si="112"/>
        <v>n</v>
      </c>
      <c r="CQ22" s="59" t="str">
        <f t="shared" si="113"/>
        <v>y</v>
      </c>
      <c r="CR22" s="59" t="str">
        <f t="shared" si="114"/>
        <v>n</v>
      </c>
      <c r="CS22" s="59" t="str">
        <f t="shared" si="115"/>
        <v>n</v>
      </c>
      <c r="CT22" s="69" t="str">
        <f t="shared" si="116"/>
        <v>"[BRA] Rio Grande do Norte"</v>
      </c>
      <c r="CU22" s="70" t="str">
        <f t="shared" si="117"/>
        <v>"rgn_South America"</v>
      </c>
      <c r="CV22" s="48" t="str">
        <f t="shared" si="118"/>
        <v>"https://upload.wikimedia.org/wikipedia/commons/thumb/3/30/Bandeira_do_Rio_Grande_do_Norte.svg/640px-Bandeira_do_Rio_Grande_do_Norte.svg.png"</v>
      </c>
      <c r="CW22" s="48" t="str">
        <f t="shared" si="195"/>
        <v/>
      </c>
      <c r="CX22" s="48" t="str">
        <f t="shared" si="195"/>
        <v/>
      </c>
      <c r="CY22" s="48" t="str">
        <f t="shared" si="195"/>
        <v/>
      </c>
      <c r="CZ22" s="48" t="str">
        <f t="shared" si="195"/>
        <v>"5+Colo",</v>
      </c>
      <c r="DA22" s="48" t="str">
        <f t="shared" si="119"/>
        <v>"words2",</v>
      </c>
      <c r="DB22" s="48" t="str">
        <f t="shared" si="200"/>
        <v>"words3",</v>
      </c>
      <c r="DC22" s="48" t="str">
        <f t="shared" si="201"/>
        <v/>
      </c>
      <c r="DD22" s="48" t="str">
        <f t="shared" si="202"/>
        <v>"lets16",</v>
      </c>
      <c r="DE22" s="48" t="str">
        <f t="shared" si="203"/>
        <v>"startR",</v>
      </c>
      <c r="DF22" s="48" t="str">
        <f t="shared" si="121"/>
        <v/>
      </c>
      <c r="DG22" s="48" t="str">
        <f t="shared" si="122"/>
        <v/>
      </c>
      <c r="DH22" s="48" t="str">
        <f t="shared" si="123"/>
        <v/>
      </c>
      <c r="DI22" s="48" t="str">
        <f t="shared" si="124"/>
        <v/>
      </c>
      <c r="DJ22" s="48" t="str">
        <f t="shared" si="125"/>
        <v/>
      </c>
      <c r="DK22" s="48" t="str">
        <f t="shared" si="126"/>
        <v/>
      </c>
      <c r="DL22" s="48" t="str">
        <f t="shared" si="127"/>
        <v/>
      </c>
      <c r="DM22" s="48" t="str" cm="1">
        <f t="array" ref="DM22">IF(CG22=3,CHAR(34) &amp; _xlfn.TEXTJOIN("", TRUE, RIGHT(HP22:HX22, 2)) &amp; CHAR(34) &amp; ",", "")</f>
        <v/>
      </c>
      <c r="DN22" s="48" t="str">
        <f t="shared" si="128"/>
        <v/>
      </c>
      <c r="DO22" s="48" t="str">
        <f t="shared" si="129"/>
        <v>"year19",</v>
      </c>
      <c r="DP22" s="6" t="str">
        <f t="shared" si="130"/>
        <v/>
      </c>
      <c r="DQ22" s="6" t="str">
        <f t="shared" si="131"/>
        <v/>
      </c>
      <c r="DR22" s="6" t="str">
        <f t="shared" si="132"/>
        <v/>
      </c>
      <c r="DS22" s="6" t="str">
        <f t="shared" si="133"/>
        <v/>
      </c>
      <c r="DT22" s="6" t="str">
        <f t="shared" si="134"/>
        <v>"allhor",</v>
      </c>
      <c r="DU22" s="6" t="str">
        <f t="shared" si="135"/>
        <v/>
      </c>
      <c r="DV22" s="48" t="str">
        <f t="shared" si="204"/>
        <v/>
      </c>
      <c r="DW22" s="48" t="str">
        <f t="shared" si="196"/>
        <v/>
      </c>
      <c r="DX22" s="48" t="str">
        <f t="shared" si="196"/>
        <v>"2Bands",</v>
      </c>
      <c r="DY22" s="48" t="str">
        <f t="shared" si="196"/>
        <v/>
      </c>
      <c r="DZ22" s="48" t="str">
        <f t="shared" si="196"/>
        <v/>
      </c>
      <c r="EA22" s="48" t="str">
        <f t="shared" si="197"/>
        <v/>
      </c>
      <c r="EB22" s="48" t="str">
        <f t="shared" si="197"/>
        <v/>
      </c>
      <c r="EC22" s="48" t="str">
        <f t="shared" si="197"/>
        <v>"Horizo",</v>
      </c>
      <c r="ED22" s="48" t="str">
        <f t="shared" si="197"/>
        <v/>
      </c>
      <c r="EE22" s="48" t="str">
        <f t="shared" si="197"/>
        <v/>
      </c>
      <c r="EF22" s="48" t="str">
        <f t="shared" si="136"/>
        <v/>
      </c>
      <c r="EG22" s="48" t="str">
        <f t="shared" si="194"/>
        <v/>
      </c>
      <c r="EH22" s="48" t="str">
        <f t="shared" si="194"/>
        <v>"Plants",</v>
      </c>
      <c r="EI22" s="48" t="str">
        <f t="shared" si="194"/>
        <v/>
      </c>
      <c r="EJ22" s="48" t="str">
        <f t="shared" si="194"/>
        <v/>
      </c>
      <c r="EK22" s="48" t="str">
        <f t="shared" si="194"/>
        <v/>
      </c>
      <c r="EL22" s="48" t="str">
        <f t="shared" si="194"/>
        <v/>
      </c>
      <c r="EM22" s="48" t="str">
        <f t="shared" si="194"/>
        <v/>
      </c>
      <c r="EN22" s="48" t="str">
        <f t="shared" si="194"/>
        <v/>
      </c>
      <c r="EO22" s="48" t="str">
        <f t="shared" si="194"/>
        <v>"Center",</v>
      </c>
      <c r="EP22" s="48" t="str">
        <f t="shared" si="194"/>
        <v/>
      </c>
      <c r="EQ22" s="48" t="str">
        <f t="shared" si="194"/>
        <v/>
      </c>
      <c r="ER22" s="48" t="str">
        <f t="shared" si="194"/>
        <v/>
      </c>
      <c r="ES22" s="48" t="str">
        <f t="shared" si="194"/>
        <v>"Wavess",</v>
      </c>
      <c r="ET22" s="48" t="str">
        <f t="shared" si="194"/>
        <v/>
      </c>
      <c r="EU22" s="48" t="str">
        <f t="shared" si="194"/>
        <v/>
      </c>
      <c r="EV22" s="48" t="str">
        <f t="shared" si="194"/>
        <v/>
      </c>
      <c r="EW22" s="48" t="str">
        <f t="shared" si="193"/>
        <v>"Ships!",</v>
      </c>
      <c r="EX22" s="48" t="str">
        <f t="shared" si="193"/>
        <v/>
      </c>
      <c r="EY22" s="48" t="str">
        <f t="shared" si="193"/>
        <v/>
      </c>
      <c r="EZ22" s="48" t="str">
        <f t="shared" si="193"/>
        <v>"Waters",</v>
      </c>
      <c r="FA22" s="48" t="str">
        <f t="shared" si="137"/>
        <v>"sta",</v>
      </c>
      <c r="FB22" s="48" t="str">
        <f t="shared" si="138"/>
        <v/>
      </c>
      <c r="FC22" s="48" t="str">
        <f t="shared" si="205"/>
        <v/>
      </c>
      <c r="FD22" s="48" t="str">
        <f t="shared" si="139"/>
        <v/>
      </c>
      <c r="FE22" s="48" t="str">
        <f t="shared" si="140"/>
        <v/>
      </c>
      <c r="FF22" s="48" t="str">
        <f t="shared" si="141"/>
        <v/>
      </c>
      <c r="FG22" s="48" t="str">
        <f t="shared" si="142"/>
        <v/>
      </c>
      <c r="FH22" s="48" t="str">
        <f t="shared" si="143"/>
        <v/>
      </c>
      <c r="FI22" s="48" t="str">
        <f t="shared" si="144"/>
        <v>"NO_YEL",</v>
      </c>
      <c r="FJ22" s="48" t="str">
        <f t="shared" si="145"/>
        <v/>
      </c>
      <c r="FK22" s="48" t="str">
        <f t="shared" si="146"/>
        <v/>
      </c>
      <c r="FL22" s="48" t="str">
        <f t="shared" si="147"/>
        <v/>
      </c>
      <c r="FM22" s="48" t="str">
        <f t="shared" si="148"/>
        <v/>
      </c>
      <c r="FN22" s="48" t="str">
        <f t="shared" si="149"/>
        <v/>
      </c>
      <c r="FO22" s="48" t="str">
        <f t="shared" si="150"/>
        <v/>
      </c>
      <c r="FP22" s="48" t="str">
        <f t="shared" si="151"/>
        <v/>
      </c>
      <c r="FQ22" s="48" t="str">
        <f t="shared" si="152"/>
        <v>"001GRE",</v>
      </c>
      <c r="FR22" s="48" t="str">
        <f t="shared" si="153"/>
        <v/>
      </c>
      <c r="FS22" s="48" t="str">
        <f t="shared" si="154"/>
        <v>"003BLU",</v>
      </c>
      <c r="FT22" s="48" t="str">
        <f t="shared" si="155"/>
        <v>"myrEQ",</v>
      </c>
      <c r="FU22" s="48" t="str">
        <f t="shared" si="156"/>
        <v/>
      </c>
      <c r="FV22" s="48" t="str">
        <f t="shared" si="157"/>
        <v/>
      </c>
      <c r="FW22" s="48" t="str">
        <f t="shared" si="158"/>
        <v/>
      </c>
      <c r="FX22" s="48" t="str">
        <f t="shared" si="206"/>
        <v/>
      </c>
      <c r="FY22" s="48" t="str">
        <f t="shared" si="159"/>
        <v/>
      </c>
      <c r="FZ22" s="48" t="str">
        <f t="shared" si="160"/>
        <v/>
      </c>
      <c r="GA22" s="48" t="str">
        <f t="shared" si="161"/>
        <v/>
      </c>
      <c r="GB22" s="48" t="str">
        <f t="shared" si="162"/>
        <v/>
      </c>
      <c r="GC22" s="48" t="str">
        <f t="shared" si="207"/>
        <v/>
      </c>
      <c r="GD22" s="48" t="str">
        <f t="shared" si="208"/>
        <v/>
      </c>
      <c r="GE22" s="48" t="str">
        <f t="shared" si="163"/>
        <v/>
      </c>
      <c r="GF22" s="48" t="str">
        <f t="shared" si="210"/>
        <v/>
      </c>
      <c r="GG22" s="48" t="str">
        <f t="shared" si="164"/>
        <v/>
      </c>
      <c r="GH22" s="48" t="str">
        <f t="shared" si="165"/>
        <v/>
      </c>
      <c r="GI22" s="48" t="str">
        <f t="shared" si="166"/>
        <v/>
      </c>
      <c r="GJ22" s="48" t="str">
        <f t="shared" si="167"/>
        <v/>
      </c>
      <c r="GK22" s="48" t="str">
        <f t="shared" si="168"/>
        <v>"HasSta",</v>
      </c>
      <c r="GL22" s="48" t="str">
        <f t="shared" si="198"/>
        <v>"1Stars",</v>
      </c>
      <c r="GM22" s="48" t="str">
        <f t="shared" si="198"/>
        <v/>
      </c>
      <c r="GN22" s="48" t="str">
        <f t="shared" si="198"/>
        <v/>
      </c>
      <c r="GP22" s="48" t="str">
        <f t="shared" si="169"/>
        <v>"State"</v>
      </c>
      <c r="GS22" s="48" t="str">
        <f t="shared" si="170"/>
        <v>["5+Colo","words2","words3","lets16","startR","year19","allhor","2Bands","Horizo","Plants","Center","Wavess","Ships!","Waters","sta","NO_YEL","001GRE","003BLU","myrEQ","HasSta","1Stars"]</v>
      </c>
      <c r="GT22" s="48" t="str">
        <f t="shared" si="199"/>
        <v>"cl_BLA",</v>
      </c>
      <c r="GU22" s="48" t="str">
        <f t="shared" si="199"/>
        <v>"cl_BLU",</v>
      </c>
      <c r="GV22" s="48" t="str">
        <f t="shared" si="199"/>
        <v>"cl_GRE",</v>
      </c>
      <c r="GW22" s="48" t="str">
        <f t="shared" si="199"/>
        <v>"cl_RED",</v>
      </c>
      <c r="GX22" s="48" t="str">
        <f t="shared" si="199"/>
        <v/>
      </c>
      <c r="GY22" s="48" t="str">
        <f t="shared" si="199"/>
        <v>"cl_ORA",</v>
      </c>
      <c r="GZ22" s="48" t="str">
        <f t="shared" si="199"/>
        <v/>
      </c>
      <c r="HA22" s="48" t="str">
        <f t="shared" si="199"/>
        <v/>
      </c>
      <c r="HB22" s="48" t="str">
        <f t="shared" si="199"/>
        <v>"cl_WHI",</v>
      </c>
      <c r="HC22" s="48" t="str">
        <f t="shared" si="171"/>
        <v>["cl_BLA","cl_BLU","cl_GRE","cl_RED","cl_ORA","cl_WHI"]</v>
      </c>
      <c r="HE22" s="71"/>
      <c r="HF22" s="72" t="str">
        <f t="shared" si="172"/>
        <v>{couname:"[BRA] Rio Grande do Norte",year:"1957 ",region:"rgn_South America",Colors:["cl_BLA","cl_BLU","cl_GRE","cl_RED","cl_ORA","cl_WHI"],Items:["5+Colo","words2","words3","lets16","startR","year19","allhor","2Bands","Horizo","Plants","Center","Wavess","Ships!","Waters","sta","NO_YEL","001GRE","003BLU","myrEQ","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links: "https://en.wikipedia.org/wiki/Flag_of_Rio_Grande_do_Norte"},</v>
      </c>
      <c r="HG22" s="73" t="str">
        <f t="shared" si="173"/>
        <v>{couname:"[BRA] Rio Grande do Norte",year:"1957 ",region:"rgn_South America",Colors:["cl_BLA","cl_BLU","cl_GRE","cl_RED","cl_ORA","cl_WHI"],Items:["5+Colo","words2","words3","lets16","startR","year19","allhor","2Bands","Horizo","Plants","Center","Wavess","Ships!","Waters","sta","NO_YEL","001GRE","003BLU","myrEQ","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links: "https://en.wikipedia.org/wiki/Flag_of_Rio_Grande_do_Norte"},</v>
      </c>
      <c r="HH22" s="48" t="str">
        <f t="shared" si="174"/>
        <v>"\nThe arms features the basic elements that best represents Rio Grande do Norte: the coconut tree on the left, the Copernicia prunifera on the right, the sugarcane and the cotton, represents the flora. The sea with the jangada stands for the fishing and the salt extraction."</v>
      </c>
      <c r="HI22" s="48" t="str">
        <f t="shared" si="175"/>
        <v>"\nThe arms features the basic elements that best represents Rio Grande do Norte: the coconut tree on the left, the Copernicia prunifera on the right, the sugarcane and the cotton, represents the flora. The sea with the jangada stands for the fishing and the salt extraction."</v>
      </c>
      <c r="HJ22" s="48" t="str">
        <f t="shared" si="176"/>
        <v>"1957 "</v>
      </c>
      <c r="HL22" s="48" t="str">
        <f t="shared" si="177"/>
        <v>"https://en.wikipedia.org/wiki/Flag_of_Rio_Grande_do_Norte"</v>
      </c>
      <c r="HM22" s="72" t="str">
        <f t="shared" si="178"/>
        <v>{"couname":"[BRA] Rio Grande do Norte","year":"1957 ","region":"rgn_South America","Colors":["cl_BLA","cl_BLU","cl_GRE","cl_RED","cl_ORA","cl_WHI"],"Items":["5+Colo","words2","words3","lets16","startR","year19","allhor","2Bands","Horizo","Plants","Center","Wavess","Ships!","Waters","sta","NO_YEL","001GRE","003BLU","myrEQ","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 "links": "https://en.wikipedia.org/wiki/Flag_of_Rio_Grande_do_Norte"},</v>
      </c>
      <c r="HN22" s="74" t="str">
        <f t="shared" si="179"/>
        <v>{"couname":"[BRA] Rio Grande do Norte","year":"1957 ","region":"rgn_South America","Colors":["cl_BLA","cl_BLU","cl_GRE","cl_RED","cl_ORA","cl_WHI"],"Items":["5+Colo","words2","words3","lets16","startR","year19","allhor","2Bands","Horizo","Plants","Center","Wavess","Ships!","Waters","sta","NO_YEL","001GRE","003BLU","myrEQ","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 "links": "https://en.wikipedia.org/wiki/Flag_of_Rio_Grande_do_Norte"},</v>
      </c>
      <c r="HO22" s="75"/>
      <c r="HP22" s="48" t="str" cm="1">
        <f t="array" ref="HP22">IF(_xlfn.TEXTJOIN(", ", TRUE, IF(ISNUMBER(SEARCH("BLA", BL22:BT22)), COLUMN(BL22:BT22) - COLUMN(BL22) + 1, ""))&lt;&gt;"","BLA","")</f>
        <v>BLA</v>
      </c>
      <c r="HQ22" s="48" t="str" cm="1">
        <f t="array" ref="HQ22">IF(_xlfn.TEXTJOIN(", ", TRUE, IF(ISNUMBER(SEARCH("BLU", BL22:BT22)), COLUMN(BL22:BT22) - COLUMN(BL22) + 1, ""))&lt;&gt;"","BLU","")</f>
        <v>BLU</v>
      </c>
      <c r="HR22" s="48" t="str" cm="1">
        <f t="array" ref="HR22">IF(_xlfn.TEXTJOIN(", ", TRUE, IF(ISNUMBER(SEARCH("GRE", BL22:BT22)), COLUMN(BL22:BT22) - COLUMN(BL22) + 1, ""))&lt;&gt;"","GRE","")</f>
        <v>GRE</v>
      </c>
      <c r="HS22" s="48" t="str" cm="1">
        <f t="array" ref="HS22">IF(_xlfn.TEXTJOIN(", ", TRUE, IF(ISNUMBER(SEARCH("RED", BL22:BT22)), COLUMN(BL22:BT22) - COLUMN(BL22) + 1, ""))&lt;&gt;"","RED","")</f>
        <v>RED</v>
      </c>
      <c r="HT22" s="48" t="str" cm="1">
        <f t="array" ref="HT22">IF(_xlfn.TEXTJOIN(", ", TRUE, IF(ISNUMBER(SEARCH("YEL", BL22:BT22)), COLUMN(BL22:BT22) - COLUMN(BL22) + 1, ""))&lt;&gt;"","YEL","")</f>
        <v/>
      </c>
      <c r="HU22" s="48" t="str" cm="1">
        <f t="array" ref="HU22">IF(_xlfn.TEXTJOIN(", ", TRUE, IF(ISNUMBER(SEARCH("ORA", BL22:BT22)), COLUMN(BL22:BT22) - COLUMN(BL22) + 1, ""))&lt;&gt;"","ORA","")</f>
        <v>ORA</v>
      </c>
      <c r="HV22" s="48" t="str" cm="1">
        <f t="array" ref="HV22">IF(_xlfn.TEXTJOIN(", ", TRUE, IF(ISNUMBER(SEARCH("BRO", BL22:BT22)), COLUMN(BL22:BT22) - COLUMN(BL22) + 1, ""))&lt;&gt;"","BRO","")</f>
        <v/>
      </c>
      <c r="HW22" s="48" t="str" cm="1">
        <f t="array" ref="HW22">IF(_xlfn.TEXTJOIN(", ", TRUE, IF(ISNUMBER(SEARCH("PUR", BL22:BT22)), COLUMN(BL22:BT22) - COLUMN(BL22) + 1, ""))&lt;&gt;"","PUR","")</f>
        <v/>
      </c>
      <c r="HX22" s="48" t="str" cm="1">
        <f t="array" ref="HX22">IF(_xlfn.TEXTJOIN(", ", TRUE, IF(ISNUMBER(SEARCH("WHI", BL22:BT22)), COLUMN(BL22:BT22) - COLUMN(BL22) + 1, ""))&lt;&gt;"","WHI","")</f>
        <v>WHI</v>
      </c>
      <c r="HY22" s="76"/>
      <c r="HZ22" s="76"/>
      <c r="IA22" s="6"/>
      <c r="IB22" s="6"/>
      <c r="IC22" s="77"/>
      <c r="ID22" s="77"/>
      <c r="IE22" s="77"/>
      <c r="IF22" s="77"/>
      <c r="IG22" s="77"/>
      <c r="IH22" s="77"/>
      <c r="II22" s="77"/>
      <c r="IJ22" s="77"/>
      <c r="IK22" s="77"/>
      <c r="IL22" s="48">
        <f t="shared" si="209"/>
        <v>0</v>
      </c>
      <c r="IM22" s="45">
        <f t="shared" si="180"/>
        <v>-6</v>
      </c>
      <c r="IN22" s="78" t="str">
        <f t="shared" si="181"/>
        <v>http://mkweb.bcgsc.ca/color-summarizer/?url=https://upload.wikimedia.org/wikipedia/commons/thumb/3/30/Bandeira_do_Rio_Grande_do_Norte.svg/640px-Bandeira_do_Rio_Grande_do_Norte.svg.png&amp;precision=low&amp;num_clusters=6&amp;text=1</v>
      </c>
      <c r="IO22" s="48" t="str">
        <f t="shared" si="182"/>
        <v>"black"</v>
      </c>
      <c r="IP22" s="48" t="str">
        <f t="shared" si="183"/>
        <v>"blue"</v>
      </c>
      <c r="IQ22" s="48" t="str">
        <f t="shared" si="184"/>
        <v>"green"</v>
      </c>
      <c r="IR22" s="48" t="str">
        <f t="shared" si="185"/>
        <v>"red"</v>
      </c>
      <c r="IS22" s="48" t="str">
        <f t="shared" si="186"/>
        <v/>
      </c>
      <c r="IT22" s="48" t="str">
        <f t="shared" si="187"/>
        <v>"orange"</v>
      </c>
      <c r="IU22" s="48" t="str">
        <f t="shared" si="188"/>
        <v/>
      </c>
      <c r="IV22" s="48" t="str">
        <f t="shared" si="189"/>
        <v/>
      </c>
      <c r="IW22" s="48" t="str">
        <f t="shared" si="190"/>
        <v>"white"</v>
      </c>
      <c r="IX22" s="48" t="str">
        <f t="shared" si="191"/>
        <v>{"url":"http://mkweb.bcgsc.ca/color-summarizer/?url=https://upload.wikimedia.org/wikipedia/commons/thumb/3/30/Bandeira_do_Rio_Grande_do_Norte.svg/640px-Bandeira_do_Rio_Grande_do_Norte.svg.png&amp;precision=low&amp;num_clusters=6&amp;text=1","name":"[BRA] Rio Grande do Norte"},</v>
      </c>
      <c r="IY22" s="48">
        <v>687</v>
      </c>
    </row>
    <row r="23" spans="1:259" s="48" customFormat="1" ht="38.4" customHeight="1" thickBot="1" x14ac:dyDescent="0.35">
      <c r="A23" s="79" t="s">
        <v>506</v>
      </c>
      <c r="B23" s="40" t="e" vm="45">
        <v>#VALUE!</v>
      </c>
      <c r="C23" s="41">
        <v>2</v>
      </c>
      <c r="D23" s="42" t="s">
        <v>507</v>
      </c>
      <c r="E23" s="43" t="s">
        <v>508</v>
      </c>
      <c r="F23" s="44" t="s">
        <v>166</v>
      </c>
      <c r="G23" s="45">
        <f>COUNTIF($A$1:$A$8312,A23)</f>
        <v>1</v>
      </c>
      <c r="H23" s="46"/>
      <c r="I23" s="47" t="s">
        <v>509</v>
      </c>
      <c r="J23" s="48" t="str">
        <f>""</f>
        <v/>
      </c>
      <c r="K23" s="49"/>
      <c r="L23" s="50"/>
      <c r="M23" s="50"/>
      <c r="N23" s="51" t="s">
        <v>169</v>
      </c>
      <c r="O23" s="52" t="s">
        <v>230</v>
      </c>
      <c r="P23" s="53" t="s">
        <v>510</v>
      </c>
      <c r="Q23" s="54">
        <v>4</v>
      </c>
      <c r="R23" s="55" t="s">
        <v>169</v>
      </c>
      <c r="S23" s="56">
        <v>3</v>
      </c>
      <c r="T23" s="57" t="s">
        <v>173</v>
      </c>
      <c r="U23" s="58" t="s">
        <v>172</v>
      </c>
      <c r="V23" s="58" t="s">
        <v>172</v>
      </c>
      <c r="W23" s="58" t="s">
        <v>172</v>
      </c>
      <c r="X23" s="58" t="s">
        <v>173</v>
      </c>
      <c r="Y23" s="58" t="s">
        <v>172</v>
      </c>
      <c r="Z23" s="58" t="s">
        <v>172</v>
      </c>
      <c r="AA23" s="58" t="s">
        <v>173</v>
      </c>
      <c r="AB23" s="58" t="s">
        <v>173</v>
      </c>
      <c r="AC23" s="58" t="s">
        <v>173</v>
      </c>
      <c r="AD23" s="58" t="s">
        <v>172</v>
      </c>
      <c r="AE23" s="58" t="s">
        <v>172</v>
      </c>
      <c r="AF23" s="59" t="s">
        <v>172</v>
      </c>
      <c r="AG23" s="59" t="s">
        <v>172</v>
      </c>
      <c r="AH23" s="59" t="s">
        <v>173</v>
      </c>
      <c r="AI23" s="59" t="s">
        <v>172</v>
      </c>
      <c r="AJ23" s="59" t="s">
        <v>172</v>
      </c>
      <c r="AK23" s="59" t="s">
        <v>172</v>
      </c>
      <c r="AL23" s="59" t="s">
        <v>172</v>
      </c>
      <c r="AM23" s="59" t="s">
        <v>172</v>
      </c>
      <c r="AN23" s="59" t="s">
        <v>172</v>
      </c>
      <c r="AO23" s="59" t="s">
        <v>173</v>
      </c>
      <c r="AP23" s="59" t="s">
        <v>172</v>
      </c>
      <c r="AQ23" s="59" t="s">
        <v>172</v>
      </c>
      <c r="AR23" s="59" t="s">
        <v>172</v>
      </c>
      <c r="AS23" s="59" t="s">
        <v>172</v>
      </c>
      <c r="AT23" s="60">
        <v>2</v>
      </c>
      <c r="AU23" s="59" t="s">
        <v>383</v>
      </c>
      <c r="AV23" s="59" t="str">
        <f>IF(LEFT(A23,1)="[",LEFT(A23,5)&amp;AU23&amp;A23,"")</f>
        <v>[BRA]State[BRA] Rio Grande do Sul</v>
      </c>
      <c r="AW23" s="59" t="str">
        <f>C23&amp;H23&amp;A23</f>
        <v>2[BRA] Rio Grande do Sul</v>
      </c>
      <c r="AX23" s="61"/>
      <c r="AY23" s="61"/>
      <c r="AZ23" s="62" t="s">
        <v>159</v>
      </c>
      <c r="BA23" s="62"/>
      <c r="BB23" s="62"/>
      <c r="BC23" s="63"/>
      <c r="BD23" s="64" t="s">
        <v>152</v>
      </c>
      <c r="BE23" s="47"/>
      <c r="BF23" s="64" t="s">
        <v>174</v>
      </c>
      <c r="BG23" s="64" t="s">
        <v>174</v>
      </c>
      <c r="BH23" s="64" t="s">
        <v>174</v>
      </c>
      <c r="BI23" s="64"/>
      <c r="BJ23" s="64"/>
      <c r="BK23" s="47"/>
      <c r="BL23" s="64" t="s">
        <v>174</v>
      </c>
      <c r="BM23" s="64" t="s">
        <v>152</v>
      </c>
      <c r="BN23" s="64" t="s">
        <v>174</v>
      </c>
      <c r="BO23" s="64" t="s">
        <v>174</v>
      </c>
      <c r="BP23" s="64" t="s">
        <v>174</v>
      </c>
      <c r="BQ23" s="64" t="s">
        <v>174</v>
      </c>
      <c r="BR23" s="64" t="s">
        <v>174</v>
      </c>
      <c r="BS23" s="64" t="s">
        <v>174</v>
      </c>
      <c r="BT23" s="64" t="s">
        <v>159</v>
      </c>
      <c r="BU23" s="65"/>
      <c r="BV23" s="66"/>
      <c r="BW23" s="66">
        <v>0</v>
      </c>
      <c r="BX23" s="47"/>
      <c r="CB23" s="6"/>
      <c r="CC23" s="6"/>
      <c r="CD23" s="67">
        <v>0</v>
      </c>
      <c r="CE23" s="67">
        <v>0</v>
      </c>
      <c r="CF23" s="67" t="e">
        <v>#REF!</v>
      </c>
      <c r="CG23" s="68" cm="1">
        <f t="array" ref="CG23">SUMPRODUCT(--(LEN(TRIM(BL23:BT23))&gt;0))</f>
        <v>2</v>
      </c>
      <c r="CH23" s="59" t="str">
        <f t="shared" si="104"/>
        <v>y</v>
      </c>
      <c r="CI23" s="59" t="str">
        <f t="shared" si="105"/>
        <v>n</v>
      </c>
      <c r="CJ23" s="59" t="str">
        <f t="shared" si="106"/>
        <v>n</v>
      </c>
      <c r="CK23" s="59" t="str">
        <f t="shared" si="107"/>
        <v>n</v>
      </c>
      <c r="CL23" s="59" t="str">
        <f t="shared" si="108"/>
        <v>n</v>
      </c>
      <c r="CM23" s="59" t="str">
        <f t="shared" si="109"/>
        <v>n</v>
      </c>
      <c r="CN23" s="59" t="str">
        <f t="shared" si="110"/>
        <v>y</v>
      </c>
      <c r="CO23" s="59" t="str">
        <f t="shared" si="111"/>
        <v>n</v>
      </c>
      <c r="CP23" s="59" t="str">
        <f t="shared" si="112"/>
        <v>n</v>
      </c>
      <c r="CQ23" s="59" t="str">
        <f t="shared" si="113"/>
        <v>n</v>
      </c>
      <c r="CR23" s="59" t="str">
        <f t="shared" si="114"/>
        <v>y</v>
      </c>
      <c r="CS23" s="59" t="str">
        <f t="shared" si="115"/>
        <v>n</v>
      </c>
      <c r="CT23" s="69" t="str">
        <f t="shared" si="116"/>
        <v>"[BRA] Rio Grande do Sul"</v>
      </c>
      <c r="CU23" s="70" t="str">
        <f t="shared" si="117"/>
        <v>"rgn_South America"</v>
      </c>
      <c r="CV23" s="48" t="str">
        <f t="shared" si="118"/>
        <v>"https://upload.wikimedia.org/wikipedia/commons/thumb/6/63/Bandeira_do_Rio_Grande_do_Sul.svg/640px-Bandeira_do_Rio_Grande_do_Sul.svg.png"</v>
      </c>
      <c r="CW23" s="48" t="str">
        <f t="shared" si="195"/>
        <v>"2Color",</v>
      </c>
      <c r="CX23" s="48" t="str">
        <f t="shared" si="195"/>
        <v/>
      </c>
      <c r="CY23" s="48" t="str">
        <f t="shared" si="195"/>
        <v/>
      </c>
      <c r="CZ23" s="48" t="str">
        <f t="shared" si="195"/>
        <v/>
      </c>
      <c r="DA23" s="48" t="str">
        <f t="shared" si="119"/>
        <v>"words2",</v>
      </c>
      <c r="DB23" s="48" t="str">
        <f t="shared" si="200"/>
        <v>"words3",</v>
      </c>
      <c r="DC23" s="48" t="str">
        <f t="shared" si="201"/>
        <v/>
      </c>
      <c r="DD23" s="48" t="str">
        <f t="shared" si="202"/>
        <v>"lets14",</v>
      </c>
      <c r="DE23" s="48" t="str">
        <f t="shared" si="203"/>
        <v>"startR",</v>
      </c>
      <c r="DF23" s="48" t="str">
        <f t="shared" si="121"/>
        <v/>
      </c>
      <c r="DG23" s="48" t="str">
        <f t="shared" si="122"/>
        <v/>
      </c>
      <c r="DH23" s="48" t="str">
        <f t="shared" si="123"/>
        <v/>
      </c>
      <c r="DI23" s="48" t="str">
        <f t="shared" si="124"/>
        <v/>
      </c>
      <c r="DJ23" s="48" t="str">
        <f t="shared" si="125"/>
        <v/>
      </c>
      <c r="DK23" s="48" t="str">
        <f t="shared" si="126"/>
        <v/>
      </c>
      <c r="DL23" s="48" t="str">
        <f t="shared" si="127"/>
        <v>"BLUWHI",</v>
      </c>
      <c r="DM23" s="48" t="str" cm="1">
        <f t="array" ref="DM23">IF(CG23=3,CHAR(34) &amp; _xlfn.TEXTJOIN("", TRUE, RIGHT(HP23:HX23, 2)) &amp; CHAR(34) &amp; ",", "")</f>
        <v/>
      </c>
      <c r="DN23" s="48" t="str">
        <f t="shared" si="128"/>
        <v/>
      </c>
      <c r="DO23" s="48" t="str">
        <f t="shared" si="129"/>
        <v>"year19",</v>
      </c>
      <c r="DP23" s="6" t="str">
        <f t="shared" si="130"/>
        <v/>
      </c>
      <c r="DQ23" s="6" t="str">
        <f t="shared" si="131"/>
        <v/>
      </c>
      <c r="DR23" s="6" t="str">
        <f t="shared" si="132"/>
        <v/>
      </c>
      <c r="DS23" s="6" t="str">
        <f t="shared" si="133"/>
        <v/>
      </c>
      <c r="DT23" s="6" t="str">
        <f t="shared" si="134"/>
        <v/>
      </c>
      <c r="DU23" s="6" t="str">
        <f t="shared" si="135"/>
        <v/>
      </c>
      <c r="DV23" s="48" t="str">
        <f t="shared" si="204"/>
        <v/>
      </c>
      <c r="DW23" s="48" t="str">
        <f t="shared" si="196"/>
        <v/>
      </c>
      <c r="DX23" s="48" t="str">
        <f t="shared" si="196"/>
        <v/>
      </c>
      <c r="DY23" s="48" t="str">
        <f t="shared" si="196"/>
        <v>"3Bands",</v>
      </c>
      <c r="DZ23" s="48" t="str">
        <f t="shared" si="196"/>
        <v/>
      </c>
      <c r="EA23" s="48" t="str">
        <f t="shared" si="197"/>
        <v>"Diagon",</v>
      </c>
      <c r="EB23" s="48" t="str">
        <f t="shared" si="197"/>
        <v/>
      </c>
      <c r="EC23" s="48" t="str">
        <f t="shared" si="197"/>
        <v/>
      </c>
      <c r="ED23" s="48" t="str">
        <f t="shared" si="197"/>
        <v/>
      </c>
      <c r="EE23" s="48" t="str">
        <f t="shared" si="197"/>
        <v>"Circle",</v>
      </c>
      <c r="EF23" s="48" t="str">
        <f t="shared" si="136"/>
        <v/>
      </c>
      <c r="EG23" s="48" t="str">
        <f t="shared" si="194"/>
        <v/>
      </c>
      <c r="EH23" s="48" t="str">
        <f t="shared" si="194"/>
        <v>"Plants",</v>
      </c>
      <c r="EI23" s="48" t="str">
        <f t="shared" si="194"/>
        <v>"Texted",</v>
      </c>
      <c r="EJ23" s="48" t="str">
        <f t="shared" si="194"/>
        <v>"Weapon",</v>
      </c>
      <c r="EK23" s="48" t="str">
        <f t="shared" si="194"/>
        <v/>
      </c>
      <c r="EL23" s="48" t="str">
        <f t="shared" si="194"/>
        <v/>
      </c>
      <c r="EM23" s="48" t="str">
        <f t="shared" si="194"/>
        <v/>
      </c>
      <c r="EN23" s="48" t="str">
        <f t="shared" si="194"/>
        <v/>
      </c>
      <c r="EO23" s="48" t="str">
        <f t="shared" si="194"/>
        <v>"Center",</v>
      </c>
      <c r="EP23" s="48" t="str">
        <f t="shared" si="194"/>
        <v/>
      </c>
      <c r="EQ23" s="48" t="str">
        <f t="shared" si="194"/>
        <v/>
      </c>
      <c r="ER23" s="48" t="str">
        <f t="shared" si="194"/>
        <v/>
      </c>
      <c r="ES23" s="48" t="str">
        <f t="shared" si="194"/>
        <v/>
      </c>
      <c r="ET23" s="48" t="str">
        <f t="shared" si="194"/>
        <v/>
      </c>
      <c r="EU23" s="48" t="str">
        <f t="shared" si="194"/>
        <v/>
      </c>
      <c r="EV23" s="48" t="str">
        <f t="shared" si="194"/>
        <v>"Builds",</v>
      </c>
      <c r="EW23" s="48" t="str">
        <f t="shared" si="193"/>
        <v/>
      </c>
      <c r="EX23" s="48" t="str">
        <f t="shared" si="193"/>
        <v/>
      </c>
      <c r="EY23" s="48" t="str">
        <f t="shared" si="193"/>
        <v/>
      </c>
      <c r="EZ23" s="48" t="str">
        <f t="shared" si="193"/>
        <v/>
      </c>
      <c r="FA23" s="48" t="str">
        <f t="shared" si="137"/>
        <v>"staWHI",</v>
      </c>
      <c r="FB23" s="48" t="str">
        <f t="shared" si="138"/>
        <v/>
      </c>
      <c r="FC23" s="48" t="str">
        <f t="shared" si="205"/>
        <v/>
      </c>
      <c r="FD23" s="48" t="str">
        <f t="shared" si="139"/>
        <v/>
      </c>
      <c r="FE23" s="48" t="str">
        <f t="shared" si="140"/>
        <v/>
      </c>
      <c r="FF23" s="48" t="str">
        <f t="shared" si="141"/>
        <v/>
      </c>
      <c r="FG23" s="48" t="str">
        <f t="shared" si="142"/>
        <v>"NO_RED",</v>
      </c>
      <c r="FH23" s="48" t="str">
        <f t="shared" si="143"/>
        <v>"NO_GRE",</v>
      </c>
      <c r="FI23" s="48" t="str">
        <f t="shared" si="144"/>
        <v>"NO_YEL",</v>
      </c>
      <c r="FJ23" s="48" t="str">
        <f t="shared" si="145"/>
        <v>"NO_BLA",</v>
      </c>
      <c r="FK23" s="48" t="str">
        <f t="shared" si="146"/>
        <v/>
      </c>
      <c r="FL23" s="48" t="str">
        <f t="shared" si="147"/>
        <v/>
      </c>
      <c r="FM23" s="48" t="str">
        <f t="shared" si="148"/>
        <v/>
      </c>
      <c r="FN23" s="48" t="str">
        <f t="shared" si="149"/>
        <v/>
      </c>
      <c r="FO23" s="48" t="str">
        <f t="shared" si="150"/>
        <v/>
      </c>
      <c r="FP23" s="48" t="str">
        <f t="shared" si="151"/>
        <v/>
      </c>
      <c r="FQ23" s="48" t="str">
        <f t="shared" si="152"/>
        <v/>
      </c>
      <c r="FR23" s="48" t="str">
        <f t="shared" si="153"/>
        <v/>
      </c>
      <c r="FS23" s="48" t="str">
        <f t="shared" si="154"/>
        <v/>
      </c>
      <c r="FT23" s="48" t="str">
        <f t="shared" si="155"/>
        <v>"myrBLU",</v>
      </c>
      <c r="FU23" s="48" t="str">
        <f t="shared" si="156"/>
        <v/>
      </c>
      <c r="FV23" s="48" t="str">
        <f t="shared" si="157"/>
        <v/>
      </c>
      <c r="FW23" s="48" t="str">
        <f t="shared" si="158"/>
        <v/>
      </c>
      <c r="FX23" s="48" t="str">
        <f t="shared" si="206"/>
        <v/>
      </c>
      <c r="FY23" s="48" t="str">
        <f t="shared" si="159"/>
        <v/>
      </c>
      <c r="FZ23" s="48" t="str">
        <f t="shared" si="160"/>
        <v/>
      </c>
      <c r="GA23" s="48" t="str">
        <f t="shared" si="161"/>
        <v/>
      </c>
      <c r="GB23" s="48" t="str">
        <f t="shared" si="162"/>
        <v/>
      </c>
      <c r="GC23" s="48" t="str">
        <f t="shared" si="207"/>
        <v/>
      </c>
      <c r="GD23" s="48" t="str">
        <f t="shared" si="208"/>
        <v/>
      </c>
      <c r="GE23" s="48" t="str">
        <f t="shared" si="163"/>
        <v/>
      </c>
      <c r="GF23" s="48" t="str">
        <f t="shared" si="210"/>
        <v/>
      </c>
      <c r="GG23" s="48" t="str">
        <f t="shared" si="164"/>
        <v/>
      </c>
      <c r="GH23" s="48" t="str">
        <f t="shared" si="165"/>
        <v/>
      </c>
      <c r="GI23" s="48" t="str">
        <f t="shared" si="166"/>
        <v/>
      </c>
      <c r="GJ23" s="48" t="str">
        <f t="shared" si="167"/>
        <v/>
      </c>
      <c r="GK23" s="48" t="str">
        <f t="shared" si="168"/>
        <v>"HasSta",</v>
      </c>
      <c r="GL23" s="48" t="str">
        <f t="shared" si="198"/>
        <v/>
      </c>
      <c r="GM23" s="48" t="str">
        <f t="shared" si="198"/>
        <v>"2Stars",</v>
      </c>
      <c r="GN23" s="48" t="str">
        <f t="shared" si="198"/>
        <v/>
      </c>
      <c r="GP23" s="48" t="str">
        <f t="shared" si="169"/>
        <v>"State"</v>
      </c>
      <c r="GS23" s="48" t="str">
        <f t="shared" si="170"/>
        <v>["2Color","words2","words3","lets14","startR","BLUWHI","year19","3Bands","Diagon","Circle","Plants","Texted","Weapon","Center","Builds","staWHI","NO_RED","NO_GRE","NO_YEL","NO_BLA","myrBLU","HasSta","2Stars"]</v>
      </c>
      <c r="GT23" s="48" t="str">
        <f t="shared" si="199"/>
        <v/>
      </c>
      <c r="GU23" s="48" t="str">
        <f t="shared" si="199"/>
        <v>"cl_BLU",</v>
      </c>
      <c r="GV23" s="48" t="str">
        <f t="shared" si="199"/>
        <v/>
      </c>
      <c r="GW23" s="48" t="str">
        <f t="shared" si="199"/>
        <v/>
      </c>
      <c r="GX23" s="48" t="str">
        <f t="shared" si="199"/>
        <v/>
      </c>
      <c r="GY23" s="48" t="str">
        <f t="shared" si="199"/>
        <v/>
      </c>
      <c r="GZ23" s="48" t="str">
        <f t="shared" si="199"/>
        <v/>
      </c>
      <c r="HA23" s="48" t="str">
        <f t="shared" si="199"/>
        <v/>
      </c>
      <c r="HB23" s="48" t="str">
        <f t="shared" si="199"/>
        <v>"cl_WHI",</v>
      </c>
      <c r="HC23" s="48" t="str">
        <f t="shared" si="171"/>
        <v>["cl_BLU","cl_WHI"]</v>
      </c>
      <c r="HE23" s="71"/>
      <c r="HF23" s="72" t="str">
        <f t="shared" si="172"/>
        <v>{couname:"[BRA] Rio Grande do Sul",year:"1966 ",region:"rgn_South America",Colors:["cl_BLU","cl_WHI"],Items:["2Color","words2","words3","lets14","startR","BLUWHI","year19","3Bands","Diagon","Circle","Plants","Texted","Weapon","Center","Builds","staWHI","NO_RED","NO_GRE","NO_YEL","NO_BLA","myrBLU","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links: "https://pt.wikipedia.org/wiki/Bandeira_do_Rio_Grande_do_Sul"},</v>
      </c>
      <c r="HG23" s="73" t="str">
        <f t="shared" si="173"/>
        <v>{couname:"[BRA] Rio Grande do Sul",year:"1966 ",region:"rgn_South America",Colors:["cl_BLU","cl_WHI"],Items:["2Color","words2","words3","lets14","startR","BLUWHI","year19","3Bands","Diagon","Circle","Plants","Texted","Weapon","Center","Builds","staWHI","NO_RED","NO_GRE","NO_YEL","NO_BLA","myrBLU","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links: "https://pt.wikipedia.org/wiki/Bandeira_do_Rio_Grande_do_Sul"},</v>
      </c>
      <c r="HH23" s="48" t="str">
        <f t="shared" si="174"/>
        <v>"\nMansueto Bernardi said: Is identified with the green of our landscapes, the gold of the ground we walk on, and the red of the modesty that makes us honorable and always prepared to defend our land."</v>
      </c>
      <c r="HI23" s="48" t="str">
        <f t="shared" si="175"/>
        <v>"\nMansueto Bernardi said: Is identified with the green of our landscapes, the gold of the ground we walk on, and the red of the modesty that makes us honorable and always prepared to defend our land."</v>
      </c>
      <c r="HJ23" s="48" t="str">
        <f t="shared" si="176"/>
        <v>"1966 "</v>
      </c>
      <c r="HL23" s="48" t="str">
        <f t="shared" si="177"/>
        <v>"https://pt.wikipedia.org/wiki/Bandeira_do_Rio_Grande_do_Sul"</v>
      </c>
      <c r="HM23" s="72" t="str">
        <f t="shared" si="178"/>
        <v>{"couname":"[BRA] Rio Grande do Sul","year":"1966 ","region":"rgn_South America","Colors":["cl_BLU","cl_WHI"],"Items":["2Color","words2","words3","lets14","startR","BLUWHI","year19","3Bands","Diagon","Circle","Plants","Texted","Weapon","Center","Builds","staWHI","NO_RED","NO_GRE","NO_YEL","NO_BLA","myrBLU","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 "links": "https://pt.wikipedia.org/wiki/Bandeira_do_Rio_Grande_do_Sul"},</v>
      </c>
      <c r="HN23" s="74" t="str">
        <f t="shared" si="179"/>
        <v>{"couname":"[BRA] Rio Grande do Sul","year":"1966 ","region":"rgn_South America","Colors":["cl_BLU","cl_WHI"],"Items":["2Color","words2","words3","lets14","startR","BLUWHI","year19","3Bands","Diagon","Circle","Plants","Texted","Weapon","Center","Builds","staWHI","NO_RED","NO_GRE","NO_YEL","NO_BLA","myrBLU","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 "links": "https://pt.wikipedia.org/wiki/Bandeira_do_Rio_Grande_do_Sul"},</v>
      </c>
      <c r="HO23" s="75"/>
      <c r="HP23" s="48" t="str" cm="1">
        <f t="array" ref="HP23">IF(_xlfn.TEXTJOIN(", ", TRUE, IF(ISNUMBER(SEARCH("BLA", BL23:BT23)), COLUMN(BL23:BT23) - COLUMN(BL23) + 1, ""))&lt;&gt;"","BLA","")</f>
        <v/>
      </c>
      <c r="HQ23" s="48" t="str" cm="1">
        <f t="array" ref="HQ23">IF(_xlfn.TEXTJOIN(", ", TRUE, IF(ISNUMBER(SEARCH("BLU", BL23:BT23)), COLUMN(BL23:BT23) - COLUMN(BL23) + 1, ""))&lt;&gt;"","BLU","")</f>
        <v>BLU</v>
      </c>
      <c r="HR23" s="48" t="str" cm="1">
        <f t="array" ref="HR23">IF(_xlfn.TEXTJOIN(", ", TRUE, IF(ISNUMBER(SEARCH("GRE", BL23:BT23)), COLUMN(BL23:BT23) - COLUMN(BL23) + 1, ""))&lt;&gt;"","GRE","")</f>
        <v/>
      </c>
      <c r="HS23" s="48" t="str" cm="1">
        <f t="array" ref="HS23">IF(_xlfn.TEXTJOIN(", ", TRUE, IF(ISNUMBER(SEARCH("RED", BL23:BT23)), COLUMN(BL23:BT23) - COLUMN(BL23) + 1, ""))&lt;&gt;"","RED","")</f>
        <v/>
      </c>
      <c r="HT23" s="48" t="str" cm="1">
        <f t="array" ref="HT23">IF(_xlfn.TEXTJOIN(", ", TRUE, IF(ISNUMBER(SEARCH("YEL", BL23:BT23)), COLUMN(BL23:BT23) - COLUMN(BL23) + 1, ""))&lt;&gt;"","YEL","")</f>
        <v/>
      </c>
      <c r="HU23" s="48" t="str" cm="1">
        <f t="array" ref="HU23">IF(_xlfn.TEXTJOIN(", ", TRUE, IF(ISNUMBER(SEARCH("ORA", BL23:BT23)), COLUMN(BL23:BT23) - COLUMN(BL23) + 1, ""))&lt;&gt;"","ORA","")</f>
        <v/>
      </c>
      <c r="HV23" s="48" t="str" cm="1">
        <f t="array" ref="HV23">IF(_xlfn.TEXTJOIN(", ", TRUE, IF(ISNUMBER(SEARCH("BRO", BL23:BT23)), COLUMN(BL23:BT23) - COLUMN(BL23) + 1, ""))&lt;&gt;"","BRO","")</f>
        <v/>
      </c>
      <c r="HW23" s="48" t="str" cm="1">
        <f t="array" ref="HW23">IF(_xlfn.TEXTJOIN(", ", TRUE, IF(ISNUMBER(SEARCH("PUR", BL23:BT23)), COLUMN(BL23:BT23) - COLUMN(BL23) + 1, ""))&lt;&gt;"","PUR","")</f>
        <v/>
      </c>
      <c r="HX23" s="48" t="str" cm="1">
        <f t="array" ref="HX23">IF(_xlfn.TEXTJOIN(", ", TRUE, IF(ISNUMBER(SEARCH("WHI", BL23:BT23)), COLUMN(BL23:BT23) - COLUMN(BL23) + 1, ""))&lt;&gt;"","WHI","")</f>
        <v>WHI</v>
      </c>
      <c r="HY23" s="76"/>
      <c r="HZ23" s="76"/>
      <c r="IA23" s="6"/>
      <c r="IB23" s="6"/>
      <c r="IC23" s="77"/>
      <c r="ID23" s="77"/>
      <c r="IE23" s="77"/>
      <c r="IF23" s="77"/>
      <c r="IG23" s="77"/>
      <c r="IH23" s="77"/>
      <c r="II23" s="77"/>
      <c r="IJ23" s="77"/>
      <c r="IK23" s="77"/>
      <c r="IL23" s="48">
        <f t="shared" si="209"/>
        <v>0</v>
      </c>
      <c r="IM23" s="45">
        <f t="shared" si="180"/>
        <v>-2</v>
      </c>
      <c r="IN23" s="78" t="str">
        <f t="shared" si="181"/>
        <v>http://mkweb.bcgsc.ca/color-summarizer/?url=https://upload.wikimedia.org/wikipedia/commons/thumb/6/63/Bandeira_do_Rio_Grande_do_Sul.svg/640px-Bandeira_do_Rio_Grande_do_Sul.svg.png&amp;precision=low&amp;num_clusters=2&amp;text=1</v>
      </c>
      <c r="IO23" s="48" t="str">
        <f t="shared" si="182"/>
        <v/>
      </c>
      <c r="IP23" s="48" t="str">
        <f t="shared" si="183"/>
        <v>"blue"</v>
      </c>
      <c r="IQ23" s="48" t="str">
        <f t="shared" si="184"/>
        <v/>
      </c>
      <c r="IR23" s="48" t="str">
        <f t="shared" si="185"/>
        <v/>
      </c>
      <c r="IS23" s="48" t="str">
        <f t="shared" si="186"/>
        <v/>
      </c>
      <c r="IT23" s="48" t="str">
        <f t="shared" si="187"/>
        <v/>
      </c>
      <c r="IU23" s="48" t="str">
        <f t="shared" si="188"/>
        <v/>
      </c>
      <c r="IV23" s="48" t="str">
        <f t="shared" si="189"/>
        <v/>
      </c>
      <c r="IW23" s="48" t="str">
        <f t="shared" si="190"/>
        <v>"white"</v>
      </c>
      <c r="IX23" s="48" t="str">
        <f t="shared" si="191"/>
        <v>{"url":"http://mkweb.bcgsc.ca/color-summarizer/?url=https://upload.wikimedia.org/wikipedia/commons/thumb/6/63/Bandeira_do_Rio_Grande_do_Sul.svg/640px-Bandeira_do_Rio_Grande_do_Sul.svg.png&amp;precision=low&amp;num_clusters=2&amp;text=1","name":"[BRA] Rio Grande do Sul"},</v>
      </c>
      <c r="IY23" s="48">
        <v>688</v>
      </c>
    </row>
    <row r="24" spans="1:259" s="48" customFormat="1" ht="38.4" customHeight="1" thickBot="1" x14ac:dyDescent="0.35">
      <c r="A24" s="79" t="s">
        <v>511</v>
      </c>
      <c r="B24" s="40" t="e" vm="46">
        <v>#VALUE!</v>
      </c>
      <c r="C24" s="41">
        <v>2</v>
      </c>
      <c r="D24" s="42" t="s">
        <v>512</v>
      </c>
      <c r="E24" s="43" t="s">
        <v>513</v>
      </c>
      <c r="F24" s="44" t="s">
        <v>166</v>
      </c>
      <c r="G24" s="45">
        <f>COUNTIF($A$1:$A$8312,A24)</f>
        <v>1</v>
      </c>
      <c r="H24" s="46"/>
      <c r="I24" s="47" t="s">
        <v>514</v>
      </c>
      <c r="J24" s="48" t="str">
        <f>""</f>
        <v/>
      </c>
      <c r="K24" s="49"/>
      <c r="L24" s="50"/>
      <c r="M24" s="50"/>
      <c r="N24" s="51" t="s">
        <v>169</v>
      </c>
      <c r="O24" s="52" t="s">
        <v>515</v>
      </c>
      <c r="P24" s="53" t="s">
        <v>516</v>
      </c>
      <c r="Q24" s="54">
        <v>1</v>
      </c>
      <c r="R24" s="55" t="s">
        <v>169</v>
      </c>
      <c r="S24" s="56">
        <v>2</v>
      </c>
      <c r="T24" s="57" t="s">
        <v>173</v>
      </c>
      <c r="U24" s="58" t="s">
        <v>172</v>
      </c>
      <c r="V24" s="58" t="s">
        <v>173</v>
      </c>
      <c r="W24" s="58" t="s">
        <v>172</v>
      </c>
      <c r="X24" s="58" t="s">
        <v>172</v>
      </c>
      <c r="Y24" s="58" t="s">
        <v>172</v>
      </c>
      <c r="Z24" s="58" t="s">
        <v>172</v>
      </c>
      <c r="AA24" s="58" t="s">
        <v>172</v>
      </c>
      <c r="AB24" s="58" t="s">
        <v>172</v>
      </c>
      <c r="AC24" s="58" t="s">
        <v>172</v>
      </c>
      <c r="AD24" s="58" t="s">
        <v>172</v>
      </c>
      <c r="AE24" s="58" t="s">
        <v>172</v>
      </c>
      <c r="AF24" s="59" t="s">
        <v>172</v>
      </c>
      <c r="AG24" s="59" t="s">
        <v>172</v>
      </c>
      <c r="AH24" s="59" t="s">
        <v>173</v>
      </c>
      <c r="AI24" s="59" t="s">
        <v>172</v>
      </c>
      <c r="AJ24" s="59" t="s">
        <v>172</v>
      </c>
      <c r="AK24" s="59" t="s">
        <v>172</v>
      </c>
      <c r="AL24" s="59" t="s">
        <v>172</v>
      </c>
      <c r="AM24" s="59" t="s">
        <v>172</v>
      </c>
      <c r="AN24" s="59" t="s">
        <v>172</v>
      </c>
      <c r="AO24" s="59" t="s">
        <v>172</v>
      </c>
      <c r="AP24" s="59" t="s">
        <v>172</v>
      </c>
      <c r="AQ24" s="59" t="s">
        <v>172</v>
      </c>
      <c r="AR24" s="59" t="s">
        <v>172</v>
      </c>
      <c r="AS24" s="59" t="s">
        <v>172</v>
      </c>
      <c r="AT24" s="60">
        <v>1</v>
      </c>
      <c r="AU24" s="59" t="s">
        <v>383</v>
      </c>
      <c r="AV24" s="59" t="str">
        <f>IF(LEFT(A24,1)="[",LEFT(A24,5)&amp;AU24&amp;A24,"")</f>
        <v>[BRA]State[BRA] Rondonia</v>
      </c>
      <c r="AW24" s="59" t="str">
        <f>C24&amp;H24&amp;A24</f>
        <v>2[BRA] Rondonia</v>
      </c>
      <c r="AX24" s="61"/>
      <c r="AY24" s="61"/>
      <c r="AZ24" s="62" t="s">
        <v>174</v>
      </c>
      <c r="BA24" s="62" t="s">
        <v>174</v>
      </c>
      <c r="BB24" s="62"/>
      <c r="BC24" s="63"/>
      <c r="BD24" s="64" t="s">
        <v>152</v>
      </c>
      <c r="BE24" s="47"/>
      <c r="BF24" s="64" t="s">
        <v>174</v>
      </c>
      <c r="BG24" s="64" t="s">
        <v>174</v>
      </c>
      <c r="BH24" s="64" t="s">
        <v>174</v>
      </c>
      <c r="BI24" s="64"/>
      <c r="BJ24" s="64"/>
      <c r="BK24" s="47"/>
      <c r="BL24" s="64" t="s">
        <v>151</v>
      </c>
      <c r="BM24" s="64" t="s">
        <v>152</v>
      </c>
      <c r="BN24" s="64" t="s">
        <v>153</v>
      </c>
      <c r="BO24" s="64" t="s">
        <v>174</v>
      </c>
      <c r="BP24" s="64" t="s">
        <v>155</v>
      </c>
      <c r="BQ24" s="64" t="s">
        <v>174</v>
      </c>
      <c r="BR24" s="64" t="s">
        <v>157</v>
      </c>
      <c r="BS24" s="64" t="s">
        <v>174</v>
      </c>
      <c r="BT24" s="64" t="s">
        <v>174</v>
      </c>
      <c r="BU24" s="65"/>
      <c r="BV24" s="66"/>
      <c r="BW24" s="66">
        <v>0</v>
      </c>
      <c r="BX24" s="47"/>
      <c r="CB24" s="6"/>
      <c r="CC24" s="6"/>
      <c r="CD24" s="67">
        <v>0</v>
      </c>
      <c r="CE24" s="67">
        <v>0</v>
      </c>
      <c r="CF24" s="67" t="e">
        <v>#REF!</v>
      </c>
      <c r="CG24" s="68" cm="1">
        <f t="array" ref="CG24">SUMPRODUCT(--(LEN(TRIM(BL24:BT24))&gt;0))</f>
        <v>5</v>
      </c>
      <c r="CH24" s="59" t="str">
        <f t="shared" si="104"/>
        <v>n</v>
      </c>
      <c r="CI24" s="59" t="str">
        <f t="shared" si="105"/>
        <v>n</v>
      </c>
      <c r="CJ24" s="59" t="str">
        <f t="shared" si="106"/>
        <v>n</v>
      </c>
      <c r="CK24" s="59" t="str">
        <f t="shared" si="107"/>
        <v>y</v>
      </c>
      <c r="CL24" s="59" t="str">
        <f t="shared" si="108"/>
        <v>n</v>
      </c>
      <c r="CM24" s="59" t="str">
        <f t="shared" si="109"/>
        <v>y</v>
      </c>
      <c r="CN24" s="59" t="str">
        <f t="shared" si="110"/>
        <v>n</v>
      </c>
      <c r="CO24" s="59" t="str">
        <f t="shared" si="111"/>
        <v>n</v>
      </c>
      <c r="CP24" s="59" t="str">
        <f t="shared" si="112"/>
        <v>n</v>
      </c>
      <c r="CQ24" s="59" t="str">
        <f t="shared" si="113"/>
        <v>y</v>
      </c>
      <c r="CR24" s="59" t="str">
        <f t="shared" si="114"/>
        <v>n</v>
      </c>
      <c r="CS24" s="59" t="str">
        <f t="shared" si="115"/>
        <v>n</v>
      </c>
      <c r="CT24" s="69" t="str">
        <f t="shared" si="116"/>
        <v>"[BRA] Rondonia"</v>
      </c>
      <c r="CU24" s="70" t="str">
        <f t="shared" si="117"/>
        <v>"rgn_South America"</v>
      </c>
      <c r="CV24" s="48" t="str">
        <f t="shared" si="118"/>
        <v>"https://upload.wikimedia.org/wikipedia/commons/thumb/f/fa/Bandeira_de_Rond%C3%B4nia.svg/640px-Bandeira_de_Rond%C3%B4nia.svg.png"</v>
      </c>
      <c r="CW24" s="48" t="str">
        <f t="shared" si="195"/>
        <v/>
      </c>
      <c r="CX24" s="48" t="str">
        <f t="shared" si="195"/>
        <v/>
      </c>
      <c r="CY24" s="48" t="str">
        <f t="shared" si="195"/>
        <v/>
      </c>
      <c r="CZ24" s="48" t="str">
        <f t="shared" si="195"/>
        <v>"5+Colo",</v>
      </c>
      <c r="DA24" s="48" t="str">
        <f t="shared" si="119"/>
        <v/>
      </c>
      <c r="DB24" s="48" t="str">
        <f t="shared" si="200"/>
        <v/>
      </c>
      <c r="DC24" s="48" t="str">
        <f t="shared" si="201"/>
        <v/>
      </c>
      <c r="DD24" s="48" t="str">
        <f t="shared" si="202"/>
        <v>"lets08",</v>
      </c>
      <c r="DE24" s="48" t="str">
        <f t="shared" si="203"/>
        <v>"startR",</v>
      </c>
      <c r="DF24" s="48" t="str">
        <f t="shared" si="121"/>
        <v/>
      </c>
      <c r="DG24" s="48" t="str">
        <f t="shared" si="122"/>
        <v/>
      </c>
      <c r="DH24" s="48" t="str">
        <f t="shared" si="123"/>
        <v/>
      </c>
      <c r="DI24" s="48" t="str">
        <f t="shared" si="124"/>
        <v/>
      </c>
      <c r="DJ24" s="48" t="str">
        <f t="shared" si="125"/>
        <v/>
      </c>
      <c r="DK24" s="48" t="str">
        <f t="shared" si="126"/>
        <v/>
      </c>
      <c r="DL24" s="48" t="str">
        <f t="shared" si="127"/>
        <v/>
      </c>
      <c r="DM24" s="48" t="str" cm="1">
        <f t="array" ref="DM24">IF(CG24=3,CHAR(34) &amp; _xlfn.TEXTJOIN("", TRUE, RIGHT(HP24:HX24, 2)) &amp; CHAR(34) &amp; ",", "")</f>
        <v/>
      </c>
      <c r="DN24" s="48" t="str">
        <f t="shared" si="128"/>
        <v/>
      </c>
      <c r="DO24" s="48" t="str">
        <f t="shared" si="129"/>
        <v>"year19",</v>
      </c>
      <c r="DP24" s="6" t="str">
        <f t="shared" si="130"/>
        <v/>
      </c>
      <c r="DQ24" s="6" t="str">
        <f t="shared" si="131"/>
        <v/>
      </c>
      <c r="DR24" s="6" t="str">
        <f t="shared" si="132"/>
        <v/>
      </c>
      <c r="DS24" s="6" t="str">
        <f t="shared" si="133"/>
        <v/>
      </c>
      <c r="DT24" s="6" t="str">
        <f t="shared" si="134"/>
        <v>"allhor",</v>
      </c>
      <c r="DU24" s="6" t="str">
        <f t="shared" si="135"/>
        <v/>
      </c>
      <c r="DV24" s="48" t="str">
        <f t="shared" si="204"/>
        <v/>
      </c>
      <c r="DW24" s="48" t="str">
        <f t="shared" si="196"/>
        <v/>
      </c>
      <c r="DX24" s="48" t="str">
        <f t="shared" si="196"/>
        <v>"2Bands",</v>
      </c>
      <c r="DY24" s="48" t="str">
        <f t="shared" si="196"/>
        <v/>
      </c>
      <c r="DZ24" s="48" t="str">
        <f t="shared" si="196"/>
        <v/>
      </c>
      <c r="EA24" s="48" t="str">
        <f t="shared" si="197"/>
        <v>"Diagon",</v>
      </c>
      <c r="EB24" s="48" t="str">
        <f t="shared" si="197"/>
        <v/>
      </c>
      <c r="EC24" s="48" t="str">
        <f t="shared" si="197"/>
        <v>"Horizo",</v>
      </c>
      <c r="ED24" s="48" t="str">
        <f t="shared" si="197"/>
        <v/>
      </c>
      <c r="EE24" s="48" t="str">
        <f t="shared" si="197"/>
        <v/>
      </c>
      <c r="EF24" s="48" t="str">
        <f t="shared" si="136"/>
        <v/>
      </c>
      <c r="EG24" s="48" t="str">
        <f t="shared" si="194"/>
        <v/>
      </c>
      <c r="EH24" s="48" t="str">
        <f t="shared" si="194"/>
        <v/>
      </c>
      <c r="EI24" s="48" t="str">
        <f t="shared" si="194"/>
        <v/>
      </c>
      <c r="EJ24" s="48" t="str">
        <f t="shared" si="194"/>
        <v/>
      </c>
      <c r="EK24" s="48" t="str">
        <f t="shared" si="194"/>
        <v/>
      </c>
      <c r="EL24" s="48" t="str">
        <f t="shared" si="194"/>
        <v/>
      </c>
      <c r="EM24" s="48" t="str">
        <f t="shared" si="194"/>
        <v/>
      </c>
      <c r="EN24" s="48" t="str">
        <f t="shared" si="194"/>
        <v/>
      </c>
      <c r="EO24" s="48" t="str">
        <f t="shared" si="194"/>
        <v>"Center",</v>
      </c>
      <c r="EP24" s="48" t="str">
        <f t="shared" si="194"/>
        <v/>
      </c>
      <c r="EQ24" s="48" t="str">
        <f t="shared" si="194"/>
        <v/>
      </c>
      <c r="ER24" s="48" t="str">
        <f t="shared" si="194"/>
        <v/>
      </c>
      <c r="ES24" s="48" t="str">
        <f t="shared" si="194"/>
        <v/>
      </c>
      <c r="ET24" s="48" t="str">
        <f t="shared" si="194"/>
        <v/>
      </c>
      <c r="EU24" s="48" t="str">
        <f t="shared" si="194"/>
        <v/>
      </c>
      <c r="EV24" s="48" t="str">
        <f t="shared" si="194"/>
        <v/>
      </c>
      <c r="EW24" s="48" t="str">
        <f t="shared" si="193"/>
        <v/>
      </c>
      <c r="EX24" s="48" t="str">
        <f t="shared" si="193"/>
        <v/>
      </c>
      <c r="EY24" s="48" t="str">
        <f t="shared" si="193"/>
        <v/>
      </c>
      <c r="EZ24" s="48" t="str">
        <f t="shared" si="193"/>
        <v/>
      </c>
      <c r="FA24" s="48" t="str">
        <f t="shared" si="137"/>
        <v>"sta",</v>
      </c>
      <c r="FB24" s="48" t="str">
        <f t="shared" si="138"/>
        <v/>
      </c>
      <c r="FC24" s="48" t="str">
        <f t="shared" si="205"/>
        <v/>
      </c>
      <c r="FD24" s="48" t="str">
        <f t="shared" si="139"/>
        <v/>
      </c>
      <c r="FE24" s="48" t="str">
        <f t="shared" si="140"/>
        <v/>
      </c>
      <c r="FF24" s="48" t="str">
        <f t="shared" si="141"/>
        <v>"NO_WHI",</v>
      </c>
      <c r="FG24" s="48" t="str">
        <f t="shared" si="142"/>
        <v>"NO_RED",</v>
      </c>
      <c r="FH24" s="48" t="str">
        <f t="shared" si="143"/>
        <v/>
      </c>
      <c r="FI24" s="48" t="str">
        <f t="shared" si="144"/>
        <v/>
      </c>
      <c r="FJ24" s="48" t="str">
        <f t="shared" si="145"/>
        <v/>
      </c>
      <c r="FK24" s="48" t="str">
        <f t="shared" si="146"/>
        <v/>
      </c>
      <c r="FL24" s="48" t="str">
        <f t="shared" si="147"/>
        <v/>
      </c>
      <c r="FM24" s="48" t="str">
        <f t="shared" si="148"/>
        <v/>
      </c>
      <c r="FN24" s="48" t="str">
        <f t="shared" si="149"/>
        <v/>
      </c>
      <c r="FO24" s="48" t="str">
        <f t="shared" si="150"/>
        <v/>
      </c>
      <c r="FP24" s="48" t="str">
        <f t="shared" si="151"/>
        <v>"WHRENO",</v>
      </c>
      <c r="FQ24" s="48" t="str">
        <f t="shared" si="152"/>
        <v/>
      </c>
      <c r="FR24" s="48" t="str">
        <f t="shared" si="153"/>
        <v/>
      </c>
      <c r="FS24" s="48" t="str">
        <f t="shared" si="154"/>
        <v/>
      </c>
      <c r="FT24" s="48" t="str">
        <f t="shared" si="155"/>
        <v>"myrBLU",</v>
      </c>
      <c r="FU24" s="48" t="str">
        <f t="shared" si="156"/>
        <v/>
      </c>
      <c r="FV24" s="48" t="str">
        <f t="shared" si="157"/>
        <v/>
      </c>
      <c r="FW24" s="48" t="str">
        <f t="shared" si="158"/>
        <v/>
      </c>
      <c r="FX24" s="48" t="str">
        <f t="shared" si="206"/>
        <v/>
      </c>
      <c r="FY24" s="48" t="str">
        <f t="shared" si="159"/>
        <v/>
      </c>
      <c r="FZ24" s="48" t="str">
        <f t="shared" si="160"/>
        <v/>
      </c>
      <c r="GA24" s="48" t="str">
        <f t="shared" si="161"/>
        <v/>
      </c>
      <c r="GB24" s="48" t="str">
        <f t="shared" si="162"/>
        <v/>
      </c>
      <c r="GC24" s="48" t="str">
        <f t="shared" si="207"/>
        <v/>
      </c>
      <c r="GD24" s="48" t="str">
        <f t="shared" si="208"/>
        <v/>
      </c>
      <c r="GE24" s="48" t="str">
        <f t="shared" si="163"/>
        <v/>
      </c>
      <c r="GF24" s="48" t="str">
        <f t="shared" si="210"/>
        <v/>
      </c>
      <c r="GG24" s="48" t="str">
        <f t="shared" si="164"/>
        <v/>
      </c>
      <c r="GH24" s="48" t="str">
        <f t="shared" si="165"/>
        <v/>
      </c>
      <c r="GI24" s="48" t="str">
        <f t="shared" si="166"/>
        <v/>
      </c>
      <c r="GJ24" s="48" t="str">
        <f t="shared" si="167"/>
        <v/>
      </c>
      <c r="GK24" s="48" t="str">
        <f t="shared" si="168"/>
        <v>"HasSta",</v>
      </c>
      <c r="GL24" s="48" t="str">
        <f t="shared" si="198"/>
        <v>"1Stars",</v>
      </c>
      <c r="GM24" s="48" t="str">
        <f t="shared" si="198"/>
        <v/>
      </c>
      <c r="GN24" s="48" t="str">
        <f t="shared" si="198"/>
        <v/>
      </c>
      <c r="GP24" s="48" t="str">
        <f t="shared" si="169"/>
        <v>"State"</v>
      </c>
      <c r="GS24" s="48" t="str">
        <f t="shared" si="170"/>
        <v>["5+Colo","lets08","startR","year19","allhor","2Bands","Diagon","Horizo","Center","sta","NO_WHI","NO_RED","WHRENO","myrBLU","HasSta","1Stars"]</v>
      </c>
      <c r="GT24" s="48" t="str">
        <f t="shared" si="199"/>
        <v>"cl_BLA",</v>
      </c>
      <c r="GU24" s="48" t="str">
        <f t="shared" si="199"/>
        <v>"cl_BLU",</v>
      </c>
      <c r="GV24" s="48" t="str">
        <f t="shared" si="199"/>
        <v>"cl_GRE",</v>
      </c>
      <c r="GW24" s="48" t="str">
        <f t="shared" si="199"/>
        <v/>
      </c>
      <c r="GX24" s="48" t="str">
        <f t="shared" si="199"/>
        <v>"cl_YEL",</v>
      </c>
      <c r="GY24" s="48" t="str">
        <f t="shared" si="199"/>
        <v/>
      </c>
      <c r="GZ24" s="48" t="str">
        <f t="shared" si="199"/>
        <v>"cl_BRO",</v>
      </c>
      <c r="HA24" s="48" t="str">
        <f t="shared" si="199"/>
        <v/>
      </c>
      <c r="HB24" s="48" t="str">
        <f t="shared" si="199"/>
        <v/>
      </c>
      <c r="HC24" s="48" t="str">
        <f t="shared" si="171"/>
        <v>["cl_BLA","cl_BLU","cl_GRE","cl_YEL","cl_BRO"]</v>
      </c>
      <c r="HE24" s="71"/>
      <c r="HF24" s="72" t="str">
        <f t="shared" si="172"/>
        <v>{couname:"[BRA] Rondonia",year:"1981 ",region:"rgn_South America",Colors:["cl_BLA","cl_BLU","cl_GRE","cl_YEL","cl_BRO"],Items:["5+Colo","lets08","startR","year19","allhor","2Bands","Diagon","Horizo","Center","sta","NO_WHI","NO_RED","WHRENO","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links: "https://en.wikipedia.org/wiki/Flag_of_Rondônia"},</v>
      </c>
      <c r="HG24" s="73" t="str">
        <f t="shared" si="173"/>
        <v>{couname:"[BRA] Rondonia",year:"1981 ",region:"rgn_South America",Colors:["cl_BLA","cl_BLU","cl_GRE","cl_YEL","cl_BRO"],Items:["5+Colo","lets08","startR","year19","allhor","2Bands","Diagon","Horizo","Center","sta","NO_WHI","NO_RED","WHRENO","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links: "https://en.wikipedia.org/wiki/Flag_of_Rondônia"},</v>
      </c>
      <c r="HH24" s="48" t="str">
        <f t="shared" si="174"/>
        <v>"\nThe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v>
      </c>
      <c r="HI24" s="48" t="str">
        <f t="shared" si="175"/>
        <v>"\nThe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v>
      </c>
      <c r="HJ24" s="48" t="str">
        <f t="shared" si="176"/>
        <v>"1981 "</v>
      </c>
      <c r="HL24" s="48" t="str">
        <f t="shared" si="177"/>
        <v>"https://en.wikipedia.org/wiki/Flag_of_Rondônia"</v>
      </c>
      <c r="HM24" s="72" t="str">
        <f t="shared" si="178"/>
        <v>{"couname":"[BRA] Rondonia","year":"1981 ","region":"rgn_South America","Colors":["cl_BLA","cl_BLU","cl_GRE","cl_YEL","cl_BRO"],"Items":["5+Colo","lets08","startR","year19","allhor","2Bands","Diagon","Horizo","Center","sta","NO_WHI","NO_RED","WHRENO","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 "links": "https://en.wikipedia.org/wiki/Flag_of_Rondônia"},</v>
      </c>
      <c r="HN24" s="74" t="str">
        <f t="shared" si="179"/>
        <v>{"couname":"[BRA] Rondonia","year":"1981 ","region":"rgn_South America","Colors":["cl_BLA","cl_BLU","cl_GRE","cl_YEL","cl_BRO"],"Items":["5+Colo","lets08","startR","year19","allhor","2Bands","Diagon","Horizo","Center","sta","NO_WHI","NO_RED","WHRENO","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 "links": "https://en.wikipedia.org/wiki/Flag_of_Rondônia"},</v>
      </c>
      <c r="HO24" s="75">
        <v>45583</v>
      </c>
      <c r="HP24" s="48" t="str" cm="1">
        <f t="array" ref="HP24">IF(_xlfn.TEXTJOIN(", ", TRUE, IF(ISNUMBER(SEARCH("BLA", BL24:BT24)), COLUMN(BL24:BT24) - COLUMN(BL24) + 1, ""))&lt;&gt;"","BLA","")</f>
        <v>BLA</v>
      </c>
      <c r="HQ24" s="48" t="str" cm="1">
        <f t="array" ref="HQ24">IF(_xlfn.TEXTJOIN(", ", TRUE, IF(ISNUMBER(SEARCH("BLU", BL24:BT24)), COLUMN(BL24:BT24) - COLUMN(BL24) + 1, ""))&lt;&gt;"","BLU","")</f>
        <v>BLU</v>
      </c>
      <c r="HR24" s="48" t="str" cm="1">
        <f t="array" ref="HR24">IF(_xlfn.TEXTJOIN(", ", TRUE, IF(ISNUMBER(SEARCH("GRE", BL24:BT24)), COLUMN(BL24:BT24) - COLUMN(BL24) + 1, ""))&lt;&gt;"","GRE","")</f>
        <v>GRE</v>
      </c>
      <c r="HS24" s="48" t="str" cm="1">
        <f t="array" ref="HS24">IF(_xlfn.TEXTJOIN(", ", TRUE, IF(ISNUMBER(SEARCH("RED", BL24:BT24)), COLUMN(BL24:BT24) - COLUMN(BL24) + 1, ""))&lt;&gt;"","RED","")</f>
        <v/>
      </c>
      <c r="HT24" s="48" t="str" cm="1">
        <f t="array" ref="HT24">IF(_xlfn.TEXTJOIN(", ", TRUE, IF(ISNUMBER(SEARCH("YEL", BL24:BT24)), COLUMN(BL24:BT24) - COLUMN(BL24) + 1, ""))&lt;&gt;"","YEL","")</f>
        <v>YEL</v>
      </c>
      <c r="HU24" s="48" t="str" cm="1">
        <f t="array" ref="HU24">IF(_xlfn.TEXTJOIN(", ", TRUE, IF(ISNUMBER(SEARCH("ORA", BL24:BT24)), COLUMN(BL24:BT24) - COLUMN(BL24) + 1, ""))&lt;&gt;"","ORA","")</f>
        <v/>
      </c>
      <c r="HV24" s="48" t="str" cm="1">
        <f t="array" ref="HV24">IF(_xlfn.TEXTJOIN(", ", TRUE, IF(ISNUMBER(SEARCH("BRO", BL24:BT24)), COLUMN(BL24:BT24) - COLUMN(BL24) + 1, ""))&lt;&gt;"","BRO","")</f>
        <v>BRO</v>
      </c>
      <c r="HW24" s="48" t="str" cm="1">
        <f t="array" ref="HW24">IF(_xlfn.TEXTJOIN(", ", TRUE, IF(ISNUMBER(SEARCH("PUR", BL24:BT24)), COLUMN(BL24:BT24) - COLUMN(BL24) + 1, ""))&lt;&gt;"","PUR","")</f>
        <v/>
      </c>
      <c r="HX24" s="48" t="str" cm="1">
        <f t="array" ref="HX24">IF(_xlfn.TEXTJOIN(", ", TRUE, IF(ISNUMBER(SEARCH("WHI", BL24:BT24)), COLUMN(BL24:BT24) - COLUMN(BL24) + 1, ""))&lt;&gt;"","WHI","")</f>
        <v/>
      </c>
      <c r="HY24" s="76"/>
      <c r="HZ24" s="76"/>
      <c r="IA24" s="6"/>
      <c r="IB24" s="6"/>
      <c r="IC24" s="77"/>
      <c r="ID24" s="77"/>
      <c r="IE24" s="77"/>
      <c r="IF24" s="77"/>
      <c r="IG24" s="77"/>
      <c r="IH24" s="77"/>
      <c r="II24" s="77"/>
      <c r="IJ24" s="77"/>
      <c r="IK24" s="77"/>
      <c r="IL24" s="48">
        <f t="shared" si="209"/>
        <v>0</v>
      </c>
      <c r="IM24" s="45">
        <f t="shared" si="180"/>
        <v>-5</v>
      </c>
      <c r="IN24" s="78" t="str">
        <f t="shared" si="181"/>
        <v>http://mkweb.bcgsc.ca/color-summarizer/?url=https://upload.wikimedia.org/wikipedia/commons/thumb/f/fa/Bandeira_de_Rond%C3%B4nia.svg/640px-Bandeira_de_Rond%C3%B4nia.svg.png&amp;precision=low&amp;num_clusters=5&amp;text=1</v>
      </c>
      <c r="IO24" s="48" t="str">
        <f t="shared" si="182"/>
        <v>"black"</v>
      </c>
      <c r="IP24" s="48" t="str">
        <f t="shared" si="183"/>
        <v>"blue"</v>
      </c>
      <c r="IQ24" s="48" t="str">
        <f t="shared" si="184"/>
        <v>"green"</v>
      </c>
      <c r="IR24" s="48" t="str">
        <f t="shared" si="185"/>
        <v/>
      </c>
      <c r="IS24" s="48" t="str">
        <f t="shared" si="186"/>
        <v>"yellow"</v>
      </c>
      <c r="IT24" s="48" t="str">
        <f t="shared" si="187"/>
        <v/>
      </c>
      <c r="IU24" s="48" t="str">
        <f t="shared" si="188"/>
        <v>"brown"</v>
      </c>
      <c r="IV24" s="48" t="str">
        <f t="shared" si="189"/>
        <v/>
      </c>
      <c r="IW24" s="48" t="str">
        <f t="shared" si="190"/>
        <v/>
      </c>
      <c r="IX24" s="48" t="str">
        <f t="shared" si="191"/>
        <v>{"url":"http://mkweb.bcgsc.ca/color-summarizer/?url=https://upload.wikimedia.org/wikipedia/commons/thumb/f/fa/Bandeira_de_Rond%C3%B4nia.svg/640px-Bandeira_de_Rond%C3%B4nia.svg.png&amp;precision=low&amp;num_clusters=5&amp;text=1","name":"[BRA] Rondonia"},</v>
      </c>
      <c r="IY24" s="48">
        <v>689</v>
      </c>
    </row>
    <row r="25" spans="1:259" s="48" customFormat="1" ht="38.4" customHeight="1" thickBot="1" x14ac:dyDescent="0.35">
      <c r="A25" s="79" t="s">
        <v>517</v>
      </c>
      <c r="B25" s="40" t="e" vm="47">
        <v>#VALUE!</v>
      </c>
      <c r="C25" s="41">
        <v>2</v>
      </c>
      <c r="D25" s="42" t="s">
        <v>518</v>
      </c>
      <c r="E25" s="43" t="s">
        <v>519</v>
      </c>
      <c r="F25" s="44" t="s">
        <v>166</v>
      </c>
      <c r="G25" s="45">
        <f>COUNTIF($A$1:$A$8312,A25)</f>
        <v>1</v>
      </c>
      <c r="H25" s="46"/>
      <c r="I25" s="47" t="s">
        <v>520</v>
      </c>
      <c r="J25" s="48" t="str">
        <f>""</f>
        <v/>
      </c>
      <c r="K25" s="49"/>
      <c r="L25" s="50"/>
      <c r="M25" s="50"/>
      <c r="N25" s="51" t="s">
        <v>169</v>
      </c>
      <c r="O25" s="52" t="s">
        <v>521</v>
      </c>
      <c r="P25" s="53" t="s">
        <v>522</v>
      </c>
      <c r="Q25" s="54">
        <v>1</v>
      </c>
      <c r="R25" s="55" t="s">
        <v>169</v>
      </c>
      <c r="S25" s="56">
        <v>4</v>
      </c>
      <c r="T25" s="57" t="s">
        <v>173</v>
      </c>
      <c r="U25" s="58" t="s">
        <v>172</v>
      </c>
      <c r="V25" s="58" t="s">
        <v>173</v>
      </c>
      <c r="W25" s="58" t="s">
        <v>172</v>
      </c>
      <c r="X25" s="58" t="s">
        <v>172</v>
      </c>
      <c r="Y25" s="58" t="s">
        <v>172</v>
      </c>
      <c r="Z25" s="58" t="s">
        <v>172</v>
      </c>
      <c r="AA25" s="58" t="s">
        <v>172</v>
      </c>
      <c r="AB25" s="58" t="s">
        <v>172</v>
      </c>
      <c r="AC25" s="58" t="s">
        <v>172</v>
      </c>
      <c r="AD25" s="58" t="s">
        <v>172</v>
      </c>
      <c r="AE25" s="58" t="s">
        <v>172</v>
      </c>
      <c r="AF25" s="59" t="s">
        <v>172</v>
      </c>
      <c r="AG25" s="59" t="s">
        <v>172</v>
      </c>
      <c r="AH25" s="59" t="s">
        <v>173</v>
      </c>
      <c r="AI25" s="59" t="s">
        <v>172</v>
      </c>
      <c r="AJ25" s="59" t="s">
        <v>172</v>
      </c>
      <c r="AK25" s="59" t="s">
        <v>172</v>
      </c>
      <c r="AL25" s="59" t="s">
        <v>172</v>
      </c>
      <c r="AM25" s="59" t="s">
        <v>172</v>
      </c>
      <c r="AN25" s="59" t="s">
        <v>172</v>
      </c>
      <c r="AO25" s="59" t="s">
        <v>172</v>
      </c>
      <c r="AP25" s="59" t="s">
        <v>172</v>
      </c>
      <c r="AQ25" s="59" t="s">
        <v>172</v>
      </c>
      <c r="AR25" s="59" t="s">
        <v>172</v>
      </c>
      <c r="AS25" s="59" t="s">
        <v>172</v>
      </c>
      <c r="AT25" s="60">
        <v>1</v>
      </c>
      <c r="AU25" s="59" t="s">
        <v>383</v>
      </c>
      <c r="AV25" s="59" t="str">
        <f>IF(LEFT(A25,1)="[",LEFT(A25,5)&amp;AU25&amp;A25,"")</f>
        <v>[BRA]State[BRA] Roraima</v>
      </c>
      <c r="AW25" s="59" t="str">
        <f>C25&amp;H25&amp;A25</f>
        <v>2[BRA] Roraima</v>
      </c>
      <c r="AX25" s="61"/>
      <c r="AY25" s="61"/>
      <c r="AZ25" s="62" t="s">
        <v>155</v>
      </c>
      <c r="BA25" s="62"/>
      <c r="BB25" s="62"/>
      <c r="BC25" s="63"/>
      <c r="BD25" s="64" t="s">
        <v>152</v>
      </c>
      <c r="BE25" s="47"/>
      <c r="BF25" s="64" t="s">
        <v>174</v>
      </c>
      <c r="BG25" s="64" t="s">
        <v>174</v>
      </c>
      <c r="BH25" s="64" t="s">
        <v>174</v>
      </c>
      <c r="BI25" s="64"/>
      <c r="BJ25" s="64"/>
      <c r="BK25" s="47"/>
      <c r="BL25" s="64" t="s">
        <v>151</v>
      </c>
      <c r="BM25" s="64" t="s">
        <v>152</v>
      </c>
      <c r="BN25" s="64" t="s">
        <v>174</v>
      </c>
      <c r="BO25" s="64" t="s">
        <v>174</v>
      </c>
      <c r="BP25" s="64" t="s">
        <v>155</v>
      </c>
      <c r="BQ25" s="64" t="s">
        <v>156</v>
      </c>
      <c r="BR25" s="64" t="s">
        <v>157</v>
      </c>
      <c r="BS25" s="64" t="s">
        <v>174</v>
      </c>
      <c r="BT25" s="64" t="s">
        <v>174</v>
      </c>
      <c r="BU25" s="65"/>
      <c r="BV25" s="66"/>
      <c r="BW25" s="66">
        <v>0</v>
      </c>
      <c r="BX25" s="47"/>
      <c r="BY25" s="48" t="s">
        <v>172</v>
      </c>
      <c r="CB25" s="6"/>
      <c r="CC25" s="6"/>
      <c r="CD25" s="67">
        <v>0</v>
      </c>
      <c r="CE25" s="67">
        <v>0</v>
      </c>
      <c r="CF25" s="67" t="e">
        <v>#REF!</v>
      </c>
      <c r="CG25" s="68" cm="1">
        <f t="array" ref="CG25">SUMPRODUCT(--(LEN(TRIM(BL25:BT25))&gt;0))</f>
        <v>5</v>
      </c>
      <c r="CH25" s="59" t="str">
        <f t="shared" si="104"/>
        <v>n</v>
      </c>
      <c r="CI25" s="59" t="str">
        <f t="shared" si="105"/>
        <v>n</v>
      </c>
      <c r="CJ25" s="59" t="str">
        <f t="shared" si="106"/>
        <v>n</v>
      </c>
      <c r="CK25" s="59" t="str">
        <f t="shared" si="107"/>
        <v>y</v>
      </c>
      <c r="CL25" s="59" t="str">
        <f t="shared" si="108"/>
        <v>n</v>
      </c>
      <c r="CM25" s="59" t="str">
        <f t="shared" si="109"/>
        <v>n</v>
      </c>
      <c r="CN25" s="59" t="str">
        <f t="shared" si="110"/>
        <v>n</v>
      </c>
      <c r="CO25" s="59" t="str">
        <f t="shared" si="111"/>
        <v>y</v>
      </c>
      <c r="CP25" s="59" t="str">
        <f t="shared" si="112"/>
        <v>n</v>
      </c>
      <c r="CQ25" s="59" t="str">
        <f t="shared" si="113"/>
        <v>y</v>
      </c>
      <c r="CR25" s="59" t="str">
        <f t="shared" si="114"/>
        <v>n</v>
      </c>
      <c r="CS25" s="59" t="str">
        <f t="shared" si="115"/>
        <v>n</v>
      </c>
      <c r="CT25" s="69" t="str">
        <f t="shared" si="116"/>
        <v>"[BRA] Roraima"</v>
      </c>
      <c r="CU25" s="70" t="str">
        <f t="shared" si="117"/>
        <v>"rgn_South America"</v>
      </c>
      <c r="CV25" s="48" t="str">
        <f t="shared" si="118"/>
        <v>"https://upload.wikimedia.org/wikipedia/commons/thumb/9/98/Bandeira_de_Roraima.svg/640px-Bandeira_de_Roraima.svg.png"</v>
      </c>
      <c r="CW25" s="48" t="str">
        <f t="shared" si="195"/>
        <v/>
      </c>
      <c r="CX25" s="48" t="str">
        <f t="shared" si="195"/>
        <v/>
      </c>
      <c r="CY25" s="48" t="str">
        <f t="shared" si="195"/>
        <v/>
      </c>
      <c r="CZ25" s="48" t="str">
        <f t="shared" si="195"/>
        <v>"5+Colo",</v>
      </c>
      <c r="DA25" s="48" t="str">
        <f t="shared" si="119"/>
        <v/>
      </c>
      <c r="DB25" s="48" t="str">
        <f t="shared" si="200"/>
        <v/>
      </c>
      <c r="DC25" s="48" t="str">
        <f t="shared" si="201"/>
        <v/>
      </c>
      <c r="DD25" s="48" t="str">
        <f t="shared" si="202"/>
        <v>"lets07",</v>
      </c>
      <c r="DE25" s="48" t="str">
        <f t="shared" si="203"/>
        <v>"startR",</v>
      </c>
      <c r="DF25" s="48" t="str">
        <f t="shared" si="121"/>
        <v/>
      </c>
      <c r="DG25" s="48" t="str">
        <f t="shared" si="122"/>
        <v/>
      </c>
      <c r="DH25" s="48" t="str">
        <f t="shared" si="123"/>
        <v/>
      </c>
      <c r="DI25" s="48" t="str">
        <f t="shared" si="124"/>
        <v/>
      </c>
      <c r="DJ25" s="48" t="str">
        <f t="shared" si="125"/>
        <v/>
      </c>
      <c r="DK25" s="48" t="str">
        <f t="shared" si="126"/>
        <v/>
      </c>
      <c r="DL25" s="48" t="str">
        <f t="shared" si="127"/>
        <v/>
      </c>
      <c r="DM25" s="48" t="str" cm="1">
        <f t="array" ref="DM25">IF(CG25=3,CHAR(34) &amp; _xlfn.TEXTJOIN("", TRUE, RIGHT(HP25:HX25, 2)) &amp; CHAR(34) &amp; ",", "")</f>
        <v/>
      </c>
      <c r="DN25" s="48" t="str">
        <f t="shared" si="128"/>
        <v/>
      </c>
      <c r="DO25" s="48" t="str">
        <f t="shared" si="129"/>
        <v>"year19",</v>
      </c>
      <c r="DP25" s="6" t="str">
        <f t="shared" si="130"/>
        <v/>
      </c>
      <c r="DQ25" s="6" t="str">
        <f t="shared" si="131"/>
        <v/>
      </c>
      <c r="DR25" s="6" t="str">
        <f t="shared" si="132"/>
        <v/>
      </c>
      <c r="DS25" s="6" t="str">
        <f t="shared" si="133"/>
        <v/>
      </c>
      <c r="DT25" s="6" t="str">
        <f t="shared" si="134"/>
        <v>"allhor",</v>
      </c>
      <c r="DU25" s="6" t="str">
        <f t="shared" si="135"/>
        <v/>
      </c>
      <c r="DV25" s="48" t="str">
        <f t="shared" si="204"/>
        <v/>
      </c>
      <c r="DW25" s="48" t="str">
        <f t="shared" si="196"/>
        <v/>
      </c>
      <c r="DX25" s="48" t="str">
        <f t="shared" si="196"/>
        <v/>
      </c>
      <c r="DY25" s="48" t="str">
        <f t="shared" si="196"/>
        <v/>
      </c>
      <c r="DZ25" s="48" t="str">
        <f t="shared" si="196"/>
        <v>"4+Band",</v>
      </c>
      <c r="EA25" s="48" t="str">
        <f t="shared" si="197"/>
        <v>"Diagon",</v>
      </c>
      <c r="EB25" s="48" t="str">
        <f t="shared" si="197"/>
        <v/>
      </c>
      <c r="EC25" s="48" t="str">
        <f t="shared" si="197"/>
        <v>"Horizo",</v>
      </c>
      <c r="ED25" s="48" t="str">
        <f t="shared" si="197"/>
        <v/>
      </c>
      <c r="EE25" s="48" t="str">
        <f t="shared" si="197"/>
        <v/>
      </c>
      <c r="EF25" s="48" t="str">
        <f t="shared" si="136"/>
        <v/>
      </c>
      <c r="EG25" s="48" t="str">
        <f t="shared" si="194"/>
        <v/>
      </c>
      <c r="EH25" s="48" t="str">
        <f t="shared" si="194"/>
        <v/>
      </c>
      <c r="EI25" s="48" t="str">
        <f t="shared" si="194"/>
        <v/>
      </c>
      <c r="EJ25" s="48" t="str">
        <f t="shared" si="194"/>
        <v/>
      </c>
      <c r="EK25" s="48" t="str">
        <f t="shared" si="194"/>
        <v/>
      </c>
      <c r="EL25" s="48" t="str">
        <f t="shared" si="194"/>
        <v/>
      </c>
      <c r="EM25" s="48" t="str">
        <f t="shared" si="194"/>
        <v/>
      </c>
      <c r="EN25" s="48" t="str">
        <f t="shared" si="194"/>
        <v/>
      </c>
      <c r="EO25" s="48" t="str">
        <f t="shared" si="194"/>
        <v>"Center",</v>
      </c>
      <c r="EP25" s="48" t="str">
        <f t="shared" si="194"/>
        <v/>
      </c>
      <c r="EQ25" s="48" t="str">
        <f t="shared" si="194"/>
        <v/>
      </c>
      <c r="ER25" s="48" t="str">
        <f t="shared" si="194"/>
        <v/>
      </c>
      <c r="ES25" s="48" t="str">
        <f t="shared" si="194"/>
        <v/>
      </c>
      <c r="ET25" s="48" t="str">
        <f t="shared" si="194"/>
        <v/>
      </c>
      <c r="EU25" s="48" t="str">
        <f t="shared" si="194"/>
        <v/>
      </c>
      <c r="EV25" s="48" t="str">
        <f t="shared" si="194"/>
        <v/>
      </c>
      <c r="EW25" s="48" t="str">
        <f t="shared" si="193"/>
        <v/>
      </c>
      <c r="EX25" s="48" t="str">
        <f t="shared" si="193"/>
        <v/>
      </c>
      <c r="EY25" s="48" t="str">
        <f t="shared" si="193"/>
        <v/>
      </c>
      <c r="EZ25" s="48" t="str">
        <f t="shared" si="193"/>
        <v/>
      </c>
      <c r="FA25" s="48" t="str">
        <f t="shared" si="137"/>
        <v>"staYEL",</v>
      </c>
      <c r="FB25" s="48" t="str">
        <f t="shared" si="138"/>
        <v/>
      </c>
      <c r="FC25" s="48" t="str">
        <f t="shared" si="205"/>
        <v/>
      </c>
      <c r="FD25" s="48" t="str">
        <f t="shared" si="139"/>
        <v/>
      </c>
      <c r="FE25" s="48" t="str">
        <f t="shared" si="140"/>
        <v/>
      </c>
      <c r="FF25" s="48" t="str">
        <f t="shared" si="141"/>
        <v>"NO_WHI",</v>
      </c>
      <c r="FG25" s="48" t="str">
        <f t="shared" si="142"/>
        <v>"NO_RED",</v>
      </c>
      <c r="FH25" s="48" t="str">
        <f t="shared" si="143"/>
        <v>"NO_GRE",</v>
      </c>
      <c r="FI25" s="48" t="str">
        <f t="shared" si="144"/>
        <v/>
      </c>
      <c r="FJ25" s="48" t="str">
        <f t="shared" si="145"/>
        <v/>
      </c>
      <c r="FK25" s="48" t="str">
        <f t="shared" si="146"/>
        <v>"WHGRNO",</v>
      </c>
      <c r="FL25" s="48" t="str">
        <f t="shared" si="147"/>
        <v/>
      </c>
      <c r="FM25" s="48" t="str">
        <f t="shared" si="148"/>
        <v/>
      </c>
      <c r="FN25" s="48" t="str">
        <f t="shared" si="149"/>
        <v/>
      </c>
      <c r="FO25" s="48" t="str">
        <f t="shared" si="150"/>
        <v/>
      </c>
      <c r="FP25" s="48" t="str">
        <f t="shared" si="151"/>
        <v>"WHRENO",</v>
      </c>
      <c r="FQ25" s="48" t="str">
        <f t="shared" si="152"/>
        <v/>
      </c>
      <c r="FR25" s="48" t="str">
        <f t="shared" si="153"/>
        <v/>
      </c>
      <c r="FS25" s="48" t="str">
        <f t="shared" si="154"/>
        <v/>
      </c>
      <c r="FT25" s="48" t="str">
        <f t="shared" si="155"/>
        <v>"myrBLU",</v>
      </c>
      <c r="FU25" s="48" t="str">
        <f t="shared" si="156"/>
        <v/>
      </c>
      <c r="FV25" s="48" t="str">
        <f t="shared" si="157"/>
        <v/>
      </c>
      <c r="FW25" s="48" t="str">
        <f t="shared" si="158"/>
        <v/>
      </c>
      <c r="FX25" s="48" t="str">
        <f t="shared" si="206"/>
        <v/>
      </c>
      <c r="FY25" s="48" t="str">
        <f t="shared" si="159"/>
        <v/>
      </c>
      <c r="FZ25" s="48" t="str">
        <f t="shared" si="160"/>
        <v/>
      </c>
      <c r="GA25" s="48" t="str">
        <f t="shared" si="161"/>
        <v/>
      </c>
      <c r="GB25" s="48" t="str">
        <f t="shared" si="162"/>
        <v/>
      </c>
      <c r="GC25" s="48" t="str">
        <f t="shared" si="207"/>
        <v/>
      </c>
      <c r="GD25" s="48" t="str">
        <f t="shared" si="208"/>
        <v/>
      </c>
      <c r="GE25" s="48" t="str">
        <f t="shared" si="163"/>
        <v/>
      </c>
      <c r="GF25" s="48" t="str">
        <f t="shared" si="210"/>
        <v/>
      </c>
      <c r="GG25" s="48" t="str">
        <f t="shared" si="164"/>
        <v/>
      </c>
      <c r="GH25" s="48" t="str">
        <f t="shared" si="165"/>
        <v/>
      </c>
      <c r="GI25" s="48" t="str">
        <f t="shared" si="166"/>
        <v/>
      </c>
      <c r="GJ25" s="48" t="str">
        <f t="shared" si="167"/>
        <v/>
      </c>
      <c r="GK25" s="48" t="str">
        <f t="shared" si="168"/>
        <v>"HasSta",</v>
      </c>
      <c r="GL25" s="48" t="str">
        <f t="shared" si="198"/>
        <v>"1Stars",</v>
      </c>
      <c r="GM25" s="48" t="str">
        <f t="shared" si="198"/>
        <v/>
      </c>
      <c r="GN25" s="48" t="str">
        <f t="shared" si="198"/>
        <v/>
      </c>
      <c r="GP25" s="48" t="str">
        <f t="shared" si="169"/>
        <v>"State"</v>
      </c>
      <c r="GS25" s="48" t="str">
        <f t="shared" si="170"/>
        <v>["5+Colo","lets07","startR","year19","allhor","4+Band","Diagon","Horizo","Center","staYEL","NO_WHI","NO_RED","NO_GRE","WHGRNO","WHRENO","myrBLU","HasSta","1Stars"]</v>
      </c>
      <c r="GT25" s="48" t="str">
        <f t="shared" si="199"/>
        <v>"cl_BLA",</v>
      </c>
      <c r="GU25" s="48" t="str">
        <f t="shared" si="199"/>
        <v>"cl_BLU",</v>
      </c>
      <c r="GV25" s="48" t="str">
        <f t="shared" si="199"/>
        <v/>
      </c>
      <c r="GW25" s="48" t="str">
        <f t="shared" si="199"/>
        <v/>
      </c>
      <c r="GX25" s="48" t="str">
        <f t="shared" si="199"/>
        <v>"cl_YEL",</v>
      </c>
      <c r="GY25" s="48" t="str">
        <f t="shared" si="199"/>
        <v>"cl_ORA",</v>
      </c>
      <c r="GZ25" s="48" t="str">
        <f t="shared" si="199"/>
        <v>"cl_BRO",</v>
      </c>
      <c r="HA25" s="48" t="str">
        <f t="shared" si="199"/>
        <v/>
      </c>
      <c r="HB25" s="48" t="str">
        <f t="shared" si="199"/>
        <v/>
      </c>
      <c r="HC25" s="48" t="str">
        <f t="shared" si="171"/>
        <v>["cl_BLA","cl_BLU","cl_YEL","cl_ORA","cl_BRO"]</v>
      </c>
      <c r="HE25" s="71"/>
      <c r="HF25" s="72" t="str">
        <f t="shared" si="172"/>
        <v>{couname:"[BRA] Roraima",year:"1996 ",region:"rgn_South America",Colors:["cl_BLA","cl_BLU","cl_YEL","cl_ORA","cl_BRO"],Items:["5+Colo","lets07","startR","year19","allhor","4+Band","Diagon","Horizo","Center","staYEL","NO_WHI","NO_RED","NO_GRE","WHGRNO","WHRENO","myrBLU","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links: "https://en.wikipedia.org/wiki/Flag_of_Roraima"},</v>
      </c>
      <c r="HG25" s="73" t="str">
        <f t="shared" si="173"/>
        <v>{couname:"[BRA] Roraima",year:"1996 ",region:"rgn_South America",Colors:["cl_BLA","cl_BLU","cl_YEL","cl_ORA","cl_BRO"],Items:["5+Colo","lets07","startR","year19","allhor","4+Band","Diagon","Horizo","Center","staYEL","NO_WHI","NO_RED","NO_GRE","WHGRNO","WHRENO","myrBLU","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links: "https://en.wikipedia.org/wiki/Flag_of_Roraima"},</v>
      </c>
      <c r="HH25" s="48" t="str">
        <f t="shared" si="174"/>
        <v>"\nGreen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v>
      </c>
      <c r="HI25" s="48" t="str">
        <f t="shared" si="175"/>
        <v>"\nGreen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v>
      </c>
      <c r="HJ25" s="48" t="str">
        <f t="shared" si="176"/>
        <v>"1996 "</v>
      </c>
      <c r="HL25" s="48" t="str">
        <f t="shared" si="177"/>
        <v>"https://en.wikipedia.org/wiki/Flag_of_Roraima"</v>
      </c>
      <c r="HM25" s="72" t="str">
        <f t="shared" si="178"/>
        <v>{"couname":"[BRA] Roraima","year":"1996 ","region":"rgn_South America","Colors":["cl_BLA","cl_BLU","cl_YEL","cl_ORA","cl_BRO"],"Items":["5+Colo","lets07","startR","year19","allhor","4+Band","Diagon","Horizo","Center","staYEL","NO_WHI","NO_RED","NO_GRE","WHGRNO","WHRENO","myrBLU","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 "links": "https://en.wikipedia.org/wiki/Flag_of_Roraima"},</v>
      </c>
      <c r="HN25" s="74" t="str">
        <f t="shared" si="179"/>
        <v>{"couname":"[BRA] Roraima","year":"1996 ","region":"rgn_South America","Colors":["cl_BLA","cl_BLU","cl_YEL","cl_ORA","cl_BRO"],"Items":["5+Colo","lets07","startR","year19","allhor","4+Band","Diagon","Horizo","Center","staYEL","NO_WHI","NO_RED","NO_GRE","WHGRNO","WHRENO","myrBLU","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 "links": "https://en.wikipedia.org/wiki/Flag_of_Roraima"},</v>
      </c>
      <c r="HO25" s="75">
        <v>45583</v>
      </c>
      <c r="HP25" s="48" t="str" cm="1">
        <f t="array" ref="HP25">IF(_xlfn.TEXTJOIN(", ", TRUE, IF(ISNUMBER(SEARCH("BLA", BL25:BT25)), COLUMN(BL25:BT25) - COLUMN(BL25) + 1, ""))&lt;&gt;"","BLA","")</f>
        <v>BLA</v>
      </c>
      <c r="HQ25" s="48" t="str" cm="1">
        <f t="array" ref="HQ25">IF(_xlfn.TEXTJOIN(", ", TRUE, IF(ISNUMBER(SEARCH("BLU", BL25:BT25)), COLUMN(BL25:BT25) - COLUMN(BL25) + 1, ""))&lt;&gt;"","BLU","")</f>
        <v>BLU</v>
      </c>
      <c r="HR25" s="48" t="str" cm="1">
        <f t="array" ref="HR25">IF(_xlfn.TEXTJOIN(", ", TRUE, IF(ISNUMBER(SEARCH("GRE", BL25:BT25)), COLUMN(BL25:BT25) - COLUMN(BL25) + 1, ""))&lt;&gt;"","GRE","")</f>
        <v/>
      </c>
      <c r="HS25" s="48" t="str" cm="1">
        <f t="array" ref="HS25">IF(_xlfn.TEXTJOIN(", ", TRUE, IF(ISNUMBER(SEARCH("RED", BL25:BT25)), COLUMN(BL25:BT25) - COLUMN(BL25) + 1, ""))&lt;&gt;"","RED","")</f>
        <v/>
      </c>
      <c r="HT25" s="48" t="str" cm="1">
        <f t="array" ref="HT25">IF(_xlfn.TEXTJOIN(", ", TRUE, IF(ISNUMBER(SEARCH("YEL", BL25:BT25)), COLUMN(BL25:BT25) - COLUMN(BL25) + 1, ""))&lt;&gt;"","YEL","")</f>
        <v>YEL</v>
      </c>
      <c r="HU25" s="48" t="str" cm="1">
        <f t="array" ref="HU25">IF(_xlfn.TEXTJOIN(", ", TRUE, IF(ISNUMBER(SEARCH("ORA", BL25:BT25)), COLUMN(BL25:BT25) - COLUMN(BL25) + 1, ""))&lt;&gt;"","ORA","")</f>
        <v>ORA</v>
      </c>
      <c r="HV25" s="48" t="str" cm="1">
        <f t="array" ref="HV25">IF(_xlfn.TEXTJOIN(", ", TRUE, IF(ISNUMBER(SEARCH("BRO", BL25:BT25)), COLUMN(BL25:BT25) - COLUMN(BL25) + 1, ""))&lt;&gt;"","BRO","")</f>
        <v>BRO</v>
      </c>
      <c r="HW25" s="48" t="str" cm="1">
        <f t="array" ref="HW25">IF(_xlfn.TEXTJOIN(", ", TRUE, IF(ISNUMBER(SEARCH("PUR", BL25:BT25)), COLUMN(BL25:BT25) - COLUMN(BL25) + 1, ""))&lt;&gt;"","PUR","")</f>
        <v/>
      </c>
      <c r="HX25" s="48" t="str" cm="1">
        <f t="array" ref="HX25">IF(_xlfn.TEXTJOIN(", ", TRUE, IF(ISNUMBER(SEARCH("WHI", BL25:BT25)), COLUMN(BL25:BT25) - COLUMN(BL25) + 1, ""))&lt;&gt;"","WHI","")</f>
        <v/>
      </c>
      <c r="HY25" s="76"/>
      <c r="HZ25" s="76"/>
      <c r="IA25" s="6"/>
      <c r="IB25" s="6"/>
      <c r="IC25" s="77"/>
      <c r="ID25" s="77"/>
      <c r="IE25" s="77"/>
      <c r="IF25" s="77"/>
      <c r="IG25" s="77"/>
      <c r="IH25" s="77"/>
      <c r="II25" s="77"/>
      <c r="IJ25" s="77"/>
      <c r="IK25" s="77"/>
      <c r="IL25" s="48">
        <f t="shared" si="209"/>
        <v>0</v>
      </c>
      <c r="IM25" s="45">
        <f t="shared" si="180"/>
        <v>-5</v>
      </c>
      <c r="IN25" s="78" t="str">
        <f t="shared" si="181"/>
        <v>http://mkweb.bcgsc.ca/color-summarizer/?url=https://upload.wikimedia.org/wikipedia/commons/thumb/9/98/Bandeira_de_Roraima.svg/640px-Bandeira_de_Roraima.svg.png&amp;precision=low&amp;num_clusters=5&amp;text=1</v>
      </c>
      <c r="IO25" s="48" t="str">
        <f t="shared" si="182"/>
        <v>"black"</v>
      </c>
      <c r="IP25" s="48" t="str">
        <f t="shared" si="183"/>
        <v>"blue"</v>
      </c>
      <c r="IQ25" s="48" t="str">
        <f t="shared" si="184"/>
        <v/>
      </c>
      <c r="IR25" s="48" t="str">
        <f t="shared" si="185"/>
        <v/>
      </c>
      <c r="IS25" s="48" t="str">
        <f t="shared" si="186"/>
        <v>"yellow"</v>
      </c>
      <c r="IT25" s="48" t="str">
        <f t="shared" si="187"/>
        <v>"orange"</v>
      </c>
      <c r="IU25" s="48" t="str">
        <f t="shared" si="188"/>
        <v>"brown"</v>
      </c>
      <c r="IV25" s="48" t="str">
        <f t="shared" si="189"/>
        <v/>
      </c>
      <c r="IW25" s="48" t="str">
        <f t="shared" si="190"/>
        <v/>
      </c>
      <c r="IX25" s="48" t="str">
        <f t="shared" si="191"/>
        <v>{"url":"http://mkweb.bcgsc.ca/color-summarizer/?url=https://upload.wikimedia.org/wikipedia/commons/thumb/9/98/Bandeira_de_Roraima.svg/640px-Bandeira_de_Roraima.svg.png&amp;precision=low&amp;num_clusters=5&amp;text=1","name":"[BRA] Roraima"},</v>
      </c>
      <c r="IY25" s="48">
        <v>690</v>
      </c>
    </row>
    <row r="26" spans="1:259" s="48" customFormat="1" ht="38.4" customHeight="1" thickBot="1" x14ac:dyDescent="0.35">
      <c r="A26" s="79" t="s">
        <v>523</v>
      </c>
      <c r="B26" s="40" t="e" vm="48">
        <v>#VALUE!</v>
      </c>
      <c r="C26" s="41">
        <v>2</v>
      </c>
      <c r="D26" s="42" t="s">
        <v>524</v>
      </c>
      <c r="E26" s="43" t="s">
        <v>525</v>
      </c>
      <c r="F26" s="44" t="s">
        <v>166</v>
      </c>
      <c r="G26" s="45">
        <f>COUNTIF($A$1:$A$8312,A26)</f>
        <v>1</v>
      </c>
      <c r="H26" s="46"/>
      <c r="I26" s="47" t="s">
        <v>526</v>
      </c>
      <c r="J26" s="48" t="str">
        <f>""</f>
        <v/>
      </c>
      <c r="K26" s="49"/>
      <c r="L26" s="50"/>
      <c r="M26" s="50"/>
      <c r="N26" s="51" t="s">
        <v>169</v>
      </c>
      <c r="O26" s="52" t="s">
        <v>527</v>
      </c>
      <c r="P26" s="53" t="s">
        <v>528</v>
      </c>
      <c r="Q26" s="54">
        <v>2</v>
      </c>
      <c r="R26" s="55" t="s">
        <v>169</v>
      </c>
      <c r="S26" s="56">
        <v>3</v>
      </c>
      <c r="T26" s="57" t="s">
        <v>173</v>
      </c>
      <c r="U26" s="58" t="s">
        <v>172</v>
      </c>
      <c r="V26" s="58" t="s">
        <v>173</v>
      </c>
      <c r="W26" s="58" t="s">
        <v>172</v>
      </c>
      <c r="X26" s="58" t="s">
        <v>173</v>
      </c>
      <c r="Y26" s="58" t="s">
        <v>499</v>
      </c>
      <c r="Z26" s="58" t="s">
        <v>173</v>
      </c>
      <c r="AA26" s="58" t="s">
        <v>173</v>
      </c>
      <c r="AB26" s="58" t="s">
        <v>173</v>
      </c>
      <c r="AC26" s="58" t="s">
        <v>172</v>
      </c>
      <c r="AD26" s="58" t="s">
        <v>172</v>
      </c>
      <c r="AE26" s="58" t="s">
        <v>172</v>
      </c>
      <c r="AF26" s="59" t="s">
        <v>172</v>
      </c>
      <c r="AG26" s="59" t="s">
        <v>172</v>
      </c>
      <c r="AH26" s="59" t="s">
        <v>173</v>
      </c>
      <c r="AI26" s="59" t="s">
        <v>172</v>
      </c>
      <c r="AJ26" s="59" t="s">
        <v>172</v>
      </c>
      <c r="AK26" s="59" t="s">
        <v>172</v>
      </c>
      <c r="AL26" s="59" t="s">
        <v>172</v>
      </c>
      <c r="AM26" s="59" t="s">
        <v>172</v>
      </c>
      <c r="AN26" s="59" t="s">
        <v>172</v>
      </c>
      <c r="AO26" s="59" t="s">
        <v>172</v>
      </c>
      <c r="AP26" s="59" t="s">
        <v>172</v>
      </c>
      <c r="AQ26" s="59" t="s">
        <v>172</v>
      </c>
      <c r="AR26" s="59" t="s">
        <v>172</v>
      </c>
      <c r="AS26" s="59" t="s">
        <v>172</v>
      </c>
      <c r="AT26" s="60">
        <v>1</v>
      </c>
      <c r="AU26" s="59" t="s">
        <v>383</v>
      </c>
      <c r="AV26" s="59" t="str">
        <f>IF(LEFT(A26,1)="[",LEFT(A26,5)&amp;AU26&amp;A26,"")</f>
        <v>[BRA]State[BRA] Santa Catarina</v>
      </c>
      <c r="AW26" s="59" t="str">
        <f>C26&amp;H26&amp;A26</f>
        <v>2[BRA] Santa Catarina</v>
      </c>
      <c r="AX26" s="61"/>
      <c r="AY26" s="61"/>
      <c r="AZ26" s="62" t="s">
        <v>174</v>
      </c>
      <c r="BA26" s="62"/>
      <c r="BB26" s="62"/>
      <c r="BC26" s="63"/>
      <c r="BD26" s="64" t="s">
        <v>152</v>
      </c>
      <c r="BE26" s="47"/>
      <c r="BF26" s="64" t="s">
        <v>174</v>
      </c>
      <c r="BG26" s="64" t="s">
        <v>174</v>
      </c>
      <c r="BH26" s="64" t="s">
        <v>174</v>
      </c>
      <c r="BI26" s="64"/>
      <c r="BJ26" s="64"/>
      <c r="BK26" s="47"/>
      <c r="BL26" s="64" t="s">
        <v>151</v>
      </c>
      <c r="BM26" s="64" t="s">
        <v>152</v>
      </c>
      <c r="BN26" s="64" t="s">
        <v>174</v>
      </c>
      <c r="BO26" s="64" t="s">
        <v>154</v>
      </c>
      <c r="BP26" s="64" t="s">
        <v>174</v>
      </c>
      <c r="BQ26" s="64" t="s">
        <v>156</v>
      </c>
      <c r="BR26" s="64" t="s">
        <v>174</v>
      </c>
      <c r="BS26" s="64" t="s">
        <v>174</v>
      </c>
      <c r="BT26" s="64" t="s">
        <v>159</v>
      </c>
      <c r="BU26" s="65"/>
      <c r="BV26" s="66"/>
      <c r="BW26" s="66">
        <v>0</v>
      </c>
      <c r="BX26" s="47"/>
      <c r="BY26" s="48" t="s">
        <v>172</v>
      </c>
      <c r="CB26" s="6"/>
      <c r="CC26" s="6"/>
      <c r="CD26" s="67">
        <v>0</v>
      </c>
      <c r="CE26" s="67">
        <v>0</v>
      </c>
      <c r="CF26" s="67" t="e">
        <v>#REF!</v>
      </c>
      <c r="CG26" s="68" cm="1">
        <f t="array" ref="CG26">SUMPRODUCT(--(LEN(TRIM(BL26:BT26))&gt;0))</f>
        <v>5</v>
      </c>
      <c r="CH26" s="59" t="str">
        <f t="shared" si="104"/>
        <v>n</v>
      </c>
      <c r="CI26" s="59" t="str">
        <f t="shared" si="105"/>
        <v>n</v>
      </c>
      <c r="CJ26" s="59" t="str">
        <f t="shared" si="106"/>
        <v>n</v>
      </c>
      <c r="CK26" s="59" t="str">
        <f t="shared" si="107"/>
        <v>y</v>
      </c>
      <c r="CL26" s="59" t="str">
        <f t="shared" si="108"/>
        <v>n</v>
      </c>
      <c r="CM26" s="59" t="str">
        <f t="shared" si="109"/>
        <v>n</v>
      </c>
      <c r="CN26" s="59" t="str">
        <f t="shared" si="110"/>
        <v>y</v>
      </c>
      <c r="CO26" s="59" t="str">
        <f t="shared" si="111"/>
        <v>n</v>
      </c>
      <c r="CP26" s="59" t="str">
        <f t="shared" si="112"/>
        <v>n</v>
      </c>
      <c r="CQ26" s="59" t="str">
        <f t="shared" si="113"/>
        <v>y</v>
      </c>
      <c r="CR26" s="59" t="str">
        <f t="shared" si="114"/>
        <v>n</v>
      </c>
      <c r="CS26" s="59" t="str">
        <f t="shared" si="115"/>
        <v>n</v>
      </c>
      <c r="CT26" s="69" t="str">
        <f t="shared" si="116"/>
        <v>"[BRA] Santa Catarina"</v>
      </c>
      <c r="CU26" s="70" t="str">
        <f t="shared" si="117"/>
        <v>"rgn_South America"</v>
      </c>
      <c r="CV26" s="48" t="str">
        <f t="shared" si="118"/>
        <v>"https://upload.wikimedia.org/wikipedia/commons/thumb/1/1a/Bandeira_de_Santa_Catarina.svg/640px-Bandeira_de_Santa_Catarina.svg.png"</v>
      </c>
      <c r="CW26" s="48" t="str">
        <f t="shared" si="195"/>
        <v/>
      </c>
      <c r="CX26" s="48" t="str">
        <f t="shared" si="195"/>
        <v/>
      </c>
      <c r="CY26" s="48" t="str">
        <f t="shared" si="195"/>
        <v/>
      </c>
      <c r="CZ26" s="48" t="str">
        <f t="shared" si="195"/>
        <v>"5+Colo",</v>
      </c>
      <c r="DA26" s="48" t="str">
        <f t="shared" si="119"/>
        <v>"words2",</v>
      </c>
      <c r="DB26" s="48" t="str">
        <f t="shared" si="200"/>
        <v/>
      </c>
      <c r="DC26" s="48" t="str">
        <f t="shared" si="201"/>
        <v>"exact2",</v>
      </c>
      <c r="DD26" s="48" t="str">
        <f t="shared" si="202"/>
        <v>"lets13",</v>
      </c>
      <c r="DE26" s="48" t="str">
        <f t="shared" si="203"/>
        <v>"startS",</v>
      </c>
      <c r="DF26" s="48" t="str">
        <f t="shared" si="121"/>
        <v/>
      </c>
      <c r="DG26" s="48" t="str">
        <f t="shared" si="122"/>
        <v/>
      </c>
      <c r="DH26" s="48" t="str">
        <f t="shared" si="123"/>
        <v/>
      </c>
      <c r="DI26" s="48" t="str">
        <f t="shared" si="124"/>
        <v/>
      </c>
      <c r="DJ26" s="48" t="str">
        <f t="shared" si="125"/>
        <v/>
      </c>
      <c r="DK26" s="48" t="str">
        <f t="shared" si="126"/>
        <v/>
      </c>
      <c r="DL26" s="48" t="str">
        <f t="shared" si="127"/>
        <v/>
      </c>
      <c r="DM26" s="48" t="str" cm="1">
        <f t="array" ref="DM26">IF(CG26=3,CHAR(34) &amp; _xlfn.TEXTJOIN("", TRUE, RIGHT(HP26:HX26, 2)) &amp; CHAR(34) &amp; ",", "")</f>
        <v/>
      </c>
      <c r="DN26" s="48" t="str">
        <f t="shared" si="128"/>
        <v/>
      </c>
      <c r="DO26" s="48" t="str">
        <f t="shared" si="129"/>
        <v>"year19",</v>
      </c>
      <c r="DP26" s="6" t="str">
        <f t="shared" si="130"/>
        <v/>
      </c>
      <c r="DQ26" s="6" t="str">
        <f t="shared" si="131"/>
        <v/>
      </c>
      <c r="DR26" s="6" t="str">
        <f t="shared" si="132"/>
        <v/>
      </c>
      <c r="DS26" s="6" t="str">
        <f t="shared" si="133"/>
        <v/>
      </c>
      <c r="DT26" s="6" t="str">
        <f t="shared" si="134"/>
        <v>"allhor",</v>
      </c>
      <c r="DU26" s="6" t="str">
        <f t="shared" si="135"/>
        <v/>
      </c>
      <c r="DV26" s="48" t="str">
        <f t="shared" si="204"/>
        <v/>
      </c>
      <c r="DW26" s="48" t="str">
        <f t="shared" si="196"/>
        <v/>
      </c>
      <c r="DX26" s="48" t="str">
        <f t="shared" si="196"/>
        <v/>
      </c>
      <c r="DY26" s="48" t="str">
        <f t="shared" si="196"/>
        <v>"3Bands",</v>
      </c>
      <c r="DZ26" s="48" t="str">
        <f t="shared" si="196"/>
        <v/>
      </c>
      <c r="EA26" s="48" t="str">
        <f t="shared" si="197"/>
        <v>"Diagon",</v>
      </c>
      <c r="EB26" s="48" t="str">
        <f t="shared" si="197"/>
        <v/>
      </c>
      <c r="EC26" s="48" t="str">
        <f t="shared" si="197"/>
        <v>"Horizo",</v>
      </c>
      <c r="ED26" s="48" t="str">
        <f t="shared" si="197"/>
        <v/>
      </c>
      <c r="EE26" s="48" t="str">
        <f t="shared" si="197"/>
        <v>"Circle",</v>
      </c>
      <c r="EF26" s="48" t="str">
        <f t="shared" si="136"/>
        <v>"Animal",</v>
      </c>
      <c r="EG26" s="48" t="str">
        <f t="shared" si="194"/>
        <v>"Bird",</v>
      </c>
      <c r="EH26" s="48" t="str">
        <f t="shared" si="194"/>
        <v>"Plants",</v>
      </c>
      <c r="EI26" s="48" t="str">
        <f t="shared" si="194"/>
        <v>"Texted",</v>
      </c>
      <c r="EJ26" s="48" t="str">
        <f t="shared" si="194"/>
        <v/>
      </c>
      <c r="EK26" s="48" t="str">
        <f t="shared" si="194"/>
        <v/>
      </c>
      <c r="EL26" s="48" t="str">
        <f t="shared" si="194"/>
        <v/>
      </c>
      <c r="EM26" s="48" t="str">
        <f t="shared" si="194"/>
        <v/>
      </c>
      <c r="EN26" s="48" t="str">
        <f t="shared" si="194"/>
        <v/>
      </c>
      <c r="EO26" s="48" t="str">
        <f t="shared" si="194"/>
        <v>"Center",</v>
      </c>
      <c r="EP26" s="48" t="str">
        <f t="shared" si="194"/>
        <v/>
      </c>
      <c r="EQ26" s="48" t="str">
        <f t="shared" si="194"/>
        <v/>
      </c>
      <c r="ER26" s="48" t="str">
        <f t="shared" si="194"/>
        <v/>
      </c>
      <c r="ES26" s="48" t="str">
        <f t="shared" si="194"/>
        <v/>
      </c>
      <c r="ET26" s="48" t="str">
        <f t="shared" si="194"/>
        <v/>
      </c>
      <c r="EU26" s="48" t="str">
        <f t="shared" si="194"/>
        <v/>
      </c>
      <c r="EV26" s="48" t="str">
        <f t="shared" si="194"/>
        <v/>
      </c>
      <c r="EW26" s="48" t="str">
        <f t="shared" si="193"/>
        <v/>
      </c>
      <c r="EX26" s="48" t="str">
        <f t="shared" si="193"/>
        <v/>
      </c>
      <c r="EY26" s="48" t="str">
        <f t="shared" si="193"/>
        <v/>
      </c>
      <c r="EZ26" s="48" t="str">
        <f t="shared" si="193"/>
        <v/>
      </c>
      <c r="FA26" s="48" t="str">
        <f t="shared" si="137"/>
        <v>"sta",</v>
      </c>
      <c r="FB26" s="48" t="str">
        <f t="shared" si="138"/>
        <v/>
      </c>
      <c r="FC26" s="48" t="str">
        <f t="shared" si="205"/>
        <v/>
      </c>
      <c r="FD26" s="48" t="str">
        <f t="shared" si="139"/>
        <v/>
      </c>
      <c r="FE26" s="48" t="str">
        <f t="shared" si="140"/>
        <v/>
      </c>
      <c r="FF26" s="48" t="str">
        <f t="shared" si="141"/>
        <v/>
      </c>
      <c r="FG26" s="48" t="str">
        <f t="shared" si="142"/>
        <v/>
      </c>
      <c r="FH26" s="48" t="str">
        <f t="shared" si="143"/>
        <v>"NO_GRE",</v>
      </c>
      <c r="FI26" s="48" t="str">
        <f t="shared" si="144"/>
        <v>"NO_YEL",</v>
      </c>
      <c r="FJ26" s="48" t="str">
        <f t="shared" si="145"/>
        <v/>
      </c>
      <c r="FK26" s="48" t="str">
        <f t="shared" si="146"/>
        <v/>
      </c>
      <c r="FL26" s="48" t="str">
        <f t="shared" si="147"/>
        <v/>
      </c>
      <c r="FM26" s="48" t="str">
        <f t="shared" si="148"/>
        <v/>
      </c>
      <c r="FN26" s="48" t="str">
        <f t="shared" si="149"/>
        <v/>
      </c>
      <c r="FO26" s="48" t="str">
        <f t="shared" si="150"/>
        <v/>
      </c>
      <c r="FP26" s="48" t="str">
        <f t="shared" si="151"/>
        <v/>
      </c>
      <c r="FQ26" s="48" t="str">
        <f t="shared" si="152"/>
        <v/>
      </c>
      <c r="FR26" s="48" t="str">
        <f t="shared" si="153"/>
        <v/>
      </c>
      <c r="FS26" s="48" t="str">
        <f t="shared" si="154"/>
        <v/>
      </c>
      <c r="FT26" s="48" t="str">
        <f t="shared" si="155"/>
        <v>"myrBLU",</v>
      </c>
      <c r="FU26" s="48" t="str">
        <f t="shared" si="156"/>
        <v/>
      </c>
      <c r="FV26" s="48" t="str">
        <f t="shared" si="157"/>
        <v/>
      </c>
      <c r="FW26" s="48" t="str">
        <f t="shared" si="158"/>
        <v/>
      </c>
      <c r="FX26" s="48" t="str">
        <f t="shared" si="206"/>
        <v/>
      </c>
      <c r="FY26" s="48" t="str">
        <f t="shared" si="159"/>
        <v/>
      </c>
      <c r="FZ26" s="48" t="str">
        <f t="shared" si="160"/>
        <v/>
      </c>
      <c r="GA26" s="48" t="str">
        <f t="shared" si="161"/>
        <v/>
      </c>
      <c r="GB26" s="48" t="str">
        <f t="shared" si="162"/>
        <v/>
      </c>
      <c r="GC26" s="48" t="str">
        <f t="shared" si="207"/>
        <v/>
      </c>
      <c r="GD26" s="48" t="str">
        <f t="shared" si="208"/>
        <v/>
      </c>
      <c r="GE26" s="48" t="str">
        <f t="shared" si="163"/>
        <v/>
      </c>
      <c r="GF26" s="48" t="str">
        <f t="shared" si="210"/>
        <v/>
      </c>
      <c r="GG26" s="48" t="str">
        <f t="shared" si="164"/>
        <v/>
      </c>
      <c r="GH26" s="48" t="str">
        <f t="shared" si="165"/>
        <v/>
      </c>
      <c r="GI26" s="48" t="str">
        <f t="shared" si="166"/>
        <v/>
      </c>
      <c r="GJ26" s="48" t="str">
        <f t="shared" si="167"/>
        <v/>
      </c>
      <c r="GK26" s="48" t="str">
        <f t="shared" si="168"/>
        <v>"HasSta",</v>
      </c>
      <c r="GL26" s="48" t="str">
        <f t="shared" si="198"/>
        <v>"1Stars",</v>
      </c>
      <c r="GM26" s="48" t="str">
        <f t="shared" si="198"/>
        <v/>
      </c>
      <c r="GN26" s="48" t="str">
        <f t="shared" si="198"/>
        <v/>
      </c>
      <c r="GP26" s="48" t="str">
        <f t="shared" si="169"/>
        <v>"State"</v>
      </c>
      <c r="GS26" s="48" t="str">
        <f t="shared" si="170"/>
        <v>["5+Colo","words2","exact2","lets13","startS","year19","allhor","3Bands","Diagon","Horizo","Circle","Animal","Bird","Plants","Texted","Center","sta","NO_GRE","NO_YEL","myrBLU","HasSta","1Stars"]</v>
      </c>
      <c r="GT26" s="48" t="str">
        <f t="shared" si="199"/>
        <v>"cl_BLA",</v>
      </c>
      <c r="GU26" s="48" t="str">
        <f t="shared" si="199"/>
        <v>"cl_BLU",</v>
      </c>
      <c r="GV26" s="48" t="str">
        <f t="shared" si="199"/>
        <v/>
      </c>
      <c r="GW26" s="48" t="str">
        <f t="shared" si="199"/>
        <v>"cl_RED",</v>
      </c>
      <c r="GX26" s="48" t="str">
        <f t="shared" si="199"/>
        <v/>
      </c>
      <c r="GY26" s="48" t="str">
        <f t="shared" si="199"/>
        <v>"cl_ORA",</v>
      </c>
      <c r="GZ26" s="48" t="str">
        <f t="shared" si="199"/>
        <v/>
      </c>
      <c r="HA26" s="48" t="str">
        <f t="shared" si="199"/>
        <v/>
      </c>
      <c r="HB26" s="48" t="str">
        <f t="shared" si="199"/>
        <v>"cl_WHI",</v>
      </c>
      <c r="HC26" s="48" t="str">
        <f t="shared" si="171"/>
        <v>["cl_BLA","cl_BLU","cl_RED","cl_ORA","cl_WHI"]</v>
      </c>
      <c r="HE26" s="71"/>
      <c r="HF26" s="72" t="str">
        <f t="shared" si="172"/>
        <v>{couname:"[BRA] Santa Catarina",year:"1953 ",region:"rgn_South America",Colors:["cl_BLA","cl_BLU","cl_RED","cl_ORA","cl_WHI"],Items:["5+Colo","words2","exact2","lets13","startS","year19","allhor","3Bands","Diagon","Horizo","Circle","Animal","Bird","Plants","Texted","Center","sta","NO_GRE","NO_YEL","myrBLU","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links: "https://vexillology.fandom.com/wiki/Santa_Catarina"},</v>
      </c>
      <c r="HG26" s="73" t="str">
        <f t="shared" si="173"/>
        <v>{couname:"[BRA] Santa Catarina",year:"1953 ",region:"rgn_South America",Colors:["cl_BLA","cl_BLU","cl_RED","cl_ORA","cl_WHI"],Items:["5+Colo","words2","exact2","lets13","startS","year19","allhor","3Bands","Diagon","Horizo","Circle","Animal","Bird","Plants","Texted","Center","sta","NO_GRE","NO_YEL","myrBLU","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links: "https://vexillology.fandom.com/wiki/Santa_Catarina"},</v>
      </c>
      <c r="HH26" s="48" t="str">
        <f t="shared" si="174"/>
        <v>"\nIn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v>
      </c>
      <c r="HI26" s="48" t="str">
        <f t="shared" si="175"/>
        <v>"\nIn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v>
      </c>
      <c r="HJ26" s="48" t="str">
        <f t="shared" si="176"/>
        <v>"1953 "</v>
      </c>
      <c r="HL26" s="48" t="str">
        <f t="shared" si="177"/>
        <v>"https://vexillology.fandom.com/wiki/Santa_Catarina"</v>
      </c>
      <c r="HM26" s="72" t="str">
        <f t="shared" si="178"/>
        <v>{"couname":"[BRA] Santa Catarina","year":"1953 ","region":"rgn_South America","Colors":["cl_BLA","cl_BLU","cl_RED","cl_ORA","cl_WHI"],"Items":["5+Colo","words2","exact2","lets13","startS","year19","allhor","3Bands","Diagon","Horizo","Circle","Animal","Bird","Plants","Texted","Center","sta","NO_GRE","NO_YEL","myrBLU","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 "links": "https://vexillology.fandom.com/wiki/Santa_Catarina"},</v>
      </c>
      <c r="HN26" s="74" t="str">
        <f t="shared" si="179"/>
        <v>{"couname":"[BRA] Santa Catarina","year":"1953 ","region":"rgn_South America","Colors":["cl_BLA","cl_BLU","cl_RED","cl_ORA","cl_WHI"],"Items":["5+Colo","words2","exact2","lets13","startS","year19","allhor","3Bands","Diagon","Horizo","Circle","Animal","Bird","Plants","Texted","Center","sta","NO_GRE","NO_YEL","myrBLU","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 "links": "https://vexillology.fandom.com/wiki/Santa_Catarina"},</v>
      </c>
      <c r="HO26" s="75">
        <v>45583</v>
      </c>
      <c r="HP26" s="48" t="str" cm="1">
        <f t="array" ref="HP26">IF(_xlfn.TEXTJOIN(", ", TRUE, IF(ISNUMBER(SEARCH("BLA", BL26:BT26)), COLUMN(BL26:BT26) - COLUMN(BL26) + 1, ""))&lt;&gt;"","BLA","")</f>
        <v>BLA</v>
      </c>
      <c r="HQ26" s="48" t="str" cm="1">
        <f t="array" ref="HQ26">IF(_xlfn.TEXTJOIN(", ", TRUE, IF(ISNUMBER(SEARCH("BLU", BL26:BT26)), COLUMN(BL26:BT26) - COLUMN(BL26) + 1, ""))&lt;&gt;"","BLU","")</f>
        <v>BLU</v>
      </c>
      <c r="HR26" s="48" t="str" cm="1">
        <f t="array" ref="HR26">IF(_xlfn.TEXTJOIN(", ", TRUE, IF(ISNUMBER(SEARCH("GRE", BL26:BT26)), COLUMN(BL26:BT26) - COLUMN(BL26) + 1, ""))&lt;&gt;"","GRE","")</f>
        <v/>
      </c>
      <c r="HS26" s="48" t="str" cm="1">
        <f t="array" ref="HS26">IF(_xlfn.TEXTJOIN(", ", TRUE, IF(ISNUMBER(SEARCH("RED", BL26:BT26)), COLUMN(BL26:BT26) - COLUMN(BL26) + 1, ""))&lt;&gt;"","RED","")</f>
        <v>RED</v>
      </c>
      <c r="HT26" s="48" t="str" cm="1">
        <f t="array" ref="HT26">IF(_xlfn.TEXTJOIN(", ", TRUE, IF(ISNUMBER(SEARCH("YEL", BL26:BT26)), COLUMN(BL26:BT26) - COLUMN(BL26) + 1, ""))&lt;&gt;"","YEL","")</f>
        <v/>
      </c>
      <c r="HU26" s="48" t="str" cm="1">
        <f t="array" ref="HU26">IF(_xlfn.TEXTJOIN(", ", TRUE, IF(ISNUMBER(SEARCH("ORA", BL26:BT26)), COLUMN(BL26:BT26) - COLUMN(BL26) + 1, ""))&lt;&gt;"","ORA","")</f>
        <v>ORA</v>
      </c>
      <c r="HV26" s="48" t="str" cm="1">
        <f t="array" ref="HV26">IF(_xlfn.TEXTJOIN(", ", TRUE, IF(ISNUMBER(SEARCH("BRO", BL26:BT26)), COLUMN(BL26:BT26) - COLUMN(BL26) + 1, ""))&lt;&gt;"","BRO","")</f>
        <v/>
      </c>
      <c r="HW26" s="48" t="str" cm="1">
        <f t="array" ref="HW26">IF(_xlfn.TEXTJOIN(", ", TRUE, IF(ISNUMBER(SEARCH("PUR", BL26:BT26)), COLUMN(BL26:BT26) - COLUMN(BL26) + 1, ""))&lt;&gt;"","PUR","")</f>
        <v/>
      </c>
      <c r="HX26" s="48" t="str" cm="1">
        <f t="array" ref="HX26">IF(_xlfn.TEXTJOIN(", ", TRUE, IF(ISNUMBER(SEARCH("WHI", BL26:BT26)), COLUMN(BL26:BT26) - COLUMN(BL26) + 1, ""))&lt;&gt;"","WHI","")</f>
        <v>WHI</v>
      </c>
      <c r="HY26" s="76"/>
      <c r="HZ26" s="76"/>
      <c r="IA26" s="6"/>
      <c r="IB26" s="6"/>
      <c r="IC26" s="77"/>
      <c r="ID26" s="77"/>
      <c r="IE26" s="77"/>
      <c r="IF26" s="77"/>
      <c r="IG26" s="77"/>
      <c r="IH26" s="77"/>
      <c r="II26" s="77"/>
      <c r="IJ26" s="77"/>
      <c r="IK26" s="77"/>
      <c r="IL26" s="48">
        <f t="shared" si="209"/>
        <v>0</v>
      </c>
      <c r="IM26" s="45">
        <f t="shared" si="180"/>
        <v>-5</v>
      </c>
      <c r="IN26" s="78" t="str">
        <f t="shared" si="181"/>
        <v>http://mkweb.bcgsc.ca/color-summarizer/?url=https://upload.wikimedia.org/wikipedia/commons/thumb/1/1a/Bandeira_de_Santa_Catarina.svg/640px-Bandeira_de_Santa_Catarina.svg.png&amp;precision=low&amp;num_clusters=5&amp;text=1</v>
      </c>
      <c r="IO26" s="48" t="str">
        <f t="shared" si="182"/>
        <v>"black"</v>
      </c>
      <c r="IP26" s="48" t="str">
        <f t="shared" si="183"/>
        <v>"blue"</v>
      </c>
      <c r="IQ26" s="48" t="str">
        <f t="shared" si="184"/>
        <v/>
      </c>
      <c r="IR26" s="48" t="str">
        <f t="shared" si="185"/>
        <v>"red"</v>
      </c>
      <c r="IS26" s="48" t="str">
        <f t="shared" si="186"/>
        <v/>
      </c>
      <c r="IT26" s="48" t="str">
        <f t="shared" si="187"/>
        <v>"orange"</v>
      </c>
      <c r="IU26" s="48" t="str">
        <f t="shared" si="188"/>
        <v/>
      </c>
      <c r="IV26" s="48" t="str">
        <f t="shared" si="189"/>
        <v/>
      </c>
      <c r="IW26" s="48" t="str">
        <f t="shared" si="190"/>
        <v>"white"</v>
      </c>
      <c r="IX26" s="48" t="str">
        <f t="shared" si="191"/>
        <v>{"url":"http://mkweb.bcgsc.ca/color-summarizer/?url=https://upload.wikimedia.org/wikipedia/commons/thumb/1/1a/Bandeira_de_Santa_Catarina.svg/640px-Bandeira_de_Santa_Catarina.svg.png&amp;precision=low&amp;num_clusters=5&amp;text=1","name":"[BRA] Santa Catarina"},</v>
      </c>
      <c r="IY26" s="48">
        <v>691</v>
      </c>
    </row>
    <row r="27" spans="1:259" s="48" customFormat="1" ht="38.4" customHeight="1" thickBot="1" x14ac:dyDescent="0.35">
      <c r="A27" s="79" t="s">
        <v>529</v>
      </c>
      <c r="B27" s="40" t="e" vm="49">
        <v>#VALUE!</v>
      </c>
      <c r="C27" s="41">
        <v>2</v>
      </c>
      <c r="D27" s="42" t="s">
        <v>530</v>
      </c>
      <c r="E27" s="43" t="s">
        <v>531</v>
      </c>
      <c r="F27" s="44" t="s">
        <v>166</v>
      </c>
      <c r="G27" s="45">
        <f>COUNTIF($A$1:$A$8312,A27)</f>
        <v>1</v>
      </c>
      <c r="H27" s="46"/>
      <c r="I27" s="47" t="s">
        <v>532</v>
      </c>
      <c r="J27" s="48" t="str">
        <f>""</f>
        <v/>
      </c>
      <c r="K27" s="49"/>
      <c r="L27" s="50"/>
      <c r="M27" s="50"/>
      <c r="N27" s="51" t="s">
        <v>169</v>
      </c>
      <c r="O27" s="52" t="s">
        <v>533</v>
      </c>
      <c r="P27" s="53" t="s">
        <v>534</v>
      </c>
      <c r="Q27" s="54">
        <v>2</v>
      </c>
      <c r="R27" s="55" t="s">
        <v>169</v>
      </c>
      <c r="S27" s="56">
        <v>13</v>
      </c>
      <c r="T27" s="57" t="s">
        <v>172</v>
      </c>
      <c r="U27" s="58" t="s">
        <v>172</v>
      </c>
      <c r="V27" s="58" t="s">
        <v>173</v>
      </c>
      <c r="W27" s="58" t="s">
        <v>172</v>
      </c>
      <c r="X27" s="58" t="s">
        <v>173</v>
      </c>
      <c r="Y27" s="58" t="s">
        <v>172</v>
      </c>
      <c r="Z27" s="58" t="s">
        <v>172</v>
      </c>
      <c r="AA27" s="58" t="s">
        <v>172</v>
      </c>
      <c r="AB27" s="58" t="s">
        <v>172</v>
      </c>
      <c r="AC27" s="58" t="s">
        <v>172</v>
      </c>
      <c r="AD27" s="58" t="s">
        <v>172</v>
      </c>
      <c r="AE27" s="58" t="s">
        <v>172</v>
      </c>
      <c r="AF27" s="59" t="s">
        <v>172</v>
      </c>
      <c r="AG27" s="59" t="s">
        <v>172</v>
      </c>
      <c r="AH27" s="59" t="s">
        <v>172</v>
      </c>
      <c r="AI27" s="59" t="s">
        <v>173</v>
      </c>
      <c r="AJ27" s="59" t="s">
        <v>172</v>
      </c>
      <c r="AK27" s="59" t="s">
        <v>172</v>
      </c>
      <c r="AL27" s="59" t="s">
        <v>172</v>
      </c>
      <c r="AM27" s="59" t="s">
        <v>173</v>
      </c>
      <c r="AN27" s="59" t="s">
        <v>172</v>
      </c>
      <c r="AO27" s="59" t="s">
        <v>172</v>
      </c>
      <c r="AP27" s="59" t="s">
        <v>172</v>
      </c>
      <c r="AQ27" s="59" t="s">
        <v>172</v>
      </c>
      <c r="AR27" s="59" t="s">
        <v>172</v>
      </c>
      <c r="AS27" s="59" t="s">
        <v>172</v>
      </c>
      <c r="AT27" s="60">
        <v>4</v>
      </c>
      <c r="AU27" s="59" t="s">
        <v>383</v>
      </c>
      <c r="AV27" s="59" t="str">
        <f>IF(LEFT(A27,1)="[",LEFT(A27,5)&amp;AU27&amp;A27,"")</f>
        <v>[BRA]State[BRA] Sao Paulo</v>
      </c>
      <c r="AW27" s="59" t="str">
        <f>C27&amp;H27&amp;A27</f>
        <v>2[BRA] Sao Paulo</v>
      </c>
      <c r="AX27" s="61"/>
      <c r="AY27" s="61"/>
      <c r="AZ27" s="62" t="s">
        <v>155</v>
      </c>
      <c r="BA27" s="62" t="s">
        <v>174</v>
      </c>
      <c r="BB27" s="62"/>
      <c r="BC27" s="63"/>
      <c r="BD27" s="64" t="s">
        <v>152</v>
      </c>
      <c r="BE27" s="47"/>
      <c r="BF27" s="64" t="s">
        <v>152</v>
      </c>
      <c r="BG27" s="64" t="s">
        <v>154</v>
      </c>
      <c r="BH27" s="64" t="s">
        <v>152</v>
      </c>
      <c r="BI27" s="64"/>
      <c r="BJ27" s="64"/>
      <c r="BK27" s="47"/>
      <c r="BL27" s="64" t="s">
        <v>174</v>
      </c>
      <c r="BM27" s="64" t="s">
        <v>152</v>
      </c>
      <c r="BN27" s="64" t="s">
        <v>174</v>
      </c>
      <c r="BO27" s="64" t="s">
        <v>154</v>
      </c>
      <c r="BP27" s="64" t="s">
        <v>155</v>
      </c>
      <c r="BQ27" s="64" t="s">
        <v>174</v>
      </c>
      <c r="BR27" s="64" t="s">
        <v>174</v>
      </c>
      <c r="BS27" s="64" t="s">
        <v>174</v>
      </c>
      <c r="BT27" s="64" t="s">
        <v>174</v>
      </c>
      <c r="BU27" s="65"/>
      <c r="BV27" s="66"/>
      <c r="BW27" s="66">
        <v>0</v>
      </c>
      <c r="BX27" s="47"/>
      <c r="BY27" s="48" t="s">
        <v>173</v>
      </c>
      <c r="CB27" s="6"/>
      <c r="CC27" s="6"/>
      <c r="CD27" s="67">
        <v>0</v>
      </c>
      <c r="CE27" s="67">
        <v>0</v>
      </c>
      <c r="CF27" s="67" t="e">
        <v>#REF!</v>
      </c>
      <c r="CG27" s="68" cm="1">
        <f t="array" ref="CG27">SUMPRODUCT(--(LEN(TRIM(BL27:BT27))&gt;0))</f>
        <v>3</v>
      </c>
      <c r="CH27" s="59" t="str">
        <f t="shared" si="104"/>
        <v>n</v>
      </c>
      <c r="CI27" s="59" t="str">
        <f t="shared" si="105"/>
        <v>y</v>
      </c>
      <c r="CJ27" s="59" t="str">
        <f t="shared" si="106"/>
        <v>n</v>
      </c>
      <c r="CK27" s="59" t="str">
        <f t="shared" si="107"/>
        <v>n</v>
      </c>
      <c r="CL27" s="59" t="str">
        <f t="shared" si="108"/>
        <v>n</v>
      </c>
      <c r="CM27" s="59" t="str">
        <f t="shared" si="109"/>
        <v>n</v>
      </c>
      <c r="CN27" s="59" t="str">
        <f t="shared" si="110"/>
        <v>n</v>
      </c>
      <c r="CO27" s="59" t="str">
        <f t="shared" si="111"/>
        <v>y</v>
      </c>
      <c r="CP27" s="59" t="str">
        <f t="shared" si="112"/>
        <v>n</v>
      </c>
      <c r="CQ27" s="59" t="str">
        <f t="shared" si="113"/>
        <v>n</v>
      </c>
      <c r="CR27" s="59" t="str">
        <f t="shared" si="114"/>
        <v>n</v>
      </c>
      <c r="CS27" s="59" t="str">
        <f t="shared" si="115"/>
        <v>y</v>
      </c>
      <c r="CT27" s="69" t="str">
        <f t="shared" si="116"/>
        <v>"[BRA] Sao Paulo"</v>
      </c>
      <c r="CU27" s="70" t="str">
        <f t="shared" si="117"/>
        <v>"rgn_South America"</v>
      </c>
      <c r="CV27" s="48" t="str">
        <f t="shared" si="118"/>
        <v>"https://upload.wikimedia.org/wikipedia/commons/thumb/2/2b/Bandeira_do_estado_de_S%C3%A3o_Paulo.svg/640px-Bandeira_do_estado_de_S%C3%A3o_Paulo.svg.png"</v>
      </c>
      <c r="CW27" s="48" t="str">
        <f t="shared" si="195"/>
        <v/>
      </c>
      <c r="CX27" s="48" t="str">
        <f t="shared" si="195"/>
        <v>"3Color",</v>
      </c>
      <c r="CY27" s="48" t="str">
        <f t="shared" si="195"/>
        <v/>
      </c>
      <c r="CZ27" s="48" t="str">
        <f t="shared" si="195"/>
        <v/>
      </c>
      <c r="DA27" s="48" t="str">
        <f t="shared" si="119"/>
        <v>"words2",</v>
      </c>
      <c r="DB27" s="48" t="str">
        <f t="shared" si="200"/>
        <v/>
      </c>
      <c r="DD27" s="48" t="str">
        <f>IF(LEN(CHAR(34)&amp;"lets"&amp;LEN(SUBSTITUTE(SUBSTITUTE(IFERROR(TRIM(SUBSTITUTE(A27,MID(A27,FIND("[",A27),FIND("]",A27)-FIND("[",A27)+1),"")),A27)," ",""),"-",""))&amp;CHAR(34)&amp;",")=9,CHAR(34)&amp;"lets"&amp;LEN(SUBSTITUTE(SUBSTITUTE(IFERROR(TRIM(SUBSTITUTE(A27,MID(A27,FIND("[",A27),FIND("]",A27)-FIND("[",A27)+1),"")),A27)," ",""),"-",""))&amp;CHAR(34)&amp;",",CHAR(34)&amp;"lets0"&amp;LEN(SUBSTITUTE(SUBSTITUTE(IFERROR(TRIM(SUBSTITUTE(A27,MID(A27,FIND("[",A27),FIND("]",A27)-FIND("[",A27)+1),"")),A27)," ",""),"-",""))&amp;CHAR(34)&amp;",")</f>
        <v>"lets08",</v>
      </c>
      <c r="DE27" s="48" t="str">
        <f>CHAR(34)&amp;"start"&amp;IFERROR(LEFT(SUBSTITUTE(A27,"["&amp;MID(A27,FIND("[",A27)+1,FIND("]",A27)-FIND("[",A27)-1)&amp;"] ",""),1),LEFT(A27,1))&amp;CHAR(34)&amp;","</f>
        <v>"startS",</v>
      </c>
      <c r="DF27" s="48" t="str">
        <f t="shared" si="121"/>
        <v/>
      </c>
      <c r="DG27" s="48" t="str">
        <f t="shared" si="122"/>
        <v/>
      </c>
      <c r="DH27" s="48" t="str">
        <f t="shared" si="123"/>
        <v/>
      </c>
      <c r="DI27" s="48" t="str">
        <f t="shared" si="124"/>
        <v/>
      </c>
      <c r="DJ27" s="48" t="str">
        <f t="shared" si="125"/>
        <v/>
      </c>
      <c r="DK27" s="48" t="str">
        <f t="shared" si="126"/>
        <v/>
      </c>
      <c r="DL27" s="48" t="str">
        <f t="shared" si="127"/>
        <v/>
      </c>
      <c r="DM27" s="48" t="str" cm="1">
        <f t="array" ref="DM27">IF(CG27=3,CHAR(34) &amp; _xlfn.TEXTJOIN("", TRUE, RIGHT(HP27:HX27, 2)) &amp; CHAR(34) &amp; ",", "")</f>
        <v>"LUEDEL",</v>
      </c>
      <c r="DN27" s="48" t="str">
        <f t="shared" si="128"/>
        <v/>
      </c>
      <c r="DO27" s="48" t="str">
        <f t="shared" si="129"/>
        <v>"year19",</v>
      </c>
      <c r="DP27" s="6" t="str">
        <f t="shared" si="130"/>
        <v/>
      </c>
      <c r="DQ27" s="6" t="str">
        <f t="shared" si="131"/>
        <v/>
      </c>
      <c r="DR27" s="6" t="str">
        <f t="shared" si="132"/>
        <v>"dgband",</v>
      </c>
      <c r="DS27" s="6" t="str">
        <f t="shared" si="133"/>
        <v/>
      </c>
      <c r="DT27" s="6" t="str">
        <f t="shared" si="134"/>
        <v/>
      </c>
      <c r="DU27" s="6" t="str">
        <f t="shared" si="135"/>
        <v/>
      </c>
      <c r="DW27" s="48" t="str">
        <f t="shared" si="196"/>
        <v/>
      </c>
      <c r="DX27" s="48" t="str">
        <f t="shared" si="196"/>
        <v/>
      </c>
      <c r="DY27" s="48" t="str">
        <f t="shared" si="196"/>
        <v/>
      </c>
      <c r="DZ27" s="48" t="str">
        <f t="shared" si="196"/>
        <v>"4+Band",</v>
      </c>
      <c r="EA27" s="48" t="str">
        <f t="shared" si="197"/>
        <v/>
      </c>
      <c r="EB27" s="48" t="str">
        <f t="shared" si="197"/>
        <v/>
      </c>
      <c r="EC27" s="48" t="str">
        <f t="shared" si="197"/>
        <v>"Horizo",</v>
      </c>
      <c r="ED27" s="48" t="str">
        <f t="shared" si="197"/>
        <v/>
      </c>
      <c r="EE27" s="48" t="str">
        <f t="shared" si="197"/>
        <v>"Circle",</v>
      </c>
      <c r="EF27" s="48" t="str">
        <f t="shared" si="136"/>
        <v/>
      </c>
      <c r="EG27" s="48" t="str">
        <f t="shared" si="194"/>
        <v/>
      </c>
      <c r="EH27" s="48" t="str">
        <f t="shared" si="194"/>
        <v/>
      </c>
      <c r="EI27" s="48" t="str">
        <f t="shared" si="194"/>
        <v/>
      </c>
      <c r="EJ27" s="48" t="str">
        <f t="shared" si="194"/>
        <v/>
      </c>
      <c r="EK27" s="48" t="str">
        <f t="shared" si="194"/>
        <v/>
      </c>
      <c r="EL27" s="48" t="str">
        <f t="shared" si="194"/>
        <v/>
      </c>
      <c r="EM27" s="48" t="str">
        <f t="shared" si="194"/>
        <v/>
      </c>
      <c r="EN27" s="48" t="str">
        <f t="shared" si="194"/>
        <v/>
      </c>
      <c r="EO27" s="48" t="str">
        <f t="shared" si="194"/>
        <v/>
      </c>
      <c r="EP27" s="48" t="str">
        <f t="shared" si="194"/>
        <v>"Canton",</v>
      </c>
      <c r="EQ27" s="48" t="str">
        <f t="shared" si="194"/>
        <v/>
      </c>
      <c r="ER27" s="48" t="str">
        <f t="shared" si="194"/>
        <v/>
      </c>
      <c r="ES27" s="48" t="str">
        <f t="shared" si="194"/>
        <v/>
      </c>
      <c r="ET27" s="48" t="str">
        <f t="shared" si="194"/>
        <v>"Geogrh",</v>
      </c>
      <c r="EU27" s="48" t="str">
        <f t="shared" si="194"/>
        <v/>
      </c>
      <c r="EV27" s="48" t="str">
        <f t="shared" si="194"/>
        <v/>
      </c>
      <c r="EW27" s="48" t="str">
        <f t="shared" si="193"/>
        <v/>
      </c>
      <c r="EX27" s="48" t="str">
        <f t="shared" si="193"/>
        <v/>
      </c>
      <c r="EY27" s="48" t="str">
        <f t="shared" si="193"/>
        <v/>
      </c>
      <c r="EZ27" s="48" t="str">
        <f t="shared" si="193"/>
        <v/>
      </c>
      <c r="FA27" s="48" t="str">
        <f t="shared" si="137"/>
        <v>"staYEL",</v>
      </c>
      <c r="FB27" s="48" t="str">
        <f t="shared" si="138"/>
        <v/>
      </c>
      <c r="FD27" s="48" t="str">
        <f t="shared" si="139"/>
        <v/>
      </c>
      <c r="FE27" s="48" t="str">
        <f t="shared" si="140"/>
        <v/>
      </c>
      <c r="FF27" s="48" t="str">
        <f t="shared" si="141"/>
        <v>"NO_WHI",</v>
      </c>
      <c r="FG27" s="48" t="str">
        <f t="shared" si="142"/>
        <v/>
      </c>
      <c r="FH27" s="48" t="str">
        <f t="shared" si="143"/>
        <v>"NO_GRE",</v>
      </c>
      <c r="FI27" s="48" t="str">
        <f t="shared" si="144"/>
        <v/>
      </c>
      <c r="FJ27" s="48" t="str">
        <f t="shared" si="145"/>
        <v>"NO_BLA",</v>
      </c>
      <c r="FK27" s="48" t="str">
        <f t="shared" si="146"/>
        <v>"WHGRNO",</v>
      </c>
      <c r="FL27" s="48" t="str">
        <f t="shared" si="147"/>
        <v/>
      </c>
      <c r="FM27" s="48" t="str">
        <f t="shared" si="148"/>
        <v>"BAWHNO",</v>
      </c>
      <c r="FN27" s="48" t="str">
        <f t="shared" si="149"/>
        <v/>
      </c>
      <c r="FO27" s="48" t="str">
        <f t="shared" si="150"/>
        <v/>
      </c>
      <c r="FP27" s="48" t="str">
        <f t="shared" si="151"/>
        <v>"WHRENO",</v>
      </c>
      <c r="FQ27" s="48" t="str">
        <f t="shared" si="152"/>
        <v>"001BLU",</v>
      </c>
      <c r="FR27" s="48" t="str">
        <f t="shared" si="153"/>
        <v>"002RED",</v>
      </c>
      <c r="FS27" s="48" t="str">
        <f t="shared" si="154"/>
        <v>"003BLU",</v>
      </c>
      <c r="FT27" s="48" t="str">
        <f t="shared" si="155"/>
        <v>"myrBLU",</v>
      </c>
      <c r="FU27" s="48" t="str">
        <f t="shared" si="156"/>
        <v/>
      </c>
      <c r="FV27" s="48" t="str">
        <f t="shared" si="157"/>
        <v/>
      </c>
      <c r="FW27" s="48" t="str">
        <f t="shared" si="158"/>
        <v/>
      </c>
      <c r="FY27" s="48" t="str">
        <f t="shared" si="159"/>
        <v/>
      </c>
      <c r="FZ27" s="48" t="str">
        <f t="shared" si="160"/>
        <v/>
      </c>
      <c r="GA27" s="48" t="str">
        <f t="shared" si="161"/>
        <v/>
      </c>
      <c r="GB27" s="48" t="str">
        <f t="shared" si="162"/>
        <v/>
      </c>
      <c r="GE27" s="48" t="str">
        <f t="shared" si="163"/>
        <v/>
      </c>
      <c r="GF27" s="48" t="str">
        <f t="shared" si="210"/>
        <v/>
      </c>
      <c r="GG27" s="48" t="str">
        <f t="shared" si="164"/>
        <v/>
      </c>
      <c r="GH27" s="48" t="str">
        <f t="shared" si="165"/>
        <v/>
      </c>
      <c r="GI27" s="48" t="str">
        <f t="shared" si="166"/>
        <v/>
      </c>
      <c r="GJ27" s="48" t="str">
        <f t="shared" si="167"/>
        <v/>
      </c>
      <c r="GK27" s="48" t="str">
        <f t="shared" si="168"/>
        <v>"HasSta",</v>
      </c>
      <c r="GL27" s="48" t="str">
        <f t="shared" si="198"/>
        <v/>
      </c>
      <c r="GM27" s="48" t="str">
        <f t="shared" si="198"/>
        <v/>
      </c>
      <c r="GN27" s="48" t="str">
        <f t="shared" si="198"/>
        <v>"3+Star",</v>
      </c>
      <c r="GP27" s="48" t="str">
        <f t="shared" si="169"/>
        <v>"State"</v>
      </c>
      <c r="GS27" s="48" t="str">
        <f t="shared" si="170"/>
        <v>["3Color","words2","lets08","startS","LUEDEL","year19","dgband","4+Band","Horizo","Circle","Canton","Geogrh","staYEL","NO_WHI","NO_GRE","NO_BLA","WHGRNO","BAWHNO","WHRENO","001BLU","002RED","003BLU","myrBLU","HasSta","3+Star"]</v>
      </c>
      <c r="GT27" s="48" t="str">
        <f t="shared" si="199"/>
        <v/>
      </c>
      <c r="GU27" s="48" t="str">
        <f t="shared" si="199"/>
        <v>"cl_BLU",</v>
      </c>
      <c r="GV27" s="48" t="str">
        <f t="shared" si="199"/>
        <v/>
      </c>
      <c r="GW27" s="48" t="str">
        <f t="shared" si="199"/>
        <v>"cl_RED",</v>
      </c>
      <c r="GX27" s="48" t="str">
        <f t="shared" si="199"/>
        <v>"cl_YEL",</v>
      </c>
      <c r="GY27" s="48" t="str">
        <f t="shared" si="199"/>
        <v/>
      </c>
      <c r="GZ27" s="48" t="str">
        <f t="shared" si="199"/>
        <v/>
      </c>
      <c r="HA27" s="48" t="str">
        <f t="shared" si="199"/>
        <v/>
      </c>
      <c r="HB27" s="48" t="str">
        <f t="shared" si="199"/>
        <v/>
      </c>
      <c r="HC27" s="48" t="str">
        <f t="shared" si="171"/>
        <v>["cl_BLU","cl_RED","cl_YEL"]</v>
      </c>
      <c r="HE27" s="71"/>
      <c r="HF27" s="72" t="str">
        <f t="shared" si="172"/>
        <v>{couname:"[BRA] Sao Paulo",year:"1946 ",region:"rgn_South America",Colors:["cl_BLU","cl_RED","cl_YEL"],Items:["3Color","words2","lets08","startS","LUEDEL","year19","dgband","4+Band","Horizo","Circle","Canton","Geogrh","staYEL","NO_WHI","NO_GRE","NO_BLA","WHGRNO","BAWHNO","WHRENO","001BLU","002RED","003BLU","myrBLU","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links: "https://en.wikipedia.org/wiki/Flag_of_São_Paulo_(state)"},</v>
      </c>
      <c r="HG27" s="73" t="str">
        <f t="shared" si="173"/>
        <v>{couname:"[BRA] Sao Paulo",year:"1946 ",region:"rgn_South America",Colors:["cl_BLU","cl_RED","cl_YEL"],Items:["3Color","words2","lets08","startS","LUEDEL","year19","dgband","4+Band","Horizo","Circle","Canton","Geogrh","staYEL","NO_WHI","NO_GRE","NO_BLA","WHGRNO","BAWHNO","WHRENO","001BLU","002RED","003BLU","myrBLU","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links: "https://en.wikipedia.org/wiki/Flag_of_São_Paulo_(state)"},</v>
      </c>
      <c r="HH27" s="48" t="str">
        <f t="shared" si="174"/>
        <v>"\nThe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v>
      </c>
      <c r="HI27" s="48" t="str">
        <f t="shared" si="175"/>
        <v>"\nThe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v>
      </c>
      <c r="HJ27" s="48" t="str">
        <f t="shared" si="176"/>
        <v>"1946 "</v>
      </c>
      <c r="HL27" s="48" t="str">
        <f t="shared" si="177"/>
        <v>"https://en.wikipedia.org/wiki/Flag_of_São_Paulo_(state)"</v>
      </c>
      <c r="HM27" s="72" t="str">
        <f t="shared" si="178"/>
        <v>{"couname":"[BRA] Sao Paulo","year":"1946 ","region":"rgn_South America","Colors":["cl_BLU","cl_RED","cl_YEL"],"Items":["3Color","words2","lets08","startS","LUEDEL","year19","dgband","4+Band","Horizo","Circle","Canton","Geogrh","staYEL","NO_WHI","NO_GRE","NO_BLA","WHGRNO","BAWHNO","WHRENO","001BLU","002RED","003BLU","myrBLU","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 "links": "https://en.wikipedia.org/wiki/Flag_of_São_Paulo_(state)"},</v>
      </c>
      <c r="HN27" s="74" t="str">
        <f t="shared" si="179"/>
        <v>{"couname":"[BRA] Sao Paulo","year":"1946 ","region":"rgn_South America","Colors":["cl_BLU","cl_RED","cl_YEL"],"Items":["3Color","words2","lets08","startS","LUEDEL","year19","dgband","4+Band","Horizo","Circle","Canton","Geogrh","staYEL","NO_WHI","NO_GRE","NO_BLA","WHGRNO","BAWHNO","WHRENO","001BLU","002RED","003BLU","myrBLU","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 "links": "https://en.wikipedia.org/wiki/Flag_of_São_Paulo_(state)"},</v>
      </c>
      <c r="HO27" s="75">
        <v>45618</v>
      </c>
      <c r="HP27" s="48" t="str" cm="1">
        <f t="array" ref="HP27">IF(_xlfn.TEXTJOIN(", ", TRUE, IF(ISNUMBER(SEARCH("BLA", BL27:BT27)), COLUMN(BL27:BT27) - COLUMN(BL27) + 1, ""))&lt;&gt;"","BLA","")</f>
        <v/>
      </c>
      <c r="HQ27" s="48" t="str" cm="1">
        <f t="array" ref="HQ27">IF(_xlfn.TEXTJOIN(", ", TRUE, IF(ISNUMBER(SEARCH("BLU", BL27:BT27)), COLUMN(BL27:BT27) - COLUMN(BL27) + 1, ""))&lt;&gt;"","BLU","")</f>
        <v>BLU</v>
      </c>
      <c r="HR27" s="48" t="str" cm="1">
        <f t="array" ref="HR27">IF(_xlfn.TEXTJOIN(", ", TRUE, IF(ISNUMBER(SEARCH("GRE", BL27:BT27)), COLUMN(BL27:BT27) - COLUMN(BL27) + 1, ""))&lt;&gt;"","GRE","")</f>
        <v/>
      </c>
      <c r="HS27" s="48" t="str" cm="1">
        <f t="array" ref="HS27">IF(_xlfn.TEXTJOIN(", ", TRUE, IF(ISNUMBER(SEARCH("RED", BL27:BT27)), COLUMN(BL27:BT27) - COLUMN(BL27) + 1, ""))&lt;&gt;"","RED","")</f>
        <v>RED</v>
      </c>
      <c r="HT27" s="48" t="str" cm="1">
        <f t="array" ref="HT27">IF(_xlfn.TEXTJOIN(", ", TRUE, IF(ISNUMBER(SEARCH("YEL", BL27:BT27)), COLUMN(BL27:BT27) - COLUMN(BL27) + 1, ""))&lt;&gt;"","YEL","")</f>
        <v>YEL</v>
      </c>
      <c r="HU27" s="48" t="str" cm="1">
        <f t="array" ref="HU27">IF(_xlfn.TEXTJOIN(", ", TRUE, IF(ISNUMBER(SEARCH("ORA", BL27:BT27)), COLUMN(BL27:BT27) - COLUMN(BL27) + 1, ""))&lt;&gt;"","ORA","")</f>
        <v/>
      </c>
      <c r="HV27" s="48" t="str" cm="1">
        <f t="array" ref="HV27">IF(_xlfn.TEXTJOIN(", ", TRUE, IF(ISNUMBER(SEARCH("BRO", BL27:BT27)), COLUMN(BL27:BT27) - COLUMN(BL27) + 1, ""))&lt;&gt;"","BRO","")</f>
        <v/>
      </c>
      <c r="HW27" s="48" t="str" cm="1">
        <f t="array" ref="HW27">IF(_xlfn.TEXTJOIN(", ", TRUE, IF(ISNUMBER(SEARCH("PUR", BL27:BT27)), COLUMN(BL27:BT27) - COLUMN(BL27) + 1, ""))&lt;&gt;"","PUR","")</f>
        <v/>
      </c>
      <c r="HX27" s="48" t="str" cm="1">
        <f t="array" ref="HX27">IF(_xlfn.TEXTJOIN(", ", TRUE, IF(ISNUMBER(SEARCH("WHI", BL27:BT27)), COLUMN(BL27:BT27) - COLUMN(BL27) + 1, ""))&lt;&gt;"","WHI","")</f>
        <v/>
      </c>
      <c r="HY27" s="76"/>
      <c r="HZ27" s="76"/>
      <c r="IA27" s="6"/>
      <c r="IB27" s="6"/>
      <c r="IC27" s="77"/>
      <c r="ID27" s="77"/>
      <c r="IE27" s="77"/>
      <c r="IF27" s="77"/>
      <c r="IG27" s="77"/>
      <c r="IH27" s="77"/>
      <c r="II27" s="77"/>
      <c r="IJ27" s="77"/>
      <c r="IK27" s="77"/>
      <c r="IM27" s="45">
        <f t="shared" si="180"/>
        <v>-3</v>
      </c>
      <c r="IN27" s="78" t="str">
        <f t="shared" si="181"/>
        <v>http://mkweb.bcgsc.ca/color-summarizer/?url=https://upload.wikimedia.org/wikipedia/commons/thumb/2/2b/Bandeira_do_estado_de_S%C3%A3o_Paulo.svg/640px-Bandeira_do_estado_de_S%C3%A3o_Paulo.svg.png&amp;precision=low&amp;num_clusters=3&amp;text=1</v>
      </c>
      <c r="IO27" s="48" t="str">
        <f t="shared" si="182"/>
        <v/>
      </c>
      <c r="IP27" s="48" t="str">
        <f t="shared" si="183"/>
        <v>"blue"</v>
      </c>
      <c r="IQ27" s="48" t="str">
        <f t="shared" si="184"/>
        <v/>
      </c>
      <c r="IR27" s="48" t="str">
        <f t="shared" si="185"/>
        <v>"red"</v>
      </c>
      <c r="IS27" s="48" t="str">
        <f t="shared" si="186"/>
        <v>"yellow"</v>
      </c>
      <c r="IT27" s="48" t="str">
        <f t="shared" si="187"/>
        <v/>
      </c>
      <c r="IU27" s="48" t="str">
        <f t="shared" si="188"/>
        <v/>
      </c>
      <c r="IV27" s="48" t="str">
        <f t="shared" si="189"/>
        <v/>
      </c>
      <c r="IW27" s="48" t="str">
        <f t="shared" si="190"/>
        <v/>
      </c>
      <c r="IX27" s="48" t="str">
        <f t="shared" si="191"/>
        <v>{"url":"http://mkweb.bcgsc.ca/color-summarizer/?url=https://upload.wikimedia.org/wikipedia/commons/thumb/2/2b/Bandeira_do_estado_de_S%C3%A3o_Paulo.svg/640px-Bandeira_do_estado_de_S%C3%A3o_Paulo.svg.png&amp;precision=low&amp;num_clusters=3&amp;text=1","name":"[BRA] Sao Paulo"},</v>
      </c>
      <c r="IY27" s="48">
        <v>1051</v>
      </c>
    </row>
    <row r="28" spans="1:259" s="48" customFormat="1" ht="38.4" customHeight="1" thickBot="1" x14ac:dyDescent="0.35">
      <c r="A28" s="79" t="s">
        <v>535</v>
      </c>
      <c r="B28" s="40" t="e" vm="50">
        <v>#VALUE!</v>
      </c>
      <c r="C28" s="41">
        <v>2</v>
      </c>
      <c r="D28" s="42" t="s">
        <v>536</v>
      </c>
      <c r="E28" s="43" t="s">
        <v>537</v>
      </c>
      <c r="F28" s="44" t="s">
        <v>166</v>
      </c>
      <c r="G28" s="45">
        <f>COUNTIF($A$1:$A$8312,A28)</f>
        <v>1</v>
      </c>
      <c r="H28" s="46"/>
      <c r="I28" s="47" t="s">
        <v>538</v>
      </c>
      <c r="J28" s="48" t="str">
        <f>""</f>
        <v/>
      </c>
      <c r="K28" s="49"/>
      <c r="L28" s="50"/>
      <c r="M28" s="50"/>
      <c r="N28" s="51" t="s">
        <v>169</v>
      </c>
      <c r="O28" s="52" t="s">
        <v>539</v>
      </c>
      <c r="P28" s="53" t="s">
        <v>540</v>
      </c>
      <c r="Q28" s="54">
        <v>1</v>
      </c>
      <c r="R28" s="55" t="s">
        <v>169</v>
      </c>
      <c r="S28" s="56">
        <v>4</v>
      </c>
      <c r="T28" s="57" t="s">
        <v>172</v>
      </c>
      <c r="U28" s="58" t="s">
        <v>172</v>
      </c>
      <c r="V28" s="58" t="s">
        <v>173</v>
      </c>
      <c r="W28" s="58" t="s">
        <v>172</v>
      </c>
      <c r="X28" s="58" t="s">
        <v>172</v>
      </c>
      <c r="Y28" s="58" t="s">
        <v>172</v>
      </c>
      <c r="Z28" s="58" t="s">
        <v>172</v>
      </c>
      <c r="AA28" s="58" t="s">
        <v>172</v>
      </c>
      <c r="AB28" s="58" t="s">
        <v>172</v>
      </c>
      <c r="AC28" s="58" t="s">
        <v>172</v>
      </c>
      <c r="AD28" s="58" t="s">
        <v>172</v>
      </c>
      <c r="AE28" s="58" t="s">
        <v>172</v>
      </c>
      <c r="AF28" s="59" t="s">
        <v>172</v>
      </c>
      <c r="AG28" s="59" t="s">
        <v>172</v>
      </c>
      <c r="AH28" s="59" t="s">
        <v>172</v>
      </c>
      <c r="AI28" s="59" t="s">
        <v>173</v>
      </c>
      <c r="AJ28" s="59" t="s">
        <v>172</v>
      </c>
      <c r="AK28" s="59" t="s">
        <v>172</v>
      </c>
      <c r="AL28" s="59" t="s">
        <v>172</v>
      </c>
      <c r="AM28" s="59" t="s">
        <v>172</v>
      </c>
      <c r="AN28" s="59" t="s">
        <v>172</v>
      </c>
      <c r="AO28" s="59" t="s">
        <v>172</v>
      </c>
      <c r="AP28" s="59" t="s">
        <v>172</v>
      </c>
      <c r="AQ28" s="59" t="s">
        <v>172</v>
      </c>
      <c r="AR28" s="59" t="s">
        <v>172</v>
      </c>
      <c r="AS28" s="59" t="s">
        <v>172</v>
      </c>
      <c r="AT28" s="60">
        <v>5</v>
      </c>
      <c r="AU28" s="59" t="s">
        <v>383</v>
      </c>
      <c r="AV28" s="59" t="str">
        <f>IF(LEFT(A28,1)="[",LEFT(A28,5)&amp;AU28&amp;A28,"")</f>
        <v>[BRA]State[BRA] Sergipe</v>
      </c>
      <c r="AW28" s="59" t="str">
        <f>C28&amp;H28&amp;A28</f>
        <v>2[BRA] Sergipe</v>
      </c>
      <c r="AX28" s="61"/>
      <c r="AY28" s="61"/>
      <c r="AZ28" s="62" t="s">
        <v>159</v>
      </c>
      <c r="BA28" s="62" t="s">
        <v>174</v>
      </c>
      <c r="BB28" s="62"/>
      <c r="BC28" s="63"/>
      <c r="BD28" s="64" t="s">
        <v>152</v>
      </c>
      <c r="BE28" s="47"/>
      <c r="BF28" s="64" t="s">
        <v>152</v>
      </c>
      <c r="BG28" s="64" t="s">
        <v>159</v>
      </c>
      <c r="BH28" s="64" t="s">
        <v>152</v>
      </c>
      <c r="BI28" s="64"/>
      <c r="BJ28" s="64"/>
      <c r="BK28" s="47"/>
      <c r="BL28" s="64" t="s">
        <v>174</v>
      </c>
      <c r="BM28" s="64" t="s">
        <v>152</v>
      </c>
      <c r="BN28" s="64" t="s">
        <v>174</v>
      </c>
      <c r="BO28" s="64" t="s">
        <v>154</v>
      </c>
      <c r="BP28" s="64" t="s">
        <v>174</v>
      </c>
      <c r="BQ28" s="64" t="s">
        <v>174</v>
      </c>
      <c r="BR28" s="64" t="s">
        <v>174</v>
      </c>
      <c r="BS28" s="64" t="s">
        <v>174</v>
      </c>
      <c r="BT28" s="64" t="s">
        <v>159</v>
      </c>
      <c r="BU28" s="65"/>
      <c r="BV28" s="66"/>
      <c r="BW28" s="66">
        <v>0</v>
      </c>
      <c r="BX28" s="47"/>
      <c r="CB28" s="6"/>
      <c r="CC28" s="6"/>
      <c r="CD28" s="67">
        <v>0</v>
      </c>
      <c r="CE28" s="67">
        <v>0</v>
      </c>
      <c r="CF28" s="67" t="e">
        <v>#REF!</v>
      </c>
      <c r="CG28" s="68" cm="1">
        <f t="array" ref="CG28">SUMPRODUCT(--(LEN(TRIM(BL28:BT28))&gt;0))</f>
        <v>3</v>
      </c>
      <c r="CH28" s="59" t="str">
        <f t="shared" si="104"/>
        <v>n</v>
      </c>
      <c r="CI28" s="59" t="str">
        <f t="shared" si="105"/>
        <v>y</v>
      </c>
      <c r="CJ28" s="59" t="str">
        <f t="shared" si="106"/>
        <v>n</v>
      </c>
      <c r="CK28" s="59" t="str">
        <f t="shared" si="107"/>
        <v>n</v>
      </c>
      <c r="CL28" s="59" t="str">
        <f t="shared" si="108"/>
        <v>n</v>
      </c>
      <c r="CM28" s="59" t="str">
        <f t="shared" si="109"/>
        <v>n</v>
      </c>
      <c r="CN28" s="59" t="str">
        <f t="shared" si="110"/>
        <v>n</v>
      </c>
      <c r="CO28" s="59" t="str">
        <f t="shared" si="111"/>
        <v>y</v>
      </c>
      <c r="CP28" s="59" t="str">
        <f t="shared" si="112"/>
        <v>n</v>
      </c>
      <c r="CQ28" s="59" t="str">
        <f t="shared" si="113"/>
        <v>n</v>
      </c>
      <c r="CR28" s="59" t="str">
        <f t="shared" si="114"/>
        <v>n</v>
      </c>
      <c r="CS28" s="59" t="str">
        <f t="shared" si="115"/>
        <v>y</v>
      </c>
      <c r="CT28" s="69" t="str">
        <f t="shared" si="116"/>
        <v>"[BRA] Sergipe"</v>
      </c>
      <c r="CU28" s="70" t="str">
        <f t="shared" si="117"/>
        <v>"rgn_South America"</v>
      </c>
      <c r="CV28" s="48" t="str">
        <f t="shared" si="118"/>
        <v>"https://upload.wikimedia.org/wikipedia/commons/thumb/b/be/Bandeira_de_Sergipe.svg/640px-Bandeira_de_Sergipe.svg.png"</v>
      </c>
      <c r="CW28" s="48" t="str">
        <f t="shared" si="195"/>
        <v/>
      </c>
      <c r="CX28" s="48" t="str">
        <f t="shared" si="195"/>
        <v>"3Color",</v>
      </c>
      <c r="CY28" s="48" t="str">
        <f t="shared" si="195"/>
        <v/>
      </c>
      <c r="CZ28" s="48" t="str">
        <f t="shared" si="195"/>
        <v/>
      </c>
      <c r="DA28" s="48" t="str">
        <f t="shared" si="119"/>
        <v/>
      </c>
      <c r="DB28" s="48" t="str">
        <f t="shared" si="200"/>
        <v/>
      </c>
      <c r="DD28" s="48" t="str">
        <f>IF(LEN(CHAR(34)&amp;"lets"&amp;LEN(SUBSTITUTE(SUBSTITUTE(IFERROR(TRIM(SUBSTITUTE(A28,MID(A28,FIND("[",A28),FIND("]",A28)-FIND("[",A28)+1),"")),A28)," ",""),"-",""))&amp;CHAR(34)&amp;",")=9,CHAR(34)&amp;"lets"&amp;LEN(SUBSTITUTE(SUBSTITUTE(IFERROR(TRIM(SUBSTITUTE(A28,MID(A28,FIND("[",A28),FIND("]",A28)-FIND("[",A28)+1),"")),A28)," ",""),"-",""))&amp;CHAR(34)&amp;",",CHAR(34)&amp;"lets0"&amp;LEN(SUBSTITUTE(SUBSTITUTE(IFERROR(TRIM(SUBSTITUTE(A28,MID(A28,FIND("[",A28),FIND("]",A28)-FIND("[",A28)+1),"")),A28)," ",""),"-",""))&amp;CHAR(34)&amp;",")</f>
        <v>"lets07",</v>
      </c>
      <c r="DE28" s="48" t="str">
        <f>CHAR(34)&amp;"start"&amp;IFERROR(LEFT(SUBSTITUTE(A28,"["&amp;MID(A28,FIND("[",A28)+1,FIND("]",A28)-FIND("[",A28)-1)&amp;"] ",""),1),LEFT(A28,1))&amp;CHAR(34)&amp;","</f>
        <v>"startS",</v>
      </c>
      <c r="DF28" s="48" t="str">
        <f t="shared" si="121"/>
        <v/>
      </c>
      <c r="DG28" s="48" t="str">
        <f t="shared" si="122"/>
        <v/>
      </c>
      <c r="DH28" s="48" t="str">
        <f t="shared" si="123"/>
        <v/>
      </c>
      <c r="DI28" s="48" t="str">
        <f t="shared" si="124"/>
        <v/>
      </c>
      <c r="DJ28" s="48" t="str">
        <f t="shared" si="125"/>
        <v/>
      </c>
      <c r="DK28" s="48" t="str">
        <f t="shared" si="126"/>
        <v/>
      </c>
      <c r="DL28" s="48" t="str">
        <f t="shared" si="127"/>
        <v/>
      </c>
      <c r="DM28" s="48" t="str" cm="1">
        <f t="array" ref="DM28">IF(CG28=3,CHAR(34) &amp; _xlfn.TEXTJOIN("", TRUE, RIGHT(HP28:HX28, 2)) &amp; CHAR(34) &amp; ",", "")</f>
        <v>"LUEDHI",</v>
      </c>
      <c r="DN28" s="48" t="str">
        <f t="shared" si="128"/>
        <v/>
      </c>
      <c r="DO28" s="48" t="str">
        <f t="shared" si="129"/>
        <v>"year19",</v>
      </c>
      <c r="DP28" s="6" t="str">
        <f t="shared" si="130"/>
        <v/>
      </c>
      <c r="DQ28" s="6" t="str">
        <f t="shared" si="131"/>
        <v/>
      </c>
      <c r="DR28" s="6" t="str">
        <f t="shared" si="132"/>
        <v/>
      </c>
      <c r="DS28" s="6" t="str">
        <f t="shared" si="133"/>
        <v/>
      </c>
      <c r="DT28" s="6" t="str">
        <f t="shared" si="134"/>
        <v>"allhor",</v>
      </c>
      <c r="DU28" s="6" t="str">
        <f t="shared" si="135"/>
        <v/>
      </c>
      <c r="DW28" s="48" t="str">
        <f t="shared" si="196"/>
        <v/>
      </c>
      <c r="DX28" s="48" t="str">
        <f t="shared" si="196"/>
        <v/>
      </c>
      <c r="DY28" s="48" t="str">
        <f t="shared" si="196"/>
        <v/>
      </c>
      <c r="DZ28" s="48" t="str">
        <f t="shared" si="196"/>
        <v>"4+Band",</v>
      </c>
      <c r="EA28" s="48" t="str">
        <f t="shared" si="197"/>
        <v/>
      </c>
      <c r="EB28" s="48" t="str">
        <f t="shared" si="197"/>
        <v/>
      </c>
      <c r="EC28" s="48" t="str">
        <f t="shared" si="197"/>
        <v>"Horizo",</v>
      </c>
      <c r="ED28" s="48" t="str">
        <f t="shared" si="197"/>
        <v/>
      </c>
      <c r="EE28" s="48" t="str">
        <f t="shared" si="197"/>
        <v/>
      </c>
      <c r="EF28" s="48" t="str">
        <f t="shared" si="136"/>
        <v/>
      </c>
      <c r="EG28" s="48" t="str">
        <f t="shared" si="194"/>
        <v/>
      </c>
      <c r="EH28" s="48" t="str">
        <f t="shared" si="194"/>
        <v/>
      </c>
      <c r="EI28" s="48" t="str">
        <f t="shared" si="194"/>
        <v/>
      </c>
      <c r="EJ28" s="48" t="str">
        <f t="shared" si="194"/>
        <v/>
      </c>
      <c r="EK28" s="48" t="str">
        <f t="shared" si="194"/>
        <v/>
      </c>
      <c r="EL28" s="48" t="str">
        <f t="shared" si="194"/>
        <v/>
      </c>
      <c r="EM28" s="48" t="str">
        <f t="shared" si="194"/>
        <v/>
      </c>
      <c r="EN28" s="48" t="str">
        <f t="shared" si="194"/>
        <v/>
      </c>
      <c r="EO28" s="48" t="str">
        <f t="shared" si="194"/>
        <v/>
      </c>
      <c r="EP28" s="48" t="str">
        <f t="shared" si="194"/>
        <v>"Canton",</v>
      </c>
      <c r="EQ28" s="48" t="str">
        <f t="shared" si="194"/>
        <v/>
      </c>
      <c r="ER28" s="48" t="str">
        <f t="shared" si="194"/>
        <v/>
      </c>
      <c r="ES28" s="48" t="str">
        <f t="shared" si="194"/>
        <v/>
      </c>
      <c r="ET28" s="48" t="str">
        <f t="shared" si="194"/>
        <v/>
      </c>
      <c r="EU28" s="48" t="str">
        <f t="shared" si="194"/>
        <v/>
      </c>
      <c r="EV28" s="48" t="str">
        <f t="shared" si="194"/>
        <v/>
      </c>
      <c r="EW28" s="48" t="str">
        <f t="shared" si="193"/>
        <v/>
      </c>
      <c r="EX28" s="48" t="str">
        <f t="shared" si="193"/>
        <v/>
      </c>
      <c r="EY28" s="48" t="str">
        <f t="shared" si="193"/>
        <v/>
      </c>
      <c r="EZ28" s="48" t="str">
        <f t="shared" si="193"/>
        <v/>
      </c>
      <c r="FA28" s="48" t="str">
        <f t="shared" si="137"/>
        <v>"staWHI",</v>
      </c>
      <c r="FB28" s="48" t="str">
        <f t="shared" si="138"/>
        <v/>
      </c>
      <c r="FD28" s="48" t="str">
        <f t="shared" si="139"/>
        <v/>
      </c>
      <c r="FE28" s="48" t="str">
        <f t="shared" si="140"/>
        <v/>
      </c>
      <c r="FF28" s="48" t="str">
        <f t="shared" si="141"/>
        <v/>
      </c>
      <c r="FG28" s="48" t="str">
        <f t="shared" si="142"/>
        <v/>
      </c>
      <c r="FH28" s="48" t="str">
        <f t="shared" si="143"/>
        <v>"NO_GRE",</v>
      </c>
      <c r="FI28" s="48" t="str">
        <f t="shared" si="144"/>
        <v>"NO_YEL",</v>
      </c>
      <c r="FJ28" s="48" t="str">
        <f t="shared" si="145"/>
        <v>"NO_BLA",</v>
      </c>
      <c r="FK28" s="48" t="str">
        <f t="shared" si="146"/>
        <v/>
      </c>
      <c r="FL28" s="48" t="str">
        <f t="shared" si="147"/>
        <v/>
      </c>
      <c r="FM28" s="48" t="str">
        <f t="shared" si="148"/>
        <v/>
      </c>
      <c r="FN28" s="48" t="str">
        <f t="shared" si="149"/>
        <v/>
      </c>
      <c r="FO28" s="48" t="str">
        <f t="shared" si="150"/>
        <v/>
      </c>
      <c r="FP28" s="48" t="str">
        <f t="shared" si="151"/>
        <v/>
      </c>
      <c r="FQ28" s="48" t="str">
        <f t="shared" si="152"/>
        <v>"001BLU",</v>
      </c>
      <c r="FR28" s="48" t="str">
        <f t="shared" si="153"/>
        <v>"002WHI",</v>
      </c>
      <c r="FS28" s="48" t="str">
        <f t="shared" si="154"/>
        <v>"003BLU",</v>
      </c>
      <c r="FT28" s="48" t="str">
        <f t="shared" si="155"/>
        <v>"myrBLU",</v>
      </c>
      <c r="FU28" s="48" t="str">
        <f t="shared" si="156"/>
        <v/>
      </c>
      <c r="FV28" s="48" t="str">
        <f t="shared" si="157"/>
        <v/>
      </c>
      <c r="FW28" s="48" t="str">
        <f t="shared" si="158"/>
        <v/>
      </c>
      <c r="FY28" s="48" t="str">
        <f t="shared" si="159"/>
        <v/>
      </c>
      <c r="FZ28" s="48" t="str">
        <f t="shared" si="160"/>
        <v/>
      </c>
      <c r="GA28" s="48" t="str">
        <f t="shared" si="161"/>
        <v/>
      </c>
      <c r="GB28" s="48" t="str">
        <f t="shared" si="162"/>
        <v/>
      </c>
      <c r="GE28" s="48" t="str">
        <f t="shared" si="163"/>
        <v/>
      </c>
      <c r="GF28" s="48" t="str">
        <f t="shared" si="210"/>
        <v/>
      </c>
      <c r="GG28" s="48" t="str">
        <f t="shared" si="164"/>
        <v/>
      </c>
      <c r="GH28" s="48" t="str">
        <f t="shared" si="165"/>
        <v/>
      </c>
      <c r="GI28" s="48" t="str">
        <f t="shared" si="166"/>
        <v/>
      </c>
      <c r="GJ28" s="48" t="str">
        <f t="shared" si="167"/>
        <v/>
      </c>
      <c r="GK28" s="48" t="str">
        <f t="shared" si="168"/>
        <v>"HasSta",</v>
      </c>
      <c r="GL28" s="48" t="str">
        <f t="shared" si="198"/>
        <v/>
      </c>
      <c r="GM28" s="48" t="str">
        <f t="shared" si="198"/>
        <v/>
      </c>
      <c r="GN28" s="48" t="str">
        <f t="shared" si="198"/>
        <v>"3+Star",</v>
      </c>
      <c r="GP28" s="48" t="str">
        <f t="shared" si="169"/>
        <v>"State"</v>
      </c>
      <c r="GS28" s="48" t="str">
        <f t="shared" si="170"/>
        <v>["3Color","lets07","startS","LUEDHI","year19","allhor","4+Band","Horizo","Canton","staWHI","NO_GRE","NO_YEL","NO_BLA","001BLU","002WHI","003BLU","myrBLU","HasSta","3+Star"]</v>
      </c>
      <c r="GT28" s="48" t="str">
        <f t="shared" si="199"/>
        <v/>
      </c>
      <c r="GU28" s="48" t="str">
        <f t="shared" si="199"/>
        <v>"cl_BLU",</v>
      </c>
      <c r="GV28" s="48" t="str">
        <f t="shared" si="199"/>
        <v/>
      </c>
      <c r="GW28" s="48" t="str">
        <f t="shared" si="199"/>
        <v>"cl_RED",</v>
      </c>
      <c r="GX28" s="48" t="str">
        <f t="shared" si="199"/>
        <v/>
      </c>
      <c r="GY28" s="48" t="str">
        <f t="shared" si="199"/>
        <v/>
      </c>
      <c r="GZ28" s="48" t="str">
        <f t="shared" si="199"/>
        <v/>
      </c>
      <c r="HA28" s="48" t="str">
        <f t="shared" si="199"/>
        <v/>
      </c>
      <c r="HB28" s="48" t="str">
        <f t="shared" si="199"/>
        <v>"cl_WHI",</v>
      </c>
      <c r="HC28" s="48" t="str">
        <f t="shared" si="171"/>
        <v>["cl_BLU","cl_RED","cl_WHI"]</v>
      </c>
      <c r="HE28" s="71"/>
      <c r="HF28" s="72" t="str">
        <f t="shared" si="172"/>
        <v>{couname:"[BRA] Sergipe",year:"1952 ",region:"rgn_South America",Colors:["cl_BLU","cl_RED","cl_WHI"],Items:["3Color","lets07","startS","LUEDHI","year19","allhor","4+Band","Horizo","Canton","staWHI","NO_GRE","NO_YEL","NO_BLA","001BLU","002WHI","003BLU","myrBLU","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links: "https://en.wikipedia.org/wiki/Sergipe"},</v>
      </c>
      <c r="HG28" s="73" t="str">
        <f t="shared" si="173"/>
        <v>{couname:"[BRA] Sergipe",year:"1952 ",region:"rgn_South America",Colors:["cl_BLU","cl_RED","cl_WHI"],Items:["3Color","lets07","startS","LUEDHI","year19","allhor","4+Band","Horizo","Canton","staWHI","NO_GRE","NO_YEL","NO_BLA","001BLU","002WHI","003BLU","myrBLU","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links: "https://en.wikipedia.org/wiki/Sergipe"},</v>
      </c>
      <c r="HH28" s="48" t="str">
        <f t="shared" si="174"/>
        <v>"\nThe stars on the flag of Sergipe represent the number of river estuaries in the state, and the green and yellow stripes represent Sergipe's union with the rest of Brazil."</v>
      </c>
      <c r="HI28" s="48" t="str">
        <f t="shared" si="175"/>
        <v>"\nThe stars on the flag of Sergipe represent the number of river estuaries in the state, and the green and yellow stripes represent Sergipe's union with the rest of Brazil."</v>
      </c>
      <c r="HJ28" s="48" t="str">
        <f t="shared" si="176"/>
        <v>"1952 "</v>
      </c>
      <c r="HL28" s="48" t="str">
        <f t="shared" si="177"/>
        <v>"https://en.wikipedia.org/wiki/Sergipe"</v>
      </c>
      <c r="HM28" s="72" t="str">
        <f t="shared" si="178"/>
        <v>{"couname":"[BRA] Sergipe","year":"1952 ","region":"rgn_South America","Colors":["cl_BLU","cl_RED","cl_WHI"],"Items":["3Color","lets07","startS","LUEDHI","year19","allhor","4+Band","Horizo","Canton","staWHI","NO_GRE","NO_YEL","NO_BLA","001BLU","002WHI","003BLU","myrBLU","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 "links": "https://en.wikipedia.org/wiki/Sergipe"},</v>
      </c>
      <c r="HN28" s="74" t="str">
        <f t="shared" si="179"/>
        <v>{"couname":"[BRA] Sergipe","year":"1952 ","region":"rgn_South America","Colors":["cl_BLU","cl_RED","cl_WHI"],"Items":["3Color","lets07","startS","LUEDHI","year19","allhor","4+Band","Horizo","Canton","staWHI","NO_GRE","NO_YEL","NO_BLA","001BLU","002WHI","003BLU","myrBLU","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 "links": "https://en.wikipedia.org/wiki/Sergipe"},</v>
      </c>
      <c r="HO28" s="75">
        <v>45618</v>
      </c>
      <c r="HP28" s="48" t="str" cm="1">
        <f t="array" ref="HP28">IF(_xlfn.TEXTJOIN(", ", TRUE, IF(ISNUMBER(SEARCH("BLA", BL28:BT28)), COLUMN(BL28:BT28) - COLUMN(BL28) + 1, ""))&lt;&gt;"","BLA","")</f>
        <v/>
      </c>
      <c r="HQ28" s="48" t="str" cm="1">
        <f t="array" ref="HQ28">IF(_xlfn.TEXTJOIN(", ", TRUE, IF(ISNUMBER(SEARCH("BLU", BL28:BT28)), COLUMN(BL28:BT28) - COLUMN(BL28) + 1, ""))&lt;&gt;"","BLU","")</f>
        <v>BLU</v>
      </c>
      <c r="HR28" s="48" t="str" cm="1">
        <f t="array" ref="HR28">IF(_xlfn.TEXTJOIN(", ", TRUE, IF(ISNUMBER(SEARCH("GRE", BL28:BT28)), COLUMN(BL28:BT28) - COLUMN(BL28) + 1, ""))&lt;&gt;"","GRE","")</f>
        <v/>
      </c>
      <c r="HS28" s="48" t="str" cm="1">
        <f t="array" ref="HS28">IF(_xlfn.TEXTJOIN(", ", TRUE, IF(ISNUMBER(SEARCH("RED", BL28:BT28)), COLUMN(BL28:BT28) - COLUMN(BL28) + 1, ""))&lt;&gt;"","RED","")</f>
        <v>RED</v>
      </c>
      <c r="HT28" s="48" t="str" cm="1">
        <f t="array" ref="HT28">IF(_xlfn.TEXTJOIN(", ", TRUE, IF(ISNUMBER(SEARCH("YEL", BL28:BT28)), COLUMN(BL28:BT28) - COLUMN(BL28) + 1, ""))&lt;&gt;"","YEL","")</f>
        <v/>
      </c>
      <c r="HU28" s="48" t="str" cm="1">
        <f t="array" ref="HU28">IF(_xlfn.TEXTJOIN(", ", TRUE, IF(ISNUMBER(SEARCH("ORA", BL28:BT28)), COLUMN(BL28:BT28) - COLUMN(BL28) + 1, ""))&lt;&gt;"","ORA","")</f>
        <v/>
      </c>
      <c r="HV28" s="48" t="str" cm="1">
        <f t="array" ref="HV28">IF(_xlfn.TEXTJOIN(", ", TRUE, IF(ISNUMBER(SEARCH("BRO", BL28:BT28)), COLUMN(BL28:BT28) - COLUMN(BL28) + 1, ""))&lt;&gt;"","BRO","")</f>
        <v/>
      </c>
      <c r="HW28" s="48" t="str" cm="1">
        <f t="array" ref="HW28">IF(_xlfn.TEXTJOIN(", ", TRUE, IF(ISNUMBER(SEARCH("PUR", BL28:BT28)), COLUMN(BL28:BT28) - COLUMN(BL28) + 1, ""))&lt;&gt;"","PUR","")</f>
        <v/>
      </c>
      <c r="HX28" s="48" t="str" cm="1">
        <f t="array" ref="HX28">IF(_xlfn.TEXTJOIN(", ", TRUE, IF(ISNUMBER(SEARCH("WHI", BL28:BT28)), COLUMN(BL28:BT28) - COLUMN(BL28) + 1, ""))&lt;&gt;"","WHI","")</f>
        <v>WHI</v>
      </c>
      <c r="HY28" s="76"/>
      <c r="HZ28" s="76"/>
      <c r="IA28" s="6"/>
      <c r="IB28" s="6"/>
      <c r="IC28" s="77"/>
      <c r="ID28" s="77"/>
      <c r="IE28" s="77"/>
      <c r="IF28" s="77"/>
      <c r="IG28" s="77"/>
      <c r="IH28" s="77"/>
      <c r="II28" s="77"/>
      <c r="IJ28" s="77"/>
      <c r="IK28" s="77"/>
      <c r="IM28" s="45">
        <f t="shared" si="180"/>
        <v>-3</v>
      </c>
      <c r="IN28" s="78" t="str">
        <f t="shared" si="181"/>
        <v>http://mkweb.bcgsc.ca/color-summarizer/?url=https://upload.wikimedia.org/wikipedia/commons/thumb/b/be/Bandeira_de_Sergipe.svg/640px-Bandeira_de_Sergipe.svg.png&amp;precision=low&amp;num_clusters=3&amp;text=1</v>
      </c>
      <c r="IO28" s="48" t="str">
        <f t="shared" si="182"/>
        <v/>
      </c>
      <c r="IP28" s="48" t="str">
        <f t="shared" si="183"/>
        <v>"blue"</v>
      </c>
      <c r="IQ28" s="48" t="str">
        <f t="shared" si="184"/>
        <v/>
      </c>
      <c r="IR28" s="48" t="str">
        <f t="shared" si="185"/>
        <v>"red"</v>
      </c>
      <c r="IS28" s="48" t="str">
        <f t="shared" si="186"/>
        <v/>
      </c>
      <c r="IT28" s="48" t="str">
        <f t="shared" si="187"/>
        <v/>
      </c>
      <c r="IU28" s="48" t="str">
        <f t="shared" si="188"/>
        <v/>
      </c>
      <c r="IV28" s="48" t="str">
        <f t="shared" si="189"/>
        <v/>
      </c>
      <c r="IW28" s="48" t="str">
        <f t="shared" si="190"/>
        <v>"white"</v>
      </c>
      <c r="IX28" s="48" t="str">
        <f t="shared" si="191"/>
        <v>{"url":"http://mkweb.bcgsc.ca/color-summarizer/?url=https://upload.wikimedia.org/wikipedia/commons/thumb/b/be/Bandeira_de_Sergipe.svg/640px-Bandeira_de_Sergipe.svg.png&amp;precision=low&amp;num_clusters=3&amp;text=1","name":"[BRA] Sergipe"},</v>
      </c>
      <c r="IY28" s="48">
        <v>1052</v>
      </c>
    </row>
    <row r="29" spans="1:259" s="48" customFormat="1" ht="38.4" customHeight="1" thickBot="1" x14ac:dyDescent="0.35">
      <c r="A29" s="79" t="s">
        <v>541</v>
      </c>
      <c r="B29" s="40" t="e" vm="51">
        <v>#VALUE!</v>
      </c>
      <c r="C29" s="41">
        <v>2</v>
      </c>
      <c r="D29" s="42" t="s">
        <v>542</v>
      </c>
      <c r="E29" s="43" t="s">
        <v>543</v>
      </c>
      <c r="F29" s="44" t="s">
        <v>166</v>
      </c>
      <c r="G29" s="45">
        <f>COUNTIF($A$1:$A$8312,A29)</f>
        <v>1</v>
      </c>
      <c r="H29" s="46"/>
      <c r="I29" s="47" t="s">
        <v>544</v>
      </c>
      <c r="J29" s="48" t="str">
        <f>""</f>
        <v/>
      </c>
      <c r="K29" s="49"/>
      <c r="L29" s="50"/>
      <c r="M29" s="50"/>
      <c r="N29" s="51" t="s">
        <v>169</v>
      </c>
      <c r="O29" s="52" t="s">
        <v>545</v>
      </c>
      <c r="P29" s="53" t="s">
        <v>546</v>
      </c>
      <c r="Q29" s="54">
        <v>1</v>
      </c>
      <c r="R29" s="55" t="s">
        <v>169</v>
      </c>
      <c r="S29" s="56">
        <v>3</v>
      </c>
      <c r="T29" s="57" t="s">
        <v>173</v>
      </c>
      <c r="U29" s="58" t="s">
        <v>172</v>
      </c>
      <c r="V29" s="58" t="s">
        <v>172</v>
      </c>
      <c r="W29" s="58" t="s">
        <v>172</v>
      </c>
      <c r="X29" s="58" t="s">
        <v>173</v>
      </c>
      <c r="Y29" s="58" t="s">
        <v>172</v>
      </c>
      <c r="Z29" s="58" t="s">
        <v>172</v>
      </c>
      <c r="AA29" s="58" t="s">
        <v>172</v>
      </c>
      <c r="AB29" s="58" t="s">
        <v>172</v>
      </c>
      <c r="AC29" s="58" t="s">
        <v>172</v>
      </c>
      <c r="AD29" s="58" t="s">
        <v>173</v>
      </c>
      <c r="AE29" s="58" t="s">
        <v>172</v>
      </c>
      <c r="AF29" s="59" t="s">
        <v>172</v>
      </c>
      <c r="AG29" s="59" t="s">
        <v>173</v>
      </c>
      <c r="AH29" s="59" t="s">
        <v>173</v>
      </c>
      <c r="AI29" s="59" t="s">
        <v>172</v>
      </c>
      <c r="AJ29" s="59" t="s">
        <v>172</v>
      </c>
      <c r="AK29" s="59" t="s">
        <v>172</v>
      </c>
      <c r="AL29" s="59" t="s">
        <v>172</v>
      </c>
      <c r="AM29" s="59" t="s">
        <v>172</v>
      </c>
      <c r="AN29" s="59" t="s">
        <v>172</v>
      </c>
      <c r="AO29" s="59" t="s">
        <v>172</v>
      </c>
      <c r="AP29" s="59" t="s">
        <v>172</v>
      </c>
      <c r="AQ29" s="59" t="s">
        <v>172</v>
      </c>
      <c r="AR29" s="59" t="s">
        <v>172</v>
      </c>
      <c r="AS29" s="59" t="s">
        <v>172</v>
      </c>
      <c r="AT29" s="60">
        <v>0</v>
      </c>
      <c r="AU29" s="59" t="s">
        <v>383</v>
      </c>
      <c r="AV29" s="59" t="str">
        <f>IF(LEFT(A29,1)="[",LEFT(A29,5)&amp;AU29&amp;A29,"")</f>
        <v>[BRA]State[BRA] Tocantins</v>
      </c>
      <c r="AW29" s="59" t="str">
        <f>C29&amp;H29&amp;A29</f>
        <v>2[BRA] Tocantins</v>
      </c>
      <c r="AX29" s="61" t="str">
        <f>_xlfn.TEXTJOIN(";",TRUE,AU29:AW29)</f>
        <v>State;[BRA]State[BRA] Tocantins;2[BRA] Tocantins</v>
      </c>
      <c r="AY29" s="61" t="s">
        <v>173</v>
      </c>
      <c r="AZ29" s="62"/>
      <c r="BA29" s="62"/>
      <c r="BB29" s="62"/>
      <c r="BC29" s="63"/>
      <c r="BD29" s="64" t="s">
        <v>152</v>
      </c>
      <c r="BE29" s="47"/>
      <c r="BF29" s="64"/>
      <c r="BG29" s="64"/>
      <c r="BH29" s="64"/>
      <c r="BI29" s="64"/>
      <c r="BJ29" s="64"/>
      <c r="BK29" s="47"/>
      <c r="BL29" s="64" t="s">
        <v>152</v>
      </c>
      <c r="BM29" s="64" t="s">
        <v>154</v>
      </c>
      <c r="BN29" s="64" t="s">
        <v>159</v>
      </c>
      <c r="BO29" s="64" t="s">
        <v>153</v>
      </c>
      <c r="BP29" s="64" t="s">
        <v>155</v>
      </c>
      <c r="BQ29" s="64" t="s">
        <v>359</v>
      </c>
      <c r="BR29" s="64" t="s">
        <v>151</v>
      </c>
      <c r="BS29" s="64"/>
      <c r="BT29" s="64"/>
      <c r="BU29" s="65" t="s">
        <v>173</v>
      </c>
      <c r="BV29" s="66" t="s">
        <v>173</v>
      </c>
      <c r="BW29" s="66" t="s">
        <v>270</v>
      </c>
      <c r="BX29" s="47"/>
      <c r="CB29" s="6" t="s">
        <v>547</v>
      </c>
      <c r="CC29" s="6"/>
      <c r="CD29" s="67">
        <v>0</v>
      </c>
      <c r="CE29" s="67">
        <v>0</v>
      </c>
      <c r="CF29" s="67" t="e">
        <v>#REF!</v>
      </c>
      <c r="CG29" s="68" cm="1">
        <f t="array" ref="CG29">SUMPRODUCT(--(LEN(TRIM(BL29:BT29))&gt;0))</f>
        <v>7</v>
      </c>
      <c r="CH29" s="59" t="str">
        <f>IF(CG29=2,"y","n")</f>
        <v>n</v>
      </c>
      <c r="CI29" s="59" t="str">
        <f>IF(CG29=3,"y","n")</f>
        <v>n</v>
      </c>
      <c r="CJ29" s="59" t="str">
        <f>IF(CG29=4,"y","n")</f>
        <v>n</v>
      </c>
      <c r="CK29" s="59" t="str">
        <f>IF(CG29&gt;4,"y","n")</f>
        <v>y</v>
      </c>
      <c r="CL29" s="59" t="str">
        <f>IF(S29=0,"y","n")</f>
        <v>n</v>
      </c>
      <c r="CM29" s="59" t="str">
        <f>IF(S29=2,"y","n")</f>
        <v>n</v>
      </c>
      <c r="CN29" s="59" t="str">
        <f>IF(S29=3,"y","n")</f>
        <v>y</v>
      </c>
      <c r="CO29" s="59" t="str">
        <f>IF(S29&gt;=4,"y","n")</f>
        <v>n</v>
      </c>
      <c r="CP29" s="59" t="str">
        <f>IF(AT29=0,"y","n")</f>
        <v>y</v>
      </c>
      <c r="CQ29" s="59" t="str">
        <f>IF(AT29=1,"y","n")</f>
        <v>n</v>
      </c>
      <c r="CR29" s="59" t="str">
        <f>IF(AT29=2,"y","n")</f>
        <v>n</v>
      </c>
      <c r="CS29" s="59" t="str">
        <f>IF(AT29&gt;=3,"y","n")</f>
        <v>n</v>
      </c>
      <c r="CT29" s="69" t="str">
        <f>CHAR(34)&amp;A29&amp;CHAR(34)</f>
        <v>"[BRA] Tocantins"</v>
      </c>
      <c r="CU29" s="70" t="str">
        <f>CHAR(34)&amp;"rgn_"&amp;R29&amp;CHAR(34)</f>
        <v>"rgn_South America"</v>
      </c>
      <c r="CV29" s="48" t="str">
        <f>CHAR(34)&amp;D29&amp;CHAR(34)</f>
        <v>"https://upload.wikimedia.org/wikipedia/commons/thumb/f/ff/Bandeira_do_Tocantins.svg/640px-Bandeira_do_Tocantins.svg.png"</v>
      </c>
      <c r="CW29" s="48" t="str">
        <f t="shared" si="195"/>
        <v/>
      </c>
      <c r="CX29" s="48" t="str">
        <f t="shared" si="195"/>
        <v/>
      </c>
      <c r="CY29" s="48" t="str">
        <f t="shared" si="195"/>
        <v/>
      </c>
      <c r="CZ29" s="48" t="str">
        <f t="shared" si="195"/>
        <v>"5+Colo",</v>
      </c>
      <c r="DA29" s="48" t="str">
        <f>IF(Q29&gt;1,CHAR(34)&amp;"words2"&amp;CHAR(34)&amp;",","")</f>
        <v/>
      </c>
      <c r="DB29" s="48" t="str">
        <f>IF(Q29&gt;2,CHAR(34)&amp;"words3"&amp;CHAR(34)&amp;",","")</f>
        <v/>
      </c>
      <c r="DC29" s="48" t="str">
        <f>IF(Q29=2,CHAR(34)&amp;"exact2"&amp;CHAR(34)&amp;",","")</f>
        <v/>
      </c>
      <c r="DD29" s="48" t="str">
        <f>IF(LEN(CHAR(34)&amp;"lets"&amp;LEN(SUBSTITUTE(SUBSTITUTE(IFERROR(TRIM(SUBSTITUTE(SUBSTITUTE(SUBSTITUTE(IFERROR(TRIM(SUBSTITUTE(A29,MID(A29,FIND("(",A29),FIND(")",A29)-FIND("(",A29)+1),"")),A29),"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",""),"-",""))&amp;CHAR(34)&amp;",")=9,CHAR(34)&amp;"lets"&amp;LEN(SUBSTITUTE(SUBSTITUTE(IFERROR(TRIM(SUBSTITUTE(SUBSTITUTE(SUBSTITUTE(IFERROR(TRIM(SUBSTITUTE(A29,MID(A29,FIND("(",A29),FIND(")",A29)-FIND("(",A29)+1),"")),A29),"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",""),"-",""))&amp;CHAR(34)&amp;",",CHAR(34)&amp;"lets0"&amp;LEN(SUBSTITUTE(SUBSTITUTE(IFERROR(TRIM(SUBSTITUTE(SUBSTITUTE(SUBSTITUTE(IFERROR(TRIM(SUBSTITUTE(A29,MID(A29,FIND("(",A29),FIND(")",A29)-FIND("(",A29)+1),"")),A29),"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f>
        <v>"lets09",</v>
      </c>
      <c r="DE29" s="48" t="str">
        <f>IFERROR(CHAR(34)&amp;"start"&amp;LEFT(TRIM(SUBSTITUTE(SUBSTITUTE(TRIM(SUBSTITUTE(SUBSTITUTE(A29, MID(A29, FIND("[", A29), FIND("]", A29) - FIND("[", A29) + 1), ""), "  ", " ")), MID(TRIM(SUBSTITUTE(SUBSTITUTE(A29, MID(A29, FIND("[", A29), FIND("]", A29) - FIND("[", A29) + 1), ""), "  ", " ")), FIND("[", TRIM(SUBSTITUTE(SUBSTITUTE(A29, MID(A29, FIND("[", A29), FIND("]", A29) - FIND("[", A29) + 1), ""), "  ", " "))), FIND("]", TRIM(SUBSTITUTE(SUBSTITUTE(A29, MID(A29, FIND("[", A29), FIND("]", A29) - FIND("[", A29) + 1), ""), "  ", " "))) - FIND("[", TRIM(SUBSTITUTE(SUBSTITUTE(A29, MID(A29, FIND("[", A29), FIND("]", A29) - FIND("[", A29) + 1), ""), "  ", " "))) + 1), ""), "  ", " ")),1)&amp;CHAR(34)&amp;",",CHAR(34)&amp;"start"&amp;IFERROR(LEFT(SUBSTITUTE(A29,"["&amp;MID(A29,FIND("[",A29)+1,FIND("]",A29)-FIND("[",A29)-1)&amp;"] ",""),1),LEFT(A29,1))&amp;CHAR(34)&amp;",")</f>
        <v>"startT",</v>
      </c>
      <c r="DF29" s="48" t="str">
        <f>IFERROR(IF(SEARCH("tan",A29)&gt;0,CHAR(34)&amp;"withtn"&amp;CHAR(34)&amp;",",""),"")</f>
        <v/>
      </c>
      <c r="DG29" s="48" t="str">
        <f>IFERROR(IF(SEARCH("q",A29)&gt;0,CHAR(34)&amp;"with_q"&amp;CHAR(34)&amp;",",""),"")</f>
        <v/>
      </c>
      <c r="DH29" s="48" t="str">
        <f>IFERROR(IF(SEARCH("v",A29)&gt;0,CHAR(34)&amp;"with_v"&amp;CHAR(34)&amp;",",""),"")</f>
        <v/>
      </c>
      <c r="DI29" s="48" t="str">
        <f>IFERROR(IF(SEARCH("w",A29)&gt;0,CHAR(34)&amp;"with_w"&amp;CHAR(34)&amp;",",""),"")</f>
        <v/>
      </c>
      <c r="DJ29" s="48" t="str">
        <f>IFERROR(IF(SEARCH("y",A29)&gt;0,CHAR(34)&amp;"with_y"&amp;CHAR(34)&amp;",",""),"")</f>
        <v/>
      </c>
      <c r="DK29" s="48" t="str">
        <f>IFERROR(IF(SEARCH("z",A29)&gt;0,CHAR(34)&amp;"with_z"&amp;CHAR(34)&amp;",",""),"")</f>
        <v/>
      </c>
      <c r="DL29" s="48" t="str">
        <f>IF(CG29=2, CHAR(34) &amp; _xlfn.TEXTJOIN("", TRUE, _xlfn._xlws.SORT(HP29:HX29)) &amp; CHAR(34) &amp; ",", "")</f>
        <v/>
      </c>
      <c r="DM29" s="48" t="str" cm="1">
        <f t="array" ref="DM29">IF(CG29=3,CHAR(34) &amp; _xlfn.TEXTJOIN("", TRUE, RIGHT(HP29:HX29, 2)) &amp; CHAR(34) &amp; ",", "")</f>
        <v/>
      </c>
      <c r="DN29" s="48" t="str">
        <f>IF(AND(ISNUMBER(SEARCH("18", O29)), ISERROR(SEARCH("1918", O29)), ISERROR(SEARCH("2018", O29))), CHAR(34) &amp; "year18" &amp; CHAR(34) &amp; ",", "")</f>
        <v/>
      </c>
      <c r="DO29" s="48" t="str">
        <f>IF(AND(ISNUMBER(SEARCH("19", O29)), ISERROR(SEARCH("1819", O29)),  ISERROR(SEARCH("1219", O29)),ISERROR(SEARCH("1119", O29)),ISERROR(SEARCH("1190", O29)),ISERROR(SEARCH("2019", O29))), CHAR(34) &amp; "year19" &amp; CHAR(34) &amp; ",", "")</f>
        <v>"year19",</v>
      </c>
      <c r="DP29" s="6" t="str">
        <f>IF(AND(ISNUMBER(SEARCH("20", O29)), ISERROR(SEARCH("1920", O29))), CHAR(34)&amp;"year00"&amp;CHAR(34)&amp;",", "")</f>
        <v/>
      </c>
      <c r="DQ29" s="6" t="str">
        <f>IF(CC29="y",CHAR(34)&amp;"soviet"&amp;CHAR(34)&amp;",","")</f>
        <v/>
      </c>
      <c r="DR29" s="6" t="str">
        <f>IF(BY29="y",CHAR(34)&amp;"dgband"&amp;CHAR(34)&amp;",","")</f>
        <v/>
      </c>
      <c r="DS29" s="6" t="str">
        <f>IF(W29="y",IF(AND(V29="n",BY29&lt;&gt;"y"),CHAR(34)&amp;"allver"&amp;CHAR(34)&amp;",",""),"")</f>
        <v/>
      </c>
      <c r="DT29" s="6" t="str">
        <f>IF(V29="y",IF(AND(W29="n",BY29&lt;&gt;"y"),CHAR(34)&amp;"allhor"&amp;CHAR(34)&amp;",",""),"")</f>
        <v/>
      </c>
      <c r="DU29" s="6" t="str">
        <f>IF(BY29="y",IF(AND(W29="n",V29="n"),CHAR(34)&amp;"alldia"&amp;CHAR(34)&amp;",",""),"")</f>
        <v/>
      </c>
      <c r="DV29" s="48" t="str">
        <f>IF(IA29&lt;&gt;"",(IF(IA29="y",CHAR(34)&amp;"largec"&amp;CHAR(34)&amp;",",CHAR(34)&amp;"smallc"&amp;CHAR(34)&amp;",")),"")</f>
        <v>"smallc",</v>
      </c>
      <c r="DW29" s="48" t="str">
        <f t="shared" si="196"/>
        <v/>
      </c>
      <c r="DX29" s="48" t="str">
        <f t="shared" si="196"/>
        <v/>
      </c>
      <c r="DY29" s="48" t="str">
        <f t="shared" si="196"/>
        <v>"3Bands",</v>
      </c>
      <c r="DZ29" s="48" t="str">
        <f t="shared" si="196"/>
        <v/>
      </c>
      <c r="EA29" s="48" t="str">
        <f t="shared" si="197"/>
        <v>"Diagon",</v>
      </c>
      <c r="EB29" s="48" t="str">
        <f t="shared" si="197"/>
        <v/>
      </c>
      <c r="EC29" s="48" t="str">
        <f t="shared" si="197"/>
        <v/>
      </c>
      <c r="ED29" s="48" t="str">
        <f t="shared" si="197"/>
        <v/>
      </c>
      <c r="EE29" s="48" t="str">
        <f t="shared" si="197"/>
        <v>"Circle",</v>
      </c>
      <c r="EF29" s="48" t="str">
        <f>IF(AND(Y29&lt;&gt;"n",Y29&lt;&gt;""),CHAR(34)&amp;Y$1&amp;CHAR(34)&amp;",","")</f>
        <v/>
      </c>
      <c r="EG29" s="48" t="str">
        <f t="shared" si="194"/>
        <v/>
      </c>
      <c r="EH29" s="48" t="str">
        <f t="shared" si="194"/>
        <v/>
      </c>
      <c r="EI29" s="48" t="str">
        <f t="shared" si="194"/>
        <v/>
      </c>
      <c r="EJ29" s="48" t="str">
        <f t="shared" si="194"/>
        <v/>
      </c>
      <c r="EK29" s="48" t="str">
        <f t="shared" si="194"/>
        <v>"HasSun",</v>
      </c>
      <c r="EL29" s="48" t="str">
        <f t="shared" si="194"/>
        <v/>
      </c>
      <c r="EM29" s="48" t="str">
        <f t="shared" si="194"/>
        <v/>
      </c>
      <c r="EN29" s="48" t="str">
        <f t="shared" si="194"/>
        <v>"Unequa",</v>
      </c>
      <c r="EO29" s="48" t="str">
        <f t="shared" si="194"/>
        <v>"Center",</v>
      </c>
      <c r="EP29" s="48" t="str">
        <f t="shared" si="194"/>
        <v/>
      </c>
      <c r="EQ29" s="48" t="str">
        <f t="shared" si="194"/>
        <v/>
      </c>
      <c r="ER29" s="48" t="str">
        <f t="shared" si="194"/>
        <v/>
      </c>
      <c r="ES29" s="48" t="str">
        <f t="shared" si="194"/>
        <v/>
      </c>
      <c r="ET29" s="48" t="str">
        <f t="shared" si="194"/>
        <v/>
      </c>
      <c r="EU29" s="48" t="str">
        <f t="shared" si="194"/>
        <v/>
      </c>
      <c r="EV29" s="48" t="str">
        <f t="shared" si="194"/>
        <v/>
      </c>
      <c r="EW29" s="48" t="str">
        <f t="shared" si="193"/>
        <v/>
      </c>
      <c r="EX29" s="48" t="str">
        <f t="shared" si="193"/>
        <v/>
      </c>
      <c r="EY29" s="48" t="str">
        <f t="shared" si="193"/>
        <v/>
      </c>
      <c r="EZ29" s="48" t="str">
        <f t="shared" si="193"/>
        <v/>
      </c>
      <c r="FA29" s="48" t="str">
        <f>IF(AT29&gt;0,CHAR(34)&amp;"sta"&amp;AZ29&amp;CHAR(34)&amp;",","")</f>
        <v/>
      </c>
      <c r="FB29" s="48" t="str">
        <f>IF(AND(AT29&gt;0,BA29&lt;&gt;""),CHAR(34)&amp;"sta"&amp;BA29&amp;CHAR(34)&amp;",","")</f>
        <v/>
      </c>
      <c r="FC29" s="48" t="str">
        <f>IF(AND(AT29&gt;0,BB29&lt;&gt;""),CHAR(34)&amp;"sta"&amp;BB29&amp;CHAR(34)&amp;",","")</f>
        <v/>
      </c>
      <c r="FD29" s="48" t="str">
        <f>IF(BV29="n",CHAR(34)&amp;"tcWHYE"&amp;CHAR(34)&amp;",",IF(BV29="y",CHAR(34)&amp;FD$1&amp;CHAR(34)&amp;",",""))</f>
        <v>"ntWHYE",</v>
      </c>
      <c r="FE29" s="48" t="str">
        <f>IF(COUNTIF(BL29:BT29,"BLU")=0,CHAR(34)&amp;"NO_BLU"&amp;CHAR(34)&amp;",", "")</f>
        <v/>
      </c>
      <c r="FF29" s="48" t="str">
        <f>IF(COUNTIF(BL29:BT29,"WHI")=0,CHAR(34)&amp;"NO_WHI"&amp;CHAR(34)&amp;",", "")</f>
        <v/>
      </c>
      <c r="FG29" s="48" t="str">
        <f>IF(COUNTIF(BL29:BT29,"RED")=0,CHAR(34)&amp;"NO_RED"&amp;CHAR(34)&amp;",", "")</f>
        <v/>
      </c>
      <c r="FH29" s="48" t="str">
        <f>IF(COUNTIF(BL29:BS29,"GRE")=0,CHAR(34)&amp;"NO_GRE"&amp;CHAR(34)&amp;",", "")</f>
        <v/>
      </c>
      <c r="FI29" s="48" t="str">
        <f>IF(COUNTIF(BL29:BT29,"YEL")=0,CHAR(34)&amp;"NO_YEL"&amp;CHAR(34)&amp;",", "")</f>
        <v/>
      </c>
      <c r="FJ29" s="48" t="str">
        <f>IF(COUNTIF(BL29:BT29,"BLA")=0,CHAR(34)&amp;"NO_BLA"&amp;CHAR(34)&amp;",", "")</f>
        <v/>
      </c>
      <c r="FK29" s="48" t="str">
        <f>IF(AND(FH29&lt;&gt;"",FF29&lt;&gt;""),CHAR(34)&amp;"WHGRNO"&amp;CHAR(34)&amp;",","")</f>
        <v/>
      </c>
      <c r="FL29" s="48" t="str">
        <f>IF(AND(FI29&lt;&gt;"",FF29&lt;&gt;""),CHAR(34)&amp;"WHYENO"&amp;CHAR(34)&amp;",","")</f>
        <v/>
      </c>
      <c r="FM29" s="48" t="str">
        <f>IF(AND(FJ29&lt;&gt;"",FF29&lt;&gt;""),CHAR(34)&amp;"BAWHNO"&amp;CHAR(34)&amp;",","")</f>
        <v/>
      </c>
      <c r="FN29" s="48" t="str">
        <f>IF(AND(FE29&lt;&gt;"",FF29&lt;&gt;""),CHAR(34)&amp;"BLWHNO"&amp;CHAR(34)&amp;",","")</f>
        <v/>
      </c>
      <c r="FO29" s="48" t="str">
        <f>IF(AND(FE29&lt;&gt;"",FG29&lt;&gt;""),CHAR(34)&amp;"BLRENO"&amp;CHAR(34)&amp;",","")</f>
        <v/>
      </c>
      <c r="FP29" s="48" t="str">
        <f>IF(AND(FF29&lt;&gt;"",FF29&lt;&gt;""),CHAR(34)&amp;"WHRENO"&amp;CHAR(34)&amp;",","")</f>
        <v/>
      </c>
      <c r="FQ29" s="48" t="str">
        <f>IF(LEN(BF29)=3,CHAR(34)&amp;"001"&amp;BF29&amp;CHAR(34)&amp;",","")</f>
        <v/>
      </c>
      <c r="FR29" s="48" t="str">
        <f>IF(LEN(BG29)=3,CHAR(34)&amp;"002"&amp;BG29&amp;CHAR(34)&amp;",","")</f>
        <v/>
      </c>
      <c r="FS29" s="48" t="str">
        <f>IF(LEN(BH29)=3,CHAR(34)&amp;"003"&amp;BH29&amp;CHAR(34)&amp;",","")</f>
        <v/>
      </c>
      <c r="FT29" s="48" t="str">
        <f>CHAR(34)&amp;"myr"&amp;BD29&amp;CHAR(34)&amp;","</f>
        <v>"myrBLU",</v>
      </c>
      <c r="FU29" s="48" t="str">
        <f>IF(AY29="y",CHAR(34)&amp;"island"&amp;CHAR(34)&amp;",","")</f>
        <v>"island",</v>
      </c>
      <c r="FV29" s="48" t="str">
        <f>IF(BZ29="y",CHAR(34)&amp;"landlo"&amp;CHAR(34)&amp;",","")</f>
        <v/>
      </c>
      <c r="FW29" s="48" t="str">
        <f>IF(CA29="y",CHAR(34)&amp;"eunion"&amp;CHAR(34)&amp;",","")</f>
        <v/>
      </c>
      <c r="FX29" s="48" t="str">
        <f>SUBSTITUTE(IFERROR(SEARCH("[",A29),IFERROR(IF(AND(CA29&lt;&gt;"y",SEARCH("Europe",R29)&gt;0),CHAR(34)&amp;"noeuni"&amp;CHAR(34)&amp;",",""),"")),"1","")</f>
        <v/>
      </c>
      <c r="FY29" s="48" t="str">
        <f>IFERROR(IF(SEARCH("Arabic",CB29)&gt;0,CHAR(34)&amp;"arabic"&amp;CHAR(34)&amp;",",""),"")</f>
        <v/>
      </c>
      <c r="FZ29" s="48" t="str">
        <f>IFERROR(IF(SEARCH("English",CB29)&gt;0,CHAR(34)&amp;"englis"&amp;CHAR(34)&amp;",",""),"")</f>
        <v>"englis",</v>
      </c>
      <c r="GA29" s="48" t="str">
        <f>IFERROR(IF(SEARCH("French",CB29)&gt;0,CHAR(34)&amp;"french"&amp;CHAR(34)&amp;",",""),"")</f>
        <v/>
      </c>
      <c r="GB29" s="48" t="str">
        <f>IFERROR(IF(SEARCH("Spanish",CB29)&gt;0,CHAR(34)&amp;"spanis"&amp;CHAR(34)&amp;",",""),"")</f>
        <v/>
      </c>
      <c r="GC29" s="48" t="str">
        <f>IFERROR(IF(SEARCH("Portuguese",CB29)&gt;0,CHAR(34)&amp;"portug"&amp;CHAR(34)&amp;",",""),"")</f>
        <v/>
      </c>
      <c r="GD29" s="48" t="str">
        <f>IFERROR(IF(SEARCH("German",CB29)&gt;0,CHAR(34)&amp;"german"&amp;CHAR(34)&amp;",",""),"")</f>
        <v/>
      </c>
      <c r="GE29" s="48" t="str">
        <f>IFERROR(IF(SEARCH("Dutch",CB29)&gt;0,CHAR(34)&amp;"dutchs"&amp;CHAR(34)&amp;",",""),"")</f>
        <v/>
      </c>
      <c r="GF29" s="48" t="str">
        <f>IFERROR(IF(SEARCH("Histor",AU29)&gt;0,CHAR(34)&amp;"histor"&amp;CHAR(34)&amp;",",""),"")</f>
        <v/>
      </c>
      <c r="GG29" s="48" t="str">
        <f>IF(BU29="y",CHAR(34)&amp;"unjack"&amp;CHAR(34)&amp;",","")</f>
        <v>"unjack",</v>
      </c>
      <c r="GH29" s="48" t="str">
        <f>IF(CD29=1,CHAR(34)&amp;"southc"&amp;CHAR(34)&amp;",","")</f>
        <v/>
      </c>
      <c r="GI29" s="48" t="str">
        <f>IF(CE29=1,CHAR(34)&amp;"hasmap"&amp;CHAR(34)&amp;",","")</f>
        <v/>
      </c>
      <c r="GJ29" s="48" t="str">
        <f>IF(CP29="y",CHAR(34)&amp;CP$1&amp;CHAR(34)&amp;",","")</f>
        <v>"NoStar",</v>
      </c>
      <c r="GK29" s="48" t="str">
        <f>IF(GJ29="",CHAR(34)&amp;"HasSta"&amp;CHAR(34)&amp;",","")</f>
        <v/>
      </c>
      <c r="GL29" s="48" t="str">
        <f t="shared" si="198"/>
        <v/>
      </c>
      <c r="GM29" s="48" t="str">
        <f t="shared" si="198"/>
        <v/>
      </c>
      <c r="GN29" s="48" t="str">
        <f t="shared" si="198"/>
        <v/>
      </c>
      <c r="GP29" s="48" t="str">
        <f>CHAR(34)&amp;AU29&amp;CHAR(34)</f>
        <v>"State"</v>
      </c>
      <c r="GS29" s="48" t="str">
        <f>SUBSTITUTE("["&amp;_xlfn.CONCAT(CW29:GN29)&amp;"]",",]","]")</f>
        <v>["5+Colo","lets09","startT","year19","smallc","3Bands","Diagon","Circle","HasSun","Unequa","Center","ntWHYE","myrBLU","island","englis","unjack","NoStar"]</v>
      </c>
      <c r="GT29" s="48" t="str">
        <f t="shared" si="199"/>
        <v>"cl_BLU",</v>
      </c>
      <c r="GU29" s="48" t="str">
        <f t="shared" si="199"/>
        <v>"cl_RED",</v>
      </c>
      <c r="GV29" s="48" t="str">
        <f t="shared" si="199"/>
        <v>"cl_WHI",</v>
      </c>
      <c r="GW29" s="48" t="str">
        <f t="shared" si="199"/>
        <v>"cl_GRE",</v>
      </c>
      <c r="GX29" s="48" t="str">
        <f t="shared" si="199"/>
        <v>"cl_YEL",</v>
      </c>
      <c r="GY29" s="48" t="str">
        <f t="shared" si="199"/>
        <v>"cl_GRA",</v>
      </c>
      <c r="GZ29" s="48" t="str">
        <f t="shared" si="199"/>
        <v>"cl_BLA",</v>
      </c>
      <c r="HA29" s="48" t="str">
        <f t="shared" si="199"/>
        <v/>
      </c>
      <c r="HB29" s="48" t="str">
        <f t="shared" si="199"/>
        <v/>
      </c>
      <c r="HC29" s="48" t="str">
        <f>SUBSTITUTE("["&amp;_xlfn.CONCAT(GT29:HB29)&amp;"]",",]","]")</f>
        <v>["cl_BLU","cl_RED","cl_WHI","cl_GRE","cl_YEL","cl_GRA","cl_BLA"]</v>
      </c>
      <c r="HE29" s="71"/>
      <c r="HF29" s="72" t="str">
        <f>"{couname:"&amp;CT29&amp;(IF(HK29&lt;&gt;"",",subtype:"&amp;CHAR(34)&amp;HK29&amp;CHAR(34),""))&amp;",year:"&amp;HJ29&amp;",region:"&amp;CU29&amp;",Colors:"&amp;HC29&amp;",Items:"&amp;GS29&amp;",Flag:"&amp;CV29&amp;",HDFlag:"&amp;CHAR(34)&amp;E29&amp;CHAR(34)&amp;",type:"&amp;GP29&amp;", describe: "&amp;HH29&amp;", isnew:"&amp;CHAR(34)&amp;F29&amp;CHAR(34)&amp;", links: "&amp;HL29&amp;"},"</f>
        <v>{couname:"[BRA] Tocantins",year:"1989 ",region:"rgn_South America",Colors:["cl_BLU","cl_RED","cl_WHI","cl_GRE","cl_YEL","cl_GRA","cl_BLA"],Items:["5+Colo","lets09","startT","year19","smallc","3Bands","Diagon","Circle","HasSun","Unequa","Center","ntWHYE","myrBLU","island","englis","unjack","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links: "https://en.wikipedia.org/wiki/Flag_of_Tocantins"},</v>
      </c>
      <c r="HG29" s="73" t="str">
        <f>"{couname:"&amp;CT29&amp;(IF(HK29&lt;&gt;"",",subtype:"&amp;CHAR(34)&amp;HK29&amp;CHAR(34),""))&amp;",year:"&amp;HJ29&amp;",region:"&amp;CU29&amp;",Colors:"&amp;HC29&amp;",Items:"&amp;GS29&amp;",Flag:"&amp;CV29&amp;",HDFlag:"&amp;CHAR(34)&amp;E29&amp;CHAR(34)&amp;",type:"&amp;GP29&amp;", describe: "&amp;HI29&amp;", links: "&amp;HL29&amp;"},"</f>
        <v>{couname:"[BRA] Tocantins",year:"1989 ",region:"rgn_South America",Colors:["cl_BLU","cl_RED","cl_WHI","cl_GRE","cl_YEL","cl_GRA","cl_BLA"],Items:["5+Colo","lets09","startT","year19","smallc","3Bands","Diagon","Circle","HasSun","Unequa","Center","ntWHYE","myrBLU","island","englis","unjack","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links: "https://en.wikipedia.org/wiki/Flag_of_Tocantins"},</v>
      </c>
      <c r="HH29" s="48" t="str">
        <f>IF(P29&lt;&gt;"",CHAR(34)&amp;"\n"&amp;P29&amp;CHAR(34),CHAR(34)&amp;CHAR(34))</f>
        <v>"\nThe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v>
      </c>
      <c r="HI29" s="48" t="str">
        <f>IF(J29=0,CHAR(34)&amp;CHAR(34),HH29)</f>
        <v>"\nThe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v>
      </c>
      <c r="HJ29" s="48" t="str">
        <f>CHAR(34)&amp;O29&amp;CHAR(34)</f>
        <v>"1989 "</v>
      </c>
      <c r="HL29" s="48" t="str">
        <f>CHAR(34)&amp;I29&amp;CHAR(34)</f>
        <v>"https://en.wikipedia.org/wiki/Flag_of_Tocantins"</v>
      </c>
      <c r="HM29" s="72"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"&amp;HH29&amp;", "&amp;CHAR(34)&amp;"isnew"&amp;CHAR(34)&amp;": "&amp;CHAR(34)&amp;F29&amp;CHAR(34)&amp;", "&amp;CHAR(34)&amp;"links"&amp;CHAR(34)&amp;": "&amp;HL29&amp;"},"</f>
        <v>{"couname":"[BRA] Tocantins","year":"1989 ","region":"rgn_South America","Colors":["cl_BLU","cl_RED","cl_WHI","cl_GRE","cl_YEL","cl_GRA","cl_BLA"],"Items":["5+Colo","lets09","startT","year19","smallc","3Bands","Diagon","Circle","HasSun","Unequa","Center","ntWHYE","myrBLU","island","englis","unjack","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 "links": "https://en.wikipedia.org/wiki/Flag_of_Tocantins"},</v>
      </c>
      <c r="HN29" s="74"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"&amp;HI29&amp;", "&amp;CHAR(34)&amp;"isnew"&amp;CHAR(34)&amp;": "&amp;CHAR(34)&amp;F29&amp;CHAR(34)&amp;", "&amp;CHAR(34)&amp;"links"&amp;CHAR(34)&amp;": "&amp;HL29&amp;"},"</f>
        <v>{"couname":"[BRA] Tocantins","year":"1989 ","region":"rgn_South America","Colors":["cl_BLU","cl_RED","cl_WHI","cl_GRE","cl_YEL","cl_GRA","cl_BLA"],"Items":["5+Colo","lets09","startT","year19","smallc","3Bands","Diagon","Circle","HasSun","Unequa","Center","ntWHYE","myrBLU","island","englis","unjack","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 "links": "https://en.wikipedia.org/wiki/Flag_of_Tocantins"},</v>
      </c>
      <c r="HO29" s="75"/>
      <c r="HP29" s="48" t="str" cm="1">
        <f t="array" ref="HP29">IF(_xlfn.TEXTJOIN(", ", TRUE, IF(ISNUMBER(SEARCH("BLA", BL29:BT29)), COLUMN(BL29:BT29) - COLUMN(BL29) + 1, ""))&lt;&gt;"","BLA","")</f>
        <v>BLA</v>
      </c>
      <c r="HQ29" s="48" t="str" cm="1">
        <f t="array" ref="HQ29">IF(_xlfn.TEXTJOIN(", ", TRUE, IF(ISNUMBER(SEARCH("BLU", BL29:BT29)), COLUMN(BL29:BT29) - COLUMN(BL29) + 1, ""))&lt;&gt;"","BLU","")</f>
        <v>BLU</v>
      </c>
      <c r="HR29" s="48" t="str" cm="1">
        <f t="array" ref="HR29">IF(_xlfn.TEXTJOIN(", ", TRUE, IF(ISNUMBER(SEARCH("GRE", BL29:BT29)), COLUMN(BL29:BT29) - COLUMN(BL29) + 1, ""))&lt;&gt;"","GRE","")</f>
        <v>GRE</v>
      </c>
      <c r="HS29" s="48" t="str" cm="1">
        <f t="array" ref="HS29">IF(_xlfn.TEXTJOIN(", ", TRUE, IF(ISNUMBER(SEARCH("RED", BL29:BT29)), COLUMN(BL29:BT29) - COLUMN(BL29) + 1, ""))&lt;&gt;"","RED","")</f>
        <v>RED</v>
      </c>
      <c r="HT29" s="48" t="str" cm="1">
        <f t="array" ref="HT29">IF(_xlfn.TEXTJOIN(", ", TRUE, IF(ISNUMBER(SEARCH("YEL", BL29:BT29)), COLUMN(BL29:BT29) - COLUMN(BL29) + 1, ""))&lt;&gt;"","YEL","")</f>
        <v>YEL</v>
      </c>
      <c r="HU29" s="48" t="str" cm="1">
        <f t="array" ref="HU29">IF(_xlfn.TEXTJOIN(", ", TRUE, IF(ISNUMBER(SEARCH("ORA", BL29:BT29)), COLUMN(BL29:BT29) - COLUMN(BL29) + 1, ""))&lt;&gt;"","ORA","")</f>
        <v/>
      </c>
      <c r="HV29" s="48" t="str" cm="1">
        <f t="array" ref="HV29">IF(_xlfn.TEXTJOIN(", ", TRUE, IF(ISNUMBER(SEARCH("BRO", BL29:BT29)), COLUMN(BL29:BT29) - COLUMN(BL29) + 1, ""))&lt;&gt;"","BRO","")</f>
        <v/>
      </c>
      <c r="HW29" s="48" t="str" cm="1">
        <f t="array" ref="HW29">IF(_xlfn.TEXTJOIN(", ", TRUE, IF(ISNUMBER(SEARCH("PUR", BL29:BT29)), COLUMN(BL29:BT29) - COLUMN(BL29) + 1, ""))&lt;&gt;"","PUR","")</f>
        <v/>
      </c>
      <c r="HX29" s="48" t="str" cm="1">
        <f t="array" ref="HX29">IF(_xlfn.TEXTJOIN(", ", TRUE, IF(ISNUMBER(SEARCH("WHI", BL29:BT29)), COLUMN(BL29:BT29) - COLUMN(BL29) + 1, ""))&lt;&gt;"","WHI","")</f>
        <v>WHI</v>
      </c>
      <c r="HY29" s="76"/>
      <c r="HZ29" s="76"/>
      <c r="IA29" s="6" t="s">
        <v>172</v>
      </c>
      <c r="IB29" s="6"/>
      <c r="IC29" s="77"/>
      <c r="ID29" s="77"/>
      <c r="IE29" s="77"/>
      <c r="IF29" s="77"/>
      <c r="IG29" s="77"/>
      <c r="IH29" s="77"/>
      <c r="II29" s="77"/>
      <c r="IJ29" s="77"/>
      <c r="IK29" s="77"/>
      <c r="IL29" s="48">
        <f>SUM(IC29:IK29)</f>
        <v>0</v>
      </c>
      <c r="IM29" s="45">
        <f>COUNTIF(IC29:IK29,"&gt;0")-CG29</f>
        <v>-7</v>
      </c>
      <c r="IN29" s="78" t="str">
        <f>"http://mkweb.bcgsc.ca/color-summarizer/?url="&amp;D29&amp;"&amp;precision=low&amp;num_clusters="&amp;CG29&amp;"&amp;text=1"</f>
        <v>http://mkweb.bcgsc.ca/color-summarizer/?url=https://upload.wikimedia.org/wikipedia/commons/thumb/f/ff/Bandeira_do_Tocantins.svg/640px-Bandeira_do_Tocantins.svg.png&amp;precision=low&amp;num_clusters=7&amp;text=1</v>
      </c>
      <c r="IO29" s="48" t="str">
        <f>IF(HP29&lt;&gt;"",CHAR(34)&amp;"black"&amp;CHAR(34),"")</f>
        <v>"black"</v>
      </c>
      <c r="IP29" s="48" t="str">
        <f>IF(HQ29&lt;&gt;"",CHAR(34)&amp;"blue"&amp;CHAR(34),"")</f>
        <v>"blue"</v>
      </c>
      <c r="IQ29" s="48" t="str">
        <f>IF(HR29&lt;&gt;"",CHAR(34)&amp;"green"&amp;CHAR(34),"")</f>
        <v>"green"</v>
      </c>
      <c r="IR29" s="48" t="str">
        <f>IF(HS29&lt;&gt;"",CHAR(34)&amp;"red"&amp;CHAR(34),"")</f>
        <v>"red"</v>
      </c>
      <c r="IS29" s="48" t="str">
        <f>IF(HT29&lt;&gt;"",CHAR(34)&amp;"yellow"&amp;CHAR(34),"")</f>
        <v>"yellow"</v>
      </c>
      <c r="IT29" s="48" t="str">
        <f>IF(HU29&lt;&gt;"",CHAR(34)&amp;"orange"&amp;CHAR(34),"")</f>
        <v/>
      </c>
      <c r="IU29" s="48" t="str">
        <f>IF(HV29&lt;&gt;"",CHAR(34)&amp;"brown"&amp;CHAR(34),"")</f>
        <v/>
      </c>
      <c r="IV29" s="48" t="str">
        <f>IF(HW29&lt;&gt;"",CHAR(34)&amp;"purple"&amp;CHAR(34),"")</f>
        <v/>
      </c>
      <c r="IW29" s="48" t="str">
        <f>IF(HX29&lt;&gt;"",CHAR(34)&amp;"white"&amp;CHAR(34),"")</f>
        <v>"white"</v>
      </c>
      <c r="IX29" s="48" t="str">
        <f>"{"&amp;CHAR(34)&amp;"url"&amp;CHAR(34)&amp;":"&amp;CHAR(34)&amp;IN29&amp;CHAR(34)&amp;","&amp;CHAR(34)&amp;"name"&amp;CHAR(34)&amp;":"&amp;CHAR(34)&amp;A29&amp;CHAR(34)&amp;"},"</f>
        <v>{"url":"http://mkweb.bcgsc.ca/color-summarizer/?url=https://upload.wikimedia.org/wikipedia/commons/thumb/f/ff/Bandeira_do_Tocantins.svg/640px-Bandeira_do_Tocantins.svg.png&amp;precision=low&amp;num_clusters=7&amp;text=1","name":"[BRA] Tocantins"},</v>
      </c>
      <c r="IY29" s="48">
        <v>173</v>
      </c>
    </row>
    <row r="30" spans="1:259" s="48" customFormat="1" ht="38.4" customHeight="1" thickBot="1" x14ac:dyDescent="0.35">
      <c r="A30" s="81" t="s">
        <v>828</v>
      </c>
      <c r="B30" s="40" t="e" vm="52">
        <v>#VALUE!</v>
      </c>
      <c r="C30" s="41">
        <v>3</v>
      </c>
      <c r="D30" s="42" t="s">
        <v>829</v>
      </c>
      <c r="E30" s="43" t="s">
        <v>830</v>
      </c>
      <c r="F30" s="44" t="s">
        <v>166</v>
      </c>
      <c r="G30" s="45">
        <f>COUNTIF($A$1:$A$8312,A30)</f>
        <v>1</v>
      </c>
      <c r="H30" s="46" t="s">
        <v>831</v>
      </c>
      <c r="I30" s="47" t="s">
        <v>832</v>
      </c>
      <c r="J30" s="48" t="str">
        <f>""</f>
        <v/>
      </c>
      <c r="K30" s="49"/>
      <c r="L30" s="50"/>
      <c r="M30" s="50"/>
      <c r="N30" s="51" t="s">
        <v>169</v>
      </c>
      <c r="O30" s="52">
        <v>1853</v>
      </c>
      <c r="P30" s="53" t="s">
        <v>833</v>
      </c>
      <c r="Q30" s="54">
        <v>3</v>
      </c>
      <c r="R30" s="55" t="s">
        <v>169</v>
      </c>
      <c r="S30" s="56">
        <v>0</v>
      </c>
      <c r="T30" s="57" t="s">
        <v>173</v>
      </c>
      <c r="U30" s="58" t="s">
        <v>173</v>
      </c>
      <c r="V30" s="58" t="s">
        <v>172</v>
      </c>
      <c r="W30" s="58" t="s">
        <v>172</v>
      </c>
      <c r="X30" s="58" t="s">
        <v>173</v>
      </c>
      <c r="Y30" s="58" t="s">
        <v>172</v>
      </c>
      <c r="Z30" s="58" t="s">
        <v>173</v>
      </c>
      <c r="AA30" s="58" t="s">
        <v>173</v>
      </c>
      <c r="AB30" s="58" t="s">
        <v>172</v>
      </c>
      <c r="AC30" s="58" t="s">
        <v>172</v>
      </c>
      <c r="AD30" s="58" t="s">
        <v>172</v>
      </c>
      <c r="AE30" s="58" t="s">
        <v>172</v>
      </c>
      <c r="AF30" s="59" t="s">
        <v>172</v>
      </c>
      <c r="AG30" s="59" t="s">
        <v>172</v>
      </c>
      <c r="AH30" s="59" t="s">
        <v>173</v>
      </c>
      <c r="AI30" s="59" t="s">
        <v>172</v>
      </c>
      <c r="AJ30" s="59" t="s">
        <v>172</v>
      </c>
      <c r="AK30" s="59" t="s">
        <v>172</v>
      </c>
      <c r="AL30" s="59" t="s">
        <v>172</v>
      </c>
      <c r="AM30" s="59" t="s">
        <v>172</v>
      </c>
      <c r="AN30" s="59" t="s">
        <v>172</v>
      </c>
      <c r="AO30" s="59" t="s">
        <v>172</v>
      </c>
      <c r="AP30" s="59" t="s">
        <v>172</v>
      </c>
      <c r="AQ30" s="59" t="s">
        <v>173</v>
      </c>
      <c r="AR30" s="59" t="s">
        <v>172</v>
      </c>
      <c r="AS30" s="59" t="s">
        <v>172</v>
      </c>
      <c r="AT30" s="60">
        <v>20</v>
      </c>
      <c r="AU30" s="59" t="s">
        <v>834</v>
      </c>
      <c r="AV30" s="59" t="str">
        <f>IF(LEFT(A30,1)="[",LEFT(A30,5)&amp;AU30&amp;A30,"")</f>
        <v>[BRA]Historical[BRA] Empire of Brazil (1853-1889)</v>
      </c>
      <c r="AW30" s="59" t="str">
        <f>C30&amp;H30&amp;A30</f>
        <v>3[BRA] Other[BRA] Empire of Brazil (1853-1889)</v>
      </c>
      <c r="AX30" s="61" t="str">
        <f>_xlfn.TEXTJOIN(";",TRUE,AU30:AW30)</f>
        <v>Historical;[BRA]Historical[BRA] Empire of Brazil (1853-1889);3[BRA] Other[BRA] Empire of Brazil (1853-1889)</v>
      </c>
      <c r="AY30" s="61"/>
      <c r="AZ30" s="62"/>
      <c r="BA30" s="62"/>
      <c r="BB30" s="62"/>
      <c r="BC30" s="63"/>
      <c r="BD30" s="64" t="s">
        <v>159</v>
      </c>
      <c r="BE30" s="47"/>
      <c r="BF30" s="64" t="s">
        <v>159</v>
      </c>
      <c r="BG30" s="64" t="s">
        <v>159</v>
      </c>
      <c r="BH30" s="64" t="s">
        <v>159</v>
      </c>
      <c r="BI30" s="64" t="s">
        <v>152</v>
      </c>
      <c r="BJ30" s="64"/>
      <c r="BK30" s="47"/>
      <c r="BL30" s="64" t="s">
        <v>152</v>
      </c>
      <c r="BM30" s="64" t="s">
        <v>159</v>
      </c>
      <c r="BN30" s="64" t="s">
        <v>155</v>
      </c>
      <c r="BO30" s="64"/>
      <c r="BP30" s="64"/>
      <c r="BQ30" s="64"/>
      <c r="BR30" s="64"/>
      <c r="BS30" s="64"/>
      <c r="BT30" s="64"/>
      <c r="BU30" s="65" t="s">
        <v>172</v>
      </c>
      <c r="BV30" s="66" t="s">
        <v>172</v>
      </c>
      <c r="BW30" s="66">
        <v>0</v>
      </c>
      <c r="BX30" s="47"/>
      <c r="CB30" s="6" t="s">
        <v>138</v>
      </c>
      <c r="CC30" s="6"/>
      <c r="CD30" s="67">
        <v>0</v>
      </c>
      <c r="CE30" s="67">
        <v>0</v>
      </c>
      <c r="CF30" s="67" t="e">
        <v>#REF!</v>
      </c>
      <c r="CG30" s="68" cm="1">
        <f t="array" ref="CG30">SUMPRODUCT(--(LEN(TRIM(BL30:BT30))&gt;0))</f>
        <v>3</v>
      </c>
      <c r="CH30" s="59" t="str">
        <f t="shared" ref="CH30:CH33" si="211">IF(CG30=2,"y","n")</f>
        <v>n</v>
      </c>
      <c r="CI30" s="59" t="str">
        <f t="shared" ref="CI30:CI33" si="212">IF(CG30=3,"y","n")</f>
        <v>y</v>
      </c>
      <c r="CJ30" s="59" t="str">
        <f t="shared" ref="CJ30:CJ33" si="213">IF(CG30=4,"y","n")</f>
        <v>n</v>
      </c>
      <c r="CK30" s="59" t="str">
        <f t="shared" ref="CK30:CK33" si="214">IF(CG30&gt;4,"y","n")</f>
        <v>n</v>
      </c>
      <c r="CL30" s="59" t="str">
        <f t="shared" ref="CL30:CL33" si="215">IF(S30=0,"y","n")</f>
        <v>y</v>
      </c>
      <c r="CM30" s="59" t="str">
        <f t="shared" ref="CM30:CM33" si="216">IF(S30=2,"y","n")</f>
        <v>n</v>
      </c>
      <c r="CN30" s="59" t="str">
        <f t="shared" ref="CN30:CN33" si="217">IF(S30=3,"y","n")</f>
        <v>n</v>
      </c>
      <c r="CO30" s="59" t="str">
        <f t="shared" ref="CO30:CO33" si="218">IF(S30&gt;=4,"y","n")</f>
        <v>n</v>
      </c>
      <c r="CP30" s="59" t="str">
        <f t="shared" ref="CP30:CP33" si="219">IF(AT30=0,"y","n")</f>
        <v>n</v>
      </c>
      <c r="CQ30" s="59" t="str">
        <f t="shared" ref="CQ30:CQ33" si="220">IF(AT30=1,"y","n")</f>
        <v>n</v>
      </c>
      <c r="CR30" s="59" t="str">
        <f t="shared" ref="CR30:CR33" si="221">IF(AT30=2,"y","n")</f>
        <v>n</v>
      </c>
      <c r="CS30" s="59" t="str">
        <f t="shared" ref="CS30:CS33" si="222">IF(AT30&gt;=3,"y","n")</f>
        <v>y</v>
      </c>
      <c r="CT30" s="69" t="str">
        <f t="shared" ref="CT30:CT33" si="223">CHAR(34)&amp;A30&amp;CHAR(34)</f>
        <v>"[BRA] Empire of Brazil (1853-1889)"</v>
      </c>
      <c r="CU30" s="70" t="str">
        <f t="shared" ref="CU30:CU33" si="224">CHAR(34)&amp;"rgn_"&amp;R30&amp;CHAR(34)</f>
        <v>"rgn_South America"</v>
      </c>
      <c r="CV30" s="48" t="str">
        <f t="shared" ref="CV30:CV33" si="225">CHAR(34)&amp;D30&amp;CHAR(34)</f>
        <v>"https://upload.wikimedia.org/wikipedia/commons/thumb/e/ea/Bandeira_do_Imp%C3%A9rio_do_Brasil_com_n%C3%B3_e_cores_corretos.png/320px-Bandeira_do_Imp%C3%A9rio_do_Brasil_com_n%C3%B3_e_cores_corretos.png"</v>
      </c>
      <c r="CW30" s="48" t="str">
        <f t="shared" si="195"/>
        <v/>
      </c>
      <c r="CX30" s="48" t="str">
        <f t="shared" si="195"/>
        <v>"3Color",</v>
      </c>
      <c r="CY30" s="48" t="str">
        <f t="shared" si="195"/>
        <v/>
      </c>
      <c r="CZ30" s="48" t="str">
        <f t="shared" si="195"/>
        <v/>
      </c>
      <c r="DA30" s="48" t="str">
        <f t="shared" ref="DA30:DA33" si="226">IF(Q30&gt;1,CHAR(34)&amp;"words2"&amp;CHAR(34)&amp;",","")</f>
        <v>"words2",</v>
      </c>
      <c r="DB30" s="48" t="str">
        <f t="shared" ref="DB30:DB33" si="227">IF(Q30&gt;2,CHAR(34)&amp;"words3"&amp;CHAR(34)&amp;",","")</f>
        <v>"words3",</v>
      </c>
      <c r="DC30" s="48" t="str">
        <f t="shared" ref="DC30:DC33" si="228">IF(Q30=2,CHAR(34)&amp;"exact2"&amp;CHAR(34)&amp;",","")</f>
        <v/>
      </c>
      <c r="DD30" s="48" t="str">
        <f t="shared" ref="DD30:DD33" si="229">IF(LEN(CHAR(34)&amp;"lets"&amp;LEN(SUBSTITUTE(SUBSTITUTE(IFERROR(TRIM(SUBSTITUTE(SUBSTITUTE(SUBSTITUTE(IFERROR(TRIM(SUBSTITUTE(A30,MID(A30,FIND("(",A30),FIND(")",A30)-FIND("(",A30)+1),"")),A30),"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",""),"-",""))&amp;CHAR(34)&amp;",")=9,CHAR(34)&amp;"lets"&amp;LEN(SUBSTITUTE(SUBSTITUTE(IFERROR(TRIM(SUBSTITUTE(SUBSTITUTE(SUBSTITUTE(IFERROR(TRIM(SUBSTITUTE(A30,MID(A30,FIND("(",A30),FIND(")",A30)-FIND("(",A30)+1),"")),A30),"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",""),"-",""))&amp;CHAR(34)&amp;",",CHAR(34)&amp;"lets0"&amp;LEN(SUBSTITUTE(SUBSTITUTE(IFERROR(TRIM(SUBSTITUTE(SUBSTITUTE(SUBSTITUTE(IFERROR(TRIM(SUBSTITUTE(A30,MID(A30,FIND("(",A30),FIND(")",A30)-FIND("(",A30)+1),"")),A30),"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f>
        <v>"lets14",</v>
      </c>
      <c r="DE30" s="48" t="str">
        <f t="shared" ref="DE30:DE33" si="230">IFERROR(CHAR(34)&amp;"start"&amp;LEFT(TRIM(SUBSTITUTE(SUBSTITUTE(TRIM(SUBSTITUTE(SUBSTITUTE(A30, MID(A30, FIND("[", A30), FIND("]", A30) - FIND("[", A30) + 1), ""), "  ", " ")), MID(TRIM(SUBSTITUTE(SUBSTITUTE(A30, MID(A30, FIND("[", A30), FIND("]", A30) - FIND("[", A30) + 1), ""), "  ", " ")), FIND("[", TRIM(SUBSTITUTE(SUBSTITUTE(A30, MID(A30, FIND("[", A30), FIND("]", A30) - FIND("[", A30) + 1), ""), "  ", " "))), FIND("]", TRIM(SUBSTITUTE(SUBSTITUTE(A30, MID(A30, FIND("[", A30), FIND("]", A30) - FIND("[", A30) + 1), ""), "  ", " "))) - FIND("[", TRIM(SUBSTITUTE(SUBSTITUTE(A30, MID(A30, FIND("[", A30), FIND("]", A30) - FIND("[", A30) + 1), ""), "  ", " "))) + 1), ""), "  ", " ")),1)&amp;CHAR(34)&amp;",",CHAR(34)&amp;"start"&amp;IFERROR(LEFT(SUBSTITUTE(A30,"["&amp;MID(A30,FIND("[",A30)+1,FIND("]",A30)-FIND("[",A30)-1)&amp;"] ",""),1),LEFT(A30,1))&amp;CHAR(34)&amp;",")</f>
        <v>"startE",</v>
      </c>
      <c r="DF30" s="48" t="str">
        <f t="shared" ref="DF30:DF33" si="231">IFERROR(IF(SEARCH("tan",A30)&gt;0,CHAR(34)&amp;"withtn"&amp;CHAR(34)&amp;",",""),"")</f>
        <v/>
      </c>
      <c r="DG30" s="48" t="str">
        <f t="shared" ref="DG30:DG33" si="232">IFERROR(IF(SEARCH("q",A30)&gt;0,CHAR(34)&amp;"with_q"&amp;CHAR(34)&amp;",",""),"")</f>
        <v/>
      </c>
      <c r="DH30" s="48" t="str">
        <f t="shared" ref="DH30:DH33" si="233">IFERROR(IF(SEARCH("v",A30)&gt;0,CHAR(34)&amp;"with_v"&amp;CHAR(34)&amp;",",""),"")</f>
        <v/>
      </c>
      <c r="DI30" s="48" t="str">
        <f t="shared" ref="DI30:DI33" si="234">IFERROR(IF(SEARCH("w",A30)&gt;0,CHAR(34)&amp;"with_w"&amp;CHAR(34)&amp;",",""),"")</f>
        <v/>
      </c>
      <c r="DJ30" s="48" t="str">
        <f t="shared" ref="DJ30:DJ33" si="235">IFERROR(IF(SEARCH("y",A30)&gt;0,CHAR(34)&amp;"with_y"&amp;CHAR(34)&amp;",",""),"")</f>
        <v/>
      </c>
      <c r="DK30" s="48" t="str">
        <f t="shared" ref="DK30:DK33" si="236">IFERROR(IF(SEARCH("z",A30)&gt;0,CHAR(34)&amp;"with_z"&amp;CHAR(34)&amp;",",""),"")</f>
        <v>"with_z",</v>
      </c>
      <c r="DL30" s="48" t="str">
        <f t="shared" ref="DL30:DL33" si="237">IF(CG30=2, CHAR(34) &amp; _xlfn.TEXTJOIN("", TRUE, _xlfn._xlws.SORT(HP30:HX30)) &amp; CHAR(34) &amp; ",", "")</f>
        <v/>
      </c>
      <c r="DM30" s="48" t="str" cm="1">
        <f t="array" ref="DM30">IF(CG30=3,CHAR(34) &amp; _xlfn.TEXTJOIN("", TRUE, RIGHT(HP30:HX30, 2)) &amp; CHAR(34) &amp; ",", "")</f>
        <v>"LUELHI",</v>
      </c>
      <c r="DN30" s="48" t="str">
        <f t="shared" ref="DN30:DN33" si="238">IF(AND(ISNUMBER(SEARCH("18", O30)), ISERROR(SEARCH("1918", O30)), ISERROR(SEARCH("2018", O30))), CHAR(34) &amp; "year18" &amp; CHAR(34) &amp; ",", "")</f>
        <v>"year18",</v>
      </c>
      <c r="DO30" s="48" t="str">
        <f t="shared" ref="DO30:DO33" si="239">IF(AND(ISNUMBER(SEARCH("19", O30)), ISERROR(SEARCH("1819", O30)),  ISERROR(SEARCH("1219", O30)),ISERROR(SEARCH("1119", O30)),ISERROR(SEARCH("1190", O30)),ISERROR(SEARCH("2019", O30))), CHAR(34) &amp; "year19" &amp; CHAR(34) &amp; ",", "")</f>
        <v/>
      </c>
      <c r="DP30" s="6" t="str">
        <f t="shared" ref="DP30:DP33" si="240">IF(AND(ISNUMBER(SEARCH("20", O30)), ISERROR(SEARCH("1920", O30))), CHAR(34)&amp;"year00"&amp;CHAR(34)&amp;",", "")</f>
        <v/>
      </c>
      <c r="DQ30" s="6" t="str">
        <f t="shared" ref="DQ30:DQ33" si="241">IF(CC30="y",CHAR(34)&amp;"soviet"&amp;CHAR(34)&amp;",","")</f>
        <v/>
      </c>
      <c r="DR30" s="6" t="str">
        <f t="shared" ref="DR30:DR33" si="242">IF(BY30="y",CHAR(34)&amp;"dgband"&amp;CHAR(34)&amp;",","")</f>
        <v/>
      </c>
      <c r="DS30" s="6" t="str">
        <f t="shared" ref="DS30:DS33" si="243">IF(W30="y",IF(AND(V30="n",BY30&lt;&gt;"y"),CHAR(34)&amp;"allver"&amp;CHAR(34)&amp;",",""),"")</f>
        <v/>
      </c>
      <c r="DT30" s="6" t="str">
        <f t="shared" ref="DT30:DT33" si="244">IF(V30="y",IF(AND(W30="n",BY30&lt;&gt;"y"),CHAR(34)&amp;"allhor"&amp;CHAR(34)&amp;",",""),"")</f>
        <v/>
      </c>
      <c r="DU30" s="6" t="str">
        <f t="shared" ref="DU30:DU33" si="245">IF(BY30="y",IF(AND(W30="n",V30="n"),CHAR(34)&amp;"alldia"&amp;CHAR(34)&amp;",",""),"")</f>
        <v/>
      </c>
      <c r="DV30" s="48" t="str">
        <f t="shared" ref="DV30:DV33" si="246">IF(IA30&lt;&gt;"",(IF(IA30="y",CHAR(34)&amp;"largec"&amp;CHAR(34)&amp;",",CHAR(34)&amp;"smallc"&amp;CHAR(34)&amp;",")),"")</f>
        <v/>
      </c>
      <c r="DW30" s="48" t="str">
        <f t="shared" si="196"/>
        <v>"NoBand",</v>
      </c>
      <c r="DX30" s="48" t="str">
        <f t="shared" si="196"/>
        <v/>
      </c>
      <c r="DY30" s="48" t="str">
        <f t="shared" si="196"/>
        <v/>
      </c>
      <c r="DZ30" s="48" t="str">
        <f t="shared" si="196"/>
        <v/>
      </c>
      <c r="EA30" s="48" t="str">
        <f t="shared" si="197"/>
        <v>"Diagon",</v>
      </c>
      <c r="EB30" s="48" t="str">
        <f t="shared" si="197"/>
        <v>"Crosse",</v>
      </c>
      <c r="EC30" s="48" t="str">
        <f t="shared" si="197"/>
        <v/>
      </c>
      <c r="ED30" s="48" t="str">
        <f t="shared" si="197"/>
        <v/>
      </c>
      <c r="EE30" s="48" t="str">
        <f t="shared" si="197"/>
        <v>"Circle",</v>
      </c>
      <c r="EF30" s="48" t="str">
        <f t="shared" ref="EF30:EF33" si="247">IF(AND(Y30&lt;&gt;"n",Y30&lt;&gt;""),CHAR(34)&amp;Y$1&amp;CHAR(34)&amp;",","")</f>
        <v/>
      </c>
      <c r="EG30" s="48" t="str">
        <f t="shared" si="194"/>
        <v>"Bird",</v>
      </c>
      <c r="EH30" s="48" t="str">
        <f t="shared" si="194"/>
        <v>"Plants",</v>
      </c>
      <c r="EI30" s="48" t="str">
        <f t="shared" si="194"/>
        <v/>
      </c>
      <c r="EJ30" s="48" t="str">
        <f t="shared" si="194"/>
        <v/>
      </c>
      <c r="EK30" s="48" t="str">
        <f t="shared" si="194"/>
        <v/>
      </c>
      <c r="EL30" s="48" t="str">
        <f t="shared" si="194"/>
        <v/>
      </c>
      <c r="EM30" s="48" t="str">
        <f t="shared" si="194"/>
        <v/>
      </c>
      <c r="EN30" s="48" t="str">
        <f t="shared" si="194"/>
        <v/>
      </c>
      <c r="EO30" s="48" t="str">
        <f t="shared" si="194"/>
        <v>"Center",</v>
      </c>
      <c r="EP30" s="48" t="str">
        <f t="shared" si="194"/>
        <v/>
      </c>
      <c r="EQ30" s="48" t="str">
        <f t="shared" si="194"/>
        <v/>
      </c>
      <c r="ER30" s="48" t="str">
        <f t="shared" si="194"/>
        <v/>
      </c>
      <c r="ES30" s="48" t="str">
        <f t="shared" si="194"/>
        <v/>
      </c>
      <c r="ET30" s="48" t="str">
        <f t="shared" si="194"/>
        <v/>
      </c>
      <c r="EU30" s="48" t="str">
        <f t="shared" si="194"/>
        <v/>
      </c>
      <c r="EV30" s="48" t="str">
        <f t="shared" si="194"/>
        <v/>
      </c>
      <c r="EW30" s="48" t="str">
        <f t="shared" ref="EW30:EZ33" si="248">IF(AP30="y",CHAR(34)&amp;AP$1&amp;CHAR(34)&amp;",","")</f>
        <v/>
      </c>
      <c r="EX30" s="48" t="str">
        <f t="shared" si="248"/>
        <v>"Crowns",</v>
      </c>
      <c r="EY30" s="48" t="str">
        <f t="shared" si="248"/>
        <v/>
      </c>
      <c r="EZ30" s="48" t="str">
        <f t="shared" si="248"/>
        <v/>
      </c>
      <c r="FA30" s="48" t="str">
        <f t="shared" ref="FA30:FA33" si="249">IF(AT30&gt;0,CHAR(34)&amp;"sta"&amp;AZ30&amp;CHAR(34)&amp;",","")</f>
        <v>"sta",</v>
      </c>
      <c r="FB30" s="48" t="str">
        <f t="shared" ref="FB30:FB33" si="250">IF(AND(AT30&gt;0,BA30&lt;&gt;""),CHAR(34)&amp;"sta"&amp;BA30&amp;CHAR(34)&amp;",","")</f>
        <v/>
      </c>
      <c r="FC30" s="48" t="str">
        <f t="shared" ref="FC30:FC33" si="251">IF(AND(AT30&gt;0,BB30&lt;&gt;""),CHAR(34)&amp;"sta"&amp;BB30&amp;CHAR(34)&amp;",","")</f>
        <v/>
      </c>
      <c r="FD30" s="48" t="str">
        <f t="shared" ref="FD30:FD33" si="252">IF(BV30="n",CHAR(34)&amp;"tcWHYE"&amp;CHAR(34)&amp;",",IF(BV30="y",CHAR(34)&amp;FD$1&amp;CHAR(34)&amp;",",""))</f>
        <v>"tcWHYE",</v>
      </c>
      <c r="FE30" s="48" t="str">
        <f t="shared" ref="FE30:FE33" si="253">IF(COUNTIF(BL30:BT30,"BLU")=0,CHAR(34)&amp;"NO_BLU"&amp;CHAR(34)&amp;",", "")</f>
        <v/>
      </c>
      <c r="FF30" s="48" t="str">
        <f t="shared" ref="FF30:FF33" si="254">IF(COUNTIF(BL30:BT30,"WHI")=0,CHAR(34)&amp;"NO_WHI"&amp;CHAR(34)&amp;",", "")</f>
        <v/>
      </c>
      <c r="FG30" s="48" t="str">
        <f t="shared" ref="FG30:FG33" si="255">IF(COUNTIF(BL30:BT30,"RED")=0,CHAR(34)&amp;"NO_RED"&amp;CHAR(34)&amp;",", "")</f>
        <v>"NO_RED",</v>
      </c>
      <c r="FH30" s="48" t="str">
        <f t="shared" ref="FH30:FH33" si="256">IF(COUNTIF(BL30:BS30,"GRE")=0,CHAR(34)&amp;"NO_GRE"&amp;CHAR(34)&amp;",", "")</f>
        <v>"NO_GRE",</v>
      </c>
      <c r="FI30" s="48" t="str">
        <f t="shared" ref="FI30:FI33" si="257">IF(COUNTIF(BL30:BT30,"YEL")=0,CHAR(34)&amp;"NO_YEL"&amp;CHAR(34)&amp;",", "")</f>
        <v/>
      </c>
      <c r="FJ30" s="48" t="str">
        <f t="shared" ref="FJ30:FJ33" si="258">IF(COUNTIF(BL30:BT30,"BLA")=0,CHAR(34)&amp;"NO_BLA"&amp;CHAR(34)&amp;",", "")</f>
        <v>"NO_BLA",</v>
      </c>
      <c r="FK30" s="48" t="str">
        <f t="shared" ref="FK30:FK33" si="259">IF(AND(FH30&lt;&gt;"",FF30&lt;&gt;""),CHAR(34)&amp;"WHGRNO"&amp;CHAR(34)&amp;",","")</f>
        <v/>
      </c>
      <c r="FL30" s="48" t="str">
        <f t="shared" ref="FL30:FL33" si="260">IF(AND(FI30&lt;&gt;"",FF30&lt;&gt;""),CHAR(34)&amp;"WHYENO"&amp;CHAR(34)&amp;",","")</f>
        <v/>
      </c>
      <c r="FM30" s="48" t="str">
        <f t="shared" ref="FM30:FM33" si="261">IF(AND(FJ30&lt;&gt;"",FF30&lt;&gt;""),CHAR(34)&amp;"BAWHNO"&amp;CHAR(34)&amp;",","")</f>
        <v/>
      </c>
      <c r="FN30" s="48" t="str">
        <f t="shared" ref="FN30:FN33" si="262">IF(AND(FE30&lt;&gt;"",FF30&lt;&gt;""),CHAR(34)&amp;"BLWHNO"&amp;CHAR(34)&amp;",","")</f>
        <v/>
      </c>
      <c r="FO30" s="48" t="str">
        <f t="shared" ref="FO30:FO33" si="263">IF(AND(FE30&lt;&gt;"",FG30&lt;&gt;""),CHAR(34)&amp;"BLRENO"&amp;CHAR(34)&amp;",","")</f>
        <v/>
      </c>
      <c r="FP30" s="48" t="str">
        <f t="shared" ref="FP30:FP33" si="264">IF(AND(FF30&lt;&gt;"",FF30&lt;&gt;""),CHAR(34)&amp;"WHRENO"&amp;CHAR(34)&amp;",","")</f>
        <v/>
      </c>
      <c r="FQ30" s="48" t="str">
        <f t="shared" ref="FQ30:FQ33" si="265">IF(LEN(BF30)=3,CHAR(34)&amp;"001"&amp;BF30&amp;CHAR(34)&amp;",","")</f>
        <v>"001WHI",</v>
      </c>
      <c r="FR30" s="48" t="str">
        <f t="shared" ref="FR30:FR33" si="266">IF(LEN(BG30)=3,CHAR(34)&amp;"002"&amp;BG30&amp;CHAR(34)&amp;",","")</f>
        <v>"002WHI",</v>
      </c>
      <c r="FS30" s="48" t="str">
        <f t="shared" ref="FS30:FS33" si="267">IF(LEN(BH30)=3,CHAR(34)&amp;"003"&amp;BH30&amp;CHAR(34)&amp;",","")</f>
        <v>"003WHI",</v>
      </c>
      <c r="FT30" s="48" t="str">
        <f t="shared" ref="FT30:FT33" si="268">CHAR(34)&amp;"myr"&amp;BD30&amp;CHAR(34)&amp;","</f>
        <v>"myrWHI",</v>
      </c>
      <c r="FU30" s="48" t="str">
        <f t="shared" ref="FU30:FU33" si="269">IF(AY30="y",CHAR(34)&amp;"island"&amp;CHAR(34)&amp;",","")</f>
        <v/>
      </c>
      <c r="FV30" s="48" t="str">
        <f t="shared" ref="FV30:FV33" si="270">IF(BZ30="y",CHAR(34)&amp;"landlo"&amp;CHAR(34)&amp;",","")</f>
        <v/>
      </c>
      <c r="FW30" s="48" t="str">
        <f t="shared" ref="FW30:FW33" si="271">IF(CA30="y",CHAR(34)&amp;"eunion"&amp;CHAR(34)&amp;",","")</f>
        <v/>
      </c>
      <c r="FX30" s="48" t="str">
        <f t="shared" ref="FX30:FX33" si="272">SUBSTITUTE(IFERROR(SEARCH("[",A30),IFERROR(IF(AND(CA30&lt;&gt;"y",SEARCH("Europe",R30)&gt;0),CHAR(34)&amp;"noeuni"&amp;CHAR(34)&amp;",",""),"")),"1","")</f>
        <v/>
      </c>
      <c r="FY30" s="48" t="str">
        <f t="shared" ref="FY30:FY33" si="273">IFERROR(IF(SEARCH("Arabic",CB30)&gt;0,CHAR(34)&amp;"arabic"&amp;CHAR(34)&amp;",",""),"")</f>
        <v/>
      </c>
      <c r="FZ30" s="48" t="str">
        <f t="shared" ref="FZ30:FZ33" si="274">IFERROR(IF(SEARCH("English",CB30)&gt;0,CHAR(34)&amp;"englis"&amp;CHAR(34)&amp;",",""),"")</f>
        <v/>
      </c>
      <c r="GA30" s="48" t="str">
        <f t="shared" ref="GA30:GA33" si="275">IFERROR(IF(SEARCH("French",CB30)&gt;0,CHAR(34)&amp;"french"&amp;CHAR(34)&amp;",",""),"")</f>
        <v/>
      </c>
      <c r="GB30" s="48" t="str">
        <f t="shared" ref="GB30:GB33" si="276">IFERROR(IF(SEARCH("Spanish",CB30)&gt;0,CHAR(34)&amp;"spanis"&amp;CHAR(34)&amp;",",""),"")</f>
        <v>"spanis",</v>
      </c>
      <c r="GC30" s="48" t="str">
        <f t="shared" ref="GC30:GC33" si="277">IFERROR(IF(SEARCH("Portuguese",CB30)&gt;0,CHAR(34)&amp;"portug"&amp;CHAR(34)&amp;",",""),"")</f>
        <v/>
      </c>
      <c r="GD30" s="48" t="str">
        <f t="shared" ref="GD30:GD33" si="278">IFERROR(IF(SEARCH("German",CB30)&gt;0,CHAR(34)&amp;"german"&amp;CHAR(34)&amp;",",""),"")</f>
        <v/>
      </c>
      <c r="GE30" s="48" t="str">
        <f t="shared" ref="GE30:GE33" si="279">IFERROR(IF(SEARCH("Dutch",CB30)&gt;0,CHAR(34)&amp;"dutchs"&amp;CHAR(34)&amp;",",""),"")</f>
        <v/>
      </c>
      <c r="GF30" s="48" t="str">
        <f>IFERROR(IF(SEARCH("Histor",AU30)&gt;0,CHAR(34)&amp;"histor"&amp;CHAR(34)&amp;",",""),"")</f>
        <v>"histor",</v>
      </c>
      <c r="GG30" s="48" t="str">
        <f t="shared" ref="GG30:GG33" si="280">IF(BU30="y",CHAR(34)&amp;"unjack"&amp;CHAR(34)&amp;",","")</f>
        <v/>
      </c>
      <c r="GH30" s="48" t="str">
        <f t="shared" ref="GH30:GH33" si="281">IF(CD30=1,CHAR(34)&amp;"southc"&amp;CHAR(34)&amp;",","")</f>
        <v/>
      </c>
      <c r="GI30" s="48" t="str">
        <f t="shared" ref="GI30:GI33" si="282">IF(CE30=1,CHAR(34)&amp;"hasmap"&amp;CHAR(34)&amp;",","")</f>
        <v/>
      </c>
      <c r="GJ30" s="48" t="str">
        <f t="shared" ref="GJ30:GJ33" si="283">IF(CP30="y",CHAR(34)&amp;CP$1&amp;CHAR(34)&amp;",","")</f>
        <v/>
      </c>
      <c r="GK30" s="48" t="str">
        <f t="shared" ref="GK30:GK33" si="284">IF(GJ30="",CHAR(34)&amp;"HasSta"&amp;CHAR(34)&amp;",","")</f>
        <v>"HasSta",</v>
      </c>
      <c r="GL30" s="48" t="str">
        <f t="shared" si="198"/>
        <v/>
      </c>
      <c r="GM30" s="48" t="str">
        <f t="shared" si="198"/>
        <v/>
      </c>
      <c r="GN30" s="48" t="str">
        <f t="shared" si="198"/>
        <v>"3+Star",</v>
      </c>
      <c r="GP30" s="48" t="str">
        <f t="shared" ref="GP30:GP33" si="285">CHAR(34)&amp;AU30&amp;CHAR(34)</f>
        <v>"Historical"</v>
      </c>
      <c r="GS30" s="48" t="str">
        <f t="shared" ref="GS30:GS33" si="286">SUBSTITUTE("["&amp;_xlfn.CONCAT(CW30:GN30)&amp;"]",",]","]")</f>
        <v>["3Color","words2","words3","lets14","startE","with_z","LUELHI","year18","NoBand","Diagon","Crosse","Circle","Bird","Plants","Center","Crowns","sta","tcWHYE","NO_RED","NO_GRE","NO_BLA","001WHI","002WHI","003WHI","myrWHI","spanis","histor","HasSta","3+Star"]</v>
      </c>
      <c r="GT30" s="48" t="str">
        <f t="shared" si="199"/>
        <v>"cl_BLU",</v>
      </c>
      <c r="GU30" s="48" t="str">
        <f t="shared" si="199"/>
        <v>"cl_WHI",</v>
      </c>
      <c r="GV30" s="48" t="str">
        <f t="shared" si="199"/>
        <v>"cl_YEL",</v>
      </c>
      <c r="GW30" s="48" t="str">
        <f t="shared" si="199"/>
        <v/>
      </c>
      <c r="GX30" s="48" t="str">
        <f t="shared" si="199"/>
        <v/>
      </c>
      <c r="GY30" s="48" t="str">
        <f t="shared" si="199"/>
        <v/>
      </c>
      <c r="GZ30" s="48" t="str">
        <f t="shared" si="199"/>
        <v/>
      </c>
      <c r="HA30" s="48" t="str">
        <f t="shared" si="199"/>
        <v/>
      </c>
      <c r="HB30" s="48" t="str">
        <f t="shared" si="199"/>
        <v/>
      </c>
      <c r="HC30" s="48" t="str">
        <f t="shared" ref="HC30:HC33" si="287">SUBSTITUTE("["&amp;_xlfn.CONCAT(GT30:HB30)&amp;"]",",]","]")</f>
        <v>["cl_BLU","cl_WHI","cl_YEL"]</v>
      </c>
      <c r="HE30" s="71"/>
      <c r="HF30" s="72" t="str">
        <f t="shared" ref="HF30:HF33" si="288">"{couname:"&amp;CT30&amp;(IF(HK30&lt;&gt;"",",subtype:"&amp;CHAR(34)&amp;HK30&amp;CHAR(34),""))&amp;",year:"&amp;HJ30&amp;",region:"&amp;CU30&amp;",Colors:"&amp;HC30&amp;",Items:"&amp;GS30&amp;",Flag:"&amp;CV30&amp;",HDFlag:"&amp;CHAR(34)&amp;E30&amp;CHAR(34)&amp;",type:"&amp;GP30&amp;", describe: "&amp;HH30&amp;", isnew:"&amp;CHAR(34)&amp;F30&amp;CHAR(34)&amp;", links: "&amp;HL30&amp;"},"</f>
        <v>{couname:"[BRA] Empire of Brazil (1853-1889)",year:"1853",region:"rgn_South America",Colors:["cl_BLU","cl_WHI","cl_YEL"],Items:["3Color","words2","words3","lets14","startE","with_z","LUELHI","year18","NoBand","Diagon","Crosse","Circle","Bird","Plants","Center","Crowns","sta","tcWHYE","NO_RED","NO_GRE","NO_BLA","001WHI","002WHI","003WHI","myrWHI","spanis","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links: "https://en.wikipedia.org/wiki/Flag_of_Brazil#Empire_of_Brazil_(1822%E2%80%931889)"},</v>
      </c>
      <c r="HG30" s="73" t="str">
        <f t="shared" ref="HG30:HG33" si="289">"{couname:"&amp;CT30&amp;(IF(HK30&lt;&gt;"",",subtype:"&amp;CHAR(34)&amp;HK30&amp;CHAR(34),""))&amp;",year:"&amp;HJ30&amp;",region:"&amp;CU30&amp;",Colors:"&amp;HC30&amp;",Items:"&amp;GS30&amp;",Flag:"&amp;CV30&amp;",HDFlag:"&amp;CHAR(34)&amp;E30&amp;CHAR(34)&amp;",type:"&amp;GP30&amp;", describe: "&amp;HI30&amp;", links: "&amp;HL30&amp;"},"</f>
        <v>{couname:"[BRA] Empire of Brazil (1853-1889)",year:"1853",region:"rgn_South America",Colors:["cl_BLU","cl_WHI","cl_YEL"],Items:["3Color","words2","words3","lets14","startE","with_z","LUELHI","year18","NoBand","Diagon","Crosse","Circle","Bird","Plants","Center","Crowns","sta","tcWHYE","NO_RED","NO_GRE","NO_BLA","001WHI","002WHI","003WHI","myrWHI","spanis","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links: "https://en.wikipedia.org/wiki/Flag_of_Brazil#Empire_of_Brazil_(1822%E2%80%931889)"},</v>
      </c>
      <c r="HH30" s="48" t="str">
        <f t="shared" ref="HH30:HH33" si="290">IF(P30&lt;&gt;"",CHAR(34)&amp;"\n"&amp;P30&amp;CHAR(34),CHAR(34)&amp;CHAR(34))</f>
        <v>"\nAfter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v>
      </c>
      <c r="HI30" s="48" t="str">
        <f t="shared" ref="HI30:HI33" si="291">IF(J30=0,CHAR(34)&amp;CHAR(34),HH30)</f>
        <v>"\nAfter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v>
      </c>
      <c r="HJ30" s="48" t="str">
        <f t="shared" ref="HJ30:HJ33" si="292">CHAR(34)&amp;O30&amp;CHAR(34)</f>
        <v>"1853"</v>
      </c>
      <c r="HL30" s="48" t="str">
        <f t="shared" ref="HL30:HL33" si="293">CHAR(34)&amp;I30&amp;CHAR(34)</f>
        <v>"https://en.wikipedia.org/wiki/Flag_of_Brazil#Empire_of_Brazil_(1822%E2%80%931889)"</v>
      </c>
      <c r="HM30" s="72" t="str">
        <f t="shared" ref="HM30:HM33" si="294">"{"&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"&amp;HH30&amp;", "&amp;CHAR(34)&amp;"isnew"&amp;CHAR(34)&amp;": "&amp;CHAR(34)&amp;F30&amp;CHAR(34)&amp;", "&amp;CHAR(34)&amp;"links"&amp;CHAR(34)&amp;": "&amp;HL30&amp;"},"</f>
        <v>{"couname":"[BRA] Empire of Brazil (1853-1889)","subtype":"[BRA] Other","year":"1853","region":"rgn_South America","Colors":["cl_BLU","cl_WHI","cl_YEL"],"Items":["3Color","words2","words3","lets14","startE","with_z","LUELHI","year18","NoBand","Diagon","Crosse","Circle","Bird","Plants","Center","Crowns","sta","tcWHYE","NO_RED","NO_GRE","NO_BLA","001WHI","002WHI","003WHI","myrWHI","spanis","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 "links": "https://en.wikipedia.org/wiki/Flag_of_Brazil#Empire_of_Brazil_(1822%E2%80%931889)"},</v>
      </c>
      <c r="HN30" s="74" t="str">
        <f t="shared" ref="HN30:HN33" si="295">"{"&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"&amp;HI30&amp;", "&amp;CHAR(34)&amp;"isnew"&amp;CHAR(34)&amp;": "&amp;CHAR(34)&amp;F30&amp;CHAR(34)&amp;", "&amp;CHAR(34)&amp;"links"&amp;CHAR(34)&amp;": "&amp;HL30&amp;"},"</f>
        <v>{"couname":"[BRA] Empire of Brazil (1853-1889)","subtype":"[BRA] Other","year":"1853","region":"rgn_South America","Colors":["cl_BLU","cl_WHI","cl_YEL"],"Items":["3Color","words2","words3","lets14","startE","with_z","LUELHI","year18","NoBand","Diagon","Crosse","Circle","Bird","Plants","Center","Crowns","sta","tcWHYE","NO_RED","NO_GRE","NO_BLA","001WHI","002WHI","003WHI","myrWHI","spanis","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 "links": "https://en.wikipedia.org/wiki/Flag_of_Brazil#Empire_of_Brazil_(1822%E2%80%931889)"},</v>
      </c>
      <c r="HO30" s="75"/>
      <c r="HP30" s="48" t="str" cm="1">
        <f t="array" ref="HP30">IF(_xlfn.TEXTJOIN(", ", TRUE, IF(ISNUMBER(SEARCH("BLA", BL30:BT30)), COLUMN(BL30:BT30) - COLUMN(BL30) + 1, ""))&lt;&gt;"","BLA","")</f>
        <v/>
      </c>
      <c r="HQ30" s="48" t="str" cm="1">
        <f t="array" ref="HQ30">IF(_xlfn.TEXTJOIN(", ", TRUE, IF(ISNUMBER(SEARCH("BLU", BL30:BT30)), COLUMN(BL30:BT30) - COLUMN(BL30) + 1, ""))&lt;&gt;"","BLU","")</f>
        <v>BLU</v>
      </c>
      <c r="HR30" s="48" t="str" cm="1">
        <f t="array" ref="HR30">IF(_xlfn.TEXTJOIN(", ", TRUE, IF(ISNUMBER(SEARCH("GRE", BL30:BT30)), COLUMN(BL30:BT30) - COLUMN(BL30) + 1, ""))&lt;&gt;"","GRE","")</f>
        <v/>
      </c>
      <c r="HS30" s="48" t="str" cm="1">
        <f t="array" ref="HS30">IF(_xlfn.TEXTJOIN(", ", TRUE, IF(ISNUMBER(SEARCH("RED", BL30:BT30)), COLUMN(BL30:BT30) - COLUMN(BL30) + 1, ""))&lt;&gt;"","RED","")</f>
        <v/>
      </c>
      <c r="HT30" s="48" t="str" cm="1">
        <f t="array" ref="HT30">IF(_xlfn.TEXTJOIN(", ", TRUE, IF(ISNUMBER(SEARCH("YEL", BL30:BT30)), COLUMN(BL30:BT30) - COLUMN(BL30) + 1, ""))&lt;&gt;"","YEL","")</f>
        <v>YEL</v>
      </c>
      <c r="HU30" s="48" t="str" cm="1">
        <f t="array" ref="HU30">IF(_xlfn.TEXTJOIN(", ", TRUE, IF(ISNUMBER(SEARCH("ORA", BL30:BT30)), COLUMN(BL30:BT30) - COLUMN(BL30) + 1, ""))&lt;&gt;"","ORA","")</f>
        <v/>
      </c>
      <c r="HV30" s="48" t="str" cm="1">
        <f t="array" ref="HV30">IF(_xlfn.TEXTJOIN(", ", TRUE, IF(ISNUMBER(SEARCH("BRO", BL30:BT30)), COLUMN(BL30:BT30) - COLUMN(BL30) + 1, ""))&lt;&gt;"","BRO","")</f>
        <v/>
      </c>
      <c r="HW30" s="48" t="str" cm="1">
        <f t="array" ref="HW30">IF(_xlfn.TEXTJOIN(", ", TRUE, IF(ISNUMBER(SEARCH("PUR", BL30:BT30)), COLUMN(BL30:BT30) - COLUMN(BL30) + 1, ""))&lt;&gt;"","PUR","")</f>
        <v/>
      </c>
      <c r="HX30" s="48" t="str" cm="1">
        <f t="array" ref="HX30">IF(_xlfn.TEXTJOIN(", ", TRUE, IF(ISNUMBER(SEARCH("WHI", BL30:BT30)), COLUMN(BL30:BT30) - COLUMN(BL30) + 1, ""))&lt;&gt;"","WHI","")</f>
        <v>WHI</v>
      </c>
      <c r="HY30" s="76"/>
      <c r="HZ30" s="76"/>
      <c r="IA30" s="6"/>
      <c r="IB30" s="6"/>
      <c r="IC30" s="77"/>
      <c r="ID30" s="77"/>
      <c r="IE30" s="77"/>
      <c r="IF30" s="77"/>
      <c r="IG30" s="77"/>
      <c r="IH30" s="77"/>
      <c r="II30" s="77"/>
      <c r="IJ30" s="77"/>
      <c r="IK30" s="77"/>
      <c r="IL30" s="48">
        <f t="shared" ref="IL30:IL33" si="296">SUM(IC30:IK30)</f>
        <v>0</v>
      </c>
      <c r="IM30" s="45">
        <f t="shared" ref="IM30:IM33" si="297">COUNTIF(IC30:IK30,"&gt;0")-CG30</f>
        <v>-3</v>
      </c>
      <c r="IN30" s="78" t="str">
        <f t="shared" ref="IN30:IN33" si="298">"http://mkweb.bcgsc.ca/color-summarizer/?url="&amp;D30&amp;"&amp;precision=low&amp;num_clusters="&amp;CG30&amp;"&amp;text=1"</f>
        <v>http://mkweb.bcgsc.ca/color-summarizer/?url=https://upload.wikimedia.org/wikipedia/commons/thumb/e/ea/Bandeira_do_Imp%C3%A9rio_do_Brasil_com_n%C3%B3_e_cores_corretos.png/320px-Bandeira_do_Imp%C3%A9rio_do_Brasil_com_n%C3%B3_e_cores_corretos.png&amp;precision=low&amp;num_clusters=3&amp;text=1</v>
      </c>
      <c r="IO30" s="48" t="str">
        <f t="shared" ref="IO30:IO33" si="299">IF(HP30&lt;&gt;"",CHAR(34)&amp;"black"&amp;CHAR(34),"")</f>
        <v/>
      </c>
      <c r="IP30" s="48" t="str">
        <f t="shared" ref="IP30:IP33" si="300">IF(HQ30&lt;&gt;"",CHAR(34)&amp;"blue"&amp;CHAR(34),"")</f>
        <v>"blue"</v>
      </c>
      <c r="IQ30" s="48" t="str">
        <f t="shared" ref="IQ30:IQ33" si="301">IF(HR30&lt;&gt;"",CHAR(34)&amp;"green"&amp;CHAR(34),"")</f>
        <v/>
      </c>
      <c r="IR30" s="48" t="str">
        <f t="shared" ref="IR30:IR33" si="302">IF(HS30&lt;&gt;"",CHAR(34)&amp;"red"&amp;CHAR(34),"")</f>
        <v/>
      </c>
      <c r="IS30" s="48" t="str">
        <f t="shared" ref="IS30:IS33" si="303">IF(HT30&lt;&gt;"",CHAR(34)&amp;"yellow"&amp;CHAR(34),"")</f>
        <v>"yellow"</v>
      </c>
      <c r="IT30" s="48" t="str">
        <f t="shared" ref="IT30:IT33" si="304">IF(HU30&lt;&gt;"",CHAR(34)&amp;"orange"&amp;CHAR(34),"")</f>
        <v/>
      </c>
      <c r="IU30" s="48" t="str">
        <f t="shared" ref="IU30:IU33" si="305">IF(HV30&lt;&gt;"",CHAR(34)&amp;"brown"&amp;CHAR(34),"")</f>
        <v/>
      </c>
      <c r="IV30" s="48" t="str">
        <f t="shared" ref="IV30:IV33" si="306">IF(HW30&lt;&gt;"",CHAR(34)&amp;"purple"&amp;CHAR(34),"")</f>
        <v/>
      </c>
      <c r="IW30" s="48" t="str">
        <f t="shared" ref="IW30:IW33" si="307">IF(HX30&lt;&gt;"",CHAR(34)&amp;"white"&amp;CHAR(34),"")</f>
        <v>"white"</v>
      </c>
      <c r="IX30" s="48" t="str">
        <f t="shared" ref="IX30:IX33" si="308">"{"&amp;CHAR(34)&amp;"url"&amp;CHAR(34)&amp;":"&amp;CHAR(34)&amp;IN30&amp;CHAR(34)&amp;","&amp;CHAR(34)&amp;"name"&amp;CHAR(34)&amp;":"&amp;CHAR(34)&amp;A30&amp;CHAR(34)&amp;"},"</f>
        <v>{"url":"http://mkweb.bcgsc.ca/color-summarizer/?url=https://upload.wikimedia.org/wikipedia/commons/thumb/e/ea/Bandeira_do_Imp%C3%A9rio_do_Brasil_com_n%C3%B3_e_cores_corretos.png/320px-Bandeira_do_Imp%C3%A9rio_do_Brasil_com_n%C3%B3_e_cores_corretos.png&amp;precision=low&amp;num_clusters=3&amp;text=1","name":"[BRA] Empire of Brazil (1853-1889)"},</v>
      </c>
      <c r="IY30" s="48">
        <v>233</v>
      </c>
    </row>
    <row r="31" spans="1:259" s="48" customFormat="1" ht="38.4" customHeight="1" thickBot="1" x14ac:dyDescent="0.35">
      <c r="A31" s="81" t="s">
        <v>835</v>
      </c>
      <c r="B31" s="40" t="e" vm="53">
        <v>#VALUE!</v>
      </c>
      <c r="C31" s="41">
        <v>3</v>
      </c>
      <c r="D31" s="42" t="s">
        <v>836</v>
      </c>
      <c r="E31" s="43" t="s">
        <v>837</v>
      </c>
      <c r="F31" s="44" t="s">
        <v>166</v>
      </c>
      <c r="G31" s="45">
        <f>COUNTIF($A$1:$A$8312,A31)</f>
        <v>1</v>
      </c>
      <c r="H31" s="46" t="s">
        <v>470</v>
      </c>
      <c r="I31" s="47" t="s">
        <v>838</v>
      </c>
      <c r="J31" s="48" t="str">
        <f>""</f>
        <v/>
      </c>
      <c r="K31" s="49"/>
      <c r="L31" s="50"/>
      <c r="M31" s="50"/>
      <c r="N31" s="51" t="s">
        <v>169</v>
      </c>
      <c r="O31" s="52" t="s">
        <v>557</v>
      </c>
      <c r="P31" s="53" t="s">
        <v>839</v>
      </c>
      <c r="Q31" s="54">
        <v>2</v>
      </c>
      <c r="R31" s="55" t="s">
        <v>169</v>
      </c>
      <c r="S31" s="56">
        <v>14</v>
      </c>
      <c r="T31" s="57" t="s">
        <v>172</v>
      </c>
      <c r="U31" s="58" t="s">
        <v>172</v>
      </c>
      <c r="V31" s="58" t="s">
        <v>173</v>
      </c>
      <c r="W31" s="58" t="s">
        <v>173</v>
      </c>
      <c r="X31" s="58" t="s">
        <v>172</v>
      </c>
      <c r="Y31" s="58" t="s">
        <v>172</v>
      </c>
      <c r="Z31" s="58" t="s">
        <v>172</v>
      </c>
      <c r="AA31" s="58" t="s">
        <v>172</v>
      </c>
      <c r="AB31" s="58" t="s">
        <v>172</v>
      </c>
      <c r="AC31" s="58" t="s">
        <v>172</v>
      </c>
      <c r="AD31" s="58" t="s">
        <v>172</v>
      </c>
      <c r="AE31" s="58" t="s">
        <v>172</v>
      </c>
      <c r="AF31" s="59" t="s">
        <v>172</v>
      </c>
      <c r="AG31" s="59" t="s">
        <v>172</v>
      </c>
      <c r="AH31" s="59" t="s">
        <v>173</v>
      </c>
      <c r="AI31" s="59" t="s">
        <v>172</v>
      </c>
      <c r="AJ31" s="59" t="s">
        <v>172</v>
      </c>
      <c r="AK31" s="59" t="s">
        <v>172</v>
      </c>
      <c r="AL31" s="59" t="s">
        <v>172</v>
      </c>
      <c r="AM31" s="59" t="s">
        <v>172</v>
      </c>
      <c r="AN31" s="59" t="s">
        <v>172</v>
      </c>
      <c r="AO31" s="59" t="s">
        <v>173</v>
      </c>
      <c r="AP31" s="59" t="s">
        <v>172</v>
      </c>
      <c r="AQ31" s="59" t="s">
        <v>172</v>
      </c>
      <c r="AR31" s="59" t="s">
        <v>172</v>
      </c>
      <c r="AS31" s="59" t="s">
        <v>172</v>
      </c>
      <c r="AT31" s="60">
        <v>0</v>
      </c>
      <c r="AU31" s="59" t="s">
        <v>840</v>
      </c>
      <c r="AV31" s="59" t="str">
        <f>IF(LEFT(A31,1)="[",LEFT(A31,5)&amp;AU31&amp;A31,"")</f>
        <v>[BRA]City, State Capital[BRA] Joao Pessoa</v>
      </c>
      <c r="AW31" s="59" t="str">
        <f>C31&amp;H31&amp;A31</f>
        <v>3[BRA] Paraiba[BRA] Joao Pessoa</v>
      </c>
      <c r="AX31" s="61"/>
      <c r="AY31" s="61"/>
      <c r="AZ31" s="62" t="s">
        <v>174</v>
      </c>
      <c r="BA31" s="62"/>
      <c r="BB31" s="62"/>
      <c r="BC31" s="63"/>
      <c r="BD31" s="64" t="s">
        <v>152</v>
      </c>
      <c r="BE31" s="47"/>
      <c r="BF31" s="64" t="s">
        <v>152</v>
      </c>
      <c r="BG31" s="64" t="s">
        <v>159</v>
      </c>
      <c r="BH31" s="64" t="s">
        <v>152</v>
      </c>
      <c r="BI31" s="64" t="s">
        <v>154</v>
      </c>
      <c r="BJ31" s="64"/>
      <c r="BK31" s="47"/>
      <c r="BL31" s="64" t="s">
        <v>174</v>
      </c>
      <c r="BM31" s="64" t="s">
        <v>152</v>
      </c>
      <c r="BN31" s="64" t="s">
        <v>174</v>
      </c>
      <c r="BO31" s="64" t="s">
        <v>154</v>
      </c>
      <c r="BP31" s="64" t="s">
        <v>174</v>
      </c>
      <c r="BQ31" s="64" t="s">
        <v>174</v>
      </c>
      <c r="BR31" s="64" t="s">
        <v>174</v>
      </c>
      <c r="BS31" s="64" t="s">
        <v>174</v>
      </c>
      <c r="BT31" s="64" t="s">
        <v>159</v>
      </c>
      <c r="BU31" s="65"/>
      <c r="BV31" s="66"/>
      <c r="BW31" s="66">
        <v>0</v>
      </c>
      <c r="BX31" s="47"/>
      <c r="BY31" s="48" t="s">
        <v>173</v>
      </c>
      <c r="CB31" s="6"/>
      <c r="CC31" s="6"/>
      <c r="CD31" s="67">
        <v>0</v>
      </c>
      <c r="CE31" s="67">
        <v>0</v>
      </c>
      <c r="CF31" s="67" t="e">
        <v>#REF!</v>
      </c>
      <c r="CG31" s="68" cm="1">
        <f t="array" ref="CG31">SUMPRODUCT(--(LEN(TRIM(BL31:BT31))&gt;0))</f>
        <v>3</v>
      </c>
      <c r="CH31" s="59" t="str">
        <f t="shared" si="211"/>
        <v>n</v>
      </c>
      <c r="CI31" s="59" t="str">
        <f t="shared" si="212"/>
        <v>y</v>
      </c>
      <c r="CJ31" s="59" t="str">
        <f t="shared" si="213"/>
        <v>n</v>
      </c>
      <c r="CK31" s="59" t="str">
        <f t="shared" si="214"/>
        <v>n</v>
      </c>
      <c r="CL31" s="59" t="str">
        <f t="shared" si="215"/>
        <v>n</v>
      </c>
      <c r="CM31" s="59" t="str">
        <f t="shared" si="216"/>
        <v>n</v>
      </c>
      <c r="CN31" s="59" t="str">
        <f t="shared" si="217"/>
        <v>n</v>
      </c>
      <c r="CO31" s="59" t="str">
        <f t="shared" si="218"/>
        <v>y</v>
      </c>
      <c r="CP31" s="59" t="str">
        <f t="shared" si="219"/>
        <v>y</v>
      </c>
      <c r="CQ31" s="59" t="str">
        <f t="shared" si="220"/>
        <v>n</v>
      </c>
      <c r="CR31" s="59" t="str">
        <f t="shared" si="221"/>
        <v>n</v>
      </c>
      <c r="CS31" s="59" t="str">
        <f t="shared" si="222"/>
        <v>n</v>
      </c>
      <c r="CT31" s="69" t="str">
        <f t="shared" si="223"/>
        <v>"[BRA] Joao Pessoa"</v>
      </c>
      <c r="CU31" s="70" t="str">
        <f t="shared" si="224"/>
        <v>"rgn_South America"</v>
      </c>
      <c r="CV31" s="48" t="str">
        <f t="shared" si="225"/>
        <v>"https://upload.wikimedia.org/wikipedia/commons/thumb/d/d9/Bandeira_de_Jo%C3%A3o_Pessoa.svg/640px-Bandeira_de_Jo%C3%A3o_Pessoa.svg.png"</v>
      </c>
      <c r="CW31" s="48" t="str">
        <f t="shared" si="195"/>
        <v/>
      </c>
      <c r="CX31" s="48" t="str">
        <f t="shared" si="195"/>
        <v>"3Color",</v>
      </c>
      <c r="CY31" s="48" t="str">
        <f t="shared" si="195"/>
        <v/>
      </c>
      <c r="CZ31" s="48" t="str">
        <f t="shared" si="195"/>
        <v/>
      </c>
      <c r="DA31" s="48" t="str">
        <f t="shared" si="226"/>
        <v>"words2",</v>
      </c>
      <c r="DB31" s="48" t="str">
        <f t="shared" si="227"/>
        <v/>
      </c>
      <c r="DC31" s="48" t="str">
        <f t="shared" si="228"/>
        <v>"exact2",</v>
      </c>
      <c r="DD31" s="48" t="str">
        <f t="shared" si="229"/>
        <v>"lets10",</v>
      </c>
      <c r="DE31" s="48" t="str">
        <f t="shared" si="230"/>
        <v>"startJ",</v>
      </c>
      <c r="DF31" s="48" t="str">
        <f t="shared" si="231"/>
        <v/>
      </c>
      <c r="DG31" s="48" t="str">
        <f t="shared" si="232"/>
        <v/>
      </c>
      <c r="DH31" s="48" t="str">
        <f t="shared" si="233"/>
        <v/>
      </c>
      <c r="DI31" s="48" t="str">
        <f t="shared" si="234"/>
        <v/>
      </c>
      <c r="DJ31" s="48" t="str">
        <f t="shared" si="235"/>
        <v/>
      </c>
      <c r="DK31" s="48" t="str">
        <f t="shared" si="236"/>
        <v/>
      </c>
      <c r="DL31" s="48" t="str">
        <f t="shared" si="237"/>
        <v/>
      </c>
      <c r="DM31" s="48" t="str" cm="1">
        <f t="array" ref="DM31">IF(CG31=3,CHAR(34) &amp; _xlfn.TEXTJOIN("", TRUE, RIGHT(HP31:HX31, 2)) &amp; CHAR(34) &amp; ",", "")</f>
        <v>"LUEDHI",</v>
      </c>
      <c r="DN31" s="48" t="str">
        <f t="shared" si="238"/>
        <v/>
      </c>
      <c r="DO31" s="48" t="str">
        <f t="shared" si="239"/>
        <v/>
      </c>
      <c r="DP31" s="6" t="str">
        <f t="shared" si="240"/>
        <v/>
      </c>
      <c r="DQ31" s="6" t="str">
        <f t="shared" si="241"/>
        <v/>
      </c>
      <c r="DR31" s="6" t="str">
        <f t="shared" si="242"/>
        <v>"dgband",</v>
      </c>
      <c r="DS31" s="6" t="str">
        <f t="shared" si="243"/>
        <v/>
      </c>
      <c r="DT31" s="6" t="str">
        <f t="shared" si="244"/>
        <v/>
      </c>
      <c r="DU31" s="6" t="str">
        <f t="shared" si="245"/>
        <v/>
      </c>
      <c r="DV31" s="48" t="str">
        <f t="shared" si="246"/>
        <v/>
      </c>
      <c r="DW31" s="48" t="str">
        <f t="shared" si="196"/>
        <v/>
      </c>
      <c r="DX31" s="48" t="str">
        <f t="shared" si="196"/>
        <v/>
      </c>
      <c r="DY31" s="48" t="str">
        <f t="shared" si="196"/>
        <v/>
      </c>
      <c r="DZ31" s="48" t="str">
        <f t="shared" si="196"/>
        <v>"4+Band",</v>
      </c>
      <c r="EA31" s="48" t="str">
        <f t="shared" si="197"/>
        <v/>
      </c>
      <c r="EB31" s="48" t="str">
        <f t="shared" si="197"/>
        <v/>
      </c>
      <c r="EC31" s="48" t="str">
        <f t="shared" si="197"/>
        <v>"Horizo",</v>
      </c>
      <c r="ED31" s="48" t="str">
        <f t="shared" si="197"/>
        <v>"Vertic",</v>
      </c>
      <c r="EE31" s="48" t="str">
        <f t="shared" si="197"/>
        <v/>
      </c>
      <c r="EF31" s="48" t="str">
        <f t="shared" si="247"/>
        <v/>
      </c>
      <c r="EG31" s="48" t="str">
        <f t="shared" ref="EG31:EV33" si="309">IF(Z31="y",CHAR(34)&amp;Z$1&amp;CHAR(34)&amp;",","")</f>
        <v/>
      </c>
      <c r="EH31" s="48" t="str">
        <f t="shared" si="309"/>
        <v/>
      </c>
      <c r="EI31" s="48" t="str">
        <f t="shared" si="309"/>
        <v/>
      </c>
      <c r="EJ31" s="48" t="str">
        <f t="shared" si="309"/>
        <v/>
      </c>
      <c r="EK31" s="48" t="str">
        <f t="shared" si="309"/>
        <v/>
      </c>
      <c r="EL31" s="48" t="str">
        <f t="shared" si="309"/>
        <v/>
      </c>
      <c r="EM31" s="48" t="str">
        <f t="shared" si="309"/>
        <v/>
      </c>
      <c r="EN31" s="48" t="str">
        <f t="shared" si="309"/>
        <v/>
      </c>
      <c r="EO31" s="48" t="str">
        <f t="shared" si="309"/>
        <v>"Center",</v>
      </c>
      <c r="EP31" s="48" t="str">
        <f t="shared" si="309"/>
        <v/>
      </c>
      <c r="EQ31" s="48" t="str">
        <f t="shared" si="309"/>
        <v/>
      </c>
      <c r="ER31" s="48" t="str">
        <f t="shared" si="309"/>
        <v/>
      </c>
      <c r="ES31" s="48" t="str">
        <f t="shared" si="309"/>
        <v/>
      </c>
      <c r="ET31" s="48" t="str">
        <f t="shared" si="309"/>
        <v/>
      </c>
      <c r="EU31" s="48" t="str">
        <f t="shared" si="309"/>
        <v/>
      </c>
      <c r="EV31" s="48" t="str">
        <f t="shared" si="309"/>
        <v>"Builds",</v>
      </c>
      <c r="EW31" s="48" t="str">
        <f t="shared" si="248"/>
        <v/>
      </c>
      <c r="EX31" s="48" t="str">
        <f t="shared" si="248"/>
        <v/>
      </c>
      <c r="EY31" s="48" t="str">
        <f t="shared" si="248"/>
        <v/>
      </c>
      <c r="EZ31" s="48" t="str">
        <f t="shared" si="248"/>
        <v/>
      </c>
      <c r="FA31" s="48" t="str">
        <f t="shared" si="249"/>
        <v/>
      </c>
      <c r="FB31" s="48" t="str">
        <f t="shared" si="250"/>
        <v/>
      </c>
      <c r="FC31" s="48" t="str">
        <f t="shared" si="251"/>
        <v/>
      </c>
      <c r="FD31" s="48" t="str">
        <f t="shared" si="252"/>
        <v/>
      </c>
      <c r="FE31" s="48" t="str">
        <f t="shared" si="253"/>
        <v/>
      </c>
      <c r="FF31" s="48" t="str">
        <f t="shared" si="254"/>
        <v/>
      </c>
      <c r="FG31" s="48" t="str">
        <f t="shared" si="255"/>
        <v/>
      </c>
      <c r="FH31" s="48" t="str">
        <f t="shared" si="256"/>
        <v>"NO_GRE",</v>
      </c>
      <c r="FI31" s="48" t="str">
        <f t="shared" si="257"/>
        <v>"NO_YEL",</v>
      </c>
      <c r="FJ31" s="48" t="str">
        <f t="shared" si="258"/>
        <v>"NO_BLA",</v>
      </c>
      <c r="FK31" s="48" t="str">
        <f t="shared" si="259"/>
        <v/>
      </c>
      <c r="FL31" s="48" t="str">
        <f t="shared" si="260"/>
        <v/>
      </c>
      <c r="FM31" s="48" t="str">
        <f t="shared" si="261"/>
        <v/>
      </c>
      <c r="FN31" s="48" t="str">
        <f t="shared" si="262"/>
        <v/>
      </c>
      <c r="FO31" s="48" t="str">
        <f t="shared" si="263"/>
        <v/>
      </c>
      <c r="FP31" s="48" t="str">
        <f t="shared" si="264"/>
        <v/>
      </c>
      <c r="FQ31" s="48" t="str">
        <f t="shared" si="265"/>
        <v>"001BLU",</v>
      </c>
      <c r="FR31" s="48" t="str">
        <f t="shared" si="266"/>
        <v>"002WHI",</v>
      </c>
      <c r="FS31" s="48" t="str">
        <f t="shared" si="267"/>
        <v>"003BLU",</v>
      </c>
      <c r="FT31" s="48" t="str">
        <f t="shared" si="268"/>
        <v>"myrBLU",</v>
      </c>
      <c r="FU31" s="48" t="str">
        <f t="shared" si="269"/>
        <v/>
      </c>
      <c r="FV31" s="48" t="str">
        <f t="shared" si="270"/>
        <v/>
      </c>
      <c r="FW31" s="48" t="str">
        <f t="shared" si="271"/>
        <v/>
      </c>
      <c r="FX31" s="48" t="str">
        <f t="shared" si="272"/>
        <v/>
      </c>
      <c r="FY31" s="48" t="str">
        <f t="shared" si="273"/>
        <v/>
      </c>
      <c r="FZ31" s="48" t="str">
        <f t="shared" si="274"/>
        <v/>
      </c>
      <c r="GA31" s="48" t="str">
        <f t="shared" si="275"/>
        <v/>
      </c>
      <c r="GB31" s="48" t="str">
        <f t="shared" si="276"/>
        <v/>
      </c>
      <c r="GC31" s="48" t="str">
        <f t="shared" si="277"/>
        <v/>
      </c>
      <c r="GD31" s="48" t="str">
        <f t="shared" si="278"/>
        <v/>
      </c>
      <c r="GE31" s="48" t="str">
        <f t="shared" si="279"/>
        <v/>
      </c>
      <c r="GF31" s="48" t="str">
        <f t="shared" ref="GF31:GF33" si="310">IFERROR(IF(SEARCH("Historical",AU31)&gt;0,CHAR(34)&amp;"histor"&amp;CHAR(34)&amp;",",""),"")</f>
        <v/>
      </c>
      <c r="GG31" s="48" t="str">
        <f t="shared" si="280"/>
        <v/>
      </c>
      <c r="GH31" s="48" t="str">
        <f t="shared" si="281"/>
        <v/>
      </c>
      <c r="GI31" s="48" t="str">
        <f t="shared" si="282"/>
        <v/>
      </c>
      <c r="GJ31" s="48" t="str">
        <f t="shared" si="283"/>
        <v>"NoStar",</v>
      </c>
      <c r="GK31" s="48" t="str">
        <f t="shared" si="284"/>
        <v/>
      </c>
      <c r="GL31" s="48" t="str">
        <f t="shared" si="198"/>
        <v/>
      </c>
      <c r="GM31" s="48" t="str">
        <f t="shared" si="198"/>
        <v/>
      </c>
      <c r="GN31" s="48" t="str">
        <f t="shared" si="198"/>
        <v/>
      </c>
      <c r="GP31" s="48" t="str">
        <f t="shared" si="285"/>
        <v>"City, State Capital"</v>
      </c>
      <c r="GS31" s="48" t="str">
        <f t="shared" si="286"/>
        <v>["3Color","words2","exact2","lets10","startJ","LUEDHI","dgband","4+Band","Horizo","Vertic","Center","Builds","NO_GRE","NO_YEL","NO_BLA","001BLU","002WHI","003BLU","myrBLU","NoStar"]</v>
      </c>
      <c r="GT31" s="48" t="str">
        <f t="shared" si="199"/>
        <v/>
      </c>
      <c r="GU31" s="48" t="str">
        <f t="shared" si="199"/>
        <v>"cl_BLU",</v>
      </c>
      <c r="GV31" s="48" t="str">
        <f t="shared" si="199"/>
        <v/>
      </c>
      <c r="GW31" s="48" t="str">
        <f t="shared" si="199"/>
        <v>"cl_RED",</v>
      </c>
      <c r="GX31" s="48" t="str">
        <f t="shared" si="199"/>
        <v/>
      </c>
      <c r="GY31" s="48" t="str">
        <f t="shared" si="199"/>
        <v/>
      </c>
      <c r="GZ31" s="48" t="str">
        <f t="shared" si="199"/>
        <v/>
      </c>
      <c r="HA31" s="48" t="str">
        <f t="shared" si="199"/>
        <v/>
      </c>
      <c r="HB31" s="48" t="str">
        <f t="shared" si="199"/>
        <v>"cl_WHI",</v>
      </c>
      <c r="HC31" s="48" t="str">
        <f t="shared" si="287"/>
        <v>["cl_BLU","cl_RED","cl_WHI"]</v>
      </c>
      <c r="HE31" s="71"/>
      <c r="HF31" s="72" t="str">
        <f t="shared" si="288"/>
        <v>{couname:"[BRA] Joao Pessoa",year:"???",region:"rgn_South America",Colors:["cl_BLU","cl_RED","cl_WHI"],Items:["3Color","words2","exact2","lets10","startJ","LUEDHI","dgband","4+Band","Horizo","Vertic","Center","Builds","NO_GRE","NO_YEL","NO_BLA","001BLU","002WHI","003BLU","myrBLU","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links: "https://en.m.wikipedia.org/wiki/Jo%C3%A3o_Pessoa,_Para%C3%ADba"},</v>
      </c>
      <c r="HG31" s="73" t="str">
        <f t="shared" si="289"/>
        <v>{couname:"[BRA] Joao Pessoa",year:"???",region:"rgn_South America",Colors:["cl_BLU","cl_RED","cl_WHI"],Items:["3Color","words2","exact2","lets10","startJ","LUEDHI","dgband","4+Band","Horizo","Vertic","Center","Builds","NO_GRE","NO_YEL","NO_BLA","001BLU","002WHI","003BLU","myrBLU","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links: "https://en.m.wikipedia.org/wiki/Jo%C3%A3o_Pessoa,_Para%C3%ADba"},</v>
      </c>
      <c r="HH31" s="48" t="str">
        <f t="shared" si="290"/>
        <v>"\nSeven horizontal bands alternating white and red with black bands between each white and red band. In the center a vertical black band with three castles."</v>
      </c>
      <c r="HI31" s="48" t="str">
        <f t="shared" si="291"/>
        <v>"\nSeven horizontal bands alternating white and red with black bands between each white and red band. In the center a vertical black band with three castles."</v>
      </c>
      <c r="HJ31" s="48" t="str">
        <f t="shared" si="292"/>
        <v>"???"</v>
      </c>
      <c r="HL31" s="48" t="str">
        <f t="shared" si="293"/>
        <v>"https://en.m.wikipedia.org/wiki/Jo%C3%A3o_Pessoa,_Para%C3%ADba"</v>
      </c>
      <c r="HM31" s="72" t="str">
        <f t="shared" si="294"/>
        <v>{"couname":"[BRA] Joao Pessoa","subtype":"[BRA] Paraiba","year":"???","region":"rgn_South America","Colors":["cl_BLU","cl_RED","cl_WHI"],"Items":["3Color","words2","exact2","lets10","startJ","LUEDHI","dgband","4+Band","Horizo","Vertic","Center","Builds","NO_GRE","NO_YEL","NO_BLA","001BLU","002WHI","003BLU","myrBLU","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 "links": "https://en.m.wikipedia.org/wiki/Jo%C3%A3o_Pessoa,_Para%C3%ADba"},</v>
      </c>
      <c r="HN31" s="74" t="str">
        <f t="shared" si="295"/>
        <v>{"couname":"[BRA] Joao Pessoa","subtype":"[BRA] Paraiba","year":"???","region":"rgn_South America","Colors":["cl_BLU","cl_RED","cl_WHI"],"Items":["3Color","words2","exact2","lets10","startJ","LUEDHI","dgband","4+Band","Horizo","Vertic","Center","Builds","NO_GRE","NO_YEL","NO_BLA","001BLU","002WHI","003BLU","myrBLU","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 "links": "https://en.m.wikipedia.org/wiki/Jo%C3%A3o_Pessoa,_Para%C3%ADba"},</v>
      </c>
      <c r="HO31" s="75">
        <v>45576</v>
      </c>
      <c r="HP31" s="48" t="str" cm="1">
        <f t="array" ref="HP31">IF(_xlfn.TEXTJOIN(", ", TRUE, IF(ISNUMBER(SEARCH("BLA", BL31:BT31)), COLUMN(BL31:BT31) - COLUMN(BL31) + 1, ""))&lt;&gt;"","BLA","")</f>
        <v/>
      </c>
      <c r="HQ31" s="48" t="str" cm="1">
        <f t="array" ref="HQ31">IF(_xlfn.TEXTJOIN(", ", TRUE, IF(ISNUMBER(SEARCH("BLU", BL31:BT31)), COLUMN(BL31:BT31) - COLUMN(BL31) + 1, ""))&lt;&gt;"","BLU","")</f>
        <v>BLU</v>
      </c>
      <c r="HR31" s="48" t="str" cm="1">
        <f t="array" ref="HR31">IF(_xlfn.TEXTJOIN(", ", TRUE, IF(ISNUMBER(SEARCH("GRE", BL31:BT31)), COLUMN(BL31:BT31) - COLUMN(BL31) + 1, ""))&lt;&gt;"","GRE","")</f>
        <v/>
      </c>
      <c r="HS31" s="48" t="str" cm="1">
        <f t="array" ref="HS31">IF(_xlfn.TEXTJOIN(", ", TRUE, IF(ISNUMBER(SEARCH("RED", BL31:BT31)), COLUMN(BL31:BT31) - COLUMN(BL31) + 1, ""))&lt;&gt;"","RED","")</f>
        <v>RED</v>
      </c>
      <c r="HT31" s="48" t="str" cm="1">
        <f t="array" ref="HT31">IF(_xlfn.TEXTJOIN(", ", TRUE, IF(ISNUMBER(SEARCH("YEL", BL31:BT31)), COLUMN(BL31:BT31) - COLUMN(BL31) + 1, ""))&lt;&gt;"","YEL","")</f>
        <v/>
      </c>
      <c r="HU31" s="48" t="str" cm="1">
        <f t="array" ref="HU31">IF(_xlfn.TEXTJOIN(", ", TRUE, IF(ISNUMBER(SEARCH("ORA", BL31:BT31)), COLUMN(BL31:BT31) - COLUMN(BL31) + 1, ""))&lt;&gt;"","ORA","")</f>
        <v/>
      </c>
      <c r="HV31" s="48" t="str" cm="1">
        <f t="array" ref="HV31">IF(_xlfn.TEXTJOIN(", ", TRUE, IF(ISNUMBER(SEARCH("BRO", BL31:BT31)), COLUMN(BL31:BT31) - COLUMN(BL31) + 1, ""))&lt;&gt;"","BRO","")</f>
        <v/>
      </c>
      <c r="HW31" s="48" t="str" cm="1">
        <f t="array" ref="HW31">IF(_xlfn.TEXTJOIN(", ", TRUE, IF(ISNUMBER(SEARCH("PUR", BL31:BT31)), COLUMN(BL31:BT31) - COLUMN(BL31) + 1, ""))&lt;&gt;"","PUR","")</f>
        <v/>
      </c>
      <c r="HX31" s="48" t="str" cm="1">
        <f t="array" ref="HX31">IF(_xlfn.TEXTJOIN(", ", TRUE, IF(ISNUMBER(SEARCH("WHI", BL31:BT31)), COLUMN(BL31:BT31) - COLUMN(BL31) + 1, ""))&lt;&gt;"","WHI","")</f>
        <v>WHI</v>
      </c>
      <c r="HY31" s="76"/>
      <c r="HZ31" s="76"/>
      <c r="IA31" s="6"/>
      <c r="IB31" s="6"/>
      <c r="IC31" s="77"/>
      <c r="ID31" s="77"/>
      <c r="IE31" s="77"/>
      <c r="IF31" s="77"/>
      <c r="IG31" s="77"/>
      <c r="IH31" s="77"/>
      <c r="II31" s="77"/>
      <c r="IJ31" s="77"/>
      <c r="IK31" s="77"/>
      <c r="IL31" s="48">
        <f t="shared" si="296"/>
        <v>0</v>
      </c>
      <c r="IM31" s="45">
        <f t="shared" si="297"/>
        <v>-3</v>
      </c>
      <c r="IN31" s="78" t="str">
        <f t="shared" si="298"/>
        <v>http://mkweb.bcgsc.ca/color-summarizer/?url=https://upload.wikimedia.org/wikipedia/commons/thumb/d/d9/Bandeira_de_Jo%C3%A3o_Pessoa.svg/640px-Bandeira_de_Jo%C3%A3o_Pessoa.svg.png&amp;precision=low&amp;num_clusters=3&amp;text=1</v>
      </c>
      <c r="IO31" s="48" t="str">
        <f t="shared" si="299"/>
        <v/>
      </c>
      <c r="IP31" s="48" t="str">
        <f t="shared" si="300"/>
        <v>"blue"</v>
      </c>
      <c r="IQ31" s="48" t="str">
        <f t="shared" si="301"/>
        <v/>
      </c>
      <c r="IR31" s="48" t="str">
        <f t="shared" si="302"/>
        <v>"red"</v>
      </c>
      <c r="IS31" s="48" t="str">
        <f t="shared" si="303"/>
        <v/>
      </c>
      <c r="IT31" s="48" t="str">
        <f t="shared" si="304"/>
        <v/>
      </c>
      <c r="IU31" s="48" t="str">
        <f t="shared" si="305"/>
        <v/>
      </c>
      <c r="IV31" s="48" t="str">
        <f t="shared" si="306"/>
        <v/>
      </c>
      <c r="IW31" s="48" t="str">
        <f t="shared" si="307"/>
        <v>"white"</v>
      </c>
      <c r="IX31" s="48" t="str">
        <f t="shared" si="308"/>
        <v>{"url":"http://mkweb.bcgsc.ca/color-summarizer/?url=https://upload.wikimedia.org/wikipedia/commons/thumb/d/d9/Bandeira_de_Jo%C3%A3o_Pessoa.svg/640px-Bandeira_de_Jo%C3%A3o_Pessoa.svg.png&amp;precision=low&amp;num_clusters=3&amp;text=1","name":"[BRA] Joao Pessoa"},</v>
      </c>
      <c r="IY31" s="48">
        <v>843</v>
      </c>
    </row>
    <row r="32" spans="1:259" s="48" customFormat="1" ht="38.4" customHeight="1" thickBot="1" x14ac:dyDescent="0.35">
      <c r="A32" s="81" t="s">
        <v>841</v>
      </c>
      <c r="B32" s="40" t="e" vm="54">
        <v>#VALUE!</v>
      </c>
      <c r="C32" s="41">
        <v>3</v>
      </c>
      <c r="D32" s="42" t="s">
        <v>842</v>
      </c>
      <c r="E32" s="43" t="s">
        <v>843</v>
      </c>
      <c r="F32" s="44" t="s">
        <v>166</v>
      </c>
      <c r="G32" s="45">
        <f>COUNTIF($A$1:$A$8312,A32)</f>
        <v>1</v>
      </c>
      <c r="H32" s="46" t="s">
        <v>494</v>
      </c>
      <c r="I32" s="47" t="s">
        <v>844</v>
      </c>
      <c r="J32" s="48" t="str">
        <f>""</f>
        <v/>
      </c>
      <c r="K32" s="49"/>
      <c r="L32" s="50"/>
      <c r="M32" s="50"/>
      <c r="N32" s="51" t="s">
        <v>169</v>
      </c>
      <c r="O32" s="52">
        <v>1908</v>
      </c>
      <c r="P32" s="53" t="s">
        <v>845</v>
      </c>
      <c r="Q32" s="54">
        <v>4</v>
      </c>
      <c r="R32" s="55" t="s">
        <v>169</v>
      </c>
      <c r="S32" s="56">
        <v>2</v>
      </c>
      <c r="T32" s="57" t="s">
        <v>173</v>
      </c>
      <c r="U32" s="58" t="s">
        <v>173</v>
      </c>
      <c r="V32" s="58" t="s">
        <v>172</v>
      </c>
      <c r="W32" s="58" t="s">
        <v>172</v>
      </c>
      <c r="X32" s="58" t="s">
        <v>173</v>
      </c>
      <c r="Y32" s="58" t="s">
        <v>173</v>
      </c>
      <c r="Z32" s="58" t="s">
        <v>172</v>
      </c>
      <c r="AA32" s="58" t="s">
        <v>172</v>
      </c>
      <c r="AB32" s="58" t="s">
        <v>172</v>
      </c>
      <c r="AC32" s="58" t="s">
        <v>173</v>
      </c>
      <c r="AD32" s="58" t="s">
        <v>172</v>
      </c>
      <c r="AE32" s="58" t="s">
        <v>172</v>
      </c>
      <c r="AF32" s="59" t="s">
        <v>172</v>
      </c>
      <c r="AG32" s="59" t="s">
        <v>173</v>
      </c>
      <c r="AH32" s="59" t="s">
        <v>173</v>
      </c>
      <c r="AI32" s="59" t="s">
        <v>172</v>
      </c>
      <c r="AJ32" s="59" t="s">
        <v>172</v>
      </c>
      <c r="AK32" s="59" t="s">
        <v>172</v>
      </c>
      <c r="AL32" s="59" t="s">
        <v>172</v>
      </c>
      <c r="AM32" s="59" t="s">
        <v>172</v>
      </c>
      <c r="AN32" s="59" t="s">
        <v>172</v>
      </c>
      <c r="AO32" s="59" t="s">
        <v>173</v>
      </c>
      <c r="AP32" s="59" t="s">
        <v>172</v>
      </c>
      <c r="AQ32" s="59" t="s">
        <v>172</v>
      </c>
      <c r="AR32" s="59" t="s">
        <v>172</v>
      </c>
      <c r="AS32" s="59" t="s">
        <v>172</v>
      </c>
      <c r="AT32" s="60">
        <v>0</v>
      </c>
      <c r="AU32" s="59" t="s">
        <v>840</v>
      </c>
      <c r="AV32" s="59" t="str">
        <f>IF(LEFT(A32,1)="[",LEFT(A32,5)&amp;AU32&amp;A32,"")</f>
        <v>[BRA]City, State Capital[BRA] Rio de Janeiro (City)</v>
      </c>
      <c r="AW32" s="59" t="str">
        <f>C32&amp;H32&amp;A32</f>
        <v>3[BRA] Rio de Janeiro (State)[BRA] Rio de Janeiro (City)</v>
      </c>
      <c r="AX32" s="61"/>
      <c r="AY32" s="61"/>
      <c r="AZ32" s="62" t="s">
        <v>174</v>
      </c>
      <c r="BA32" s="62" t="s">
        <v>174</v>
      </c>
      <c r="BB32" s="62"/>
      <c r="BC32" s="63"/>
      <c r="BD32" s="64" t="s">
        <v>159</v>
      </c>
      <c r="BE32" s="47"/>
      <c r="BF32" s="64" t="s">
        <v>159</v>
      </c>
      <c r="BG32" s="64" t="s">
        <v>152</v>
      </c>
      <c r="BH32" s="64" t="s">
        <v>159</v>
      </c>
      <c r="BI32" s="64"/>
      <c r="BJ32" s="64"/>
      <c r="BK32" s="47"/>
      <c r="BL32" s="64" t="s">
        <v>174</v>
      </c>
      <c r="BM32" s="64" t="s">
        <v>152</v>
      </c>
      <c r="BN32" s="64" t="s">
        <v>174</v>
      </c>
      <c r="BO32" s="64" t="s">
        <v>154</v>
      </c>
      <c r="BP32" s="64" t="s">
        <v>174</v>
      </c>
      <c r="BQ32" s="64" t="s">
        <v>174</v>
      </c>
      <c r="BR32" s="64" t="s">
        <v>174</v>
      </c>
      <c r="BS32" s="64" t="s">
        <v>174</v>
      </c>
      <c r="BT32" s="64" t="s">
        <v>159</v>
      </c>
      <c r="BU32" s="65"/>
      <c r="BV32" s="66"/>
      <c r="BW32" s="66">
        <v>0</v>
      </c>
      <c r="BX32" s="47"/>
      <c r="BY32" s="48" t="s">
        <v>173</v>
      </c>
      <c r="CB32" s="6"/>
      <c r="CC32" s="6"/>
      <c r="CD32" s="67">
        <v>0</v>
      </c>
      <c r="CE32" s="67">
        <v>0</v>
      </c>
      <c r="CF32" s="67" t="e">
        <v>#REF!</v>
      </c>
      <c r="CG32" s="68" cm="1">
        <f t="array" ref="CG32">SUMPRODUCT(--(LEN(TRIM(BL32:BT32))&gt;0))</f>
        <v>3</v>
      </c>
      <c r="CH32" s="59" t="str">
        <f t="shared" si="211"/>
        <v>n</v>
      </c>
      <c r="CI32" s="59" t="str">
        <f t="shared" si="212"/>
        <v>y</v>
      </c>
      <c r="CJ32" s="59" t="str">
        <f t="shared" si="213"/>
        <v>n</v>
      </c>
      <c r="CK32" s="59" t="str">
        <f t="shared" si="214"/>
        <v>n</v>
      </c>
      <c r="CL32" s="59" t="str">
        <f t="shared" si="215"/>
        <v>n</v>
      </c>
      <c r="CM32" s="59" t="str">
        <f t="shared" si="216"/>
        <v>y</v>
      </c>
      <c r="CN32" s="59" t="str">
        <f t="shared" si="217"/>
        <v>n</v>
      </c>
      <c r="CO32" s="59" t="str">
        <f t="shared" si="218"/>
        <v>n</v>
      </c>
      <c r="CP32" s="59" t="str">
        <f t="shared" si="219"/>
        <v>y</v>
      </c>
      <c r="CQ32" s="59" t="str">
        <f t="shared" si="220"/>
        <v>n</v>
      </c>
      <c r="CR32" s="59" t="str">
        <f t="shared" si="221"/>
        <v>n</v>
      </c>
      <c r="CS32" s="59" t="str">
        <f t="shared" si="222"/>
        <v>n</v>
      </c>
      <c r="CT32" s="69" t="str">
        <f t="shared" si="223"/>
        <v>"[BRA] Rio de Janeiro (City)"</v>
      </c>
      <c r="CU32" s="70" t="str">
        <f t="shared" si="224"/>
        <v>"rgn_South America"</v>
      </c>
      <c r="CV32" s="48" t="str">
        <f t="shared" si="225"/>
        <v>"https://upload.wikimedia.org/wikipedia/commons/thumb/a/a9/Bandeira_da_cidade_do_Rio_de_Janeiro.svg/640px-Bandeira_da_cidade_do_Rio_de_Janeiro.svg.png"</v>
      </c>
      <c r="CW32" s="48" t="str">
        <f t="shared" si="195"/>
        <v/>
      </c>
      <c r="CX32" s="48" t="str">
        <f t="shared" si="195"/>
        <v>"3Color",</v>
      </c>
      <c r="CY32" s="48" t="str">
        <f t="shared" si="195"/>
        <v/>
      </c>
      <c r="CZ32" s="48" t="str">
        <f t="shared" si="195"/>
        <v/>
      </c>
      <c r="DA32" s="48" t="str">
        <f t="shared" si="226"/>
        <v>"words2",</v>
      </c>
      <c r="DB32" s="48" t="str">
        <f t="shared" si="227"/>
        <v>"words3",</v>
      </c>
      <c r="DC32" s="48" t="str">
        <f t="shared" si="228"/>
        <v/>
      </c>
      <c r="DD32" s="48" t="str">
        <f t="shared" si="229"/>
        <v>"lets12",</v>
      </c>
      <c r="DE32" s="48" t="str">
        <f t="shared" si="230"/>
        <v>"startR",</v>
      </c>
      <c r="DF32" s="48" t="str">
        <f t="shared" si="231"/>
        <v/>
      </c>
      <c r="DG32" s="48" t="str">
        <f t="shared" si="232"/>
        <v/>
      </c>
      <c r="DH32" s="48" t="str">
        <f t="shared" si="233"/>
        <v/>
      </c>
      <c r="DI32" s="48" t="str">
        <f t="shared" si="234"/>
        <v/>
      </c>
      <c r="DJ32" s="48" t="str">
        <f t="shared" si="235"/>
        <v>"with_y",</v>
      </c>
      <c r="DK32" s="48" t="str">
        <f t="shared" si="236"/>
        <v/>
      </c>
      <c r="DL32" s="48" t="str">
        <f t="shared" si="237"/>
        <v/>
      </c>
      <c r="DM32" s="48" t="str" cm="1">
        <f t="array" ref="DM32">IF(CG32=3,CHAR(34) &amp; _xlfn.TEXTJOIN("", TRUE, RIGHT(HP32:HX32, 2)) &amp; CHAR(34) &amp; ",", "")</f>
        <v>"LUEDHI",</v>
      </c>
      <c r="DN32" s="48" t="str">
        <f t="shared" si="238"/>
        <v/>
      </c>
      <c r="DO32" s="48" t="str">
        <f t="shared" si="239"/>
        <v>"year19",</v>
      </c>
      <c r="DP32" s="6" t="str">
        <f t="shared" si="240"/>
        <v/>
      </c>
      <c r="DQ32" s="6" t="str">
        <f t="shared" si="241"/>
        <v/>
      </c>
      <c r="DR32" s="6" t="str">
        <f t="shared" si="242"/>
        <v>"dgband",</v>
      </c>
      <c r="DS32" s="6" t="str">
        <f t="shared" si="243"/>
        <v/>
      </c>
      <c r="DT32" s="6" t="str">
        <f t="shared" si="244"/>
        <v/>
      </c>
      <c r="DU32" s="6" t="str">
        <f t="shared" si="245"/>
        <v>"alldia",</v>
      </c>
      <c r="DV32" s="48" t="str">
        <f t="shared" si="246"/>
        <v/>
      </c>
      <c r="DW32" s="48" t="str">
        <f t="shared" si="196"/>
        <v/>
      </c>
      <c r="DX32" s="48" t="str">
        <f t="shared" si="196"/>
        <v>"2Bands",</v>
      </c>
      <c r="DY32" s="48" t="str">
        <f t="shared" si="196"/>
        <v/>
      </c>
      <c r="DZ32" s="48" t="str">
        <f t="shared" si="196"/>
        <v/>
      </c>
      <c r="EA32" s="48" t="str">
        <f t="shared" si="197"/>
        <v>"Diagon",</v>
      </c>
      <c r="EB32" s="48" t="str">
        <f t="shared" si="197"/>
        <v>"Crosse",</v>
      </c>
      <c r="EC32" s="48" t="str">
        <f t="shared" si="197"/>
        <v/>
      </c>
      <c r="ED32" s="48" t="str">
        <f t="shared" si="197"/>
        <v/>
      </c>
      <c r="EE32" s="48" t="str">
        <f t="shared" si="197"/>
        <v>"Circle",</v>
      </c>
      <c r="EF32" s="48" t="str">
        <f t="shared" si="247"/>
        <v>"Animal",</v>
      </c>
      <c r="EG32" s="48" t="str">
        <f t="shared" si="309"/>
        <v/>
      </c>
      <c r="EH32" s="48" t="str">
        <f t="shared" si="309"/>
        <v/>
      </c>
      <c r="EI32" s="48" t="str">
        <f t="shared" si="309"/>
        <v/>
      </c>
      <c r="EJ32" s="48" t="str">
        <f t="shared" si="309"/>
        <v>"Weapon",</v>
      </c>
      <c r="EK32" s="48" t="str">
        <f t="shared" si="309"/>
        <v/>
      </c>
      <c r="EL32" s="48" t="str">
        <f t="shared" si="309"/>
        <v/>
      </c>
      <c r="EM32" s="48" t="str">
        <f t="shared" si="309"/>
        <v/>
      </c>
      <c r="EN32" s="48" t="str">
        <f t="shared" si="309"/>
        <v>"Unequa",</v>
      </c>
      <c r="EO32" s="48" t="str">
        <f t="shared" si="309"/>
        <v>"Center",</v>
      </c>
      <c r="EP32" s="48" t="str">
        <f t="shared" si="309"/>
        <v/>
      </c>
      <c r="EQ32" s="48" t="str">
        <f t="shared" si="309"/>
        <v/>
      </c>
      <c r="ER32" s="48" t="str">
        <f t="shared" si="309"/>
        <v/>
      </c>
      <c r="ES32" s="48" t="str">
        <f t="shared" si="309"/>
        <v/>
      </c>
      <c r="ET32" s="48" t="str">
        <f t="shared" si="309"/>
        <v/>
      </c>
      <c r="EU32" s="48" t="str">
        <f t="shared" si="309"/>
        <v/>
      </c>
      <c r="EV32" s="48" t="str">
        <f t="shared" si="309"/>
        <v>"Builds",</v>
      </c>
      <c r="EW32" s="48" t="str">
        <f t="shared" si="248"/>
        <v/>
      </c>
      <c r="EX32" s="48" t="str">
        <f t="shared" si="248"/>
        <v/>
      </c>
      <c r="EY32" s="48" t="str">
        <f t="shared" si="248"/>
        <v/>
      </c>
      <c r="EZ32" s="48" t="str">
        <f t="shared" si="248"/>
        <v/>
      </c>
      <c r="FA32" s="48" t="str">
        <f t="shared" si="249"/>
        <v/>
      </c>
      <c r="FB32" s="48" t="str">
        <f t="shared" si="250"/>
        <v/>
      </c>
      <c r="FC32" s="48" t="str">
        <f t="shared" si="251"/>
        <v/>
      </c>
      <c r="FD32" s="48" t="str">
        <f t="shared" si="252"/>
        <v/>
      </c>
      <c r="FE32" s="48" t="str">
        <f t="shared" si="253"/>
        <v/>
      </c>
      <c r="FF32" s="48" t="str">
        <f t="shared" si="254"/>
        <v/>
      </c>
      <c r="FG32" s="48" t="str">
        <f t="shared" si="255"/>
        <v/>
      </c>
      <c r="FH32" s="48" t="str">
        <f t="shared" si="256"/>
        <v>"NO_GRE",</v>
      </c>
      <c r="FI32" s="48" t="str">
        <f t="shared" si="257"/>
        <v>"NO_YEL",</v>
      </c>
      <c r="FJ32" s="48" t="str">
        <f t="shared" si="258"/>
        <v>"NO_BLA",</v>
      </c>
      <c r="FK32" s="48" t="str">
        <f t="shared" si="259"/>
        <v/>
      </c>
      <c r="FL32" s="48" t="str">
        <f t="shared" si="260"/>
        <v/>
      </c>
      <c r="FM32" s="48" t="str">
        <f t="shared" si="261"/>
        <v/>
      </c>
      <c r="FN32" s="48" t="str">
        <f t="shared" si="262"/>
        <v/>
      </c>
      <c r="FO32" s="48" t="str">
        <f t="shared" si="263"/>
        <v/>
      </c>
      <c r="FP32" s="48" t="str">
        <f t="shared" si="264"/>
        <v/>
      </c>
      <c r="FQ32" s="48" t="str">
        <f t="shared" si="265"/>
        <v>"001WHI",</v>
      </c>
      <c r="FR32" s="48" t="str">
        <f t="shared" si="266"/>
        <v>"002BLU",</v>
      </c>
      <c r="FS32" s="48" t="str">
        <f t="shared" si="267"/>
        <v>"003WHI",</v>
      </c>
      <c r="FT32" s="48" t="str">
        <f t="shared" si="268"/>
        <v>"myrWHI",</v>
      </c>
      <c r="FU32" s="48" t="str">
        <f t="shared" si="269"/>
        <v/>
      </c>
      <c r="FV32" s="48" t="str">
        <f t="shared" si="270"/>
        <v/>
      </c>
      <c r="FW32" s="48" t="str">
        <f t="shared" si="271"/>
        <v/>
      </c>
      <c r="FX32" s="48" t="str">
        <f t="shared" si="272"/>
        <v/>
      </c>
      <c r="FY32" s="48" t="str">
        <f t="shared" si="273"/>
        <v/>
      </c>
      <c r="FZ32" s="48" t="str">
        <f t="shared" si="274"/>
        <v/>
      </c>
      <c r="GA32" s="48" t="str">
        <f t="shared" si="275"/>
        <v/>
      </c>
      <c r="GB32" s="48" t="str">
        <f t="shared" si="276"/>
        <v/>
      </c>
      <c r="GC32" s="48" t="str">
        <f t="shared" si="277"/>
        <v/>
      </c>
      <c r="GD32" s="48" t="str">
        <f t="shared" si="278"/>
        <v/>
      </c>
      <c r="GE32" s="48" t="str">
        <f t="shared" si="279"/>
        <v/>
      </c>
      <c r="GF32" s="48" t="str">
        <f t="shared" si="310"/>
        <v/>
      </c>
      <c r="GG32" s="48" t="str">
        <f t="shared" si="280"/>
        <v/>
      </c>
      <c r="GH32" s="48" t="str">
        <f t="shared" si="281"/>
        <v/>
      </c>
      <c r="GI32" s="48" t="str">
        <f t="shared" si="282"/>
        <v/>
      </c>
      <c r="GJ32" s="48" t="str">
        <f t="shared" si="283"/>
        <v>"NoStar",</v>
      </c>
      <c r="GK32" s="48" t="str">
        <f t="shared" si="284"/>
        <v/>
      </c>
      <c r="GL32" s="48" t="str">
        <f t="shared" si="198"/>
        <v/>
      </c>
      <c r="GM32" s="48" t="str">
        <f t="shared" si="198"/>
        <v/>
      </c>
      <c r="GN32" s="48" t="str">
        <f t="shared" si="198"/>
        <v/>
      </c>
      <c r="GP32" s="48" t="str">
        <f t="shared" si="285"/>
        <v>"City, State Capital"</v>
      </c>
      <c r="GS32" s="48" t="str">
        <f t="shared" si="286"/>
        <v>["3Color","words2","words3","lets12","startR","with_y","LUEDHI","year19","dgband","alldia","2Bands","Diagon","Crosse","Circle","Animal","Weapon","Unequa","Center","Builds","NO_GRE","NO_YEL","NO_BLA","001WHI","002BLU","003WHI","myrWHI","NoStar"]</v>
      </c>
      <c r="GT32" s="48" t="str">
        <f t="shared" si="199"/>
        <v/>
      </c>
      <c r="GU32" s="48" t="str">
        <f t="shared" si="199"/>
        <v>"cl_BLU",</v>
      </c>
      <c r="GV32" s="48" t="str">
        <f t="shared" si="199"/>
        <v/>
      </c>
      <c r="GW32" s="48" t="str">
        <f t="shared" si="199"/>
        <v>"cl_RED",</v>
      </c>
      <c r="GX32" s="48" t="str">
        <f t="shared" si="199"/>
        <v/>
      </c>
      <c r="GY32" s="48" t="str">
        <f t="shared" si="199"/>
        <v/>
      </c>
      <c r="GZ32" s="48" t="str">
        <f t="shared" si="199"/>
        <v/>
      </c>
      <c r="HA32" s="48" t="str">
        <f t="shared" si="199"/>
        <v/>
      </c>
      <c r="HB32" s="48" t="str">
        <f t="shared" si="199"/>
        <v>"cl_WHI",</v>
      </c>
      <c r="HC32" s="48" t="str">
        <f t="shared" si="287"/>
        <v>["cl_BLU","cl_RED","cl_WHI"]</v>
      </c>
      <c r="HE32" s="71"/>
      <c r="HF32" s="72" t="str">
        <f t="shared" si="288"/>
        <v>{couname:"[BRA] Rio de Janeiro (City)",year:"1908",region:"rgn_South America",Colors:["cl_BLU","cl_RED","cl_WHI"],Items:["3Color","words2","words3","lets12","startR","with_y","LUEDHI","year19","dgband","alldia","2Bands","Diagon","Crosse","Circle","Animal","Weapon","Unequa","Center","Builds","NO_GRE","NO_YEL","NO_BLA","001WHI","002BLU","003WHI","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links: "https://en.m.wikipedia.org/wiki/Flag_of_Rio_de_Janeiro"},</v>
      </c>
      <c r="HG32" s="73" t="str">
        <f t="shared" si="289"/>
        <v>{couname:"[BRA] Rio de Janeiro (City)",year:"1908",region:"rgn_South America",Colors:["cl_BLU","cl_RED","cl_WHI"],Items:["3Color","words2","words3","lets12","startR","with_y","LUEDHI","year19","dgband","alldia","2Bands","Diagon","Crosse","Circle","Animal","Weapon","Unequa","Center","Builds","NO_GRE","NO_YEL","NO_BLA","001WHI","002BLU","003WHI","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links: "https://en.m.wikipedia.org/wiki/Flag_of_Rio_de_Janeiro"},</v>
      </c>
      <c r="HH32" s="48" t="str">
        <f t="shared" si="290"/>
        <v>"\nA white rectangle with a blue saltire behind the city's coat of arms displayed red in the center"</v>
      </c>
      <c r="HI32" s="48" t="str">
        <f t="shared" si="291"/>
        <v>"\nA white rectangle with a blue saltire behind the city's coat of arms displayed red in the center"</v>
      </c>
      <c r="HJ32" s="48" t="str">
        <f t="shared" si="292"/>
        <v>"1908"</v>
      </c>
      <c r="HL32" s="48" t="str">
        <f t="shared" si="293"/>
        <v>"https://en.m.wikipedia.org/wiki/Flag_of_Rio_de_Janeiro"</v>
      </c>
      <c r="HM32" s="72" t="str">
        <f t="shared" si="294"/>
        <v>{"couname":"[BRA] Rio de Janeiro (City)","subtype":"[BRA] Rio de Janeiro (State)","year":"1908","region":"rgn_South America","Colors":["cl_BLU","cl_RED","cl_WHI"],"Items":["3Color","words2","words3","lets12","startR","with_y","LUEDHI","year19","dgband","alldia","2Bands","Diagon","Crosse","Circle","Animal","Weapon","Unequa","Center","Builds","NO_GRE","NO_YEL","NO_BLA","001WHI","002BLU","003WHI","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 "links": "https://en.m.wikipedia.org/wiki/Flag_of_Rio_de_Janeiro"},</v>
      </c>
      <c r="HN32" s="74" t="str">
        <f t="shared" si="295"/>
        <v>{"couname":"[BRA] Rio de Janeiro (City)","subtype":"[BRA] Rio de Janeiro (State)","year":"1908","region":"rgn_South America","Colors":["cl_BLU","cl_RED","cl_WHI"],"Items":["3Color","words2","words3","lets12","startR","with_y","LUEDHI","year19","dgband","alldia","2Bands","Diagon","Crosse","Circle","Animal","Weapon","Unequa","Center","Builds","NO_GRE","NO_YEL","NO_BLA","001WHI","002BLU","003WHI","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 "links": "https://en.m.wikipedia.org/wiki/Flag_of_Rio_de_Janeiro"},</v>
      </c>
      <c r="HO32" s="75">
        <v>45583</v>
      </c>
      <c r="HP32" s="48" t="str" cm="1">
        <f t="array" ref="HP32">IF(_xlfn.TEXTJOIN(", ", TRUE, IF(ISNUMBER(SEARCH("BLA", BL32:BT32)), COLUMN(BL32:BT32) - COLUMN(BL32) + 1, ""))&lt;&gt;"","BLA","")</f>
        <v/>
      </c>
      <c r="HQ32" s="48" t="str" cm="1">
        <f t="array" ref="HQ32">IF(_xlfn.TEXTJOIN(", ", TRUE, IF(ISNUMBER(SEARCH("BLU", BL32:BT32)), COLUMN(BL32:BT32) - COLUMN(BL32) + 1, ""))&lt;&gt;"","BLU","")</f>
        <v>BLU</v>
      </c>
      <c r="HR32" s="48" t="str" cm="1">
        <f t="array" ref="HR32">IF(_xlfn.TEXTJOIN(", ", TRUE, IF(ISNUMBER(SEARCH("GRE", BL32:BT32)), COLUMN(BL32:BT32) - COLUMN(BL32) + 1, ""))&lt;&gt;"","GRE","")</f>
        <v/>
      </c>
      <c r="HS32" s="48" t="str" cm="1">
        <f t="array" ref="HS32">IF(_xlfn.TEXTJOIN(", ", TRUE, IF(ISNUMBER(SEARCH("RED", BL32:BT32)), COLUMN(BL32:BT32) - COLUMN(BL32) + 1, ""))&lt;&gt;"","RED","")</f>
        <v>RED</v>
      </c>
      <c r="HT32" s="48" t="str" cm="1">
        <f t="array" ref="HT32">IF(_xlfn.TEXTJOIN(", ", TRUE, IF(ISNUMBER(SEARCH("YEL", BL32:BT32)), COLUMN(BL32:BT32) - COLUMN(BL32) + 1, ""))&lt;&gt;"","YEL","")</f>
        <v/>
      </c>
      <c r="HU32" s="48" t="str" cm="1">
        <f t="array" ref="HU32">IF(_xlfn.TEXTJOIN(", ", TRUE, IF(ISNUMBER(SEARCH("ORA", BL32:BT32)), COLUMN(BL32:BT32) - COLUMN(BL32) + 1, ""))&lt;&gt;"","ORA","")</f>
        <v/>
      </c>
      <c r="HV32" s="48" t="str" cm="1">
        <f t="array" ref="HV32">IF(_xlfn.TEXTJOIN(", ", TRUE, IF(ISNUMBER(SEARCH("BRO", BL32:BT32)), COLUMN(BL32:BT32) - COLUMN(BL32) + 1, ""))&lt;&gt;"","BRO","")</f>
        <v/>
      </c>
      <c r="HW32" s="48" t="str" cm="1">
        <f t="array" ref="HW32">IF(_xlfn.TEXTJOIN(", ", TRUE, IF(ISNUMBER(SEARCH("PUR", BL32:BT32)), COLUMN(BL32:BT32) - COLUMN(BL32) + 1, ""))&lt;&gt;"","PUR","")</f>
        <v/>
      </c>
      <c r="HX32" s="48" t="str" cm="1">
        <f t="array" ref="HX32">IF(_xlfn.TEXTJOIN(", ", TRUE, IF(ISNUMBER(SEARCH("WHI", BL32:BT32)), COLUMN(BL32:BT32) - COLUMN(BL32) + 1, ""))&lt;&gt;"","WHI","")</f>
        <v>WHI</v>
      </c>
      <c r="HY32" s="76"/>
      <c r="HZ32" s="76"/>
      <c r="IA32" s="6"/>
      <c r="IB32" s="6"/>
      <c r="IC32" s="77"/>
      <c r="ID32" s="77"/>
      <c r="IE32" s="77"/>
      <c r="IF32" s="77"/>
      <c r="IG32" s="77"/>
      <c r="IH32" s="77"/>
      <c r="II32" s="77"/>
      <c r="IJ32" s="77"/>
      <c r="IK32" s="77"/>
      <c r="IL32" s="48">
        <f t="shared" si="296"/>
        <v>0</v>
      </c>
      <c r="IM32" s="45">
        <f t="shared" si="297"/>
        <v>-3</v>
      </c>
      <c r="IN32" s="78" t="str">
        <f t="shared" si="298"/>
        <v>http://mkweb.bcgsc.ca/color-summarizer/?url=https://upload.wikimedia.org/wikipedia/commons/thumb/a/a9/Bandeira_da_cidade_do_Rio_de_Janeiro.svg/640px-Bandeira_da_cidade_do_Rio_de_Janeiro.svg.png&amp;precision=low&amp;num_clusters=3&amp;text=1</v>
      </c>
      <c r="IO32" s="48" t="str">
        <f t="shared" si="299"/>
        <v/>
      </c>
      <c r="IP32" s="48" t="str">
        <f t="shared" si="300"/>
        <v>"blue"</v>
      </c>
      <c r="IQ32" s="48" t="str">
        <f t="shared" si="301"/>
        <v/>
      </c>
      <c r="IR32" s="48" t="str">
        <f t="shared" si="302"/>
        <v>"red"</v>
      </c>
      <c r="IS32" s="48" t="str">
        <f t="shared" si="303"/>
        <v/>
      </c>
      <c r="IT32" s="48" t="str">
        <f t="shared" si="304"/>
        <v/>
      </c>
      <c r="IU32" s="48" t="str">
        <f t="shared" si="305"/>
        <v/>
      </c>
      <c r="IV32" s="48" t="str">
        <f t="shared" si="306"/>
        <v/>
      </c>
      <c r="IW32" s="48" t="str">
        <f t="shared" si="307"/>
        <v>"white"</v>
      </c>
      <c r="IX32" s="48" t="str">
        <f t="shared" si="308"/>
        <v>{"url":"http://mkweb.bcgsc.ca/color-summarizer/?url=https://upload.wikimedia.org/wikipedia/commons/thumb/a/a9/Bandeira_da_cidade_do_Rio_de_Janeiro.svg/640px-Bandeira_da_cidade_do_Rio_de_Janeiro.svg.png&amp;precision=low&amp;num_clusters=3&amp;text=1","name":"[BRA] Rio de Janeiro (City)"},</v>
      </c>
      <c r="IY32" s="48">
        <v>839</v>
      </c>
    </row>
    <row r="33" spans="1:259" s="48" customFormat="1" ht="38.4" customHeight="1" thickBot="1" x14ac:dyDescent="0.35">
      <c r="A33" s="81" t="s">
        <v>846</v>
      </c>
      <c r="B33" s="40" t="e" vm="55">
        <v>#VALUE!</v>
      </c>
      <c r="C33" s="41">
        <v>3</v>
      </c>
      <c r="D33" s="42" t="s">
        <v>847</v>
      </c>
      <c r="E33" s="43" t="s">
        <v>848</v>
      </c>
      <c r="F33" s="44" t="s">
        <v>166</v>
      </c>
      <c r="G33" s="45">
        <f>COUNTIF($A$1:$A$8312,A33)</f>
        <v>1</v>
      </c>
      <c r="H33" s="46" t="s">
        <v>529</v>
      </c>
      <c r="I33" s="47" t="s">
        <v>849</v>
      </c>
      <c r="J33" s="48" t="str">
        <f>""</f>
        <v/>
      </c>
      <c r="K33" s="49"/>
      <c r="L33" s="50"/>
      <c r="M33" s="50"/>
      <c r="N33" s="51" t="s">
        <v>169</v>
      </c>
      <c r="O33" s="52">
        <v>1967</v>
      </c>
      <c r="P33" s="53" t="s">
        <v>850</v>
      </c>
      <c r="Q33" s="54">
        <v>3</v>
      </c>
      <c r="R33" s="55" t="s">
        <v>169</v>
      </c>
      <c r="S33" s="56">
        <v>2</v>
      </c>
      <c r="T33" s="57" t="s">
        <v>172</v>
      </c>
      <c r="U33" s="58" t="s">
        <v>173</v>
      </c>
      <c r="V33" s="58" t="s">
        <v>173</v>
      </c>
      <c r="W33" s="58" t="s">
        <v>173</v>
      </c>
      <c r="X33" s="58" t="s">
        <v>173</v>
      </c>
      <c r="Y33" s="58" t="s">
        <v>172</v>
      </c>
      <c r="Z33" s="58" t="s">
        <v>173</v>
      </c>
      <c r="AA33" s="58" t="s">
        <v>173</v>
      </c>
      <c r="AB33" s="58" t="s">
        <v>173</v>
      </c>
      <c r="AC33" s="58" t="s">
        <v>173</v>
      </c>
      <c r="AD33" s="58" t="s">
        <v>172</v>
      </c>
      <c r="AE33" s="58" t="s">
        <v>172</v>
      </c>
      <c r="AF33" s="59" t="s">
        <v>172</v>
      </c>
      <c r="AG33" s="59" t="s">
        <v>173</v>
      </c>
      <c r="AH33" s="59" t="s">
        <v>172</v>
      </c>
      <c r="AI33" s="59" t="s">
        <v>172</v>
      </c>
      <c r="AJ33" s="59" t="s">
        <v>173</v>
      </c>
      <c r="AK33" s="59" t="s">
        <v>172</v>
      </c>
      <c r="AL33" s="59" t="s">
        <v>172</v>
      </c>
      <c r="AM33" s="59" t="s">
        <v>172</v>
      </c>
      <c r="AN33" s="59" t="s">
        <v>173</v>
      </c>
      <c r="AO33" s="59" t="s">
        <v>173</v>
      </c>
      <c r="AP33" s="59" t="s">
        <v>172</v>
      </c>
      <c r="AQ33" s="59" t="s">
        <v>173</v>
      </c>
      <c r="AR33" s="59" t="s">
        <v>172</v>
      </c>
      <c r="AS33" s="59" t="s">
        <v>172</v>
      </c>
      <c r="AT33" s="60">
        <v>0</v>
      </c>
      <c r="AU33" s="59" t="s">
        <v>840</v>
      </c>
      <c r="AV33" s="59" t="str">
        <f>IF(LEFT(A33,1)="[",LEFT(A33,5)&amp;AU33&amp;A33,"")</f>
        <v>[BRA]City, State Capital[BRA] Sao Paulo (City)</v>
      </c>
      <c r="AW33" s="59" t="str">
        <f>C33&amp;H33&amp;A33</f>
        <v>3[BRA] Sao Paulo[BRA] Sao Paulo (City)</v>
      </c>
      <c r="AX33" s="61"/>
      <c r="AY33" s="61"/>
      <c r="AZ33" s="62" t="s">
        <v>174</v>
      </c>
      <c r="BA33" s="62" t="s">
        <v>174</v>
      </c>
      <c r="BB33" s="62"/>
      <c r="BC33" s="63"/>
      <c r="BD33" s="64" t="s">
        <v>152</v>
      </c>
      <c r="BE33" s="47"/>
      <c r="BF33" s="64" t="s">
        <v>152</v>
      </c>
      <c r="BG33" s="64" t="s">
        <v>159</v>
      </c>
      <c r="BH33" s="64" t="s">
        <v>152</v>
      </c>
      <c r="BI33" s="64"/>
      <c r="BJ33" s="64"/>
      <c r="BK33" s="47"/>
      <c r="BL33" s="64" t="s">
        <v>174</v>
      </c>
      <c r="BM33" s="64" t="s">
        <v>152</v>
      </c>
      <c r="BN33" s="64" t="s">
        <v>174</v>
      </c>
      <c r="BO33" s="64" t="s">
        <v>174</v>
      </c>
      <c r="BP33" s="64" t="s">
        <v>174</v>
      </c>
      <c r="BQ33" s="64" t="s">
        <v>174</v>
      </c>
      <c r="BR33" s="64" t="s">
        <v>174</v>
      </c>
      <c r="BS33" s="64" t="s">
        <v>174</v>
      </c>
      <c r="BT33" s="64" t="s">
        <v>159</v>
      </c>
      <c r="BU33" s="65"/>
      <c r="BV33" s="66"/>
      <c r="BW33" s="66">
        <v>0</v>
      </c>
      <c r="BX33" s="47"/>
      <c r="CB33" s="6"/>
      <c r="CC33" s="6"/>
      <c r="CD33" s="67">
        <v>0</v>
      </c>
      <c r="CE33" s="67">
        <v>0</v>
      </c>
      <c r="CF33" s="67" t="e">
        <v>#REF!</v>
      </c>
      <c r="CG33" s="68" cm="1">
        <f t="array" ref="CG33">SUMPRODUCT(--(LEN(TRIM(BL33:BT33))&gt;0))</f>
        <v>2</v>
      </c>
      <c r="CH33" s="59" t="str">
        <f t="shared" si="211"/>
        <v>y</v>
      </c>
      <c r="CI33" s="59" t="str">
        <f t="shared" si="212"/>
        <v>n</v>
      </c>
      <c r="CJ33" s="59" t="str">
        <f t="shared" si="213"/>
        <v>n</v>
      </c>
      <c r="CK33" s="59" t="str">
        <f t="shared" si="214"/>
        <v>n</v>
      </c>
      <c r="CL33" s="59" t="str">
        <f t="shared" si="215"/>
        <v>n</v>
      </c>
      <c r="CM33" s="59" t="str">
        <f t="shared" si="216"/>
        <v>y</v>
      </c>
      <c r="CN33" s="59" t="str">
        <f t="shared" si="217"/>
        <v>n</v>
      </c>
      <c r="CO33" s="59" t="str">
        <f t="shared" si="218"/>
        <v>n</v>
      </c>
      <c r="CP33" s="59" t="str">
        <f t="shared" si="219"/>
        <v>y</v>
      </c>
      <c r="CQ33" s="59" t="str">
        <f t="shared" si="220"/>
        <v>n</v>
      </c>
      <c r="CR33" s="59" t="str">
        <f t="shared" si="221"/>
        <v>n</v>
      </c>
      <c r="CS33" s="59" t="str">
        <f t="shared" si="222"/>
        <v>n</v>
      </c>
      <c r="CT33" s="69" t="str">
        <f t="shared" si="223"/>
        <v>"[BRA] Sao Paulo (City)"</v>
      </c>
      <c r="CU33" s="70" t="str">
        <f t="shared" si="224"/>
        <v>"rgn_South America"</v>
      </c>
      <c r="CV33" s="48" t="str">
        <f t="shared" si="225"/>
        <v>"https://upload.wikimedia.org/wikipedia/commons/thumb/4/4b/Bandeira_da_cidade_de_S%C3%A3o_Paulo.svg/640px-Bandeira_da_cidade_de_S%C3%A3o_Paulo.svg.png"</v>
      </c>
      <c r="CW33" s="48" t="str">
        <f t="shared" si="195"/>
        <v>"2Color",</v>
      </c>
      <c r="CX33" s="48" t="str">
        <f t="shared" si="195"/>
        <v/>
      </c>
      <c r="CY33" s="48" t="str">
        <f t="shared" si="195"/>
        <v/>
      </c>
      <c r="CZ33" s="48" t="str">
        <f t="shared" si="195"/>
        <v/>
      </c>
      <c r="DA33" s="48" t="str">
        <f t="shared" si="226"/>
        <v>"words2",</v>
      </c>
      <c r="DB33" s="48" t="str">
        <f t="shared" si="227"/>
        <v>"words3",</v>
      </c>
      <c r="DC33" s="48" t="str">
        <f t="shared" si="228"/>
        <v/>
      </c>
      <c r="DD33" s="48" t="str">
        <f t="shared" si="229"/>
        <v>"lets08",</v>
      </c>
      <c r="DE33" s="48" t="str">
        <f t="shared" si="230"/>
        <v>"startS",</v>
      </c>
      <c r="DF33" s="48" t="str">
        <f t="shared" si="231"/>
        <v/>
      </c>
      <c r="DG33" s="48" t="str">
        <f t="shared" si="232"/>
        <v/>
      </c>
      <c r="DH33" s="48" t="str">
        <f t="shared" si="233"/>
        <v/>
      </c>
      <c r="DI33" s="48" t="str">
        <f t="shared" si="234"/>
        <v/>
      </c>
      <c r="DJ33" s="48" t="str">
        <f t="shared" si="235"/>
        <v>"with_y",</v>
      </c>
      <c r="DK33" s="48" t="str">
        <f t="shared" si="236"/>
        <v/>
      </c>
      <c r="DL33" s="48" t="str">
        <f t="shared" si="237"/>
        <v>"BLUWHI",</v>
      </c>
      <c r="DM33" s="48" t="str" cm="1">
        <f t="array" ref="DM33">IF(CG33=3,CHAR(34) &amp; _xlfn.TEXTJOIN("", TRUE, RIGHT(HP33:HX33, 2)) &amp; CHAR(34) &amp; ",", "")</f>
        <v/>
      </c>
      <c r="DN33" s="48" t="str">
        <f t="shared" si="238"/>
        <v/>
      </c>
      <c r="DO33" s="48" t="str">
        <f t="shared" si="239"/>
        <v>"year19",</v>
      </c>
      <c r="DP33" s="6" t="str">
        <f t="shared" si="240"/>
        <v/>
      </c>
      <c r="DQ33" s="6" t="str">
        <f t="shared" si="241"/>
        <v/>
      </c>
      <c r="DR33" s="6" t="str">
        <f t="shared" si="242"/>
        <v/>
      </c>
      <c r="DS33" s="6" t="str">
        <f t="shared" si="243"/>
        <v/>
      </c>
      <c r="DT33" s="6" t="str">
        <f t="shared" si="244"/>
        <v/>
      </c>
      <c r="DU33" s="6" t="str">
        <f t="shared" si="245"/>
        <v/>
      </c>
      <c r="DV33" s="48" t="str">
        <f t="shared" si="246"/>
        <v/>
      </c>
      <c r="DW33" s="48" t="str">
        <f t="shared" si="196"/>
        <v/>
      </c>
      <c r="DX33" s="48" t="str">
        <f t="shared" si="196"/>
        <v>"2Bands",</v>
      </c>
      <c r="DY33" s="48" t="str">
        <f t="shared" si="196"/>
        <v/>
      </c>
      <c r="DZ33" s="48" t="str">
        <f t="shared" si="196"/>
        <v/>
      </c>
      <c r="EA33" s="48" t="str">
        <f t="shared" si="197"/>
        <v/>
      </c>
      <c r="EB33" s="48" t="str">
        <f t="shared" si="197"/>
        <v>"Crosse",</v>
      </c>
      <c r="EC33" s="48" t="str">
        <f t="shared" si="197"/>
        <v>"Horizo",</v>
      </c>
      <c r="ED33" s="48" t="str">
        <f t="shared" si="197"/>
        <v>"Vertic",</v>
      </c>
      <c r="EE33" s="48" t="str">
        <f t="shared" si="197"/>
        <v>"Circle",</v>
      </c>
      <c r="EF33" s="48" t="str">
        <f t="shared" si="247"/>
        <v/>
      </c>
      <c r="EG33" s="48" t="str">
        <f t="shared" si="309"/>
        <v>"Bird",</v>
      </c>
      <c r="EH33" s="48" t="str">
        <f t="shared" si="309"/>
        <v>"Plants",</v>
      </c>
      <c r="EI33" s="48" t="str">
        <f t="shared" si="309"/>
        <v>"Texted",</v>
      </c>
      <c r="EJ33" s="48" t="str">
        <f t="shared" si="309"/>
        <v>"Weapon",</v>
      </c>
      <c r="EK33" s="48" t="str">
        <f t="shared" si="309"/>
        <v/>
      </c>
      <c r="EL33" s="48" t="str">
        <f t="shared" si="309"/>
        <v/>
      </c>
      <c r="EM33" s="48" t="str">
        <f t="shared" si="309"/>
        <v/>
      </c>
      <c r="EN33" s="48" t="str">
        <f t="shared" si="309"/>
        <v>"Unequa",</v>
      </c>
      <c r="EO33" s="48" t="str">
        <f t="shared" si="309"/>
        <v/>
      </c>
      <c r="EP33" s="48" t="str">
        <f t="shared" si="309"/>
        <v/>
      </c>
      <c r="EQ33" s="48" t="str">
        <f t="shared" si="309"/>
        <v>"Nordic",</v>
      </c>
      <c r="ER33" s="48" t="str">
        <f t="shared" si="309"/>
        <v/>
      </c>
      <c r="ES33" s="48" t="str">
        <f t="shared" si="309"/>
        <v/>
      </c>
      <c r="ET33" s="48" t="str">
        <f t="shared" si="309"/>
        <v/>
      </c>
      <c r="EU33" s="48" t="str">
        <f t="shared" si="309"/>
        <v>"Humans",</v>
      </c>
      <c r="EV33" s="48" t="str">
        <f t="shared" si="309"/>
        <v>"Builds",</v>
      </c>
      <c r="EW33" s="48" t="str">
        <f t="shared" si="248"/>
        <v/>
      </c>
      <c r="EX33" s="48" t="str">
        <f t="shared" si="248"/>
        <v>"Crowns",</v>
      </c>
      <c r="EY33" s="48" t="str">
        <f t="shared" si="248"/>
        <v/>
      </c>
      <c r="EZ33" s="48" t="str">
        <f t="shared" si="248"/>
        <v/>
      </c>
      <c r="FA33" s="48" t="str">
        <f t="shared" si="249"/>
        <v/>
      </c>
      <c r="FB33" s="48" t="str">
        <f t="shared" si="250"/>
        <v/>
      </c>
      <c r="FC33" s="48" t="str">
        <f t="shared" si="251"/>
        <v/>
      </c>
      <c r="FD33" s="48" t="str">
        <f t="shared" si="252"/>
        <v/>
      </c>
      <c r="FE33" s="48" t="str">
        <f t="shared" si="253"/>
        <v/>
      </c>
      <c r="FF33" s="48" t="str">
        <f t="shared" si="254"/>
        <v/>
      </c>
      <c r="FG33" s="48" t="str">
        <f t="shared" si="255"/>
        <v>"NO_RED",</v>
      </c>
      <c r="FH33" s="48" t="str">
        <f t="shared" si="256"/>
        <v>"NO_GRE",</v>
      </c>
      <c r="FI33" s="48" t="str">
        <f t="shared" si="257"/>
        <v>"NO_YEL",</v>
      </c>
      <c r="FJ33" s="48" t="str">
        <f t="shared" si="258"/>
        <v>"NO_BLA",</v>
      </c>
      <c r="FK33" s="48" t="str">
        <f t="shared" si="259"/>
        <v/>
      </c>
      <c r="FL33" s="48" t="str">
        <f t="shared" si="260"/>
        <v/>
      </c>
      <c r="FM33" s="48" t="str">
        <f t="shared" si="261"/>
        <v/>
      </c>
      <c r="FN33" s="48" t="str">
        <f t="shared" si="262"/>
        <v/>
      </c>
      <c r="FO33" s="48" t="str">
        <f t="shared" si="263"/>
        <v/>
      </c>
      <c r="FP33" s="48" t="str">
        <f t="shared" si="264"/>
        <v/>
      </c>
      <c r="FQ33" s="48" t="str">
        <f t="shared" si="265"/>
        <v>"001BLU",</v>
      </c>
      <c r="FR33" s="48" t="str">
        <f t="shared" si="266"/>
        <v>"002WHI",</v>
      </c>
      <c r="FS33" s="48" t="str">
        <f t="shared" si="267"/>
        <v>"003BLU",</v>
      </c>
      <c r="FT33" s="48" t="str">
        <f t="shared" si="268"/>
        <v>"myrBLU",</v>
      </c>
      <c r="FU33" s="48" t="str">
        <f t="shared" si="269"/>
        <v/>
      </c>
      <c r="FV33" s="48" t="str">
        <f t="shared" si="270"/>
        <v/>
      </c>
      <c r="FW33" s="48" t="str">
        <f t="shared" si="271"/>
        <v/>
      </c>
      <c r="FX33" s="48" t="str">
        <f t="shared" si="272"/>
        <v/>
      </c>
      <c r="FY33" s="48" t="str">
        <f t="shared" si="273"/>
        <v/>
      </c>
      <c r="FZ33" s="48" t="str">
        <f t="shared" si="274"/>
        <v/>
      </c>
      <c r="GA33" s="48" t="str">
        <f t="shared" si="275"/>
        <v/>
      </c>
      <c r="GB33" s="48" t="str">
        <f t="shared" si="276"/>
        <v/>
      </c>
      <c r="GC33" s="48" t="str">
        <f t="shared" si="277"/>
        <v/>
      </c>
      <c r="GD33" s="48" t="str">
        <f t="shared" si="278"/>
        <v/>
      </c>
      <c r="GE33" s="48" t="str">
        <f t="shared" si="279"/>
        <v/>
      </c>
      <c r="GF33" s="48" t="str">
        <f t="shared" si="310"/>
        <v/>
      </c>
      <c r="GG33" s="48" t="str">
        <f t="shared" si="280"/>
        <v/>
      </c>
      <c r="GH33" s="48" t="str">
        <f t="shared" si="281"/>
        <v/>
      </c>
      <c r="GI33" s="48" t="str">
        <f t="shared" si="282"/>
        <v/>
      </c>
      <c r="GJ33" s="48" t="str">
        <f t="shared" si="283"/>
        <v>"NoStar",</v>
      </c>
      <c r="GK33" s="48" t="str">
        <f t="shared" si="284"/>
        <v/>
      </c>
      <c r="GL33" s="48" t="str">
        <f t="shared" si="198"/>
        <v/>
      </c>
      <c r="GM33" s="48" t="str">
        <f t="shared" si="198"/>
        <v/>
      </c>
      <c r="GN33" s="48" t="str">
        <f t="shared" si="198"/>
        <v/>
      </c>
      <c r="GP33" s="48" t="str">
        <f t="shared" si="285"/>
        <v>"City, State Capital"</v>
      </c>
      <c r="GS33" s="48" t="str">
        <f t="shared" si="286"/>
        <v>["2Color","words2","words3","lets08","startS","with_y","BLUWHI","year19","2Bands","Crosse","Horizo","Vertic","Circle","Bird","Plants","Texted","Weapon","Unequa","Nordic","Humans","Builds","Crowns","NO_RED","NO_GRE","NO_YEL","NO_BLA","001BLU","002WHI","003BLU","myrBLU","NoStar"]</v>
      </c>
      <c r="GT33" s="48" t="str">
        <f t="shared" si="199"/>
        <v/>
      </c>
      <c r="GU33" s="48" t="str">
        <f t="shared" si="199"/>
        <v>"cl_BLU",</v>
      </c>
      <c r="GV33" s="48" t="str">
        <f t="shared" si="199"/>
        <v/>
      </c>
      <c r="GW33" s="48" t="str">
        <f t="shared" si="199"/>
        <v/>
      </c>
      <c r="GX33" s="48" t="str">
        <f t="shared" si="199"/>
        <v/>
      </c>
      <c r="GY33" s="48" t="str">
        <f t="shared" si="199"/>
        <v/>
      </c>
      <c r="GZ33" s="48" t="str">
        <f t="shared" si="199"/>
        <v/>
      </c>
      <c r="HA33" s="48" t="str">
        <f t="shared" si="199"/>
        <v/>
      </c>
      <c r="HB33" s="48" t="str">
        <f t="shared" si="199"/>
        <v>"cl_WHI",</v>
      </c>
      <c r="HC33" s="48" t="str">
        <f t="shared" si="287"/>
        <v>["cl_BLU","cl_WHI"]</v>
      </c>
      <c r="HE33" s="71"/>
      <c r="HF33" s="72" t="str">
        <f t="shared" si="288"/>
        <v>{couname:"[BRA] Sao Paulo (City)",year:"1967",region:"rgn_South America",Colors:["cl_BLU","cl_WHI"],Items:["2Color","words2","words3","lets08","startS","with_y","BLUWHI","year19","2Bands","Crosse","Horizo","Vertic","Circle","Bird","Plants","Texted","Weapon","Unequa","Nordic","Humans","Builds","Crowns","NO_RED","NO_GRE","NO_YEL","NO_BLA","001BLU","002WHI","003BLU","myrBLU","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links: "https://simple.m.wikipedia.org/wiki/Flag_of_S%C3%A3o_Paulo_City"},</v>
      </c>
      <c r="HG33" s="73" t="str">
        <f t="shared" si="289"/>
        <v>{couname:"[BRA] Sao Paulo (City)",year:"1967",region:"rgn_South America",Colors:["cl_BLU","cl_WHI"],Items:["2Color","words2","words3","lets08","startS","with_y","BLUWHI","year19","2Bands","Crosse","Horizo","Vertic","Circle","Bird","Plants","Texted","Weapon","Unequa","Nordic","Humans","Builds","Crowns","NO_RED","NO_GRE","NO_YEL","NO_BLA","001BLU","002WHI","003BLU","myrBLU","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links: "https://simple.m.wikipedia.org/wiki/Flag_of_S%C3%A3o_Paulo_City"},</v>
      </c>
      <c r="HH33" s="48" t="str">
        <f t="shared" si="290"/>
        <v>"\nA red nordic cross on a white field with the city's coat of arms over the cross section of the cross."</v>
      </c>
      <c r="HI33" s="48" t="str">
        <f t="shared" si="291"/>
        <v>"\nA red nordic cross on a white field with the city's coat of arms over the cross section of the cross."</v>
      </c>
      <c r="HJ33" s="48" t="str">
        <f t="shared" si="292"/>
        <v>"1967"</v>
      </c>
      <c r="HL33" s="48" t="str">
        <f t="shared" si="293"/>
        <v>"https://simple.m.wikipedia.org/wiki/Flag_of_S%C3%A3o_Paulo_City"</v>
      </c>
      <c r="HM33" s="72" t="str">
        <f t="shared" si="294"/>
        <v>{"couname":"[BRA] Sao Paulo (City)","subtype":"[BRA] Sao Paulo","year":"1967","region":"rgn_South America","Colors":["cl_BLU","cl_WHI"],"Items":["2Color","words2","words3","lets08","startS","with_y","BLUWHI","year19","2Bands","Crosse","Horizo","Vertic","Circle","Bird","Plants","Texted","Weapon","Unequa","Nordic","Humans","Builds","Crowns","NO_RED","NO_GRE","NO_YEL","NO_BLA","001BLU","002WHI","003BLU","myrBLU","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 "links": "https://simple.m.wikipedia.org/wiki/Flag_of_S%C3%A3o_Paulo_City"},</v>
      </c>
      <c r="HN33" s="74" t="str">
        <f t="shared" si="295"/>
        <v>{"couname":"[BRA] Sao Paulo (City)","subtype":"[BRA] Sao Paulo","year":"1967","region":"rgn_South America","Colors":["cl_BLU","cl_WHI"],"Items":["2Color","words2","words3","lets08","startS","with_y","BLUWHI","year19","2Bands","Crosse","Horizo","Vertic","Circle","Bird","Plants","Texted","Weapon","Unequa","Nordic","Humans","Builds","Crowns","NO_RED","NO_GRE","NO_YEL","NO_BLA","001BLU","002WHI","003BLU","myrBLU","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 "links": "https://simple.m.wikipedia.org/wiki/Flag_of_S%C3%A3o_Paulo_City"},</v>
      </c>
      <c r="HO33" s="75">
        <v>45583</v>
      </c>
      <c r="HP33" s="48" t="str" cm="1">
        <f t="array" ref="HP33">IF(_xlfn.TEXTJOIN(", ", TRUE, IF(ISNUMBER(SEARCH("BLA", BL33:BT33)), COLUMN(BL33:BT33) - COLUMN(BL33) + 1, ""))&lt;&gt;"","BLA","")</f>
        <v/>
      </c>
      <c r="HQ33" s="48" t="str" cm="1">
        <f t="array" ref="HQ33">IF(_xlfn.TEXTJOIN(", ", TRUE, IF(ISNUMBER(SEARCH("BLU", BL33:BT33)), COLUMN(BL33:BT33) - COLUMN(BL33) + 1, ""))&lt;&gt;"","BLU","")</f>
        <v>BLU</v>
      </c>
      <c r="HR33" s="48" t="str" cm="1">
        <f t="array" ref="HR33">IF(_xlfn.TEXTJOIN(", ", TRUE, IF(ISNUMBER(SEARCH("GRE", BL33:BT33)), COLUMN(BL33:BT33) - COLUMN(BL33) + 1, ""))&lt;&gt;"","GRE","")</f>
        <v/>
      </c>
      <c r="HS33" s="48" t="str" cm="1">
        <f t="array" ref="HS33">IF(_xlfn.TEXTJOIN(", ", TRUE, IF(ISNUMBER(SEARCH("RED", BL33:BT33)), COLUMN(BL33:BT33) - COLUMN(BL33) + 1, ""))&lt;&gt;"","RED","")</f>
        <v/>
      </c>
      <c r="HT33" s="48" t="str" cm="1">
        <f t="array" ref="HT33">IF(_xlfn.TEXTJOIN(", ", TRUE, IF(ISNUMBER(SEARCH("YEL", BL33:BT33)), COLUMN(BL33:BT33) - COLUMN(BL33) + 1, ""))&lt;&gt;"","YEL","")</f>
        <v/>
      </c>
      <c r="HU33" s="48" t="str" cm="1">
        <f t="array" ref="HU33">IF(_xlfn.TEXTJOIN(", ", TRUE, IF(ISNUMBER(SEARCH("ORA", BL33:BT33)), COLUMN(BL33:BT33) - COLUMN(BL33) + 1, ""))&lt;&gt;"","ORA","")</f>
        <v/>
      </c>
      <c r="HV33" s="48" t="str" cm="1">
        <f t="array" ref="HV33">IF(_xlfn.TEXTJOIN(", ", TRUE, IF(ISNUMBER(SEARCH("BRO", BL33:BT33)), COLUMN(BL33:BT33) - COLUMN(BL33) + 1, ""))&lt;&gt;"","BRO","")</f>
        <v/>
      </c>
      <c r="HW33" s="48" t="str" cm="1">
        <f t="array" ref="HW33">IF(_xlfn.TEXTJOIN(", ", TRUE, IF(ISNUMBER(SEARCH("PUR", BL33:BT33)), COLUMN(BL33:BT33) - COLUMN(BL33) + 1, ""))&lt;&gt;"","PUR","")</f>
        <v/>
      </c>
      <c r="HX33" s="48" t="str" cm="1">
        <f t="array" ref="HX33">IF(_xlfn.TEXTJOIN(", ", TRUE, IF(ISNUMBER(SEARCH("WHI", BL33:BT33)), COLUMN(BL33:BT33) - COLUMN(BL33) + 1, ""))&lt;&gt;"","WHI","")</f>
        <v>WHI</v>
      </c>
      <c r="HY33" s="76"/>
      <c r="HZ33" s="76"/>
      <c r="IA33" s="6"/>
      <c r="IB33" s="6"/>
      <c r="IC33" s="77"/>
      <c r="ID33" s="77"/>
      <c r="IE33" s="77"/>
      <c r="IF33" s="77"/>
      <c r="IG33" s="77"/>
      <c r="IH33" s="77"/>
      <c r="II33" s="77"/>
      <c r="IJ33" s="77"/>
      <c r="IK33" s="77"/>
      <c r="IL33" s="48">
        <f t="shared" si="296"/>
        <v>0</v>
      </c>
      <c r="IM33" s="45">
        <f t="shared" si="297"/>
        <v>-2</v>
      </c>
      <c r="IN33" s="78" t="str">
        <f t="shared" si="298"/>
        <v>http://mkweb.bcgsc.ca/color-summarizer/?url=https://upload.wikimedia.org/wikipedia/commons/thumb/4/4b/Bandeira_da_cidade_de_S%C3%A3o_Paulo.svg/640px-Bandeira_da_cidade_de_S%C3%A3o_Paulo.svg.png&amp;precision=low&amp;num_clusters=2&amp;text=1</v>
      </c>
      <c r="IO33" s="48" t="str">
        <f t="shared" si="299"/>
        <v/>
      </c>
      <c r="IP33" s="48" t="str">
        <f t="shared" si="300"/>
        <v>"blue"</v>
      </c>
      <c r="IQ33" s="48" t="str">
        <f t="shared" si="301"/>
        <v/>
      </c>
      <c r="IR33" s="48" t="str">
        <f t="shared" si="302"/>
        <v/>
      </c>
      <c r="IS33" s="48" t="str">
        <f t="shared" si="303"/>
        <v/>
      </c>
      <c r="IT33" s="48" t="str">
        <f t="shared" si="304"/>
        <v/>
      </c>
      <c r="IU33" s="48" t="str">
        <f t="shared" si="305"/>
        <v/>
      </c>
      <c r="IV33" s="48" t="str">
        <f t="shared" si="306"/>
        <v/>
      </c>
      <c r="IW33" s="48" t="str">
        <f t="shared" si="307"/>
        <v>"white"</v>
      </c>
      <c r="IX33" s="48" t="str">
        <f t="shared" si="308"/>
        <v>{"url":"http://mkweb.bcgsc.ca/color-summarizer/?url=https://upload.wikimedia.org/wikipedia/commons/thumb/4/4b/Bandeira_da_cidade_de_S%C3%A3o_Paulo.svg/640px-Bandeira_da_cidade_de_S%C3%A3o_Paulo.svg.png&amp;precision=low&amp;num_clusters=2&amp;text=1","name":"[BRA] Sao Paulo (City)"},</v>
      </c>
      <c r="IY33" s="48">
        <v>840</v>
      </c>
    </row>
  </sheetData>
  <conditionalFormatting sqref="H1 CW1:GS1 IA1:IB1">
    <cfRule type="cellIs" dxfId="4435" priority="1187" operator="greaterThan">
      <formula>0</formula>
    </cfRule>
  </conditionalFormatting>
  <conditionalFormatting sqref="H1">
    <cfRule type="cellIs" dxfId="4434" priority="1153" stopIfTrue="1" operator="notEqual">
      <formula>""</formula>
    </cfRule>
  </conditionalFormatting>
  <conditionalFormatting sqref="T1:BK1">
    <cfRule type="cellIs" dxfId="4433" priority="1190" operator="greaterThan">
      <formula>0</formula>
    </cfRule>
  </conditionalFormatting>
  <conditionalFormatting sqref="BV1:BW1">
    <cfRule type="cellIs" dxfId="4432" priority="1189" operator="equal">
      <formula>"nc"</formula>
    </cfRule>
  </conditionalFormatting>
  <conditionalFormatting sqref="HF1:HG1">
    <cfRule type="cellIs" dxfId="4431" priority="1191" operator="greaterThan">
      <formula>0</formula>
    </cfRule>
  </conditionalFormatting>
  <conditionalFormatting sqref="HK1">
    <cfRule type="cellIs" dxfId="4430" priority="1188" operator="greaterThan">
      <formula>0</formula>
    </cfRule>
  </conditionalFormatting>
  <conditionalFormatting sqref="HP1:HX1">
    <cfRule type="cellIs" dxfId="4429" priority="1165" operator="equal">
      <formula>"PIN"</formula>
    </cfRule>
    <cfRule type="cellIs" dxfId="4428" priority="1166" operator="equal">
      <formula>"ORA"</formula>
    </cfRule>
    <cfRule type="cellIs" dxfId="4427" priority="1167" operator="equal">
      <formula>"GRA"</formula>
    </cfRule>
    <cfRule type="cellIs" dxfId="4426" priority="1168" operator="equal">
      <formula>"PUR"</formula>
    </cfRule>
    <cfRule type="cellIs" dxfId="4425" priority="1169" operator="equal">
      <formula>"BRO"</formula>
    </cfRule>
    <cfRule type="cellIs" dxfId="4424" priority="1170" operator="equal">
      <formula>"YEL"</formula>
    </cfRule>
    <cfRule type="cellIs" dxfId="4423" priority="1171" operator="equal">
      <formula>"BLU"</formula>
    </cfRule>
    <cfRule type="cellIs" dxfId="4422" priority="1172" operator="equal">
      <formula>"WHI"</formula>
    </cfRule>
    <cfRule type="cellIs" dxfId="4421" priority="1173" operator="equal">
      <formula>"GRE"</formula>
    </cfRule>
    <cfRule type="cellIs" dxfId="4420" priority="1174" operator="equal">
      <formula>"RED"</formula>
    </cfRule>
    <cfRule type="cellIs" dxfId="4419" priority="1175" operator="equal">
      <formula>"BLA"</formula>
    </cfRule>
  </conditionalFormatting>
  <conditionalFormatting sqref="IC1:IK1">
    <cfRule type="cellIs" dxfId="4418" priority="1176" operator="equal">
      <formula>"PIN"</formula>
    </cfRule>
    <cfRule type="cellIs" dxfId="4417" priority="1177" operator="equal">
      <formula>"ORA"</formula>
    </cfRule>
    <cfRule type="cellIs" dxfId="4416" priority="1178" operator="equal">
      <formula>"GRA"</formula>
    </cfRule>
    <cfRule type="cellIs" dxfId="4415" priority="1179" operator="equal">
      <formula>"PUR"</formula>
    </cfRule>
    <cfRule type="cellIs" dxfId="4414" priority="1180" operator="equal">
      <formula>"BRO"</formula>
    </cfRule>
    <cfRule type="cellIs" dxfId="4413" priority="1181" operator="equal">
      <formula>"YEL"</formula>
    </cfRule>
    <cfRule type="cellIs" dxfId="4412" priority="1182" operator="equal">
      <formula>"BLU"</formula>
    </cfRule>
    <cfRule type="cellIs" dxfId="4411" priority="1183" operator="equal">
      <formula>"WHI"</formula>
    </cfRule>
    <cfRule type="cellIs" dxfId="4410" priority="1184" operator="equal">
      <formula>"GRE"</formula>
    </cfRule>
    <cfRule type="cellIs" dxfId="4409" priority="1185" operator="equal">
      <formula>"RED"</formula>
    </cfRule>
    <cfRule type="cellIs" dxfId="4408" priority="1186" operator="equal">
      <formula>"BLA"</formula>
    </cfRule>
  </conditionalFormatting>
  <conditionalFormatting sqref="IO1:IW1">
    <cfRule type="cellIs" dxfId="4407" priority="1154" operator="equal">
      <formula>"PIN"</formula>
    </cfRule>
    <cfRule type="cellIs" dxfId="4406" priority="1155" operator="equal">
      <formula>"ORA"</formula>
    </cfRule>
    <cfRule type="cellIs" dxfId="4405" priority="1156" operator="equal">
      <formula>"GRA"</formula>
    </cfRule>
    <cfRule type="cellIs" dxfId="4404" priority="1157" operator="equal">
      <formula>"PUR"</formula>
    </cfRule>
    <cfRule type="cellIs" dxfId="4403" priority="1158" operator="equal">
      <formula>"BRO"</formula>
    </cfRule>
    <cfRule type="cellIs" dxfId="4402" priority="1159" operator="equal">
      <formula>"YEL"</formula>
    </cfRule>
    <cfRule type="cellIs" dxfId="4401" priority="1160" operator="equal">
      <formula>"BLU"</formula>
    </cfRule>
    <cfRule type="cellIs" dxfId="4400" priority="1161" operator="equal">
      <formula>"WHI"</formula>
    </cfRule>
    <cfRule type="cellIs" dxfId="4399" priority="1162" operator="equal">
      <formula>"GRE"</formula>
    </cfRule>
    <cfRule type="cellIs" dxfId="4398" priority="1163" operator="equal">
      <formula>"RED"</formula>
    </cfRule>
    <cfRule type="cellIs" dxfId="4397" priority="1164" operator="equal">
      <formula>"BLA"</formula>
    </cfRule>
  </conditionalFormatting>
  <conditionalFormatting sqref="H2">
    <cfRule type="cellIs" dxfId="4396" priority="1122" stopIfTrue="1" operator="notEqual">
      <formula>""</formula>
    </cfRule>
  </conditionalFormatting>
  <conditionalFormatting sqref="R2 CU2">
    <cfRule type="cellIs" dxfId="4395" priority="1124" operator="greaterThan">
      <formula>0</formula>
    </cfRule>
  </conditionalFormatting>
  <conditionalFormatting sqref="T2:AS2 CH2:CS2">
    <cfRule type="cellIs" dxfId="4394" priority="1119" stopIfTrue="1" operator="equal">
      <formula>"n"</formula>
    </cfRule>
    <cfRule type="cellIs" dxfId="4393" priority="1120" stopIfTrue="1" operator="equal">
      <formula>"y"</formula>
    </cfRule>
    <cfRule type="cellIs" dxfId="4392" priority="1121" operator="greaterThan">
      <formula>0</formula>
    </cfRule>
  </conditionalFormatting>
  <conditionalFormatting sqref="AZ2:BB2">
    <cfRule type="expression" dxfId="4391" priority="1118">
      <formula>$AT2=0</formula>
    </cfRule>
  </conditionalFormatting>
  <conditionalFormatting sqref="AZ2:BU2">
    <cfRule type="cellIs" dxfId="4390" priority="1127" operator="equal">
      <formula>"PIN"</formula>
    </cfRule>
    <cfRule type="cellIs" dxfId="4389" priority="1128" operator="equal">
      <formula>"ORA"</formula>
    </cfRule>
    <cfRule type="cellIs" dxfId="4388" priority="1129" operator="equal">
      <formula>"GRA"</formula>
    </cfRule>
    <cfRule type="cellIs" dxfId="4387" priority="1130" operator="equal">
      <formula>"PUR"</formula>
    </cfRule>
    <cfRule type="cellIs" dxfId="4386" priority="1131" operator="equal">
      <formula>"BRO"</formula>
    </cfRule>
    <cfRule type="cellIs" dxfId="4385" priority="1132" operator="equal">
      <formula>"YEL"</formula>
    </cfRule>
    <cfRule type="cellIs" dxfId="4384" priority="1133" operator="equal">
      <formula>"BLU"</formula>
    </cfRule>
    <cfRule type="cellIs" dxfId="4383" priority="1134" operator="equal">
      <formula>"WHI"</formula>
    </cfRule>
    <cfRule type="cellIs" dxfId="4382" priority="1135" operator="equal">
      <formula>"GRE"</formula>
    </cfRule>
    <cfRule type="cellIs" dxfId="4381" priority="1136" operator="equal">
      <formula>"RED"</formula>
    </cfRule>
    <cfRule type="cellIs" dxfId="4380" priority="1137" operator="equal">
      <formula>"BLA"</formula>
    </cfRule>
  </conditionalFormatting>
  <conditionalFormatting sqref="BV2">
    <cfRule type="cellIs" dxfId="4379" priority="1149" operator="equal">
      <formula>"nc"</formula>
    </cfRule>
  </conditionalFormatting>
  <conditionalFormatting sqref="BX2:CA2 CD2:CF2">
    <cfRule type="cellIs" dxfId="4378" priority="1123" operator="equal">
      <formula>"y"</formula>
    </cfRule>
    <cfRule type="cellIs" dxfId="4377" priority="1138" operator="equal">
      <formula>"PIN"</formula>
    </cfRule>
    <cfRule type="cellIs" dxfId="4376" priority="1139" operator="equal">
      <formula>"ORA"</formula>
    </cfRule>
    <cfRule type="cellIs" dxfId="4375" priority="1140" operator="equal">
      <formula>"GRA"</formula>
    </cfRule>
    <cfRule type="cellIs" dxfId="4374" priority="1141" operator="equal">
      <formula>"PUR"</formula>
    </cfRule>
    <cfRule type="cellIs" dxfId="4373" priority="1142" operator="equal">
      <formula>"BRO"</formula>
    </cfRule>
    <cfRule type="cellIs" dxfId="4372" priority="1143" operator="equal">
      <formula>"YEL"</formula>
    </cfRule>
    <cfRule type="cellIs" dxfId="4371" priority="1144" operator="equal">
      <formula>"BLU"</formula>
    </cfRule>
    <cfRule type="cellIs" dxfId="4370" priority="1145" operator="equal">
      <formula>"WHI"</formula>
    </cfRule>
    <cfRule type="cellIs" dxfId="4369" priority="1146" operator="equal">
      <formula>"GRE"</formula>
    </cfRule>
    <cfRule type="cellIs" dxfId="4368" priority="1147" operator="equal">
      <formula>"RED"</formula>
    </cfRule>
    <cfRule type="cellIs" dxfId="4367" priority="1148" operator="equal">
      <formula>"BLA"</formula>
    </cfRule>
  </conditionalFormatting>
  <conditionalFormatting sqref="BZ2:CA2 CD2:CF2">
    <cfRule type="cellIs" dxfId="4366" priority="1125" operator="greaterThan">
      <formula>0</formula>
    </cfRule>
  </conditionalFormatting>
  <conditionalFormatting sqref="IC2:IK2">
    <cfRule type="expression" dxfId="4365" priority="1126">
      <formula>$IL2&gt;0</formula>
    </cfRule>
  </conditionalFormatting>
  <conditionalFormatting sqref="S2">
    <cfRule type="colorScale" priority="1150">
      <colorScale>
        <cfvo type="min"/>
        <cfvo type="max"/>
        <color rgb="FFFCFCFF"/>
        <color rgb="FF754BFB"/>
      </colorScale>
    </cfRule>
  </conditionalFormatting>
  <conditionalFormatting sqref="AT2">
    <cfRule type="colorScale" priority="1151">
      <colorScale>
        <cfvo type="min"/>
        <cfvo type="max"/>
        <color rgb="FFFCFCFF"/>
        <color theme="8" tint="0.39997558519241921"/>
      </colorScale>
    </cfRule>
  </conditionalFormatting>
  <conditionalFormatting sqref="CG2">
    <cfRule type="colorScale" priority="1152">
      <colorScale>
        <cfvo type="min"/>
        <cfvo type="max"/>
        <color rgb="FFFCFCFF"/>
        <color rgb="FF63BE7B"/>
      </colorScale>
    </cfRule>
  </conditionalFormatting>
  <conditionalFormatting sqref="J2">
    <cfRule type="colorScale" priority="1117">
      <colorScale>
        <cfvo type="min"/>
        <cfvo type="percentile" val="50"/>
        <cfvo type="max"/>
        <color rgb="FFF8696B"/>
        <color rgb="FFFFEB84"/>
        <color rgb="FF63BE7B"/>
      </colorScale>
    </cfRule>
  </conditionalFormatting>
  <conditionalFormatting sqref="H3">
    <cfRule type="cellIs" dxfId="2943" priority="1086" stopIfTrue="1" operator="notEqual">
      <formula>""</formula>
    </cfRule>
  </conditionalFormatting>
  <conditionalFormatting sqref="R3 CU3">
    <cfRule type="cellIs" dxfId="2942" priority="1088" operator="greaterThan">
      <formula>0</formula>
    </cfRule>
  </conditionalFormatting>
  <conditionalFormatting sqref="T3:AS3 CH3:CS3">
    <cfRule type="cellIs" dxfId="2941" priority="1083" stopIfTrue="1" operator="equal">
      <formula>"n"</formula>
    </cfRule>
    <cfRule type="cellIs" dxfId="2940" priority="1084" stopIfTrue="1" operator="equal">
      <formula>"y"</formula>
    </cfRule>
    <cfRule type="cellIs" dxfId="2939" priority="1085" operator="greaterThan">
      <formula>0</formula>
    </cfRule>
  </conditionalFormatting>
  <conditionalFormatting sqref="AZ3:BB3">
    <cfRule type="expression" dxfId="2938" priority="1082">
      <formula>$AT3=0</formula>
    </cfRule>
  </conditionalFormatting>
  <conditionalFormatting sqref="AZ3:BU3">
    <cfRule type="cellIs" dxfId="2937" priority="1091" operator="equal">
      <formula>"PIN"</formula>
    </cfRule>
    <cfRule type="cellIs" dxfId="2936" priority="1092" operator="equal">
      <formula>"ORA"</formula>
    </cfRule>
    <cfRule type="cellIs" dxfId="2935" priority="1093" operator="equal">
      <formula>"GRA"</formula>
    </cfRule>
    <cfRule type="cellIs" dxfId="2934" priority="1094" operator="equal">
      <formula>"PUR"</formula>
    </cfRule>
    <cfRule type="cellIs" dxfId="2933" priority="1095" operator="equal">
      <formula>"BRO"</formula>
    </cfRule>
    <cfRule type="cellIs" dxfId="2932" priority="1096" operator="equal">
      <formula>"YEL"</formula>
    </cfRule>
    <cfRule type="cellIs" dxfId="2931" priority="1097" operator="equal">
      <formula>"BLU"</formula>
    </cfRule>
    <cfRule type="cellIs" dxfId="2930" priority="1098" operator="equal">
      <formula>"WHI"</formula>
    </cfRule>
    <cfRule type="cellIs" dxfId="2929" priority="1099" operator="equal">
      <formula>"GRE"</formula>
    </cfRule>
    <cfRule type="cellIs" dxfId="2928" priority="1100" operator="equal">
      <formula>"RED"</formula>
    </cfRule>
    <cfRule type="cellIs" dxfId="2927" priority="1101" operator="equal">
      <formula>"BLA"</formula>
    </cfRule>
  </conditionalFormatting>
  <conditionalFormatting sqref="BV3:BW3">
    <cfRule type="cellIs" dxfId="2926" priority="1113" operator="equal">
      <formula>"nc"</formula>
    </cfRule>
  </conditionalFormatting>
  <conditionalFormatting sqref="BX3:CA3 CD3:CF3">
    <cfRule type="cellIs" dxfId="2925" priority="1087" operator="equal">
      <formula>"y"</formula>
    </cfRule>
    <cfRule type="cellIs" dxfId="2924" priority="1102" operator="equal">
      <formula>"PIN"</formula>
    </cfRule>
    <cfRule type="cellIs" dxfId="2923" priority="1103" operator="equal">
      <formula>"ORA"</formula>
    </cfRule>
    <cfRule type="cellIs" dxfId="2922" priority="1104" operator="equal">
      <formula>"GRA"</formula>
    </cfRule>
    <cfRule type="cellIs" dxfId="2921" priority="1105" operator="equal">
      <formula>"PUR"</formula>
    </cfRule>
    <cfRule type="cellIs" dxfId="2920" priority="1106" operator="equal">
      <formula>"BRO"</formula>
    </cfRule>
    <cfRule type="cellIs" dxfId="2919" priority="1107" operator="equal">
      <formula>"YEL"</formula>
    </cfRule>
    <cfRule type="cellIs" dxfId="2918" priority="1108" operator="equal">
      <formula>"BLU"</formula>
    </cfRule>
    <cfRule type="cellIs" dxfId="2917" priority="1109" operator="equal">
      <formula>"WHI"</formula>
    </cfRule>
    <cfRule type="cellIs" dxfId="2916" priority="1110" operator="equal">
      <formula>"GRE"</formula>
    </cfRule>
    <cfRule type="cellIs" dxfId="2915" priority="1111" operator="equal">
      <formula>"RED"</formula>
    </cfRule>
    <cfRule type="cellIs" dxfId="2914" priority="1112" operator="equal">
      <formula>"BLA"</formula>
    </cfRule>
  </conditionalFormatting>
  <conditionalFormatting sqref="BZ3:CA3 CD3:CF3">
    <cfRule type="cellIs" dxfId="2913" priority="1089" operator="greaterThan">
      <formula>0</formula>
    </cfRule>
  </conditionalFormatting>
  <conditionalFormatting sqref="IC3:IK3">
    <cfRule type="expression" dxfId="2912" priority="1090">
      <formula>$IL3&gt;0</formula>
    </cfRule>
  </conditionalFormatting>
  <conditionalFormatting sqref="S3">
    <cfRule type="colorScale" priority="1114">
      <colorScale>
        <cfvo type="min"/>
        <cfvo type="max"/>
        <color rgb="FFFCFCFF"/>
        <color rgb="FF754BFB"/>
      </colorScale>
    </cfRule>
  </conditionalFormatting>
  <conditionalFormatting sqref="AT3">
    <cfRule type="colorScale" priority="1115">
      <colorScale>
        <cfvo type="min"/>
        <cfvo type="max"/>
        <color rgb="FFFCFCFF"/>
        <color theme="8" tint="0.39997558519241921"/>
      </colorScale>
    </cfRule>
  </conditionalFormatting>
  <conditionalFormatting sqref="CG3">
    <cfRule type="colorScale" priority="1116">
      <colorScale>
        <cfvo type="min"/>
        <cfvo type="max"/>
        <color rgb="FFFCFCFF"/>
        <color rgb="FF63BE7B"/>
      </colorScale>
    </cfRule>
  </conditionalFormatting>
  <conditionalFormatting sqref="J3">
    <cfRule type="colorScale" priority="1081">
      <colorScale>
        <cfvo type="min"/>
        <cfvo type="percentile" val="50"/>
        <cfvo type="max"/>
        <color rgb="FFF8696B"/>
        <color rgb="FFFFEB84"/>
        <color rgb="FF63BE7B"/>
      </colorScale>
    </cfRule>
  </conditionalFormatting>
  <conditionalFormatting sqref="H4">
    <cfRule type="cellIs" dxfId="2911" priority="1078" stopIfTrue="1" operator="notEqual">
      <formula>""</formula>
    </cfRule>
  </conditionalFormatting>
  <conditionalFormatting sqref="BV4:BW4">
    <cfRule type="cellIs" dxfId="2910" priority="1079" operator="equal">
      <formula>"nc"</formula>
    </cfRule>
  </conditionalFormatting>
  <conditionalFormatting sqref="R4 CU4">
    <cfRule type="cellIs" dxfId="2909" priority="1050" operator="greaterThan">
      <formula>0</formula>
    </cfRule>
  </conditionalFormatting>
  <conditionalFormatting sqref="T4:AS4 CH4:CS4">
    <cfRule type="cellIs" dxfId="2908" priority="1046" stopIfTrue="1" operator="equal">
      <formula>"n"</formula>
    </cfRule>
    <cfRule type="cellIs" dxfId="2907" priority="1047" stopIfTrue="1" operator="equal">
      <formula>"y"</formula>
    </cfRule>
    <cfRule type="cellIs" dxfId="2906" priority="1048" operator="greaterThan">
      <formula>0</formula>
    </cfRule>
  </conditionalFormatting>
  <conditionalFormatting sqref="AZ4:BB4">
    <cfRule type="expression" dxfId="2905" priority="1045">
      <formula>$AT4=0</formula>
    </cfRule>
  </conditionalFormatting>
  <conditionalFormatting sqref="AZ4:BU4">
    <cfRule type="cellIs" dxfId="2904" priority="1053" operator="equal">
      <formula>"PIN"</formula>
    </cfRule>
    <cfRule type="cellIs" dxfId="2903" priority="1054" operator="equal">
      <formula>"ORA"</formula>
    </cfRule>
    <cfRule type="cellIs" dxfId="2902" priority="1055" operator="equal">
      <formula>"GRA"</formula>
    </cfRule>
    <cfRule type="cellIs" dxfId="2901" priority="1056" operator="equal">
      <formula>"PUR"</formula>
    </cfRule>
    <cfRule type="cellIs" dxfId="2900" priority="1057" operator="equal">
      <formula>"BRO"</formula>
    </cfRule>
    <cfRule type="cellIs" dxfId="2899" priority="1058" operator="equal">
      <formula>"YEL"</formula>
    </cfRule>
    <cfRule type="cellIs" dxfId="2898" priority="1059" operator="equal">
      <formula>"BLU"</formula>
    </cfRule>
    <cfRule type="cellIs" dxfId="2897" priority="1060" operator="equal">
      <formula>"WHI"</formula>
    </cfRule>
    <cfRule type="cellIs" dxfId="2896" priority="1061" operator="equal">
      <formula>"GRE"</formula>
    </cfRule>
    <cfRule type="cellIs" dxfId="2895" priority="1062" operator="equal">
      <formula>"RED"</formula>
    </cfRule>
    <cfRule type="cellIs" dxfId="2894" priority="1063" operator="equal">
      <formula>"BLA"</formula>
    </cfRule>
  </conditionalFormatting>
  <conditionalFormatting sqref="BX4:CA4 CD4:CF4">
    <cfRule type="cellIs" dxfId="2893" priority="1049" operator="equal">
      <formula>"y"</formula>
    </cfRule>
    <cfRule type="cellIs" dxfId="2892" priority="1064" operator="equal">
      <formula>"PIN"</formula>
    </cfRule>
    <cfRule type="cellIs" dxfId="2891" priority="1065" operator="equal">
      <formula>"ORA"</formula>
    </cfRule>
    <cfRule type="cellIs" dxfId="2890" priority="1066" operator="equal">
      <formula>"GRA"</formula>
    </cfRule>
    <cfRule type="cellIs" dxfId="2889" priority="1067" operator="equal">
      <formula>"PUR"</formula>
    </cfRule>
    <cfRule type="cellIs" dxfId="2888" priority="1068" operator="equal">
      <formula>"BRO"</formula>
    </cfRule>
    <cfRule type="cellIs" dxfId="2887" priority="1069" operator="equal">
      <formula>"YEL"</formula>
    </cfRule>
    <cfRule type="cellIs" dxfId="2886" priority="1070" operator="equal">
      <formula>"BLU"</formula>
    </cfRule>
    <cfRule type="cellIs" dxfId="2885" priority="1071" operator="equal">
      <formula>"WHI"</formula>
    </cfRule>
    <cfRule type="cellIs" dxfId="2884" priority="1072" operator="equal">
      <formula>"GRE"</formula>
    </cfRule>
    <cfRule type="cellIs" dxfId="2883" priority="1073" operator="equal">
      <formula>"RED"</formula>
    </cfRule>
    <cfRule type="cellIs" dxfId="2882" priority="1074" operator="equal">
      <formula>"BLA"</formula>
    </cfRule>
  </conditionalFormatting>
  <conditionalFormatting sqref="BZ4:CA4 CD4:CF4">
    <cfRule type="cellIs" dxfId="2881" priority="1051" operator="greaterThan">
      <formula>0</formula>
    </cfRule>
  </conditionalFormatting>
  <conditionalFormatting sqref="IC4:IK4">
    <cfRule type="expression" dxfId="2880" priority="1052">
      <formula>$IL4&gt;0</formula>
    </cfRule>
  </conditionalFormatting>
  <conditionalFormatting sqref="S4">
    <cfRule type="colorScale" priority="1075">
      <colorScale>
        <cfvo type="min"/>
        <cfvo type="max"/>
        <color rgb="FFFCFCFF"/>
        <color rgb="FF754BFB"/>
      </colorScale>
    </cfRule>
  </conditionalFormatting>
  <conditionalFormatting sqref="AT4">
    <cfRule type="colorScale" priority="1076">
      <colorScale>
        <cfvo type="min"/>
        <cfvo type="max"/>
        <color rgb="FFFCFCFF"/>
        <color theme="8" tint="0.39997558519241921"/>
      </colorScale>
    </cfRule>
  </conditionalFormatting>
  <conditionalFormatting sqref="CG4">
    <cfRule type="colorScale" priority="1077">
      <colorScale>
        <cfvo type="min"/>
        <cfvo type="max"/>
        <color rgb="FFFCFCFF"/>
        <color rgb="FF63BE7B"/>
      </colorScale>
    </cfRule>
  </conditionalFormatting>
  <conditionalFormatting sqref="J4">
    <cfRule type="colorScale" priority="1080">
      <colorScale>
        <cfvo type="min"/>
        <cfvo type="percentile" val="50"/>
        <cfvo type="max"/>
        <color rgb="FFF8696B"/>
        <color rgb="FFFFEB84"/>
        <color rgb="FF63BE7B"/>
      </colorScale>
    </cfRule>
  </conditionalFormatting>
  <conditionalFormatting sqref="H5">
    <cfRule type="cellIs" dxfId="2879" priority="1042" stopIfTrue="1" operator="notEqual">
      <formula>""</formula>
    </cfRule>
  </conditionalFormatting>
  <conditionalFormatting sqref="BV5:BW5">
    <cfRule type="cellIs" dxfId="2878" priority="1043" operator="equal">
      <formula>"nc"</formula>
    </cfRule>
  </conditionalFormatting>
  <conditionalFormatting sqref="R5 CU5">
    <cfRule type="cellIs" dxfId="2877" priority="1014" operator="greaterThan">
      <formula>0</formula>
    </cfRule>
  </conditionalFormatting>
  <conditionalFormatting sqref="T5:AS5 CH5:CS5">
    <cfRule type="cellIs" dxfId="2876" priority="1010" stopIfTrue="1" operator="equal">
      <formula>"n"</formula>
    </cfRule>
    <cfRule type="cellIs" dxfId="2875" priority="1011" stopIfTrue="1" operator="equal">
      <formula>"y"</formula>
    </cfRule>
    <cfRule type="cellIs" dxfId="2874" priority="1012" operator="greaterThan">
      <formula>0</formula>
    </cfRule>
  </conditionalFormatting>
  <conditionalFormatting sqref="AZ5:BB5">
    <cfRule type="expression" dxfId="2873" priority="1009">
      <formula>$AT5=0</formula>
    </cfRule>
  </conditionalFormatting>
  <conditionalFormatting sqref="AZ5:BU5">
    <cfRule type="cellIs" dxfId="2872" priority="1017" operator="equal">
      <formula>"PIN"</formula>
    </cfRule>
    <cfRule type="cellIs" dxfId="2871" priority="1018" operator="equal">
      <formula>"ORA"</formula>
    </cfRule>
    <cfRule type="cellIs" dxfId="2870" priority="1019" operator="equal">
      <formula>"GRA"</formula>
    </cfRule>
    <cfRule type="cellIs" dxfId="2869" priority="1020" operator="equal">
      <formula>"PUR"</formula>
    </cfRule>
    <cfRule type="cellIs" dxfId="2868" priority="1021" operator="equal">
      <formula>"BRO"</formula>
    </cfRule>
    <cfRule type="cellIs" dxfId="2867" priority="1022" operator="equal">
      <formula>"YEL"</formula>
    </cfRule>
    <cfRule type="cellIs" dxfId="2866" priority="1023" operator="equal">
      <formula>"BLU"</formula>
    </cfRule>
    <cfRule type="cellIs" dxfId="2865" priority="1024" operator="equal">
      <formula>"WHI"</formula>
    </cfRule>
    <cfRule type="cellIs" dxfId="2864" priority="1025" operator="equal">
      <formula>"GRE"</formula>
    </cfRule>
    <cfRule type="cellIs" dxfId="2863" priority="1026" operator="equal">
      <formula>"RED"</formula>
    </cfRule>
    <cfRule type="cellIs" dxfId="2862" priority="1027" operator="equal">
      <formula>"BLA"</formula>
    </cfRule>
  </conditionalFormatting>
  <conditionalFormatting sqref="BX5:CA5 CD5:CF5">
    <cfRule type="cellIs" dxfId="2861" priority="1013" operator="equal">
      <formula>"y"</formula>
    </cfRule>
    <cfRule type="cellIs" dxfId="2860" priority="1028" operator="equal">
      <formula>"PIN"</formula>
    </cfRule>
    <cfRule type="cellIs" dxfId="2859" priority="1029" operator="equal">
      <formula>"ORA"</formula>
    </cfRule>
    <cfRule type="cellIs" dxfId="2858" priority="1030" operator="equal">
      <formula>"GRA"</formula>
    </cfRule>
    <cfRule type="cellIs" dxfId="2857" priority="1031" operator="equal">
      <formula>"PUR"</formula>
    </cfRule>
    <cfRule type="cellIs" dxfId="2856" priority="1032" operator="equal">
      <formula>"BRO"</formula>
    </cfRule>
    <cfRule type="cellIs" dxfId="2855" priority="1033" operator="equal">
      <formula>"YEL"</formula>
    </cfRule>
    <cfRule type="cellIs" dxfId="2854" priority="1034" operator="equal">
      <formula>"BLU"</formula>
    </cfRule>
    <cfRule type="cellIs" dxfId="2853" priority="1035" operator="equal">
      <formula>"WHI"</formula>
    </cfRule>
    <cfRule type="cellIs" dxfId="2852" priority="1036" operator="equal">
      <formula>"GRE"</formula>
    </cfRule>
    <cfRule type="cellIs" dxfId="2851" priority="1037" operator="equal">
      <formula>"RED"</formula>
    </cfRule>
    <cfRule type="cellIs" dxfId="2850" priority="1038" operator="equal">
      <formula>"BLA"</formula>
    </cfRule>
  </conditionalFormatting>
  <conditionalFormatting sqref="BZ5:CA5 CD5:CF5">
    <cfRule type="cellIs" dxfId="2849" priority="1015" operator="greaterThan">
      <formula>0</formula>
    </cfRule>
  </conditionalFormatting>
  <conditionalFormatting sqref="IC5:IK5">
    <cfRule type="expression" dxfId="2848" priority="1016">
      <formula>$IL5&gt;0</formula>
    </cfRule>
  </conditionalFormatting>
  <conditionalFormatting sqref="S5">
    <cfRule type="colorScale" priority="1039">
      <colorScale>
        <cfvo type="min"/>
        <cfvo type="max"/>
        <color rgb="FFFCFCFF"/>
        <color rgb="FF754BFB"/>
      </colorScale>
    </cfRule>
  </conditionalFormatting>
  <conditionalFormatting sqref="AT5">
    <cfRule type="colorScale" priority="1040">
      <colorScale>
        <cfvo type="min"/>
        <cfvo type="max"/>
        <color rgb="FFFCFCFF"/>
        <color theme="8" tint="0.39997558519241921"/>
      </colorScale>
    </cfRule>
  </conditionalFormatting>
  <conditionalFormatting sqref="CG5">
    <cfRule type="colorScale" priority="1041">
      <colorScale>
        <cfvo type="min"/>
        <cfvo type="max"/>
        <color rgb="FFFCFCFF"/>
        <color rgb="FF63BE7B"/>
      </colorScale>
    </cfRule>
  </conditionalFormatting>
  <conditionalFormatting sqref="J5">
    <cfRule type="colorScale" priority="1044">
      <colorScale>
        <cfvo type="min"/>
        <cfvo type="percentile" val="50"/>
        <cfvo type="max"/>
        <color rgb="FFF8696B"/>
        <color rgb="FFFFEB84"/>
        <color rgb="FF63BE7B"/>
      </colorScale>
    </cfRule>
  </conditionalFormatting>
  <conditionalFormatting sqref="H6">
    <cfRule type="cellIs" dxfId="2847" priority="1006" stopIfTrue="1" operator="notEqual">
      <formula>""</formula>
    </cfRule>
  </conditionalFormatting>
  <conditionalFormatting sqref="BV6:BW6">
    <cfRule type="cellIs" dxfId="2846" priority="1007" operator="equal">
      <formula>"nc"</formula>
    </cfRule>
  </conditionalFormatting>
  <conditionalFormatting sqref="R6 CU6">
    <cfRule type="cellIs" dxfId="2845" priority="978" operator="greaterThan">
      <formula>0</formula>
    </cfRule>
  </conditionalFormatting>
  <conditionalFormatting sqref="T6:AS6 CH6:CS6">
    <cfRule type="cellIs" dxfId="2844" priority="974" stopIfTrue="1" operator="equal">
      <formula>"n"</formula>
    </cfRule>
    <cfRule type="cellIs" dxfId="2843" priority="975" stopIfTrue="1" operator="equal">
      <formula>"y"</formula>
    </cfRule>
    <cfRule type="cellIs" dxfId="2842" priority="976" operator="greaterThan">
      <formula>0</formula>
    </cfRule>
  </conditionalFormatting>
  <conditionalFormatting sqref="AZ6:BB6">
    <cfRule type="expression" dxfId="2841" priority="973">
      <formula>$AT6=0</formula>
    </cfRule>
  </conditionalFormatting>
  <conditionalFormatting sqref="AZ6:BU6">
    <cfRule type="cellIs" dxfId="2840" priority="981" operator="equal">
      <formula>"PIN"</formula>
    </cfRule>
    <cfRule type="cellIs" dxfId="2839" priority="982" operator="equal">
      <formula>"ORA"</formula>
    </cfRule>
    <cfRule type="cellIs" dxfId="2838" priority="983" operator="equal">
      <formula>"GRA"</formula>
    </cfRule>
    <cfRule type="cellIs" dxfId="2837" priority="984" operator="equal">
      <formula>"PUR"</formula>
    </cfRule>
    <cfRule type="cellIs" dxfId="2836" priority="985" operator="equal">
      <formula>"BRO"</formula>
    </cfRule>
    <cfRule type="cellIs" dxfId="2835" priority="986" operator="equal">
      <formula>"YEL"</formula>
    </cfRule>
    <cfRule type="cellIs" dxfId="2834" priority="987" operator="equal">
      <formula>"BLU"</formula>
    </cfRule>
    <cfRule type="cellIs" dxfId="2833" priority="988" operator="equal">
      <formula>"WHI"</formula>
    </cfRule>
    <cfRule type="cellIs" dxfId="2832" priority="989" operator="equal">
      <formula>"GRE"</formula>
    </cfRule>
    <cfRule type="cellIs" dxfId="2831" priority="990" operator="equal">
      <formula>"RED"</formula>
    </cfRule>
    <cfRule type="cellIs" dxfId="2830" priority="991" operator="equal">
      <formula>"BLA"</formula>
    </cfRule>
  </conditionalFormatting>
  <conditionalFormatting sqref="BX6:CA6 CD6:CF6">
    <cfRule type="cellIs" dxfId="2829" priority="977" operator="equal">
      <formula>"y"</formula>
    </cfRule>
    <cfRule type="cellIs" dxfId="2828" priority="992" operator="equal">
      <formula>"PIN"</formula>
    </cfRule>
    <cfRule type="cellIs" dxfId="2827" priority="993" operator="equal">
      <formula>"ORA"</formula>
    </cfRule>
    <cfRule type="cellIs" dxfId="2826" priority="994" operator="equal">
      <formula>"GRA"</formula>
    </cfRule>
    <cfRule type="cellIs" dxfId="2825" priority="995" operator="equal">
      <formula>"PUR"</formula>
    </cfRule>
    <cfRule type="cellIs" dxfId="2824" priority="996" operator="equal">
      <formula>"BRO"</formula>
    </cfRule>
    <cfRule type="cellIs" dxfId="2823" priority="997" operator="equal">
      <formula>"YEL"</formula>
    </cfRule>
    <cfRule type="cellIs" dxfId="2822" priority="998" operator="equal">
      <formula>"BLU"</formula>
    </cfRule>
    <cfRule type="cellIs" dxfId="2821" priority="999" operator="equal">
      <formula>"WHI"</formula>
    </cfRule>
    <cfRule type="cellIs" dxfId="2820" priority="1000" operator="equal">
      <formula>"GRE"</formula>
    </cfRule>
    <cfRule type="cellIs" dxfId="2819" priority="1001" operator="equal">
      <formula>"RED"</formula>
    </cfRule>
    <cfRule type="cellIs" dxfId="2818" priority="1002" operator="equal">
      <formula>"BLA"</formula>
    </cfRule>
  </conditionalFormatting>
  <conditionalFormatting sqref="BZ6:CA6 CD6:CF6">
    <cfRule type="cellIs" dxfId="2817" priority="979" operator="greaterThan">
      <formula>0</formula>
    </cfRule>
  </conditionalFormatting>
  <conditionalFormatting sqref="IC6:IK6">
    <cfRule type="expression" dxfId="2816" priority="980">
      <formula>$IL6&gt;0</formula>
    </cfRule>
  </conditionalFormatting>
  <conditionalFormatting sqref="S6">
    <cfRule type="colorScale" priority="1003">
      <colorScale>
        <cfvo type="min"/>
        <cfvo type="max"/>
        <color rgb="FFFCFCFF"/>
        <color rgb="FF754BFB"/>
      </colorScale>
    </cfRule>
  </conditionalFormatting>
  <conditionalFormatting sqref="AT6">
    <cfRule type="colorScale" priority="1004">
      <colorScale>
        <cfvo type="min"/>
        <cfvo type="max"/>
        <color rgb="FFFCFCFF"/>
        <color theme="8" tint="0.39997558519241921"/>
      </colorScale>
    </cfRule>
  </conditionalFormatting>
  <conditionalFormatting sqref="CG6">
    <cfRule type="colorScale" priority="1005">
      <colorScale>
        <cfvo type="min"/>
        <cfvo type="max"/>
        <color rgb="FFFCFCFF"/>
        <color rgb="FF63BE7B"/>
      </colorScale>
    </cfRule>
  </conditionalFormatting>
  <conditionalFormatting sqref="J6">
    <cfRule type="colorScale" priority="1008">
      <colorScale>
        <cfvo type="min"/>
        <cfvo type="percentile" val="50"/>
        <cfvo type="max"/>
        <color rgb="FFF8696B"/>
        <color rgb="FFFFEB84"/>
        <color rgb="FF63BE7B"/>
      </colorScale>
    </cfRule>
  </conditionalFormatting>
  <conditionalFormatting sqref="H7">
    <cfRule type="cellIs" dxfId="2815" priority="970" stopIfTrue="1" operator="notEqual">
      <formula>""</formula>
    </cfRule>
  </conditionalFormatting>
  <conditionalFormatting sqref="BV7:BW7">
    <cfRule type="cellIs" dxfId="2814" priority="971" operator="equal">
      <formula>"nc"</formula>
    </cfRule>
  </conditionalFormatting>
  <conditionalFormatting sqref="R7 CU7">
    <cfRule type="cellIs" dxfId="2813" priority="942" operator="greaterThan">
      <formula>0</formula>
    </cfRule>
  </conditionalFormatting>
  <conditionalFormatting sqref="T7:AS7 CH7:CS7">
    <cfRule type="cellIs" dxfId="2812" priority="938" stopIfTrue="1" operator="equal">
      <formula>"n"</formula>
    </cfRule>
    <cfRule type="cellIs" dxfId="2811" priority="939" stopIfTrue="1" operator="equal">
      <formula>"y"</formula>
    </cfRule>
    <cfRule type="cellIs" dxfId="2810" priority="940" operator="greaterThan">
      <formula>0</formula>
    </cfRule>
  </conditionalFormatting>
  <conditionalFormatting sqref="AZ7:BB7">
    <cfRule type="expression" dxfId="2809" priority="937">
      <formula>$AT7=0</formula>
    </cfRule>
  </conditionalFormatting>
  <conditionalFormatting sqref="AZ7:BU7">
    <cfRule type="cellIs" dxfId="2808" priority="945" operator="equal">
      <formula>"PIN"</formula>
    </cfRule>
    <cfRule type="cellIs" dxfId="2807" priority="946" operator="equal">
      <formula>"ORA"</formula>
    </cfRule>
    <cfRule type="cellIs" dxfId="2806" priority="947" operator="equal">
      <formula>"GRA"</formula>
    </cfRule>
    <cfRule type="cellIs" dxfId="2805" priority="948" operator="equal">
      <formula>"PUR"</formula>
    </cfRule>
    <cfRule type="cellIs" dxfId="2804" priority="949" operator="equal">
      <formula>"BRO"</formula>
    </cfRule>
    <cfRule type="cellIs" dxfId="2803" priority="950" operator="equal">
      <formula>"YEL"</formula>
    </cfRule>
    <cfRule type="cellIs" dxfId="2802" priority="951" operator="equal">
      <formula>"BLU"</formula>
    </cfRule>
    <cfRule type="cellIs" dxfId="2801" priority="952" operator="equal">
      <formula>"WHI"</formula>
    </cfRule>
    <cfRule type="cellIs" dxfId="2800" priority="953" operator="equal">
      <formula>"GRE"</formula>
    </cfRule>
    <cfRule type="cellIs" dxfId="2799" priority="954" operator="equal">
      <formula>"RED"</formula>
    </cfRule>
    <cfRule type="cellIs" dxfId="2798" priority="955" operator="equal">
      <formula>"BLA"</formula>
    </cfRule>
  </conditionalFormatting>
  <conditionalFormatting sqref="BX7:CA7 CD7:CF7">
    <cfRule type="cellIs" dxfId="2797" priority="941" operator="equal">
      <formula>"y"</formula>
    </cfRule>
    <cfRule type="cellIs" dxfId="2796" priority="956" operator="equal">
      <formula>"PIN"</formula>
    </cfRule>
    <cfRule type="cellIs" dxfId="2795" priority="957" operator="equal">
      <formula>"ORA"</formula>
    </cfRule>
    <cfRule type="cellIs" dxfId="2794" priority="958" operator="equal">
      <formula>"GRA"</formula>
    </cfRule>
    <cfRule type="cellIs" dxfId="2793" priority="959" operator="equal">
      <formula>"PUR"</formula>
    </cfRule>
    <cfRule type="cellIs" dxfId="2792" priority="960" operator="equal">
      <formula>"BRO"</formula>
    </cfRule>
    <cfRule type="cellIs" dxfId="2791" priority="961" operator="equal">
      <formula>"YEL"</formula>
    </cfRule>
    <cfRule type="cellIs" dxfId="2790" priority="962" operator="equal">
      <formula>"BLU"</formula>
    </cfRule>
    <cfRule type="cellIs" dxfId="2789" priority="963" operator="equal">
      <formula>"WHI"</formula>
    </cfRule>
    <cfRule type="cellIs" dxfId="2788" priority="964" operator="equal">
      <formula>"GRE"</formula>
    </cfRule>
    <cfRule type="cellIs" dxfId="2787" priority="965" operator="equal">
      <formula>"RED"</formula>
    </cfRule>
    <cfRule type="cellIs" dxfId="2786" priority="966" operator="equal">
      <formula>"BLA"</formula>
    </cfRule>
  </conditionalFormatting>
  <conditionalFormatting sqref="BZ7:CA7 CD7:CF7">
    <cfRule type="cellIs" dxfId="2785" priority="943" operator="greaterThan">
      <formula>0</formula>
    </cfRule>
  </conditionalFormatting>
  <conditionalFormatting sqref="IC7:IK7">
    <cfRule type="expression" dxfId="2784" priority="944">
      <formula>$IL7&gt;0</formula>
    </cfRule>
  </conditionalFormatting>
  <conditionalFormatting sqref="S7">
    <cfRule type="colorScale" priority="967">
      <colorScale>
        <cfvo type="min"/>
        <cfvo type="max"/>
        <color rgb="FFFCFCFF"/>
        <color rgb="FF754BFB"/>
      </colorScale>
    </cfRule>
  </conditionalFormatting>
  <conditionalFormatting sqref="AT7">
    <cfRule type="colorScale" priority="968">
      <colorScale>
        <cfvo type="min"/>
        <cfvo type="max"/>
        <color rgb="FFFCFCFF"/>
        <color theme="8" tint="0.39997558519241921"/>
      </colorScale>
    </cfRule>
  </conditionalFormatting>
  <conditionalFormatting sqref="CG7">
    <cfRule type="colorScale" priority="969">
      <colorScale>
        <cfvo type="min"/>
        <cfvo type="max"/>
        <color rgb="FFFCFCFF"/>
        <color rgb="FF63BE7B"/>
      </colorScale>
    </cfRule>
  </conditionalFormatting>
  <conditionalFormatting sqref="J7">
    <cfRule type="colorScale" priority="972">
      <colorScale>
        <cfvo type="min"/>
        <cfvo type="percentile" val="50"/>
        <cfvo type="max"/>
        <color rgb="FFF8696B"/>
        <color rgb="FFFFEB84"/>
        <color rgb="FF63BE7B"/>
      </colorScale>
    </cfRule>
  </conditionalFormatting>
  <conditionalFormatting sqref="H8">
    <cfRule type="cellIs" dxfId="2783" priority="934" stopIfTrue="1" operator="notEqual">
      <formula>""</formula>
    </cfRule>
  </conditionalFormatting>
  <conditionalFormatting sqref="BV8:BW8">
    <cfRule type="cellIs" dxfId="2782" priority="935" operator="equal">
      <formula>"nc"</formula>
    </cfRule>
  </conditionalFormatting>
  <conditionalFormatting sqref="R8 CU8">
    <cfRule type="cellIs" dxfId="2781" priority="906" operator="greaterThan">
      <formula>0</formula>
    </cfRule>
  </conditionalFormatting>
  <conditionalFormatting sqref="T8:AS8 CH8:CS8">
    <cfRule type="cellIs" dxfId="2780" priority="902" stopIfTrue="1" operator="equal">
      <formula>"n"</formula>
    </cfRule>
    <cfRule type="cellIs" dxfId="2779" priority="903" stopIfTrue="1" operator="equal">
      <formula>"y"</formula>
    </cfRule>
    <cfRule type="cellIs" dxfId="2778" priority="904" operator="greaterThan">
      <formula>0</formula>
    </cfRule>
  </conditionalFormatting>
  <conditionalFormatting sqref="AZ8:BB8">
    <cfRule type="expression" dxfId="2777" priority="901">
      <formula>$AT8=0</formula>
    </cfRule>
  </conditionalFormatting>
  <conditionalFormatting sqref="AZ8:BU8">
    <cfRule type="cellIs" dxfId="2776" priority="909" operator="equal">
      <formula>"PIN"</formula>
    </cfRule>
    <cfRule type="cellIs" dxfId="2775" priority="910" operator="equal">
      <formula>"ORA"</formula>
    </cfRule>
    <cfRule type="cellIs" dxfId="2774" priority="911" operator="equal">
      <formula>"GRA"</formula>
    </cfRule>
    <cfRule type="cellIs" dxfId="2773" priority="912" operator="equal">
      <formula>"PUR"</formula>
    </cfRule>
    <cfRule type="cellIs" dxfId="2772" priority="913" operator="equal">
      <formula>"BRO"</formula>
    </cfRule>
    <cfRule type="cellIs" dxfId="2771" priority="914" operator="equal">
      <formula>"YEL"</formula>
    </cfRule>
    <cfRule type="cellIs" dxfId="2770" priority="915" operator="equal">
      <formula>"BLU"</formula>
    </cfRule>
    <cfRule type="cellIs" dxfId="2769" priority="916" operator="equal">
      <formula>"WHI"</formula>
    </cfRule>
    <cfRule type="cellIs" dxfId="2768" priority="917" operator="equal">
      <formula>"GRE"</formula>
    </cfRule>
    <cfRule type="cellIs" dxfId="2767" priority="918" operator="equal">
      <formula>"RED"</formula>
    </cfRule>
    <cfRule type="cellIs" dxfId="2766" priority="919" operator="equal">
      <formula>"BLA"</formula>
    </cfRule>
  </conditionalFormatting>
  <conditionalFormatting sqref="BX8:CA8 CD8:CF8">
    <cfRule type="cellIs" dxfId="2765" priority="905" operator="equal">
      <formula>"y"</formula>
    </cfRule>
    <cfRule type="cellIs" dxfId="2764" priority="920" operator="equal">
      <formula>"PIN"</formula>
    </cfRule>
    <cfRule type="cellIs" dxfId="2763" priority="921" operator="equal">
      <formula>"ORA"</formula>
    </cfRule>
    <cfRule type="cellIs" dxfId="2762" priority="922" operator="equal">
      <formula>"GRA"</formula>
    </cfRule>
    <cfRule type="cellIs" dxfId="2761" priority="923" operator="equal">
      <formula>"PUR"</formula>
    </cfRule>
    <cfRule type="cellIs" dxfId="2760" priority="924" operator="equal">
      <formula>"BRO"</formula>
    </cfRule>
    <cfRule type="cellIs" dxfId="2759" priority="925" operator="equal">
      <formula>"YEL"</formula>
    </cfRule>
    <cfRule type="cellIs" dxfId="2758" priority="926" operator="equal">
      <formula>"BLU"</formula>
    </cfRule>
    <cfRule type="cellIs" dxfId="2757" priority="927" operator="equal">
      <formula>"WHI"</formula>
    </cfRule>
    <cfRule type="cellIs" dxfId="2756" priority="928" operator="equal">
      <formula>"GRE"</formula>
    </cfRule>
    <cfRule type="cellIs" dxfId="2755" priority="929" operator="equal">
      <formula>"RED"</formula>
    </cfRule>
    <cfRule type="cellIs" dxfId="2754" priority="930" operator="equal">
      <formula>"BLA"</formula>
    </cfRule>
  </conditionalFormatting>
  <conditionalFormatting sqref="BZ8:CA8 CD8:CF8">
    <cfRule type="cellIs" dxfId="2753" priority="907" operator="greaterThan">
      <formula>0</formula>
    </cfRule>
  </conditionalFormatting>
  <conditionalFormatting sqref="IC8:IK8">
    <cfRule type="expression" dxfId="2752" priority="908">
      <formula>$IL8&gt;0</formula>
    </cfRule>
  </conditionalFormatting>
  <conditionalFormatting sqref="S8">
    <cfRule type="colorScale" priority="931">
      <colorScale>
        <cfvo type="min"/>
        <cfvo type="max"/>
        <color rgb="FFFCFCFF"/>
        <color rgb="FF754BFB"/>
      </colorScale>
    </cfRule>
  </conditionalFormatting>
  <conditionalFormatting sqref="AT8">
    <cfRule type="colorScale" priority="932">
      <colorScale>
        <cfvo type="min"/>
        <cfvo type="max"/>
        <color rgb="FFFCFCFF"/>
        <color theme="8" tint="0.39997558519241921"/>
      </colorScale>
    </cfRule>
  </conditionalFormatting>
  <conditionalFormatting sqref="CG8">
    <cfRule type="colorScale" priority="933">
      <colorScale>
        <cfvo type="min"/>
        <cfvo type="max"/>
        <color rgb="FFFCFCFF"/>
        <color rgb="FF63BE7B"/>
      </colorScale>
    </cfRule>
  </conditionalFormatting>
  <conditionalFormatting sqref="J8">
    <cfRule type="colorScale" priority="936">
      <colorScale>
        <cfvo type="min"/>
        <cfvo type="percentile" val="50"/>
        <cfvo type="max"/>
        <color rgb="FFF8696B"/>
        <color rgb="FFFFEB84"/>
        <color rgb="FF63BE7B"/>
      </colorScale>
    </cfRule>
  </conditionalFormatting>
  <conditionalFormatting sqref="H9">
    <cfRule type="cellIs" dxfId="2751" priority="898" stopIfTrue="1" operator="notEqual">
      <formula>""</formula>
    </cfRule>
  </conditionalFormatting>
  <conditionalFormatting sqref="BV9:BW9">
    <cfRule type="cellIs" dxfId="2750" priority="899" operator="equal">
      <formula>"nc"</formula>
    </cfRule>
  </conditionalFormatting>
  <conditionalFormatting sqref="R9 CU9">
    <cfRule type="cellIs" dxfId="2749" priority="870" operator="greaterThan">
      <formula>0</formula>
    </cfRule>
  </conditionalFormatting>
  <conditionalFormatting sqref="T9:AS9 CH9:CS9">
    <cfRule type="cellIs" dxfId="2748" priority="866" stopIfTrue="1" operator="equal">
      <formula>"n"</formula>
    </cfRule>
    <cfRule type="cellIs" dxfId="2747" priority="867" stopIfTrue="1" operator="equal">
      <formula>"y"</formula>
    </cfRule>
    <cfRule type="cellIs" dxfId="2746" priority="868" operator="greaterThan">
      <formula>0</formula>
    </cfRule>
  </conditionalFormatting>
  <conditionalFormatting sqref="AZ9:BB9">
    <cfRule type="expression" dxfId="2745" priority="865">
      <formula>$AT9=0</formula>
    </cfRule>
  </conditionalFormatting>
  <conditionalFormatting sqref="AZ9:BU9">
    <cfRule type="cellIs" dxfId="2744" priority="873" operator="equal">
      <formula>"PIN"</formula>
    </cfRule>
    <cfRule type="cellIs" dxfId="2743" priority="874" operator="equal">
      <formula>"ORA"</formula>
    </cfRule>
    <cfRule type="cellIs" dxfId="2742" priority="875" operator="equal">
      <formula>"GRA"</formula>
    </cfRule>
    <cfRule type="cellIs" dxfId="2741" priority="876" operator="equal">
      <formula>"PUR"</formula>
    </cfRule>
    <cfRule type="cellIs" dxfId="2740" priority="877" operator="equal">
      <formula>"BRO"</formula>
    </cfRule>
    <cfRule type="cellIs" dxfId="2739" priority="878" operator="equal">
      <formula>"YEL"</formula>
    </cfRule>
    <cfRule type="cellIs" dxfId="2738" priority="879" operator="equal">
      <formula>"BLU"</formula>
    </cfRule>
    <cfRule type="cellIs" dxfId="2737" priority="880" operator="equal">
      <formula>"WHI"</formula>
    </cfRule>
    <cfRule type="cellIs" dxfId="2736" priority="881" operator="equal">
      <formula>"GRE"</formula>
    </cfRule>
    <cfRule type="cellIs" dxfId="2735" priority="882" operator="equal">
      <formula>"RED"</formula>
    </cfRule>
    <cfRule type="cellIs" dxfId="2734" priority="883" operator="equal">
      <formula>"BLA"</formula>
    </cfRule>
  </conditionalFormatting>
  <conditionalFormatting sqref="BX9:CA9 CD9:CF9">
    <cfRule type="cellIs" dxfId="2733" priority="869" operator="equal">
      <formula>"y"</formula>
    </cfRule>
    <cfRule type="cellIs" dxfId="2732" priority="884" operator="equal">
      <formula>"PIN"</formula>
    </cfRule>
    <cfRule type="cellIs" dxfId="2731" priority="885" operator="equal">
      <formula>"ORA"</formula>
    </cfRule>
    <cfRule type="cellIs" dxfId="2730" priority="886" operator="equal">
      <formula>"GRA"</formula>
    </cfRule>
    <cfRule type="cellIs" dxfId="2729" priority="887" operator="equal">
      <formula>"PUR"</formula>
    </cfRule>
    <cfRule type="cellIs" dxfId="2728" priority="888" operator="equal">
      <formula>"BRO"</formula>
    </cfRule>
    <cfRule type="cellIs" dxfId="2727" priority="889" operator="equal">
      <formula>"YEL"</formula>
    </cfRule>
    <cfRule type="cellIs" dxfId="2726" priority="890" operator="equal">
      <formula>"BLU"</formula>
    </cfRule>
    <cfRule type="cellIs" dxfId="2725" priority="891" operator="equal">
      <formula>"WHI"</formula>
    </cfRule>
    <cfRule type="cellIs" dxfId="2724" priority="892" operator="equal">
      <formula>"GRE"</formula>
    </cfRule>
    <cfRule type="cellIs" dxfId="2723" priority="893" operator="equal">
      <formula>"RED"</formula>
    </cfRule>
    <cfRule type="cellIs" dxfId="2722" priority="894" operator="equal">
      <formula>"BLA"</formula>
    </cfRule>
  </conditionalFormatting>
  <conditionalFormatting sqref="BZ9:CA9 CD9:CF9">
    <cfRule type="cellIs" dxfId="2721" priority="871" operator="greaterThan">
      <formula>0</formula>
    </cfRule>
  </conditionalFormatting>
  <conditionalFormatting sqref="IC9:IK9">
    <cfRule type="expression" dxfId="2720" priority="872">
      <formula>$IL9&gt;0</formula>
    </cfRule>
  </conditionalFormatting>
  <conditionalFormatting sqref="S9">
    <cfRule type="colorScale" priority="895">
      <colorScale>
        <cfvo type="min"/>
        <cfvo type="max"/>
        <color rgb="FFFCFCFF"/>
        <color rgb="FF754BFB"/>
      </colorScale>
    </cfRule>
  </conditionalFormatting>
  <conditionalFormatting sqref="AT9">
    <cfRule type="colorScale" priority="896">
      <colorScale>
        <cfvo type="min"/>
        <cfvo type="max"/>
        <color rgb="FFFCFCFF"/>
        <color theme="8" tint="0.39997558519241921"/>
      </colorScale>
    </cfRule>
  </conditionalFormatting>
  <conditionalFormatting sqref="CG9">
    <cfRule type="colorScale" priority="897">
      <colorScale>
        <cfvo type="min"/>
        <cfvo type="max"/>
        <color rgb="FFFCFCFF"/>
        <color rgb="FF63BE7B"/>
      </colorScale>
    </cfRule>
  </conditionalFormatting>
  <conditionalFormatting sqref="J9">
    <cfRule type="colorScale" priority="900">
      <colorScale>
        <cfvo type="min"/>
        <cfvo type="percentile" val="50"/>
        <cfvo type="max"/>
        <color rgb="FFF8696B"/>
        <color rgb="FFFFEB84"/>
        <color rgb="FF63BE7B"/>
      </colorScale>
    </cfRule>
  </conditionalFormatting>
  <conditionalFormatting sqref="H10">
    <cfRule type="cellIs" dxfId="2719" priority="862" stopIfTrue="1" operator="notEqual">
      <formula>""</formula>
    </cfRule>
  </conditionalFormatting>
  <conditionalFormatting sqref="BV10:BW10">
    <cfRule type="cellIs" dxfId="2718" priority="863" operator="equal">
      <formula>"nc"</formula>
    </cfRule>
  </conditionalFormatting>
  <conditionalFormatting sqref="R10 CU10">
    <cfRule type="cellIs" dxfId="2717" priority="834" operator="greaterThan">
      <formula>0</formula>
    </cfRule>
  </conditionalFormatting>
  <conditionalFormatting sqref="T10:AS10 CH10:CS10">
    <cfRule type="cellIs" dxfId="2716" priority="830" stopIfTrue="1" operator="equal">
      <formula>"n"</formula>
    </cfRule>
    <cfRule type="cellIs" dxfId="2715" priority="831" stopIfTrue="1" operator="equal">
      <formula>"y"</formula>
    </cfRule>
    <cfRule type="cellIs" dxfId="2714" priority="832" operator="greaterThan">
      <formula>0</formula>
    </cfRule>
  </conditionalFormatting>
  <conditionalFormatting sqref="AZ10:BB10">
    <cfRule type="expression" dxfId="2713" priority="829">
      <formula>$AT10=0</formula>
    </cfRule>
  </conditionalFormatting>
  <conditionalFormatting sqref="AZ10:BU10">
    <cfRule type="cellIs" dxfId="2712" priority="837" operator="equal">
      <formula>"PIN"</formula>
    </cfRule>
    <cfRule type="cellIs" dxfId="2711" priority="838" operator="equal">
      <formula>"ORA"</formula>
    </cfRule>
    <cfRule type="cellIs" dxfId="2710" priority="839" operator="equal">
      <formula>"GRA"</formula>
    </cfRule>
    <cfRule type="cellIs" dxfId="2709" priority="840" operator="equal">
      <formula>"PUR"</formula>
    </cfRule>
    <cfRule type="cellIs" dxfId="2708" priority="841" operator="equal">
      <formula>"BRO"</formula>
    </cfRule>
    <cfRule type="cellIs" dxfId="2707" priority="842" operator="equal">
      <formula>"YEL"</formula>
    </cfRule>
    <cfRule type="cellIs" dxfId="2706" priority="843" operator="equal">
      <formula>"BLU"</formula>
    </cfRule>
    <cfRule type="cellIs" dxfId="2705" priority="844" operator="equal">
      <formula>"WHI"</formula>
    </cfRule>
    <cfRule type="cellIs" dxfId="2704" priority="845" operator="equal">
      <formula>"GRE"</formula>
    </cfRule>
    <cfRule type="cellIs" dxfId="2703" priority="846" operator="equal">
      <formula>"RED"</formula>
    </cfRule>
    <cfRule type="cellIs" dxfId="2702" priority="847" operator="equal">
      <formula>"BLA"</formula>
    </cfRule>
  </conditionalFormatting>
  <conditionalFormatting sqref="BX10:CA10 CD10:CF10">
    <cfRule type="cellIs" dxfId="2701" priority="833" operator="equal">
      <formula>"y"</formula>
    </cfRule>
    <cfRule type="cellIs" dxfId="2700" priority="848" operator="equal">
      <formula>"PIN"</formula>
    </cfRule>
    <cfRule type="cellIs" dxfId="2699" priority="849" operator="equal">
      <formula>"ORA"</formula>
    </cfRule>
    <cfRule type="cellIs" dxfId="2698" priority="850" operator="equal">
      <formula>"GRA"</formula>
    </cfRule>
    <cfRule type="cellIs" dxfId="2697" priority="851" operator="equal">
      <formula>"PUR"</formula>
    </cfRule>
    <cfRule type="cellIs" dxfId="2696" priority="852" operator="equal">
      <formula>"BRO"</formula>
    </cfRule>
    <cfRule type="cellIs" dxfId="2695" priority="853" operator="equal">
      <formula>"YEL"</formula>
    </cfRule>
    <cfRule type="cellIs" dxfId="2694" priority="854" operator="equal">
      <formula>"BLU"</formula>
    </cfRule>
    <cfRule type="cellIs" dxfId="2693" priority="855" operator="equal">
      <formula>"WHI"</formula>
    </cfRule>
    <cfRule type="cellIs" dxfId="2692" priority="856" operator="equal">
      <formula>"GRE"</formula>
    </cfRule>
    <cfRule type="cellIs" dxfId="2691" priority="857" operator="equal">
      <formula>"RED"</formula>
    </cfRule>
    <cfRule type="cellIs" dxfId="2690" priority="858" operator="equal">
      <formula>"BLA"</formula>
    </cfRule>
  </conditionalFormatting>
  <conditionalFormatting sqref="BZ10:CA10 CD10:CF10">
    <cfRule type="cellIs" dxfId="2689" priority="835" operator="greaterThan">
      <formula>0</formula>
    </cfRule>
  </conditionalFormatting>
  <conditionalFormatting sqref="IC10:IK10">
    <cfRule type="expression" dxfId="2688" priority="836">
      <formula>$IL10&gt;0</formula>
    </cfRule>
  </conditionalFormatting>
  <conditionalFormatting sqref="S10">
    <cfRule type="colorScale" priority="859">
      <colorScale>
        <cfvo type="min"/>
        <cfvo type="max"/>
        <color rgb="FFFCFCFF"/>
        <color rgb="FF754BFB"/>
      </colorScale>
    </cfRule>
  </conditionalFormatting>
  <conditionalFormatting sqref="AT10">
    <cfRule type="colorScale" priority="860">
      <colorScale>
        <cfvo type="min"/>
        <cfvo type="max"/>
        <color rgb="FFFCFCFF"/>
        <color theme="8" tint="0.39997558519241921"/>
      </colorScale>
    </cfRule>
  </conditionalFormatting>
  <conditionalFormatting sqref="CG10">
    <cfRule type="colorScale" priority="861">
      <colorScale>
        <cfvo type="min"/>
        <cfvo type="max"/>
        <color rgb="FFFCFCFF"/>
        <color rgb="FF63BE7B"/>
      </colorScale>
    </cfRule>
  </conditionalFormatting>
  <conditionalFormatting sqref="J10">
    <cfRule type="colorScale" priority="864">
      <colorScale>
        <cfvo type="min"/>
        <cfvo type="percentile" val="50"/>
        <cfvo type="max"/>
        <color rgb="FFF8696B"/>
        <color rgb="FFFFEB84"/>
        <color rgb="FF63BE7B"/>
      </colorScale>
    </cfRule>
  </conditionalFormatting>
  <conditionalFormatting sqref="H11">
    <cfRule type="cellIs" dxfId="2687" priority="826" stopIfTrue="1" operator="notEqual">
      <formula>""</formula>
    </cfRule>
  </conditionalFormatting>
  <conditionalFormatting sqref="BV11:BW11">
    <cfRule type="cellIs" dxfId="2686" priority="827" operator="equal">
      <formula>"nc"</formula>
    </cfRule>
  </conditionalFormatting>
  <conditionalFormatting sqref="R11 CU11">
    <cfRule type="cellIs" dxfId="2685" priority="798" operator="greaterThan">
      <formula>0</formula>
    </cfRule>
  </conditionalFormatting>
  <conditionalFormatting sqref="T11:AS11 CH11:CS11">
    <cfRule type="cellIs" dxfId="2684" priority="794" stopIfTrue="1" operator="equal">
      <formula>"n"</formula>
    </cfRule>
    <cfRule type="cellIs" dxfId="2683" priority="795" stopIfTrue="1" operator="equal">
      <formula>"y"</formula>
    </cfRule>
    <cfRule type="cellIs" dxfId="2682" priority="796" operator="greaterThan">
      <formula>0</formula>
    </cfRule>
  </conditionalFormatting>
  <conditionalFormatting sqref="AZ11:BB11">
    <cfRule type="expression" dxfId="2681" priority="793">
      <formula>$AT11=0</formula>
    </cfRule>
  </conditionalFormatting>
  <conditionalFormatting sqref="AZ11:BU11">
    <cfRule type="cellIs" dxfId="2680" priority="801" operator="equal">
      <formula>"PIN"</formula>
    </cfRule>
    <cfRule type="cellIs" dxfId="2679" priority="802" operator="equal">
      <formula>"ORA"</formula>
    </cfRule>
    <cfRule type="cellIs" dxfId="2678" priority="803" operator="equal">
      <formula>"GRA"</formula>
    </cfRule>
    <cfRule type="cellIs" dxfId="2677" priority="804" operator="equal">
      <formula>"PUR"</formula>
    </cfRule>
    <cfRule type="cellIs" dxfId="2676" priority="805" operator="equal">
      <formula>"BRO"</formula>
    </cfRule>
    <cfRule type="cellIs" dxfId="2675" priority="806" operator="equal">
      <formula>"YEL"</formula>
    </cfRule>
    <cfRule type="cellIs" dxfId="2674" priority="807" operator="equal">
      <formula>"BLU"</formula>
    </cfRule>
    <cfRule type="cellIs" dxfId="2673" priority="808" operator="equal">
      <formula>"WHI"</formula>
    </cfRule>
    <cfRule type="cellIs" dxfId="2672" priority="809" operator="equal">
      <formula>"GRE"</formula>
    </cfRule>
    <cfRule type="cellIs" dxfId="2671" priority="810" operator="equal">
      <formula>"RED"</formula>
    </cfRule>
    <cfRule type="cellIs" dxfId="2670" priority="811" operator="equal">
      <formula>"BLA"</formula>
    </cfRule>
  </conditionalFormatting>
  <conditionalFormatting sqref="BX11:CA11 CD11:CF11">
    <cfRule type="cellIs" dxfId="2669" priority="797" operator="equal">
      <formula>"y"</formula>
    </cfRule>
    <cfRule type="cellIs" dxfId="2668" priority="812" operator="equal">
      <formula>"PIN"</formula>
    </cfRule>
    <cfRule type="cellIs" dxfId="2667" priority="813" operator="equal">
      <formula>"ORA"</formula>
    </cfRule>
    <cfRule type="cellIs" dxfId="2666" priority="814" operator="equal">
      <formula>"GRA"</formula>
    </cfRule>
    <cfRule type="cellIs" dxfId="2665" priority="815" operator="equal">
      <formula>"PUR"</formula>
    </cfRule>
    <cfRule type="cellIs" dxfId="2664" priority="816" operator="equal">
      <formula>"BRO"</formula>
    </cfRule>
    <cfRule type="cellIs" dxfId="2663" priority="817" operator="equal">
      <formula>"YEL"</formula>
    </cfRule>
    <cfRule type="cellIs" dxfId="2662" priority="818" operator="equal">
      <formula>"BLU"</formula>
    </cfRule>
    <cfRule type="cellIs" dxfId="2661" priority="819" operator="equal">
      <formula>"WHI"</formula>
    </cfRule>
    <cfRule type="cellIs" dxfId="2660" priority="820" operator="equal">
      <formula>"GRE"</formula>
    </cfRule>
    <cfRule type="cellIs" dxfId="2659" priority="821" operator="equal">
      <formula>"RED"</formula>
    </cfRule>
    <cfRule type="cellIs" dxfId="2658" priority="822" operator="equal">
      <formula>"BLA"</formula>
    </cfRule>
  </conditionalFormatting>
  <conditionalFormatting sqref="BZ11:CA11 CD11:CF11">
    <cfRule type="cellIs" dxfId="2657" priority="799" operator="greaterThan">
      <formula>0</formula>
    </cfRule>
  </conditionalFormatting>
  <conditionalFormatting sqref="IC11:IK11">
    <cfRule type="expression" dxfId="2656" priority="800">
      <formula>$IL11&gt;0</formula>
    </cfRule>
  </conditionalFormatting>
  <conditionalFormatting sqref="S11">
    <cfRule type="colorScale" priority="823">
      <colorScale>
        <cfvo type="min"/>
        <cfvo type="max"/>
        <color rgb="FFFCFCFF"/>
        <color rgb="FF754BFB"/>
      </colorScale>
    </cfRule>
  </conditionalFormatting>
  <conditionalFormatting sqref="AT11">
    <cfRule type="colorScale" priority="824">
      <colorScale>
        <cfvo type="min"/>
        <cfvo type="max"/>
        <color rgb="FFFCFCFF"/>
        <color theme="8" tint="0.39997558519241921"/>
      </colorScale>
    </cfRule>
  </conditionalFormatting>
  <conditionalFormatting sqref="CG11">
    <cfRule type="colorScale" priority="825">
      <colorScale>
        <cfvo type="min"/>
        <cfvo type="max"/>
        <color rgb="FFFCFCFF"/>
        <color rgb="FF63BE7B"/>
      </colorScale>
    </cfRule>
  </conditionalFormatting>
  <conditionalFormatting sqref="J11">
    <cfRule type="colorScale" priority="828">
      <colorScale>
        <cfvo type="min"/>
        <cfvo type="percentile" val="50"/>
        <cfvo type="max"/>
        <color rgb="FFF8696B"/>
        <color rgb="FFFFEB84"/>
        <color rgb="FF63BE7B"/>
      </colorScale>
    </cfRule>
  </conditionalFormatting>
  <conditionalFormatting sqref="H12">
    <cfRule type="cellIs" dxfId="2655" priority="790" stopIfTrue="1" operator="notEqual">
      <formula>""</formula>
    </cfRule>
  </conditionalFormatting>
  <conditionalFormatting sqref="BV12:BW12">
    <cfRule type="cellIs" dxfId="2654" priority="791" operator="equal">
      <formula>"nc"</formula>
    </cfRule>
  </conditionalFormatting>
  <conditionalFormatting sqref="R12 CU12">
    <cfRule type="cellIs" dxfId="2653" priority="762" operator="greaterThan">
      <formula>0</formula>
    </cfRule>
  </conditionalFormatting>
  <conditionalFormatting sqref="T12:AS12 CH12:CS12">
    <cfRule type="cellIs" dxfId="2652" priority="758" stopIfTrue="1" operator="equal">
      <formula>"n"</formula>
    </cfRule>
    <cfRule type="cellIs" dxfId="2651" priority="759" stopIfTrue="1" operator="equal">
      <formula>"y"</formula>
    </cfRule>
    <cfRule type="cellIs" dxfId="2650" priority="760" operator="greaterThan">
      <formula>0</formula>
    </cfRule>
  </conditionalFormatting>
  <conditionalFormatting sqref="AZ12:BB12">
    <cfRule type="expression" dxfId="2649" priority="757">
      <formula>$AT12=0</formula>
    </cfRule>
  </conditionalFormatting>
  <conditionalFormatting sqref="AZ12:BU12">
    <cfRule type="cellIs" dxfId="2648" priority="765" operator="equal">
      <formula>"PIN"</formula>
    </cfRule>
    <cfRule type="cellIs" dxfId="2647" priority="766" operator="equal">
      <formula>"ORA"</formula>
    </cfRule>
    <cfRule type="cellIs" dxfId="2646" priority="767" operator="equal">
      <formula>"GRA"</formula>
    </cfRule>
    <cfRule type="cellIs" dxfId="2645" priority="768" operator="equal">
      <formula>"PUR"</formula>
    </cfRule>
    <cfRule type="cellIs" dxfId="2644" priority="769" operator="equal">
      <formula>"BRO"</formula>
    </cfRule>
    <cfRule type="cellIs" dxfId="2643" priority="770" operator="equal">
      <formula>"YEL"</formula>
    </cfRule>
    <cfRule type="cellIs" dxfId="2642" priority="771" operator="equal">
      <formula>"BLU"</formula>
    </cfRule>
    <cfRule type="cellIs" dxfId="2641" priority="772" operator="equal">
      <formula>"WHI"</formula>
    </cfRule>
    <cfRule type="cellIs" dxfId="2640" priority="773" operator="equal">
      <formula>"GRE"</formula>
    </cfRule>
    <cfRule type="cellIs" dxfId="2639" priority="774" operator="equal">
      <formula>"RED"</formula>
    </cfRule>
    <cfRule type="cellIs" dxfId="2638" priority="775" operator="equal">
      <formula>"BLA"</formula>
    </cfRule>
  </conditionalFormatting>
  <conditionalFormatting sqref="BX12:CA12 CD12:CF12">
    <cfRule type="cellIs" dxfId="2637" priority="761" operator="equal">
      <formula>"y"</formula>
    </cfRule>
    <cfRule type="cellIs" dxfId="2636" priority="776" operator="equal">
      <formula>"PIN"</formula>
    </cfRule>
    <cfRule type="cellIs" dxfId="2635" priority="777" operator="equal">
      <formula>"ORA"</formula>
    </cfRule>
    <cfRule type="cellIs" dxfId="2634" priority="778" operator="equal">
      <formula>"GRA"</formula>
    </cfRule>
    <cfRule type="cellIs" dxfId="2633" priority="779" operator="equal">
      <formula>"PUR"</formula>
    </cfRule>
    <cfRule type="cellIs" dxfId="2632" priority="780" operator="equal">
      <formula>"BRO"</formula>
    </cfRule>
    <cfRule type="cellIs" dxfId="2631" priority="781" operator="equal">
      <formula>"YEL"</formula>
    </cfRule>
    <cfRule type="cellIs" dxfId="2630" priority="782" operator="equal">
      <formula>"BLU"</formula>
    </cfRule>
    <cfRule type="cellIs" dxfId="2629" priority="783" operator="equal">
      <formula>"WHI"</formula>
    </cfRule>
    <cfRule type="cellIs" dxfId="2628" priority="784" operator="equal">
      <formula>"GRE"</formula>
    </cfRule>
    <cfRule type="cellIs" dxfId="2627" priority="785" operator="equal">
      <formula>"RED"</formula>
    </cfRule>
    <cfRule type="cellIs" dxfId="2626" priority="786" operator="equal">
      <formula>"BLA"</formula>
    </cfRule>
  </conditionalFormatting>
  <conditionalFormatting sqref="BZ12:CA12 CD12:CF12">
    <cfRule type="cellIs" dxfId="2625" priority="763" operator="greaterThan">
      <formula>0</formula>
    </cfRule>
  </conditionalFormatting>
  <conditionalFormatting sqref="IC12:IK12">
    <cfRule type="expression" dxfId="2624" priority="764">
      <formula>$IL12&gt;0</formula>
    </cfRule>
  </conditionalFormatting>
  <conditionalFormatting sqref="S12">
    <cfRule type="colorScale" priority="787">
      <colorScale>
        <cfvo type="min"/>
        <cfvo type="max"/>
        <color rgb="FFFCFCFF"/>
        <color rgb="FF754BFB"/>
      </colorScale>
    </cfRule>
  </conditionalFormatting>
  <conditionalFormatting sqref="AT12">
    <cfRule type="colorScale" priority="788">
      <colorScale>
        <cfvo type="min"/>
        <cfvo type="max"/>
        <color rgb="FFFCFCFF"/>
        <color theme="8" tint="0.39997558519241921"/>
      </colorScale>
    </cfRule>
  </conditionalFormatting>
  <conditionalFormatting sqref="CG12">
    <cfRule type="colorScale" priority="789">
      <colorScale>
        <cfvo type="min"/>
        <cfvo type="max"/>
        <color rgb="FFFCFCFF"/>
        <color rgb="FF63BE7B"/>
      </colorScale>
    </cfRule>
  </conditionalFormatting>
  <conditionalFormatting sqref="J12">
    <cfRule type="colorScale" priority="792">
      <colorScale>
        <cfvo type="min"/>
        <cfvo type="percentile" val="50"/>
        <cfvo type="max"/>
        <color rgb="FFF8696B"/>
        <color rgb="FFFFEB84"/>
        <color rgb="FF63BE7B"/>
      </colorScale>
    </cfRule>
  </conditionalFormatting>
  <conditionalFormatting sqref="H13">
    <cfRule type="cellIs" dxfId="2623" priority="754" stopIfTrue="1" operator="notEqual">
      <formula>""</formula>
    </cfRule>
  </conditionalFormatting>
  <conditionalFormatting sqref="BV13:BW13">
    <cfRule type="cellIs" dxfId="2622" priority="755" operator="equal">
      <formula>"nc"</formula>
    </cfRule>
  </conditionalFormatting>
  <conditionalFormatting sqref="R13 CU13">
    <cfRule type="cellIs" dxfId="2621" priority="726" operator="greaterThan">
      <formula>0</formula>
    </cfRule>
  </conditionalFormatting>
  <conditionalFormatting sqref="T13:AS13 CH13:CS13">
    <cfRule type="cellIs" dxfId="2620" priority="722" stopIfTrue="1" operator="equal">
      <formula>"n"</formula>
    </cfRule>
    <cfRule type="cellIs" dxfId="2619" priority="723" stopIfTrue="1" operator="equal">
      <formula>"y"</formula>
    </cfRule>
    <cfRule type="cellIs" dxfId="2618" priority="724" operator="greaterThan">
      <formula>0</formula>
    </cfRule>
  </conditionalFormatting>
  <conditionalFormatting sqref="AZ13:BB13">
    <cfRule type="expression" dxfId="2617" priority="721">
      <formula>$AT13=0</formula>
    </cfRule>
  </conditionalFormatting>
  <conditionalFormatting sqref="AZ13:BU13">
    <cfRule type="cellIs" dxfId="2616" priority="729" operator="equal">
      <formula>"PIN"</formula>
    </cfRule>
    <cfRule type="cellIs" dxfId="2615" priority="730" operator="equal">
      <formula>"ORA"</formula>
    </cfRule>
    <cfRule type="cellIs" dxfId="2614" priority="731" operator="equal">
      <formula>"GRA"</formula>
    </cfRule>
    <cfRule type="cellIs" dxfId="2613" priority="732" operator="equal">
      <formula>"PUR"</formula>
    </cfRule>
    <cfRule type="cellIs" dxfId="2612" priority="733" operator="equal">
      <formula>"BRO"</formula>
    </cfRule>
    <cfRule type="cellIs" dxfId="2611" priority="734" operator="equal">
      <formula>"YEL"</formula>
    </cfRule>
    <cfRule type="cellIs" dxfId="2610" priority="735" operator="equal">
      <formula>"BLU"</formula>
    </cfRule>
    <cfRule type="cellIs" dxfId="2609" priority="736" operator="equal">
      <formula>"WHI"</formula>
    </cfRule>
    <cfRule type="cellIs" dxfId="2608" priority="737" operator="equal">
      <formula>"GRE"</formula>
    </cfRule>
    <cfRule type="cellIs" dxfId="2607" priority="738" operator="equal">
      <formula>"RED"</formula>
    </cfRule>
    <cfRule type="cellIs" dxfId="2606" priority="739" operator="equal">
      <formula>"BLA"</formula>
    </cfRule>
  </conditionalFormatting>
  <conditionalFormatting sqref="BX13:CA13 CD13:CF13">
    <cfRule type="cellIs" dxfId="2605" priority="725" operator="equal">
      <formula>"y"</formula>
    </cfRule>
    <cfRule type="cellIs" dxfId="2604" priority="740" operator="equal">
      <formula>"PIN"</formula>
    </cfRule>
    <cfRule type="cellIs" dxfId="2603" priority="741" operator="equal">
      <formula>"ORA"</formula>
    </cfRule>
    <cfRule type="cellIs" dxfId="2602" priority="742" operator="equal">
      <formula>"GRA"</formula>
    </cfRule>
    <cfRule type="cellIs" dxfId="2601" priority="743" operator="equal">
      <formula>"PUR"</formula>
    </cfRule>
    <cfRule type="cellIs" dxfId="2600" priority="744" operator="equal">
      <formula>"BRO"</formula>
    </cfRule>
    <cfRule type="cellIs" dxfId="2599" priority="745" operator="equal">
      <formula>"YEL"</formula>
    </cfRule>
    <cfRule type="cellIs" dxfId="2598" priority="746" operator="equal">
      <formula>"BLU"</formula>
    </cfRule>
    <cfRule type="cellIs" dxfId="2597" priority="747" operator="equal">
      <formula>"WHI"</formula>
    </cfRule>
    <cfRule type="cellIs" dxfId="2596" priority="748" operator="equal">
      <formula>"GRE"</formula>
    </cfRule>
    <cfRule type="cellIs" dxfId="2595" priority="749" operator="equal">
      <formula>"RED"</formula>
    </cfRule>
    <cfRule type="cellIs" dxfId="2594" priority="750" operator="equal">
      <formula>"BLA"</formula>
    </cfRule>
  </conditionalFormatting>
  <conditionalFormatting sqref="BZ13:CA13 CD13:CF13">
    <cfRule type="cellIs" dxfId="2593" priority="727" operator="greaterThan">
      <formula>0</formula>
    </cfRule>
  </conditionalFormatting>
  <conditionalFormatting sqref="IC13:IK13">
    <cfRule type="expression" dxfId="2592" priority="728">
      <formula>$IL13&gt;0</formula>
    </cfRule>
  </conditionalFormatting>
  <conditionalFormatting sqref="S13">
    <cfRule type="colorScale" priority="751">
      <colorScale>
        <cfvo type="min"/>
        <cfvo type="max"/>
        <color rgb="FFFCFCFF"/>
        <color rgb="FF754BFB"/>
      </colorScale>
    </cfRule>
  </conditionalFormatting>
  <conditionalFormatting sqref="AT13">
    <cfRule type="colorScale" priority="752">
      <colorScale>
        <cfvo type="min"/>
        <cfvo type="max"/>
        <color rgb="FFFCFCFF"/>
        <color theme="8" tint="0.39997558519241921"/>
      </colorScale>
    </cfRule>
  </conditionalFormatting>
  <conditionalFormatting sqref="CG13">
    <cfRule type="colorScale" priority="753">
      <colorScale>
        <cfvo type="min"/>
        <cfvo type="max"/>
        <color rgb="FFFCFCFF"/>
        <color rgb="FF63BE7B"/>
      </colorScale>
    </cfRule>
  </conditionalFormatting>
  <conditionalFormatting sqref="J13">
    <cfRule type="colorScale" priority="756">
      <colorScale>
        <cfvo type="min"/>
        <cfvo type="percentile" val="50"/>
        <cfvo type="max"/>
        <color rgb="FFF8696B"/>
        <color rgb="FFFFEB84"/>
        <color rgb="FF63BE7B"/>
      </colorScale>
    </cfRule>
  </conditionalFormatting>
  <conditionalFormatting sqref="H14">
    <cfRule type="cellIs" dxfId="2591" priority="718" stopIfTrue="1" operator="notEqual">
      <formula>""</formula>
    </cfRule>
  </conditionalFormatting>
  <conditionalFormatting sqref="BV14:BW14">
    <cfRule type="cellIs" dxfId="2590" priority="719" operator="equal">
      <formula>"nc"</formula>
    </cfRule>
  </conditionalFormatting>
  <conditionalFormatting sqref="R14 CU14">
    <cfRule type="cellIs" dxfId="2589" priority="690" operator="greaterThan">
      <formula>0</formula>
    </cfRule>
  </conditionalFormatting>
  <conditionalFormatting sqref="T14:AS14 CH14:CS14">
    <cfRule type="cellIs" dxfId="2588" priority="686" stopIfTrue="1" operator="equal">
      <formula>"n"</formula>
    </cfRule>
    <cfRule type="cellIs" dxfId="2587" priority="687" stopIfTrue="1" operator="equal">
      <formula>"y"</formula>
    </cfRule>
    <cfRule type="cellIs" dxfId="2586" priority="688" operator="greaterThan">
      <formula>0</formula>
    </cfRule>
  </conditionalFormatting>
  <conditionalFormatting sqref="AZ14:BB14">
    <cfRule type="expression" dxfId="2585" priority="685">
      <formula>$AT14=0</formula>
    </cfRule>
  </conditionalFormatting>
  <conditionalFormatting sqref="AZ14:BU14">
    <cfRule type="cellIs" dxfId="2584" priority="693" operator="equal">
      <formula>"PIN"</formula>
    </cfRule>
    <cfRule type="cellIs" dxfId="2583" priority="694" operator="equal">
      <formula>"ORA"</formula>
    </cfRule>
    <cfRule type="cellIs" dxfId="2582" priority="695" operator="equal">
      <formula>"GRA"</formula>
    </cfRule>
    <cfRule type="cellIs" dxfId="2581" priority="696" operator="equal">
      <formula>"PUR"</formula>
    </cfRule>
    <cfRule type="cellIs" dxfId="2580" priority="697" operator="equal">
      <formula>"BRO"</formula>
    </cfRule>
    <cfRule type="cellIs" dxfId="2579" priority="698" operator="equal">
      <formula>"YEL"</formula>
    </cfRule>
    <cfRule type="cellIs" dxfId="2578" priority="699" operator="equal">
      <formula>"BLU"</formula>
    </cfRule>
    <cfRule type="cellIs" dxfId="2577" priority="700" operator="equal">
      <formula>"WHI"</formula>
    </cfRule>
    <cfRule type="cellIs" dxfId="2576" priority="701" operator="equal">
      <formula>"GRE"</formula>
    </cfRule>
    <cfRule type="cellIs" dxfId="2575" priority="702" operator="equal">
      <formula>"RED"</formula>
    </cfRule>
    <cfRule type="cellIs" dxfId="2574" priority="703" operator="equal">
      <formula>"BLA"</formula>
    </cfRule>
  </conditionalFormatting>
  <conditionalFormatting sqref="BX14:CA14 CD14:CF14">
    <cfRule type="cellIs" dxfId="2573" priority="689" operator="equal">
      <formula>"y"</formula>
    </cfRule>
    <cfRule type="cellIs" dxfId="2572" priority="704" operator="equal">
      <formula>"PIN"</formula>
    </cfRule>
    <cfRule type="cellIs" dxfId="2571" priority="705" operator="equal">
      <formula>"ORA"</formula>
    </cfRule>
    <cfRule type="cellIs" dxfId="2570" priority="706" operator="equal">
      <formula>"GRA"</formula>
    </cfRule>
    <cfRule type="cellIs" dxfId="2569" priority="707" operator="equal">
      <formula>"PUR"</formula>
    </cfRule>
    <cfRule type="cellIs" dxfId="2568" priority="708" operator="equal">
      <formula>"BRO"</formula>
    </cfRule>
    <cfRule type="cellIs" dxfId="2567" priority="709" operator="equal">
      <formula>"YEL"</formula>
    </cfRule>
    <cfRule type="cellIs" dxfId="2566" priority="710" operator="equal">
      <formula>"BLU"</formula>
    </cfRule>
    <cfRule type="cellIs" dxfId="2565" priority="711" operator="equal">
      <formula>"WHI"</formula>
    </cfRule>
    <cfRule type="cellIs" dxfId="2564" priority="712" operator="equal">
      <formula>"GRE"</formula>
    </cfRule>
    <cfRule type="cellIs" dxfId="2563" priority="713" operator="equal">
      <formula>"RED"</formula>
    </cfRule>
    <cfRule type="cellIs" dxfId="2562" priority="714" operator="equal">
      <formula>"BLA"</formula>
    </cfRule>
  </conditionalFormatting>
  <conditionalFormatting sqref="BZ14:CA14 CD14:CF14">
    <cfRule type="cellIs" dxfId="2561" priority="691" operator="greaterThan">
      <formula>0</formula>
    </cfRule>
  </conditionalFormatting>
  <conditionalFormatting sqref="IC14:IK14">
    <cfRule type="expression" dxfId="2560" priority="692">
      <formula>$IL14&gt;0</formula>
    </cfRule>
  </conditionalFormatting>
  <conditionalFormatting sqref="S14">
    <cfRule type="colorScale" priority="715">
      <colorScale>
        <cfvo type="min"/>
        <cfvo type="max"/>
        <color rgb="FFFCFCFF"/>
        <color rgb="FF754BFB"/>
      </colorScale>
    </cfRule>
  </conditionalFormatting>
  <conditionalFormatting sqref="AT14">
    <cfRule type="colorScale" priority="716">
      <colorScale>
        <cfvo type="min"/>
        <cfvo type="max"/>
        <color rgb="FFFCFCFF"/>
        <color theme="8" tint="0.39997558519241921"/>
      </colorScale>
    </cfRule>
  </conditionalFormatting>
  <conditionalFormatting sqref="CG14">
    <cfRule type="colorScale" priority="717">
      <colorScale>
        <cfvo type="min"/>
        <cfvo type="max"/>
        <color rgb="FFFCFCFF"/>
        <color rgb="FF63BE7B"/>
      </colorScale>
    </cfRule>
  </conditionalFormatting>
  <conditionalFormatting sqref="J14">
    <cfRule type="colorScale" priority="720">
      <colorScale>
        <cfvo type="min"/>
        <cfvo type="percentile" val="50"/>
        <cfvo type="max"/>
        <color rgb="FFF8696B"/>
        <color rgb="FFFFEB84"/>
        <color rgb="FF63BE7B"/>
      </colorScale>
    </cfRule>
  </conditionalFormatting>
  <conditionalFormatting sqref="H15">
    <cfRule type="cellIs" dxfId="2559" priority="682" stopIfTrue="1" operator="notEqual">
      <formula>""</formula>
    </cfRule>
  </conditionalFormatting>
  <conditionalFormatting sqref="BV15:BW15">
    <cfRule type="cellIs" dxfId="2558" priority="683" operator="equal">
      <formula>"nc"</formula>
    </cfRule>
  </conditionalFormatting>
  <conditionalFormatting sqref="R15 CU15">
    <cfRule type="cellIs" dxfId="2557" priority="654" operator="greaterThan">
      <formula>0</formula>
    </cfRule>
  </conditionalFormatting>
  <conditionalFormatting sqref="T15:AS15 CH15:CS15">
    <cfRule type="cellIs" dxfId="2556" priority="650" stopIfTrue="1" operator="equal">
      <formula>"n"</formula>
    </cfRule>
    <cfRule type="cellIs" dxfId="2555" priority="651" stopIfTrue="1" operator="equal">
      <formula>"y"</formula>
    </cfRule>
    <cfRule type="cellIs" dxfId="2554" priority="652" operator="greaterThan">
      <formula>0</formula>
    </cfRule>
  </conditionalFormatting>
  <conditionalFormatting sqref="AZ15:BB15">
    <cfRule type="expression" dxfId="2553" priority="649">
      <formula>$AT15=0</formula>
    </cfRule>
  </conditionalFormatting>
  <conditionalFormatting sqref="AZ15:BU15">
    <cfRule type="cellIs" dxfId="2552" priority="657" operator="equal">
      <formula>"PIN"</formula>
    </cfRule>
    <cfRule type="cellIs" dxfId="2551" priority="658" operator="equal">
      <formula>"ORA"</formula>
    </cfRule>
    <cfRule type="cellIs" dxfId="2550" priority="659" operator="equal">
      <formula>"GRA"</formula>
    </cfRule>
    <cfRule type="cellIs" dxfId="2549" priority="660" operator="equal">
      <formula>"PUR"</formula>
    </cfRule>
    <cfRule type="cellIs" dxfId="2548" priority="661" operator="equal">
      <formula>"BRO"</formula>
    </cfRule>
    <cfRule type="cellIs" dxfId="2547" priority="662" operator="equal">
      <formula>"YEL"</formula>
    </cfRule>
    <cfRule type="cellIs" dxfId="2546" priority="663" operator="equal">
      <formula>"BLU"</formula>
    </cfRule>
    <cfRule type="cellIs" dxfId="2545" priority="664" operator="equal">
      <formula>"WHI"</formula>
    </cfRule>
    <cfRule type="cellIs" dxfId="2544" priority="665" operator="equal">
      <formula>"GRE"</formula>
    </cfRule>
    <cfRule type="cellIs" dxfId="2543" priority="666" operator="equal">
      <formula>"RED"</formula>
    </cfRule>
    <cfRule type="cellIs" dxfId="2542" priority="667" operator="equal">
      <formula>"BLA"</formula>
    </cfRule>
  </conditionalFormatting>
  <conditionalFormatting sqref="BX15:CA15 CD15:CF15">
    <cfRule type="cellIs" dxfId="2541" priority="653" operator="equal">
      <formula>"y"</formula>
    </cfRule>
    <cfRule type="cellIs" dxfId="2540" priority="668" operator="equal">
      <formula>"PIN"</formula>
    </cfRule>
    <cfRule type="cellIs" dxfId="2539" priority="669" operator="equal">
      <formula>"ORA"</formula>
    </cfRule>
    <cfRule type="cellIs" dxfId="2538" priority="670" operator="equal">
      <formula>"GRA"</formula>
    </cfRule>
    <cfRule type="cellIs" dxfId="2537" priority="671" operator="equal">
      <formula>"PUR"</formula>
    </cfRule>
    <cfRule type="cellIs" dxfId="2536" priority="672" operator="equal">
      <formula>"BRO"</formula>
    </cfRule>
    <cfRule type="cellIs" dxfId="2535" priority="673" operator="equal">
      <formula>"YEL"</formula>
    </cfRule>
    <cfRule type="cellIs" dxfId="2534" priority="674" operator="equal">
      <formula>"BLU"</formula>
    </cfRule>
    <cfRule type="cellIs" dxfId="2533" priority="675" operator="equal">
      <formula>"WHI"</formula>
    </cfRule>
    <cfRule type="cellIs" dxfId="2532" priority="676" operator="equal">
      <formula>"GRE"</formula>
    </cfRule>
    <cfRule type="cellIs" dxfId="2531" priority="677" operator="equal">
      <formula>"RED"</formula>
    </cfRule>
    <cfRule type="cellIs" dxfId="2530" priority="678" operator="equal">
      <formula>"BLA"</formula>
    </cfRule>
  </conditionalFormatting>
  <conditionalFormatting sqref="BZ15:CA15 CD15:CF15">
    <cfRule type="cellIs" dxfId="2529" priority="655" operator="greaterThan">
      <formula>0</formula>
    </cfRule>
  </conditionalFormatting>
  <conditionalFormatting sqref="IC15:IK15">
    <cfRule type="expression" dxfId="2528" priority="656">
      <formula>$IL15&gt;0</formula>
    </cfRule>
  </conditionalFormatting>
  <conditionalFormatting sqref="S15">
    <cfRule type="colorScale" priority="679">
      <colorScale>
        <cfvo type="min"/>
        <cfvo type="max"/>
        <color rgb="FFFCFCFF"/>
        <color rgb="FF754BFB"/>
      </colorScale>
    </cfRule>
  </conditionalFormatting>
  <conditionalFormatting sqref="AT15">
    <cfRule type="colorScale" priority="680">
      <colorScale>
        <cfvo type="min"/>
        <cfvo type="max"/>
        <color rgb="FFFCFCFF"/>
        <color theme="8" tint="0.39997558519241921"/>
      </colorScale>
    </cfRule>
  </conditionalFormatting>
  <conditionalFormatting sqref="CG15">
    <cfRule type="colorScale" priority="681">
      <colorScale>
        <cfvo type="min"/>
        <cfvo type="max"/>
        <color rgb="FFFCFCFF"/>
        <color rgb="FF63BE7B"/>
      </colorScale>
    </cfRule>
  </conditionalFormatting>
  <conditionalFormatting sqref="J15">
    <cfRule type="colorScale" priority="684">
      <colorScale>
        <cfvo type="min"/>
        <cfvo type="percentile" val="50"/>
        <cfvo type="max"/>
        <color rgb="FFF8696B"/>
        <color rgb="FFFFEB84"/>
        <color rgb="FF63BE7B"/>
      </colorScale>
    </cfRule>
  </conditionalFormatting>
  <conditionalFormatting sqref="H16">
    <cfRule type="cellIs" dxfId="2527" priority="646" stopIfTrue="1" operator="notEqual">
      <formula>""</formula>
    </cfRule>
  </conditionalFormatting>
  <conditionalFormatting sqref="BV16:BW16">
    <cfRule type="cellIs" dxfId="2526" priority="647" operator="equal">
      <formula>"nc"</formula>
    </cfRule>
  </conditionalFormatting>
  <conditionalFormatting sqref="R16 CU16">
    <cfRule type="cellIs" dxfId="2525" priority="618" operator="greaterThan">
      <formula>0</formula>
    </cfRule>
  </conditionalFormatting>
  <conditionalFormatting sqref="T16:AS16 CH16:CS16">
    <cfRule type="cellIs" dxfId="2524" priority="614" stopIfTrue="1" operator="equal">
      <formula>"n"</formula>
    </cfRule>
    <cfRule type="cellIs" dxfId="2523" priority="615" stopIfTrue="1" operator="equal">
      <formula>"y"</formula>
    </cfRule>
    <cfRule type="cellIs" dxfId="2522" priority="616" operator="greaterThan">
      <formula>0</formula>
    </cfRule>
  </conditionalFormatting>
  <conditionalFormatting sqref="AZ16:BB16">
    <cfRule type="expression" dxfId="2521" priority="613">
      <formula>$AT16=0</formula>
    </cfRule>
  </conditionalFormatting>
  <conditionalFormatting sqref="AZ16:BU16">
    <cfRule type="cellIs" dxfId="2520" priority="621" operator="equal">
      <formula>"PIN"</formula>
    </cfRule>
    <cfRule type="cellIs" dxfId="2519" priority="622" operator="equal">
      <formula>"ORA"</formula>
    </cfRule>
    <cfRule type="cellIs" dxfId="2518" priority="623" operator="equal">
      <formula>"GRA"</formula>
    </cfRule>
    <cfRule type="cellIs" dxfId="2517" priority="624" operator="equal">
      <formula>"PUR"</formula>
    </cfRule>
    <cfRule type="cellIs" dxfId="2516" priority="625" operator="equal">
      <formula>"BRO"</formula>
    </cfRule>
    <cfRule type="cellIs" dxfId="2515" priority="626" operator="equal">
      <formula>"YEL"</formula>
    </cfRule>
    <cfRule type="cellIs" dxfId="2514" priority="627" operator="equal">
      <formula>"BLU"</formula>
    </cfRule>
    <cfRule type="cellIs" dxfId="2513" priority="628" operator="equal">
      <formula>"WHI"</formula>
    </cfRule>
    <cfRule type="cellIs" dxfId="2512" priority="629" operator="equal">
      <formula>"GRE"</formula>
    </cfRule>
    <cfRule type="cellIs" dxfId="2511" priority="630" operator="equal">
      <formula>"RED"</formula>
    </cfRule>
    <cfRule type="cellIs" dxfId="2510" priority="631" operator="equal">
      <formula>"BLA"</formula>
    </cfRule>
  </conditionalFormatting>
  <conditionalFormatting sqref="BX16:CA16 CD16:CF16">
    <cfRule type="cellIs" dxfId="2509" priority="617" operator="equal">
      <formula>"y"</formula>
    </cfRule>
    <cfRule type="cellIs" dxfId="2508" priority="632" operator="equal">
      <formula>"PIN"</formula>
    </cfRule>
    <cfRule type="cellIs" dxfId="2507" priority="633" operator="equal">
      <formula>"ORA"</formula>
    </cfRule>
    <cfRule type="cellIs" dxfId="2506" priority="634" operator="equal">
      <formula>"GRA"</formula>
    </cfRule>
    <cfRule type="cellIs" dxfId="2505" priority="635" operator="equal">
      <formula>"PUR"</formula>
    </cfRule>
    <cfRule type="cellIs" dxfId="2504" priority="636" operator="equal">
      <formula>"BRO"</formula>
    </cfRule>
    <cfRule type="cellIs" dxfId="2503" priority="637" operator="equal">
      <formula>"YEL"</formula>
    </cfRule>
    <cfRule type="cellIs" dxfId="2502" priority="638" operator="equal">
      <formula>"BLU"</formula>
    </cfRule>
    <cfRule type="cellIs" dxfId="2501" priority="639" operator="equal">
      <formula>"WHI"</formula>
    </cfRule>
    <cfRule type="cellIs" dxfId="2500" priority="640" operator="equal">
      <formula>"GRE"</formula>
    </cfRule>
    <cfRule type="cellIs" dxfId="2499" priority="641" operator="equal">
      <formula>"RED"</formula>
    </cfRule>
    <cfRule type="cellIs" dxfId="2498" priority="642" operator="equal">
      <formula>"BLA"</formula>
    </cfRule>
  </conditionalFormatting>
  <conditionalFormatting sqref="BZ16:CA16 CD16:CF16">
    <cfRule type="cellIs" dxfId="2497" priority="619" operator="greaterThan">
      <formula>0</formula>
    </cfRule>
  </conditionalFormatting>
  <conditionalFormatting sqref="IC16:IK16">
    <cfRule type="expression" dxfId="2496" priority="620">
      <formula>$IL16&gt;0</formula>
    </cfRule>
  </conditionalFormatting>
  <conditionalFormatting sqref="S16">
    <cfRule type="colorScale" priority="643">
      <colorScale>
        <cfvo type="min"/>
        <cfvo type="max"/>
        <color rgb="FFFCFCFF"/>
        <color rgb="FF754BFB"/>
      </colorScale>
    </cfRule>
  </conditionalFormatting>
  <conditionalFormatting sqref="AT16">
    <cfRule type="colorScale" priority="644">
      <colorScale>
        <cfvo type="min"/>
        <cfvo type="max"/>
        <color rgb="FFFCFCFF"/>
        <color theme="8" tint="0.39997558519241921"/>
      </colorScale>
    </cfRule>
  </conditionalFormatting>
  <conditionalFormatting sqref="CG16">
    <cfRule type="colorScale" priority="645">
      <colorScale>
        <cfvo type="min"/>
        <cfvo type="max"/>
        <color rgb="FFFCFCFF"/>
        <color rgb="FF63BE7B"/>
      </colorScale>
    </cfRule>
  </conditionalFormatting>
  <conditionalFormatting sqref="J16">
    <cfRule type="colorScale" priority="648">
      <colorScale>
        <cfvo type="min"/>
        <cfvo type="percentile" val="50"/>
        <cfvo type="max"/>
        <color rgb="FFF8696B"/>
        <color rgb="FFFFEB84"/>
        <color rgb="FF63BE7B"/>
      </colorScale>
    </cfRule>
  </conditionalFormatting>
  <conditionalFormatting sqref="H17">
    <cfRule type="cellIs" dxfId="2495" priority="610" stopIfTrue="1" operator="notEqual">
      <formula>""</formula>
    </cfRule>
  </conditionalFormatting>
  <conditionalFormatting sqref="BV17:BW17">
    <cfRule type="cellIs" dxfId="2494" priority="611" operator="equal">
      <formula>"nc"</formula>
    </cfRule>
  </conditionalFormatting>
  <conditionalFormatting sqref="R17 CU17">
    <cfRule type="cellIs" dxfId="2493" priority="582" operator="greaterThan">
      <formula>0</formula>
    </cfRule>
  </conditionalFormatting>
  <conditionalFormatting sqref="T17:AS17 CH17:CS17">
    <cfRule type="cellIs" dxfId="2492" priority="578" stopIfTrue="1" operator="equal">
      <formula>"n"</formula>
    </cfRule>
    <cfRule type="cellIs" dxfId="2491" priority="579" stopIfTrue="1" operator="equal">
      <formula>"y"</formula>
    </cfRule>
    <cfRule type="cellIs" dxfId="2490" priority="580" operator="greaterThan">
      <formula>0</formula>
    </cfRule>
  </conditionalFormatting>
  <conditionalFormatting sqref="AZ17:BB17">
    <cfRule type="expression" dxfId="2489" priority="577">
      <formula>$AT17=0</formula>
    </cfRule>
  </conditionalFormatting>
  <conditionalFormatting sqref="AZ17:BU17">
    <cfRule type="cellIs" dxfId="2488" priority="585" operator="equal">
      <formula>"PIN"</formula>
    </cfRule>
    <cfRule type="cellIs" dxfId="2487" priority="586" operator="equal">
      <formula>"ORA"</formula>
    </cfRule>
    <cfRule type="cellIs" dxfId="2486" priority="587" operator="equal">
      <formula>"GRA"</formula>
    </cfRule>
    <cfRule type="cellIs" dxfId="2485" priority="588" operator="equal">
      <formula>"PUR"</formula>
    </cfRule>
    <cfRule type="cellIs" dxfId="2484" priority="589" operator="equal">
      <formula>"BRO"</formula>
    </cfRule>
    <cfRule type="cellIs" dxfId="2483" priority="590" operator="equal">
      <formula>"YEL"</formula>
    </cfRule>
    <cfRule type="cellIs" dxfId="2482" priority="591" operator="equal">
      <formula>"BLU"</formula>
    </cfRule>
    <cfRule type="cellIs" dxfId="2481" priority="592" operator="equal">
      <formula>"WHI"</formula>
    </cfRule>
    <cfRule type="cellIs" dxfId="2480" priority="593" operator="equal">
      <formula>"GRE"</formula>
    </cfRule>
    <cfRule type="cellIs" dxfId="2479" priority="594" operator="equal">
      <formula>"RED"</formula>
    </cfRule>
    <cfRule type="cellIs" dxfId="2478" priority="595" operator="equal">
      <formula>"BLA"</formula>
    </cfRule>
  </conditionalFormatting>
  <conditionalFormatting sqref="BX17:CA17 CD17:CF17">
    <cfRule type="cellIs" dxfId="2477" priority="581" operator="equal">
      <formula>"y"</formula>
    </cfRule>
    <cfRule type="cellIs" dxfId="2476" priority="596" operator="equal">
      <formula>"PIN"</formula>
    </cfRule>
    <cfRule type="cellIs" dxfId="2475" priority="597" operator="equal">
      <formula>"ORA"</formula>
    </cfRule>
    <cfRule type="cellIs" dxfId="2474" priority="598" operator="equal">
      <formula>"GRA"</formula>
    </cfRule>
    <cfRule type="cellIs" dxfId="2473" priority="599" operator="equal">
      <formula>"PUR"</formula>
    </cfRule>
    <cfRule type="cellIs" dxfId="2472" priority="600" operator="equal">
      <formula>"BRO"</formula>
    </cfRule>
    <cfRule type="cellIs" dxfId="2471" priority="601" operator="equal">
      <formula>"YEL"</formula>
    </cfRule>
    <cfRule type="cellIs" dxfId="2470" priority="602" operator="equal">
      <formula>"BLU"</formula>
    </cfRule>
    <cfRule type="cellIs" dxfId="2469" priority="603" operator="equal">
      <formula>"WHI"</formula>
    </cfRule>
    <cfRule type="cellIs" dxfId="2468" priority="604" operator="equal">
      <formula>"GRE"</formula>
    </cfRule>
    <cfRule type="cellIs" dxfId="2467" priority="605" operator="equal">
      <formula>"RED"</formula>
    </cfRule>
    <cfRule type="cellIs" dxfId="2466" priority="606" operator="equal">
      <formula>"BLA"</formula>
    </cfRule>
  </conditionalFormatting>
  <conditionalFormatting sqref="BZ17:CA17 CD17:CF17">
    <cfRule type="cellIs" dxfId="2465" priority="583" operator="greaterThan">
      <formula>0</formula>
    </cfRule>
  </conditionalFormatting>
  <conditionalFormatting sqref="IC17:IK17">
    <cfRule type="expression" dxfId="2464" priority="584">
      <formula>$IL17&gt;0</formula>
    </cfRule>
  </conditionalFormatting>
  <conditionalFormatting sqref="S17">
    <cfRule type="colorScale" priority="607">
      <colorScale>
        <cfvo type="min"/>
        <cfvo type="max"/>
        <color rgb="FFFCFCFF"/>
        <color rgb="FF754BFB"/>
      </colorScale>
    </cfRule>
  </conditionalFormatting>
  <conditionalFormatting sqref="AT17">
    <cfRule type="colorScale" priority="608">
      <colorScale>
        <cfvo type="min"/>
        <cfvo type="max"/>
        <color rgb="FFFCFCFF"/>
        <color theme="8" tint="0.39997558519241921"/>
      </colorScale>
    </cfRule>
  </conditionalFormatting>
  <conditionalFormatting sqref="CG17">
    <cfRule type="colorScale" priority="609">
      <colorScale>
        <cfvo type="min"/>
        <cfvo type="max"/>
        <color rgb="FFFCFCFF"/>
        <color rgb="FF63BE7B"/>
      </colorScale>
    </cfRule>
  </conditionalFormatting>
  <conditionalFormatting sqref="J17">
    <cfRule type="colorScale" priority="612">
      <colorScale>
        <cfvo type="min"/>
        <cfvo type="percentile" val="50"/>
        <cfvo type="max"/>
        <color rgb="FFF8696B"/>
        <color rgb="FFFFEB84"/>
        <color rgb="FF63BE7B"/>
      </colorScale>
    </cfRule>
  </conditionalFormatting>
  <conditionalFormatting sqref="H18">
    <cfRule type="cellIs" dxfId="2463" priority="574" stopIfTrue="1" operator="notEqual">
      <formula>""</formula>
    </cfRule>
  </conditionalFormatting>
  <conditionalFormatting sqref="BV18:BW18">
    <cfRule type="cellIs" dxfId="2462" priority="575" operator="equal">
      <formula>"nc"</formula>
    </cfRule>
  </conditionalFormatting>
  <conditionalFormatting sqref="R18 CU18">
    <cfRule type="cellIs" dxfId="2461" priority="546" operator="greaterThan">
      <formula>0</formula>
    </cfRule>
  </conditionalFormatting>
  <conditionalFormatting sqref="T18:AS18 CH18:CS18">
    <cfRule type="cellIs" dxfId="2460" priority="542" stopIfTrue="1" operator="equal">
      <formula>"n"</formula>
    </cfRule>
    <cfRule type="cellIs" dxfId="2459" priority="543" stopIfTrue="1" operator="equal">
      <formula>"y"</formula>
    </cfRule>
    <cfRule type="cellIs" dxfId="2458" priority="544" operator="greaterThan">
      <formula>0</formula>
    </cfRule>
  </conditionalFormatting>
  <conditionalFormatting sqref="AZ18:BB18">
    <cfRule type="expression" dxfId="2457" priority="541">
      <formula>$AT18=0</formula>
    </cfRule>
  </conditionalFormatting>
  <conditionalFormatting sqref="AZ18:BU18">
    <cfRule type="cellIs" dxfId="2456" priority="549" operator="equal">
      <formula>"PIN"</formula>
    </cfRule>
    <cfRule type="cellIs" dxfId="2455" priority="550" operator="equal">
      <formula>"ORA"</formula>
    </cfRule>
    <cfRule type="cellIs" dxfId="2454" priority="551" operator="equal">
      <formula>"GRA"</formula>
    </cfRule>
    <cfRule type="cellIs" dxfId="2453" priority="552" operator="equal">
      <formula>"PUR"</formula>
    </cfRule>
    <cfRule type="cellIs" dxfId="2452" priority="553" operator="equal">
      <formula>"BRO"</formula>
    </cfRule>
    <cfRule type="cellIs" dxfId="2451" priority="554" operator="equal">
      <formula>"YEL"</formula>
    </cfRule>
    <cfRule type="cellIs" dxfId="2450" priority="555" operator="equal">
      <formula>"BLU"</formula>
    </cfRule>
    <cfRule type="cellIs" dxfId="2449" priority="556" operator="equal">
      <formula>"WHI"</formula>
    </cfRule>
    <cfRule type="cellIs" dxfId="2448" priority="557" operator="equal">
      <formula>"GRE"</formula>
    </cfRule>
    <cfRule type="cellIs" dxfId="2447" priority="558" operator="equal">
      <formula>"RED"</formula>
    </cfRule>
    <cfRule type="cellIs" dxfId="2446" priority="559" operator="equal">
      <formula>"BLA"</formula>
    </cfRule>
  </conditionalFormatting>
  <conditionalFormatting sqref="BX18:CA18 CD18:CF18">
    <cfRule type="cellIs" dxfId="2445" priority="545" operator="equal">
      <formula>"y"</formula>
    </cfRule>
    <cfRule type="cellIs" dxfId="2444" priority="560" operator="equal">
      <formula>"PIN"</formula>
    </cfRule>
    <cfRule type="cellIs" dxfId="2443" priority="561" operator="equal">
      <formula>"ORA"</formula>
    </cfRule>
    <cfRule type="cellIs" dxfId="2442" priority="562" operator="equal">
      <formula>"GRA"</formula>
    </cfRule>
    <cfRule type="cellIs" dxfId="2441" priority="563" operator="equal">
      <formula>"PUR"</formula>
    </cfRule>
    <cfRule type="cellIs" dxfId="2440" priority="564" operator="equal">
      <formula>"BRO"</formula>
    </cfRule>
    <cfRule type="cellIs" dxfId="2439" priority="565" operator="equal">
      <formula>"YEL"</formula>
    </cfRule>
    <cfRule type="cellIs" dxfId="2438" priority="566" operator="equal">
      <formula>"BLU"</formula>
    </cfRule>
    <cfRule type="cellIs" dxfId="2437" priority="567" operator="equal">
      <formula>"WHI"</formula>
    </cfRule>
    <cfRule type="cellIs" dxfId="2436" priority="568" operator="equal">
      <formula>"GRE"</formula>
    </cfRule>
    <cfRule type="cellIs" dxfId="2435" priority="569" operator="equal">
      <formula>"RED"</formula>
    </cfRule>
    <cfRule type="cellIs" dxfId="2434" priority="570" operator="equal">
      <formula>"BLA"</formula>
    </cfRule>
  </conditionalFormatting>
  <conditionalFormatting sqref="BZ18:CA18 CD18:CF18">
    <cfRule type="cellIs" dxfId="2433" priority="547" operator="greaterThan">
      <formula>0</formula>
    </cfRule>
  </conditionalFormatting>
  <conditionalFormatting sqref="IC18:IK18">
    <cfRule type="expression" dxfId="2432" priority="548">
      <formula>$IL18&gt;0</formula>
    </cfRule>
  </conditionalFormatting>
  <conditionalFormatting sqref="S18">
    <cfRule type="colorScale" priority="571">
      <colorScale>
        <cfvo type="min"/>
        <cfvo type="max"/>
        <color rgb="FFFCFCFF"/>
        <color rgb="FF754BFB"/>
      </colorScale>
    </cfRule>
  </conditionalFormatting>
  <conditionalFormatting sqref="AT18">
    <cfRule type="colorScale" priority="572">
      <colorScale>
        <cfvo type="min"/>
        <cfvo type="max"/>
        <color rgb="FFFCFCFF"/>
        <color theme="8" tint="0.39997558519241921"/>
      </colorScale>
    </cfRule>
  </conditionalFormatting>
  <conditionalFormatting sqref="CG18">
    <cfRule type="colorScale" priority="573">
      <colorScale>
        <cfvo type="min"/>
        <cfvo type="max"/>
        <color rgb="FFFCFCFF"/>
        <color rgb="FF63BE7B"/>
      </colorScale>
    </cfRule>
  </conditionalFormatting>
  <conditionalFormatting sqref="J18">
    <cfRule type="colorScale" priority="576">
      <colorScale>
        <cfvo type="min"/>
        <cfvo type="percentile" val="50"/>
        <cfvo type="max"/>
        <color rgb="FFF8696B"/>
        <color rgb="FFFFEB84"/>
        <color rgb="FF63BE7B"/>
      </colorScale>
    </cfRule>
  </conditionalFormatting>
  <conditionalFormatting sqref="H19">
    <cfRule type="cellIs" dxfId="2431" priority="510" stopIfTrue="1" operator="notEqual">
      <formula>""</formula>
    </cfRule>
  </conditionalFormatting>
  <conditionalFormatting sqref="R19 CU19">
    <cfRule type="cellIs" dxfId="2430" priority="512" operator="greaterThan">
      <formula>0</formula>
    </cfRule>
  </conditionalFormatting>
  <conditionalFormatting sqref="T19:AS19 CH19:CS19">
    <cfRule type="cellIs" dxfId="2429" priority="507" stopIfTrue="1" operator="equal">
      <formula>"n"</formula>
    </cfRule>
    <cfRule type="cellIs" dxfId="2428" priority="508" stopIfTrue="1" operator="equal">
      <formula>"y"</formula>
    </cfRule>
    <cfRule type="cellIs" dxfId="2427" priority="509" operator="greaterThan">
      <formula>0</formula>
    </cfRule>
  </conditionalFormatting>
  <conditionalFormatting sqref="AZ19:BB19">
    <cfRule type="expression" dxfId="2426" priority="506">
      <formula>$AT19=0</formula>
    </cfRule>
  </conditionalFormatting>
  <conditionalFormatting sqref="AZ19:BU19">
    <cfRule type="cellIs" dxfId="2425" priority="515" operator="equal">
      <formula>"PIN"</formula>
    </cfRule>
    <cfRule type="cellIs" dxfId="2424" priority="516" operator="equal">
      <formula>"ORA"</formula>
    </cfRule>
    <cfRule type="cellIs" dxfId="2423" priority="517" operator="equal">
      <formula>"GRA"</formula>
    </cfRule>
    <cfRule type="cellIs" dxfId="2422" priority="518" operator="equal">
      <formula>"PUR"</formula>
    </cfRule>
    <cfRule type="cellIs" dxfId="2421" priority="519" operator="equal">
      <formula>"BRO"</formula>
    </cfRule>
    <cfRule type="cellIs" dxfId="2420" priority="520" operator="equal">
      <formula>"YEL"</formula>
    </cfRule>
    <cfRule type="cellIs" dxfId="2419" priority="521" operator="equal">
      <formula>"BLU"</formula>
    </cfRule>
    <cfRule type="cellIs" dxfId="2418" priority="522" operator="equal">
      <formula>"WHI"</formula>
    </cfRule>
    <cfRule type="cellIs" dxfId="2417" priority="523" operator="equal">
      <formula>"GRE"</formula>
    </cfRule>
    <cfRule type="cellIs" dxfId="2416" priority="524" operator="equal">
      <formula>"RED"</formula>
    </cfRule>
    <cfRule type="cellIs" dxfId="2415" priority="525" operator="equal">
      <formula>"BLA"</formula>
    </cfRule>
  </conditionalFormatting>
  <conditionalFormatting sqref="BV19:BW19">
    <cfRule type="cellIs" dxfId="2414" priority="537" operator="equal">
      <formula>"nc"</formula>
    </cfRule>
  </conditionalFormatting>
  <conditionalFormatting sqref="BX19:CA19 CD19:CF19">
    <cfRule type="cellIs" dxfId="2413" priority="511" operator="equal">
      <formula>"y"</formula>
    </cfRule>
    <cfRule type="cellIs" dxfId="2412" priority="526" operator="equal">
      <formula>"PIN"</formula>
    </cfRule>
    <cfRule type="cellIs" dxfId="2411" priority="527" operator="equal">
      <formula>"ORA"</formula>
    </cfRule>
    <cfRule type="cellIs" dxfId="2410" priority="528" operator="equal">
      <formula>"GRA"</formula>
    </cfRule>
    <cfRule type="cellIs" dxfId="2409" priority="529" operator="equal">
      <formula>"PUR"</formula>
    </cfRule>
    <cfRule type="cellIs" dxfId="2408" priority="530" operator="equal">
      <formula>"BRO"</formula>
    </cfRule>
    <cfRule type="cellIs" dxfId="2407" priority="531" operator="equal">
      <formula>"YEL"</formula>
    </cfRule>
    <cfRule type="cellIs" dxfId="2406" priority="532" operator="equal">
      <formula>"BLU"</formula>
    </cfRule>
    <cfRule type="cellIs" dxfId="2405" priority="533" operator="equal">
      <formula>"WHI"</formula>
    </cfRule>
    <cfRule type="cellIs" dxfId="2404" priority="534" operator="equal">
      <formula>"GRE"</formula>
    </cfRule>
    <cfRule type="cellIs" dxfId="2403" priority="535" operator="equal">
      <formula>"RED"</formula>
    </cfRule>
    <cfRule type="cellIs" dxfId="2402" priority="536" operator="equal">
      <formula>"BLA"</formula>
    </cfRule>
  </conditionalFormatting>
  <conditionalFormatting sqref="BZ19:CA19 CD19:CF19">
    <cfRule type="cellIs" dxfId="2401" priority="513" operator="greaterThan">
      <formula>0</formula>
    </cfRule>
  </conditionalFormatting>
  <conditionalFormatting sqref="IC19:IK19">
    <cfRule type="expression" dxfId="2400" priority="514">
      <formula>$IL19&gt;0</formula>
    </cfRule>
  </conditionalFormatting>
  <conditionalFormatting sqref="S19">
    <cfRule type="colorScale" priority="538">
      <colorScale>
        <cfvo type="min"/>
        <cfvo type="max"/>
        <color rgb="FFFCFCFF"/>
        <color rgb="FF754BFB"/>
      </colorScale>
    </cfRule>
  </conditionalFormatting>
  <conditionalFormatting sqref="AT19">
    <cfRule type="colorScale" priority="539">
      <colorScale>
        <cfvo type="min"/>
        <cfvo type="max"/>
        <color rgb="FFFCFCFF"/>
        <color theme="8" tint="0.39997558519241921"/>
      </colorScale>
    </cfRule>
  </conditionalFormatting>
  <conditionalFormatting sqref="CG19">
    <cfRule type="colorScale" priority="540">
      <colorScale>
        <cfvo type="min"/>
        <cfvo type="max"/>
        <color rgb="FFFCFCFF"/>
        <color rgb="FF63BE7B"/>
      </colorScale>
    </cfRule>
  </conditionalFormatting>
  <conditionalFormatting sqref="J19">
    <cfRule type="colorScale" priority="505">
      <colorScale>
        <cfvo type="min"/>
        <cfvo type="percentile" val="50"/>
        <cfvo type="max"/>
        <color rgb="FFF8696B"/>
        <color rgb="FFFFEB84"/>
        <color rgb="FF63BE7B"/>
      </colorScale>
    </cfRule>
  </conditionalFormatting>
  <conditionalFormatting sqref="H20">
    <cfRule type="cellIs" dxfId="2399" priority="474" stopIfTrue="1" operator="notEqual">
      <formula>""</formula>
    </cfRule>
  </conditionalFormatting>
  <conditionalFormatting sqref="R20 CU20">
    <cfRule type="cellIs" dxfId="2398" priority="476" operator="greaterThan">
      <formula>0</formula>
    </cfRule>
  </conditionalFormatting>
  <conditionalFormatting sqref="T20:AS20 CH20:CS20">
    <cfRule type="cellIs" dxfId="2397" priority="471" stopIfTrue="1" operator="equal">
      <formula>"n"</formula>
    </cfRule>
    <cfRule type="cellIs" dxfId="2396" priority="472" stopIfTrue="1" operator="equal">
      <formula>"y"</formula>
    </cfRule>
    <cfRule type="cellIs" dxfId="2395" priority="473" operator="greaterThan">
      <formula>0</formula>
    </cfRule>
  </conditionalFormatting>
  <conditionalFormatting sqref="AZ20:BB20">
    <cfRule type="expression" dxfId="2394" priority="470">
      <formula>$AT20=0</formula>
    </cfRule>
  </conditionalFormatting>
  <conditionalFormatting sqref="AZ20:BU20">
    <cfRule type="cellIs" dxfId="2393" priority="479" operator="equal">
      <formula>"PIN"</formula>
    </cfRule>
    <cfRule type="cellIs" dxfId="2392" priority="480" operator="equal">
      <formula>"ORA"</formula>
    </cfRule>
    <cfRule type="cellIs" dxfId="2391" priority="481" operator="equal">
      <formula>"GRA"</formula>
    </cfRule>
    <cfRule type="cellIs" dxfId="2390" priority="482" operator="equal">
      <formula>"PUR"</formula>
    </cfRule>
    <cfRule type="cellIs" dxfId="2389" priority="483" operator="equal">
      <formula>"BRO"</formula>
    </cfRule>
    <cfRule type="cellIs" dxfId="2388" priority="484" operator="equal">
      <formula>"YEL"</formula>
    </cfRule>
    <cfRule type="cellIs" dxfId="2387" priority="485" operator="equal">
      <formula>"BLU"</formula>
    </cfRule>
    <cfRule type="cellIs" dxfId="2386" priority="486" operator="equal">
      <formula>"WHI"</formula>
    </cfRule>
    <cfRule type="cellIs" dxfId="2385" priority="487" operator="equal">
      <formula>"GRE"</formula>
    </cfRule>
    <cfRule type="cellIs" dxfId="2384" priority="488" operator="equal">
      <formula>"RED"</formula>
    </cfRule>
    <cfRule type="cellIs" dxfId="2383" priority="489" operator="equal">
      <formula>"BLA"</formula>
    </cfRule>
  </conditionalFormatting>
  <conditionalFormatting sqref="BV20:BW20">
    <cfRule type="cellIs" dxfId="2382" priority="501" operator="equal">
      <formula>"nc"</formula>
    </cfRule>
  </conditionalFormatting>
  <conditionalFormatting sqref="BX20:CA20 CD20:CF20">
    <cfRule type="cellIs" dxfId="2381" priority="475" operator="equal">
      <formula>"y"</formula>
    </cfRule>
    <cfRule type="cellIs" dxfId="2380" priority="490" operator="equal">
      <formula>"PIN"</formula>
    </cfRule>
    <cfRule type="cellIs" dxfId="2379" priority="491" operator="equal">
      <formula>"ORA"</formula>
    </cfRule>
    <cfRule type="cellIs" dxfId="2378" priority="492" operator="equal">
      <formula>"GRA"</formula>
    </cfRule>
    <cfRule type="cellIs" dxfId="2377" priority="493" operator="equal">
      <formula>"PUR"</formula>
    </cfRule>
    <cfRule type="cellIs" dxfId="2376" priority="494" operator="equal">
      <formula>"BRO"</formula>
    </cfRule>
    <cfRule type="cellIs" dxfId="2375" priority="495" operator="equal">
      <formula>"YEL"</formula>
    </cfRule>
    <cfRule type="cellIs" dxfId="2374" priority="496" operator="equal">
      <formula>"BLU"</formula>
    </cfRule>
    <cfRule type="cellIs" dxfId="2373" priority="497" operator="equal">
      <formula>"WHI"</formula>
    </cfRule>
    <cfRule type="cellIs" dxfId="2372" priority="498" operator="equal">
      <formula>"GRE"</formula>
    </cfRule>
    <cfRule type="cellIs" dxfId="2371" priority="499" operator="equal">
      <formula>"RED"</formula>
    </cfRule>
    <cfRule type="cellIs" dxfId="2370" priority="500" operator="equal">
      <formula>"BLA"</formula>
    </cfRule>
  </conditionalFormatting>
  <conditionalFormatting sqref="BZ20:CA20 CD20:CF20">
    <cfRule type="cellIs" dxfId="2369" priority="477" operator="greaterThan">
      <formula>0</formula>
    </cfRule>
  </conditionalFormatting>
  <conditionalFormatting sqref="IC20:IK20">
    <cfRule type="expression" dxfId="2368" priority="478">
      <formula>$IL20&gt;0</formula>
    </cfRule>
  </conditionalFormatting>
  <conditionalFormatting sqref="S20">
    <cfRule type="colorScale" priority="502">
      <colorScale>
        <cfvo type="min"/>
        <cfvo type="max"/>
        <color rgb="FFFCFCFF"/>
        <color rgb="FF754BFB"/>
      </colorScale>
    </cfRule>
  </conditionalFormatting>
  <conditionalFormatting sqref="AT20">
    <cfRule type="colorScale" priority="503">
      <colorScale>
        <cfvo type="min"/>
        <cfvo type="max"/>
        <color rgb="FFFCFCFF"/>
        <color theme="8" tint="0.39997558519241921"/>
      </colorScale>
    </cfRule>
  </conditionalFormatting>
  <conditionalFormatting sqref="CG20">
    <cfRule type="colorScale" priority="504">
      <colorScale>
        <cfvo type="min"/>
        <cfvo type="max"/>
        <color rgb="FFFCFCFF"/>
        <color rgb="FF63BE7B"/>
      </colorScale>
    </cfRule>
  </conditionalFormatting>
  <conditionalFormatting sqref="J20">
    <cfRule type="colorScale" priority="469">
      <colorScale>
        <cfvo type="min"/>
        <cfvo type="percentile" val="50"/>
        <cfvo type="max"/>
        <color rgb="FFF8696B"/>
        <color rgb="FFFFEB84"/>
        <color rgb="FF63BE7B"/>
      </colorScale>
    </cfRule>
  </conditionalFormatting>
  <conditionalFormatting sqref="H21">
    <cfRule type="cellIs" dxfId="2367" priority="438" stopIfTrue="1" operator="notEqual">
      <formula>""</formula>
    </cfRule>
  </conditionalFormatting>
  <conditionalFormatting sqref="R21 CU21">
    <cfRule type="cellIs" dxfId="2366" priority="440" operator="greaterThan">
      <formula>0</formula>
    </cfRule>
  </conditionalFormatting>
  <conditionalFormatting sqref="T21:AS21 CH21:CS21">
    <cfRule type="cellIs" dxfId="2365" priority="435" stopIfTrue="1" operator="equal">
      <formula>"n"</formula>
    </cfRule>
    <cfRule type="cellIs" dxfId="2364" priority="436" stopIfTrue="1" operator="equal">
      <formula>"y"</formula>
    </cfRule>
    <cfRule type="cellIs" dxfId="2363" priority="437" operator="greaterThan">
      <formula>0</formula>
    </cfRule>
  </conditionalFormatting>
  <conditionalFormatting sqref="AZ21:BB21">
    <cfRule type="expression" dxfId="2362" priority="434">
      <formula>$AT21=0</formula>
    </cfRule>
  </conditionalFormatting>
  <conditionalFormatting sqref="AZ21:BU21">
    <cfRule type="cellIs" dxfId="2361" priority="443" operator="equal">
      <formula>"PIN"</formula>
    </cfRule>
    <cfRule type="cellIs" dxfId="2360" priority="444" operator="equal">
      <formula>"ORA"</formula>
    </cfRule>
    <cfRule type="cellIs" dxfId="2359" priority="445" operator="equal">
      <formula>"GRA"</formula>
    </cfRule>
    <cfRule type="cellIs" dxfId="2358" priority="446" operator="equal">
      <formula>"PUR"</formula>
    </cfRule>
    <cfRule type="cellIs" dxfId="2357" priority="447" operator="equal">
      <formula>"BRO"</formula>
    </cfRule>
    <cfRule type="cellIs" dxfId="2356" priority="448" operator="equal">
      <formula>"YEL"</formula>
    </cfRule>
    <cfRule type="cellIs" dxfId="2355" priority="449" operator="equal">
      <formula>"BLU"</formula>
    </cfRule>
    <cfRule type="cellIs" dxfId="2354" priority="450" operator="equal">
      <formula>"WHI"</formula>
    </cfRule>
    <cfRule type="cellIs" dxfId="2353" priority="451" operator="equal">
      <formula>"GRE"</formula>
    </cfRule>
    <cfRule type="cellIs" dxfId="2352" priority="452" operator="equal">
      <formula>"RED"</formula>
    </cfRule>
    <cfRule type="cellIs" dxfId="2351" priority="453" operator="equal">
      <formula>"BLA"</formula>
    </cfRule>
  </conditionalFormatting>
  <conditionalFormatting sqref="BV21:BW21">
    <cfRule type="cellIs" dxfId="2350" priority="465" operator="equal">
      <formula>"nc"</formula>
    </cfRule>
  </conditionalFormatting>
  <conditionalFormatting sqref="BX21:CA21 CD21:CF21">
    <cfRule type="cellIs" dxfId="2349" priority="439" operator="equal">
      <formula>"y"</formula>
    </cfRule>
    <cfRule type="cellIs" dxfId="2348" priority="454" operator="equal">
      <formula>"PIN"</formula>
    </cfRule>
    <cfRule type="cellIs" dxfId="2347" priority="455" operator="equal">
      <formula>"ORA"</formula>
    </cfRule>
    <cfRule type="cellIs" dxfId="2346" priority="456" operator="equal">
      <formula>"GRA"</formula>
    </cfRule>
    <cfRule type="cellIs" dxfId="2345" priority="457" operator="equal">
      <formula>"PUR"</formula>
    </cfRule>
    <cfRule type="cellIs" dxfId="2344" priority="458" operator="equal">
      <formula>"BRO"</formula>
    </cfRule>
    <cfRule type="cellIs" dxfId="2343" priority="459" operator="equal">
      <formula>"YEL"</formula>
    </cfRule>
    <cfRule type="cellIs" dxfId="2342" priority="460" operator="equal">
      <formula>"BLU"</formula>
    </cfRule>
    <cfRule type="cellIs" dxfId="2341" priority="461" operator="equal">
      <formula>"WHI"</formula>
    </cfRule>
    <cfRule type="cellIs" dxfId="2340" priority="462" operator="equal">
      <formula>"GRE"</formula>
    </cfRule>
    <cfRule type="cellIs" dxfId="2339" priority="463" operator="equal">
      <formula>"RED"</formula>
    </cfRule>
    <cfRule type="cellIs" dxfId="2338" priority="464" operator="equal">
      <formula>"BLA"</formula>
    </cfRule>
  </conditionalFormatting>
  <conditionalFormatting sqref="BZ21:CA21 CD21:CF21">
    <cfRule type="cellIs" dxfId="2337" priority="441" operator="greaterThan">
      <formula>0</formula>
    </cfRule>
  </conditionalFormatting>
  <conditionalFormatting sqref="IC21:IK21">
    <cfRule type="expression" dxfId="2336" priority="442">
      <formula>$IL21&gt;0</formula>
    </cfRule>
  </conditionalFormatting>
  <conditionalFormatting sqref="S21">
    <cfRule type="colorScale" priority="466">
      <colorScale>
        <cfvo type="min"/>
        <cfvo type="max"/>
        <color rgb="FFFCFCFF"/>
        <color rgb="FF754BFB"/>
      </colorScale>
    </cfRule>
  </conditionalFormatting>
  <conditionalFormatting sqref="AT21">
    <cfRule type="colorScale" priority="467">
      <colorScale>
        <cfvo type="min"/>
        <cfvo type="max"/>
        <color rgb="FFFCFCFF"/>
        <color theme="8" tint="0.39997558519241921"/>
      </colorScale>
    </cfRule>
  </conditionalFormatting>
  <conditionalFormatting sqref="CG21">
    <cfRule type="colorScale" priority="468">
      <colorScale>
        <cfvo type="min"/>
        <cfvo type="max"/>
        <color rgb="FFFCFCFF"/>
        <color rgb="FF63BE7B"/>
      </colorScale>
    </cfRule>
  </conditionalFormatting>
  <conditionalFormatting sqref="J21">
    <cfRule type="colorScale" priority="433">
      <colorScale>
        <cfvo type="min"/>
        <cfvo type="percentile" val="50"/>
        <cfvo type="max"/>
        <color rgb="FFF8696B"/>
        <color rgb="FFFFEB84"/>
        <color rgb="FF63BE7B"/>
      </colorScale>
    </cfRule>
  </conditionalFormatting>
  <conditionalFormatting sqref="H22">
    <cfRule type="cellIs" dxfId="2335" priority="402" stopIfTrue="1" operator="notEqual">
      <formula>""</formula>
    </cfRule>
  </conditionalFormatting>
  <conditionalFormatting sqref="R22 CU22">
    <cfRule type="cellIs" dxfId="2334" priority="404" operator="greaterThan">
      <formula>0</formula>
    </cfRule>
  </conditionalFormatting>
  <conditionalFormatting sqref="T22:AS22 CH22:CS22">
    <cfRule type="cellIs" dxfId="2333" priority="399" stopIfTrue="1" operator="equal">
      <formula>"n"</formula>
    </cfRule>
    <cfRule type="cellIs" dxfId="2332" priority="400" stopIfTrue="1" operator="equal">
      <formula>"y"</formula>
    </cfRule>
    <cfRule type="cellIs" dxfId="2331" priority="401" operator="greaterThan">
      <formula>0</formula>
    </cfRule>
  </conditionalFormatting>
  <conditionalFormatting sqref="AZ22:BB22">
    <cfRule type="expression" dxfId="2330" priority="398">
      <formula>$AT22=0</formula>
    </cfRule>
  </conditionalFormatting>
  <conditionalFormatting sqref="AZ22:BU22">
    <cfRule type="cellIs" dxfId="2329" priority="407" operator="equal">
      <formula>"PIN"</formula>
    </cfRule>
    <cfRule type="cellIs" dxfId="2328" priority="408" operator="equal">
      <formula>"ORA"</formula>
    </cfRule>
    <cfRule type="cellIs" dxfId="2327" priority="409" operator="equal">
      <formula>"GRA"</formula>
    </cfRule>
    <cfRule type="cellIs" dxfId="2326" priority="410" operator="equal">
      <formula>"PUR"</formula>
    </cfRule>
    <cfRule type="cellIs" dxfId="2325" priority="411" operator="equal">
      <formula>"BRO"</formula>
    </cfRule>
    <cfRule type="cellIs" dxfId="2324" priority="412" operator="equal">
      <formula>"YEL"</formula>
    </cfRule>
    <cfRule type="cellIs" dxfId="2323" priority="413" operator="equal">
      <formula>"BLU"</formula>
    </cfRule>
    <cfRule type="cellIs" dxfId="2322" priority="414" operator="equal">
      <formula>"WHI"</formula>
    </cfRule>
    <cfRule type="cellIs" dxfId="2321" priority="415" operator="equal">
      <formula>"GRE"</formula>
    </cfRule>
    <cfRule type="cellIs" dxfId="2320" priority="416" operator="equal">
      <formula>"RED"</formula>
    </cfRule>
    <cfRule type="cellIs" dxfId="2319" priority="417" operator="equal">
      <formula>"BLA"</formula>
    </cfRule>
  </conditionalFormatting>
  <conditionalFormatting sqref="BV22:BW22">
    <cfRule type="cellIs" dxfId="2318" priority="429" operator="equal">
      <formula>"nc"</formula>
    </cfRule>
  </conditionalFormatting>
  <conditionalFormatting sqref="BX22:CA22 CD22:CF22">
    <cfRule type="cellIs" dxfId="2317" priority="403" operator="equal">
      <formula>"y"</formula>
    </cfRule>
    <cfRule type="cellIs" dxfId="2316" priority="418" operator="equal">
      <formula>"PIN"</formula>
    </cfRule>
    <cfRule type="cellIs" dxfId="2315" priority="419" operator="equal">
      <formula>"ORA"</formula>
    </cfRule>
    <cfRule type="cellIs" dxfId="2314" priority="420" operator="equal">
      <formula>"GRA"</formula>
    </cfRule>
    <cfRule type="cellIs" dxfId="2313" priority="421" operator="equal">
      <formula>"PUR"</formula>
    </cfRule>
    <cfRule type="cellIs" dxfId="2312" priority="422" operator="equal">
      <formula>"BRO"</formula>
    </cfRule>
    <cfRule type="cellIs" dxfId="2311" priority="423" operator="equal">
      <formula>"YEL"</formula>
    </cfRule>
    <cfRule type="cellIs" dxfId="2310" priority="424" operator="equal">
      <formula>"BLU"</formula>
    </cfRule>
    <cfRule type="cellIs" dxfId="2309" priority="425" operator="equal">
      <formula>"WHI"</formula>
    </cfRule>
    <cfRule type="cellIs" dxfId="2308" priority="426" operator="equal">
      <formula>"GRE"</formula>
    </cfRule>
    <cfRule type="cellIs" dxfId="2307" priority="427" operator="equal">
      <formula>"RED"</formula>
    </cfRule>
    <cfRule type="cellIs" dxfId="2306" priority="428" operator="equal">
      <formula>"BLA"</formula>
    </cfRule>
  </conditionalFormatting>
  <conditionalFormatting sqref="BZ22:CA22 CD22:CF22">
    <cfRule type="cellIs" dxfId="2305" priority="405" operator="greaterThan">
      <formula>0</formula>
    </cfRule>
  </conditionalFormatting>
  <conditionalFormatting sqref="IC22:IK22">
    <cfRule type="expression" dxfId="2304" priority="406">
      <formula>$IL22&gt;0</formula>
    </cfRule>
  </conditionalFormatting>
  <conditionalFormatting sqref="S22">
    <cfRule type="colorScale" priority="430">
      <colorScale>
        <cfvo type="min"/>
        <cfvo type="max"/>
        <color rgb="FFFCFCFF"/>
        <color rgb="FF754BFB"/>
      </colorScale>
    </cfRule>
  </conditionalFormatting>
  <conditionalFormatting sqref="AT22">
    <cfRule type="colorScale" priority="431">
      <colorScale>
        <cfvo type="min"/>
        <cfvo type="max"/>
        <color rgb="FFFCFCFF"/>
        <color theme="8" tint="0.39997558519241921"/>
      </colorScale>
    </cfRule>
  </conditionalFormatting>
  <conditionalFormatting sqref="CG22">
    <cfRule type="colorScale" priority="432">
      <colorScale>
        <cfvo type="min"/>
        <cfvo type="max"/>
        <color rgb="FFFCFCFF"/>
        <color rgb="FF63BE7B"/>
      </colorScale>
    </cfRule>
  </conditionalFormatting>
  <conditionalFormatting sqref="J22">
    <cfRule type="colorScale" priority="397">
      <colorScale>
        <cfvo type="min"/>
        <cfvo type="percentile" val="50"/>
        <cfvo type="max"/>
        <color rgb="FFF8696B"/>
        <color rgb="FFFFEB84"/>
        <color rgb="FF63BE7B"/>
      </colorScale>
    </cfRule>
  </conditionalFormatting>
  <conditionalFormatting sqref="H23">
    <cfRule type="cellIs" dxfId="2303" priority="366" stopIfTrue="1" operator="notEqual">
      <formula>""</formula>
    </cfRule>
  </conditionalFormatting>
  <conditionalFormatting sqref="R23 CU23">
    <cfRule type="cellIs" dxfId="2302" priority="368" operator="greaterThan">
      <formula>0</formula>
    </cfRule>
  </conditionalFormatting>
  <conditionalFormatting sqref="T23:AS23 CH23:CS23">
    <cfRule type="cellIs" dxfId="2301" priority="363" stopIfTrue="1" operator="equal">
      <formula>"n"</formula>
    </cfRule>
    <cfRule type="cellIs" dxfId="2300" priority="364" stopIfTrue="1" operator="equal">
      <formula>"y"</formula>
    </cfRule>
    <cfRule type="cellIs" dxfId="2299" priority="365" operator="greaterThan">
      <formula>0</formula>
    </cfRule>
  </conditionalFormatting>
  <conditionalFormatting sqref="AZ23:BB23">
    <cfRule type="expression" dxfId="2298" priority="362">
      <formula>$AT23=0</formula>
    </cfRule>
  </conditionalFormatting>
  <conditionalFormatting sqref="AZ23:BU23">
    <cfRule type="cellIs" dxfId="2297" priority="371" operator="equal">
      <formula>"PIN"</formula>
    </cfRule>
    <cfRule type="cellIs" dxfId="2296" priority="372" operator="equal">
      <formula>"ORA"</formula>
    </cfRule>
    <cfRule type="cellIs" dxfId="2295" priority="373" operator="equal">
      <formula>"GRA"</formula>
    </cfRule>
    <cfRule type="cellIs" dxfId="2294" priority="374" operator="equal">
      <formula>"PUR"</formula>
    </cfRule>
    <cfRule type="cellIs" dxfId="2293" priority="375" operator="equal">
      <formula>"BRO"</formula>
    </cfRule>
    <cfRule type="cellIs" dxfId="2292" priority="376" operator="equal">
      <formula>"YEL"</formula>
    </cfRule>
    <cfRule type="cellIs" dxfId="2291" priority="377" operator="equal">
      <formula>"BLU"</formula>
    </cfRule>
    <cfRule type="cellIs" dxfId="2290" priority="378" operator="equal">
      <formula>"WHI"</formula>
    </cfRule>
    <cfRule type="cellIs" dxfId="2289" priority="379" operator="equal">
      <formula>"GRE"</formula>
    </cfRule>
    <cfRule type="cellIs" dxfId="2288" priority="380" operator="equal">
      <formula>"RED"</formula>
    </cfRule>
    <cfRule type="cellIs" dxfId="2287" priority="381" operator="equal">
      <formula>"BLA"</formula>
    </cfRule>
  </conditionalFormatting>
  <conditionalFormatting sqref="BV23:BW23">
    <cfRule type="cellIs" dxfId="2286" priority="393" operator="equal">
      <formula>"nc"</formula>
    </cfRule>
  </conditionalFormatting>
  <conditionalFormatting sqref="BX23:CA23 CD23:CF23">
    <cfRule type="cellIs" dxfId="2285" priority="367" operator="equal">
      <formula>"y"</formula>
    </cfRule>
    <cfRule type="cellIs" dxfId="2284" priority="382" operator="equal">
      <formula>"PIN"</formula>
    </cfRule>
    <cfRule type="cellIs" dxfId="2283" priority="383" operator="equal">
      <formula>"ORA"</formula>
    </cfRule>
    <cfRule type="cellIs" dxfId="2282" priority="384" operator="equal">
      <formula>"GRA"</formula>
    </cfRule>
    <cfRule type="cellIs" dxfId="2281" priority="385" operator="equal">
      <formula>"PUR"</formula>
    </cfRule>
    <cfRule type="cellIs" dxfId="2280" priority="386" operator="equal">
      <formula>"BRO"</formula>
    </cfRule>
    <cfRule type="cellIs" dxfId="2279" priority="387" operator="equal">
      <formula>"YEL"</formula>
    </cfRule>
    <cfRule type="cellIs" dxfId="2278" priority="388" operator="equal">
      <formula>"BLU"</formula>
    </cfRule>
    <cfRule type="cellIs" dxfId="2277" priority="389" operator="equal">
      <formula>"WHI"</formula>
    </cfRule>
    <cfRule type="cellIs" dxfId="2276" priority="390" operator="equal">
      <formula>"GRE"</formula>
    </cfRule>
    <cfRule type="cellIs" dxfId="2275" priority="391" operator="equal">
      <formula>"RED"</formula>
    </cfRule>
    <cfRule type="cellIs" dxfId="2274" priority="392" operator="equal">
      <formula>"BLA"</formula>
    </cfRule>
  </conditionalFormatting>
  <conditionalFormatting sqref="BZ23:CA23 CD23:CF23">
    <cfRule type="cellIs" dxfId="2273" priority="369" operator="greaterThan">
      <formula>0</formula>
    </cfRule>
  </conditionalFormatting>
  <conditionalFormatting sqref="IC23:IK23">
    <cfRule type="expression" dxfId="2272" priority="370">
      <formula>$IL23&gt;0</formula>
    </cfRule>
  </conditionalFormatting>
  <conditionalFormatting sqref="S23">
    <cfRule type="colorScale" priority="394">
      <colorScale>
        <cfvo type="min"/>
        <cfvo type="max"/>
        <color rgb="FFFCFCFF"/>
        <color rgb="FF754BFB"/>
      </colorScale>
    </cfRule>
  </conditionalFormatting>
  <conditionalFormatting sqref="AT23">
    <cfRule type="colorScale" priority="395">
      <colorScale>
        <cfvo type="min"/>
        <cfvo type="max"/>
        <color rgb="FFFCFCFF"/>
        <color theme="8" tint="0.39997558519241921"/>
      </colorScale>
    </cfRule>
  </conditionalFormatting>
  <conditionalFormatting sqref="CG23">
    <cfRule type="colorScale" priority="396">
      <colorScale>
        <cfvo type="min"/>
        <cfvo type="max"/>
        <color rgb="FFFCFCFF"/>
        <color rgb="FF63BE7B"/>
      </colorScale>
    </cfRule>
  </conditionalFormatting>
  <conditionalFormatting sqref="J23">
    <cfRule type="colorScale" priority="361">
      <colorScale>
        <cfvo type="min"/>
        <cfvo type="percentile" val="50"/>
        <cfvo type="max"/>
        <color rgb="FFF8696B"/>
        <color rgb="FFFFEB84"/>
        <color rgb="FF63BE7B"/>
      </colorScale>
    </cfRule>
  </conditionalFormatting>
  <conditionalFormatting sqref="H24">
    <cfRule type="cellIs" dxfId="2271" priority="330" stopIfTrue="1" operator="notEqual">
      <formula>""</formula>
    </cfRule>
  </conditionalFormatting>
  <conditionalFormatting sqref="R24 CU24">
    <cfRule type="cellIs" dxfId="2270" priority="332" operator="greaterThan">
      <formula>0</formula>
    </cfRule>
  </conditionalFormatting>
  <conditionalFormatting sqref="T24:AS24 CH24:CS24">
    <cfRule type="cellIs" dxfId="2269" priority="327" stopIfTrue="1" operator="equal">
      <formula>"n"</formula>
    </cfRule>
    <cfRule type="cellIs" dxfId="2268" priority="328" stopIfTrue="1" operator="equal">
      <formula>"y"</formula>
    </cfRule>
    <cfRule type="cellIs" dxfId="2267" priority="329" operator="greaterThan">
      <formula>0</formula>
    </cfRule>
  </conditionalFormatting>
  <conditionalFormatting sqref="AZ24:BB24">
    <cfRule type="expression" dxfId="2266" priority="326">
      <formula>$AT24=0</formula>
    </cfRule>
  </conditionalFormatting>
  <conditionalFormatting sqref="AZ24:BU24">
    <cfRule type="cellIs" dxfId="2265" priority="335" operator="equal">
      <formula>"PIN"</formula>
    </cfRule>
    <cfRule type="cellIs" dxfId="2264" priority="336" operator="equal">
      <formula>"ORA"</formula>
    </cfRule>
    <cfRule type="cellIs" dxfId="2263" priority="337" operator="equal">
      <formula>"GRA"</formula>
    </cfRule>
    <cfRule type="cellIs" dxfId="2262" priority="338" operator="equal">
      <formula>"PUR"</formula>
    </cfRule>
    <cfRule type="cellIs" dxfId="2261" priority="339" operator="equal">
      <formula>"BRO"</formula>
    </cfRule>
    <cfRule type="cellIs" dxfId="2260" priority="340" operator="equal">
      <formula>"YEL"</formula>
    </cfRule>
    <cfRule type="cellIs" dxfId="2259" priority="341" operator="equal">
      <formula>"BLU"</formula>
    </cfRule>
    <cfRule type="cellIs" dxfId="2258" priority="342" operator="equal">
      <formula>"WHI"</formula>
    </cfRule>
    <cfRule type="cellIs" dxfId="2257" priority="343" operator="equal">
      <formula>"GRE"</formula>
    </cfRule>
    <cfRule type="cellIs" dxfId="2256" priority="344" operator="equal">
      <formula>"RED"</formula>
    </cfRule>
    <cfRule type="cellIs" dxfId="2255" priority="345" operator="equal">
      <formula>"BLA"</formula>
    </cfRule>
  </conditionalFormatting>
  <conditionalFormatting sqref="BV24:BW24">
    <cfRule type="cellIs" dxfId="2254" priority="357" operator="equal">
      <formula>"nc"</formula>
    </cfRule>
  </conditionalFormatting>
  <conditionalFormatting sqref="BX24:CA24 CD24:CF24">
    <cfRule type="cellIs" dxfId="2253" priority="331" operator="equal">
      <formula>"y"</formula>
    </cfRule>
    <cfRule type="cellIs" dxfId="2252" priority="346" operator="equal">
      <formula>"PIN"</formula>
    </cfRule>
    <cfRule type="cellIs" dxfId="2251" priority="347" operator="equal">
      <formula>"ORA"</formula>
    </cfRule>
    <cfRule type="cellIs" dxfId="2250" priority="348" operator="equal">
      <formula>"GRA"</formula>
    </cfRule>
    <cfRule type="cellIs" dxfId="2249" priority="349" operator="equal">
      <formula>"PUR"</formula>
    </cfRule>
    <cfRule type="cellIs" dxfId="2248" priority="350" operator="equal">
      <formula>"BRO"</formula>
    </cfRule>
    <cfRule type="cellIs" dxfId="2247" priority="351" operator="equal">
      <formula>"YEL"</formula>
    </cfRule>
    <cfRule type="cellIs" dxfId="2246" priority="352" operator="equal">
      <formula>"BLU"</formula>
    </cfRule>
    <cfRule type="cellIs" dxfId="2245" priority="353" operator="equal">
      <formula>"WHI"</formula>
    </cfRule>
    <cfRule type="cellIs" dxfId="2244" priority="354" operator="equal">
      <formula>"GRE"</formula>
    </cfRule>
    <cfRule type="cellIs" dxfId="2243" priority="355" operator="equal">
      <formula>"RED"</formula>
    </cfRule>
    <cfRule type="cellIs" dxfId="2242" priority="356" operator="equal">
      <formula>"BLA"</formula>
    </cfRule>
  </conditionalFormatting>
  <conditionalFormatting sqref="BZ24:CA24 CD24:CF24">
    <cfRule type="cellIs" dxfId="2241" priority="333" operator="greaterThan">
      <formula>0</formula>
    </cfRule>
  </conditionalFormatting>
  <conditionalFormatting sqref="IC24:IK24">
    <cfRule type="expression" dxfId="2240" priority="334">
      <formula>$IL24&gt;0</formula>
    </cfRule>
  </conditionalFormatting>
  <conditionalFormatting sqref="S24">
    <cfRule type="colorScale" priority="358">
      <colorScale>
        <cfvo type="min"/>
        <cfvo type="max"/>
        <color rgb="FFFCFCFF"/>
        <color rgb="FF754BFB"/>
      </colorScale>
    </cfRule>
  </conditionalFormatting>
  <conditionalFormatting sqref="AT24">
    <cfRule type="colorScale" priority="359">
      <colorScale>
        <cfvo type="min"/>
        <cfvo type="max"/>
        <color rgb="FFFCFCFF"/>
        <color theme="8" tint="0.39997558519241921"/>
      </colorScale>
    </cfRule>
  </conditionalFormatting>
  <conditionalFormatting sqref="CG24">
    <cfRule type="colorScale" priority="360">
      <colorScale>
        <cfvo type="min"/>
        <cfvo type="max"/>
        <color rgb="FFFCFCFF"/>
        <color rgb="FF63BE7B"/>
      </colorScale>
    </cfRule>
  </conditionalFormatting>
  <conditionalFormatting sqref="J24">
    <cfRule type="colorScale" priority="325">
      <colorScale>
        <cfvo type="min"/>
        <cfvo type="percentile" val="50"/>
        <cfvo type="max"/>
        <color rgb="FFF8696B"/>
        <color rgb="FFFFEB84"/>
        <color rgb="FF63BE7B"/>
      </colorScale>
    </cfRule>
  </conditionalFormatting>
  <conditionalFormatting sqref="H25">
    <cfRule type="cellIs" dxfId="2239" priority="294" stopIfTrue="1" operator="notEqual">
      <formula>""</formula>
    </cfRule>
  </conditionalFormatting>
  <conditionalFormatting sqref="R25 CU25">
    <cfRule type="cellIs" dxfId="2238" priority="296" operator="greaterThan">
      <formula>0</formula>
    </cfRule>
  </conditionalFormatting>
  <conditionalFormatting sqref="T25:AS25 CH25:CS25">
    <cfRule type="cellIs" dxfId="2237" priority="291" stopIfTrue="1" operator="equal">
      <formula>"n"</formula>
    </cfRule>
    <cfRule type="cellIs" dxfId="2236" priority="292" stopIfTrue="1" operator="equal">
      <formula>"y"</formula>
    </cfRule>
    <cfRule type="cellIs" dxfId="2235" priority="293" operator="greaterThan">
      <formula>0</formula>
    </cfRule>
  </conditionalFormatting>
  <conditionalFormatting sqref="AZ25:BB25">
    <cfRule type="expression" dxfId="2234" priority="290">
      <formula>$AT25=0</formula>
    </cfRule>
  </conditionalFormatting>
  <conditionalFormatting sqref="AZ25:BU25">
    <cfRule type="cellIs" dxfId="2233" priority="299" operator="equal">
      <formula>"PIN"</formula>
    </cfRule>
    <cfRule type="cellIs" dxfId="2232" priority="300" operator="equal">
      <formula>"ORA"</formula>
    </cfRule>
    <cfRule type="cellIs" dxfId="2231" priority="301" operator="equal">
      <formula>"GRA"</formula>
    </cfRule>
    <cfRule type="cellIs" dxfId="2230" priority="302" operator="equal">
      <formula>"PUR"</formula>
    </cfRule>
    <cfRule type="cellIs" dxfId="2229" priority="303" operator="equal">
      <formula>"BRO"</formula>
    </cfRule>
    <cfRule type="cellIs" dxfId="2228" priority="304" operator="equal">
      <formula>"YEL"</formula>
    </cfRule>
    <cfRule type="cellIs" dxfId="2227" priority="305" operator="equal">
      <formula>"BLU"</formula>
    </cfRule>
    <cfRule type="cellIs" dxfId="2226" priority="306" operator="equal">
      <formula>"WHI"</formula>
    </cfRule>
    <cfRule type="cellIs" dxfId="2225" priority="307" operator="equal">
      <formula>"GRE"</formula>
    </cfRule>
    <cfRule type="cellIs" dxfId="2224" priority="308" operator="equal">
      <formula>"RED"</formula>
    </cfRule>
    <cfRule type="cellIs" dxfId="2223" priority="309" operator="equal">
      <formula>"BLA"</formula>
    </cfRule>
  </conditionalFormatting>
  <conditionalFormatting sqref="BV25:BW25">
    <cfRule type="cellIs" dxfId="2222" priority="321" operator="equal">
      <formula>"nc"</formula>
    </cfRule>
  </conditionalFormatting>
  <conditionalFormatting sqref="BX25:CA25 CD25:CF25">
    <cfRule type="cellIs" dxfId="2221" priority="295" operator="equal">
      <formula>"y"</formula>
    </cfRule>
    <cfRule type="cellIs" dxfId="2220" priority="310" operator="equal">
      <formula>"PIN"</formula>
    </cfRule>
    <cfRule type="cellIs" dxfId="2219" priority="311" operator="equal">
      <formula>"ORA"</formula>
    </cfRule>
    <cfRule type="cellIs" dxfId="2218" priority="312" operator="equal">
      <formula>"GRA"</formula>
    </cfRule>
    <cfRule type="cellIs" dxfId="2217" priority="313" operator="equal">
      <formula>"PUR"</formula>
    </cfRule>
    <cfRule type="cellIs" dxfId="2216" priority="314" operator="equal">
      <formula>"BRO"</formula>
    </cfRule>
    <cfRule type="cellIs" dxfId="2215" priority="315" operator="equal">
      <formula>"YEL"</formula>
    </cfRule>
    <cfRule type="cellIs" dxfId="2214" priority="316" operator="equal">
      <formula>"BLU"</formula>
    </cfRule>
    <cfRule type="cellIs" dxfId="2213" priority="317" operator="equal">
      <formula>"WHI"</formula>
    </cfRule>
    <cfRule type="cellIs" dxfId="2212" priority="318" operator="equal">
      <formula>"GRE"</formula>
    </cfRule>
    <cfRule type="cellIs" dxfId="2211" priority="319" operator="equal">
      <formula>"RED"</formula>
    </cfRule>
    <cfRule type="cellIs" dxfId="2210" priority="320" operator="equal">
      <formula>"BLA"</formula>
    </cfRule>
  </conditionalFormatting>
  <conditionalFormatting sqref="BZ25:CA25 CD25:CF25">
    <cfRule type="cellIs" dxfId="2209" priority="297" operator="greaterThan">
      <formula>0</formula>
    </cfRule>
  </conditionalFormatting>
  <conditionalFormatting sqref="IC25:IK25">
    <cfRule type="expression" dxfId="2208" priority="298">
      <formula>$IL25&gt;0</formula>
    </cfRule>
  </conditionalFormatting>
  <conditionalFormatting sqref="S25">
    <cfRule type="colorScale" priority="322">
      <colorScale>
        <cfvo type="min"/>
        <cfvo type="max"/>
        <color rgb="FFFCFCFF"/>
        <color rgb="FF754BFB"/>
      </colorScale>
    </cfRule>
  </conditionalFormatting>
  <conditionalFormatting sqref="AT25">
    <cfRule type="colorScale" priority="323">
      <colorScale>
        <cfvo type="min"/>
        <cfvo type="max"/>
        <color rgb="FFFCFCFF"/>
        <color theme="8" tint="0.39997558519241921"/>
      </colorScale>
    </cfRule>
  </conditionalFormatting>
  <conditionalFormatting sqref="CG25">
    <cfRule type="colorScale" priority="324">
      <colorScale>
        <cfvo type="min"/>
        <cfvo type="max"/>
        <color rgb="FFFCFCFF"/>
        <color rgb="FF63BE7B"/>
      </colorScale>
    </cfRule>
  </conditionalFormatting>
  <conditionalFormatting sqref="J25">
    <cfRule type="colorScale" priority="289">
      <colorScale>
        <cfvo type="min"/>
        <cfvo type="percentile" val="50"/>
        <cfvo type="max"/>
        <color rgb="FFF8696B"/>
        <color rgb="FFFFEB84"/>
        <color rgb="FF63BE7B"/>
      </colorScale>
    </cfRule>
  </conditionalFormatting>
  <conditionalFormatting sqref="H26">
    <cfRule type="cellIs" dxfId="2207" priority="258" stopIfTrue="1" operator="notEqual">
      <formula>""</formula>
    </cfRule>
  </conditionalFormatting>
  <conditionalFormatting sqref="R26 CU26">
    <cfRule type="cellIs" dxfId="2206" priority="260" operator="greaterThan">
      <formula>0</formula>
    </cfRule>
  </conditionalFormatting>
  <conditionalFormatting sqref="T26:AS26 CH26:CS26">
    <cfRule type="cellIs" dxfId="2205" priority="255" stopIfTrue="1" operator="equal">
      <formula>"n"</formula>
    </cfRule>
    <cfRule type="cellIs" dxfId="2204" priority="256" stopIfTrue="1" operator="equal">
      <formula>"y"</formula>
    </cfRule>
    <cfRule type="cellIs" dxfId="2203" priority="257" operator="greaterThan">
      <formula>0</formula>
    </cfRule>
  </conditionalFormatting>
  <conditionalFormatting sqref="AZ26:BB26">
    <cfRule type="expression" dxfId="2202" priority="254">
      <formula>$AT26=0</formula>
    </cfRule>
  </conditionalFormatting>
  <conditionalFormatting sqref="AZ26:BU26">
    <cfRule type="cellIs" dxfId="2201" priority="263" operator="equal">
      <formula>"PIN"</formula>
    </cfRule>
    <cfRule type="cellIs" dxfId="2200" priority="264" operator="equal">
      <formula>"ORA"</formula>
    </cfRule>
    <cfRule type="cellIs" dxfId="2199" priority="265" operator="equal">
      <formula>"GRA"</formula>
    </cfRule>
    <cfRule type="cellIs" dxfId="2198" priority="266" operator="equal">
      <formula>"PUR"</formula>
    </cfRule>
    <cfRule type="cellIs" dxfId="2197" priority="267" operator="equal">
      <formula>"BRO"</formula>
    </cfRule>
    <cfRule type="cellIs" dxfId="2196" priority="268" operator="equal">
      <formula>"YEL"</formula>
    </cfRule>
    <cfRule type="cellIs" dxfId="2195" priority="269" operator="equal">
      <formula>"BLU"</formula>
    </cfRule>
    <cfRule type="cellIs" dxfId="2194" priority="270" operator="equal">
      <formula>"WHI"</formula>
    </cfRule>
    <cfRule type="cellIs" dxfId="2193" priority="271" operator="equal">
      <formula>"GRE"</formula>
    </cfRule>
    <cfRule type="cellIs" dxfId="2192" priority="272" operator="equal">
      <formula>"RED"</formula>
    </cfRule>
    <cfRule type="cellIs" dxfId="2191" priority="273" operator="equal">
      <formula>"BLA"</formula>
    </cfRule>
  </conditionalFormatting>
  <conditionalFormatting sqref="BV26:BW26">
    <cfRule type="cellIs" dxfId="2190" priority="285" operator="equal">
      <formula>"nc"</formula>
    </cfRule>
  </conditionalFormatting>
  <conditionalFormatting sqref="BX26:CA26 CD26:CF26">
    <cfRule type="cellIs" dxfId="2189" priority="259" operator="equal">
      <formula>"y"</formula>
    </cfRule>
    <cfRule type="cellIs" dxfId="2188" priority="274" operator="equal">
      <formula>"PIN"</formula>
    </cfRule>
    <cfRule type="cellIs" dxfId="2187" priority="275" operator="equal">
      <formula>"ORA"</formula>
    </cfRule>
    <cfRule type="cellIs" dxfId="2186" priority="276" operator="equal">
      <formula>"GRA"</formula>
    </cfRule>
    <cfRule type="cellIs" dxfId="2185" priority="277" operator="equal">
      <formula>"PUR"</formula>
    </cfRule>
    <cfRule type="cellIs" dxfId="2184" priority="278" operator="equal">
      <formula>"BRO"</formula>
    </cfRule>
    <cfRule type="cellIs" dxfId="2183" priority="279" operator="equal">
      <formula>"YEL"</formula>
    </cfRule>
    <cfRule type="cellIs" dxfId="2182" priority="280" operator="equal">
      <formula>"BLU"</formula>
    </cfRule>
    <cfRule type="cellIs" dxfId="2181" priority="281" operator="equal">
      <formula>"WHI"</formula>
    </cfRule>
    <cfRule type="cellIs" dxfId="2180" priority="282" operator="equal">
      <formula>"GRE"</formula>
    </cfRule>
    <cfRule type="cellIs" dxfId="2179" priority="283" operator="equal">
      <formula>"RED"</formula>
    </cfRule>
    <cfRule type="cellIs" dxfId="2178" priority="284" operator="equal">
      <formula>"BLA"</formula>
    </cfRule>
  </conditionalFormatting>
  <conditionalFormatting sqref="BZ26:CA26 CD26:CF26">
    <cfRule type="cellIs" dxfId="2177" priority="261" operator="greaterThan">
      <formula>0</formula>
    </cfRule>
  </conditionalFormatting>
  <conditionalFormatting sqref="IC26:IK26">
    <cfRule type="expression" dxfId="2176" priority="262">
      <formula>$IL26&gt;0</formula>
    </cfRule>
  </conditionalFormatting>
  <conditionalFormatting sqref="S26">
    <cfRule type="colorScale" priority="286">
      <colorScale>
        <cfvo type="min"/>
        <cfvo type="max"/>
        <color rgb="FFFCFCFF"/>
        <color rgb="FF754BFB"/>
      </colorScale>
    </cfRule>
  </conditionalFormatting>
  <conditionalFormatting sqref="AT26">
    <cfRule type="colorScale" priority="287">
      <colorScale>
        <cfvo type="min"/>
        <cfvo type="max"/>
        <color rgb="FFFCFCFF"/>
        <color theme="8" tint="0.39997558519241921"/>
      </colorScale>
    </cfRule>
  </conditionalFormatting>
  <conditionalFormatting sqref="CG26">
    <cfRule type="colorScale" priority="288">
      <colorScale>
        <cfvo type="min"/>
        <cfvo type="max"/>
        <color rgb="FFFCFCFF"/>
        <color rgb="FF63BE7B"/>
      </colorScale>
    </cfRule>
  </conditionalFormatting>
  <conditionalFormatting sqref="J26">
    <cfRule type="colorScale" priority="253">
      <colorScale>
        <cfvo type="min"/>
        <cfvo type="percentile" val="50"/>
        <cfvo type="max"/>
        <color rgb="FFF8696B"/>
        <color rgb="FFFFEB84"/>
        <color rgb="FF63BE7B"/>
      </colorScale>
    </cfRule>
  </conditionalFormatting>
  <conditionalFormatting sqref="H27">
    <cfRule type="cellIs" dxfId="2175" priority="222" stopIfTrue="1" operator="notEqual">
      <formula>""</formula>
    </cfRule>
  </conditionalFormatting>
  <conditionalFormatting sqref="R27 CU27">
    <cfRule type="cellIs" dxfId="2174" priority="224" operator="greaterThan">
      <formula>0</formula>
    </cfRule>
  </conditionalFormatting>
  <conditionalFormatting sqref="T27:AS27 CH27:CS27">
    <cfRule type="cellIs" dxfId="2173" priority="219" stopIfTrue="1" operator="equal">
      <formula>"n"</formula>
    </cfRule>
    <cfRule type="cellIs" dxfId="2172" priority="220" stopIfTrue="1" operator="equal">
      <formula>"y"</formula>
    </cfRule>
    <cfRule type="cellIs" dxfId="2171" priority="221" operator="greaterThan">
      <formula>0</formula>
    </cfRule>
  </conditionalFormatting>
  <conditionalFormatting sqref="AZ27:BB27">
    <cfRule type="expression" dxfId="2170" priority="218">
      <formula>$AT27=0</formula>
    </cfRule>
  </conditionalFormatting>
  <conditionalFormatting sqref="AZ27:BU27">
    <cfRule type="cellIs" dxfId="2169" priority="227" operator="equal">
      <formula>"PIN"</formula>
    </cfRule>
    <cfRule type="cellIs" dxfId="2168" priority="228" operator="equal">
      <formula>"ORA"</formula>
    </cfRule>
    <cfRule type="cellIs" dxfId="2167" priority="229" operator="equal">
      <formula>"GRA"</formula>
    </cfRule>
    <cfRule type="cellIs" dxfId="2166" priority="230" operator="equal">
      <formula>"PUR"</formula>
    </cfRule>
    <cfRule type="cellIs" dxfId="2165" priority="231" operator="equal">
      <formula>"BRO"</formula>
    </cfRule>
    <cfRule type="cellIs" dxfId="2164" priority="232" operator="equal">
      <formula>"YEL"</formula>
    </cfRule>
    <cfRule type="cellIs" dxfId="2163" priority="233" operator="equal">
      <formula>"BLU"</formula>
    </cfRule>
    <cfRule type="cellIs" dxfId="2162" priority="234" operator="equal">
      <formula>"WHI"</formula>
    </cfRule>
    <cfRule type="cellIs" dxfId="2161" priority="235" operator="equal">
      <formula>"GRE"</formula>
    </cfRule>
    <cfRule type="cellIs" dxfId="2160" priority="236" operator="equal">
      <formula>"RED"</formula>
    </cfRule>
    <cfRule type="cellIs" dxfId="2159" priority="237" operator="equal">
      <formula>"BLA"</formula>
    </cfRule>
  </conditionalFormatting>
  <conditionalFormatting sqref="BV27:BW27">
    <cfRule type="cellIs" dxfId="2158" priority="249" operator="equal">
      <formula>"nc"</formula>
    </cfRule>
  </conditionalFormatting>
  <conditionalFormatting sqref="BX27:CA27 CD27:CF27">
    <cfRule type="cellIs" dxfId="2157" priority="223" operator="equal">
      <formula>"y"</formula>
    </cfRule>
    <cfRule type="cellIs" dxfId="2156" priority="238" operator="equal">
      <formula>"PIN"</formula>
    </cfRule>
    <cfRule type="cellIs" dxfId="2155" priority="239" operator="equal">
      <formula>"ORA"</formula>
    </cfRule>
    <cfRule type="cellIs" dxfId="2154" priority="240" operator="equal">
      <formula>"GRA"</formula>
    </cfRule>
    <cfRule type="cellIs" dxfId="2153" priority="241" operator="equal">
      <formula>"PUR"</formula>
    </cfRule>
    <cfRule type="cellIs" dxfId="2152" priority="242" operator="equal">
      <formula>"BRO"</formula>
    </cfRule>
    <cfRule type="cellIs" dxfId="2151" priority="243" operator="equal">
      <formula>"YEL"</formula>
    </cfRule>
    <cfRule type="cellIs" dxfId="2150" priority="244" operator="equal">
      <formula>"BLU"</formula>
    </cfRule>
    <cfRule type="cellIs" dxfId="2149" priority="245" operator="equal">
      <formula>"WHI"</formula>
    </cfRule>
    <cfRule type="cellIs" dxfId="2148" priority="246" operator="equal">
      <formula>"GRE"</formula>
    </cfRule>
    <cfRule type="cellIs" dxfId="2147" priority="247" operator="equal">
      <formula>"RED"</formula>
    </cfRule>
    <cfRule type="cellIs" dxfId="2146" priority="248" operator="equal">
      <formula>"BLA"</formula>
    </cfRule>
  </conditionalFormatting>
  <conditionalFormatting sqref="BZ27:CA27 CD27:CF27">
    <cfRule type="cellIs" dxfId="2145" priority="225" operator="greaterThan">
      <formula>0</formula>
    </cfRule>
  </conditionalFormatting>
  <conditionalFormatting sqref="IC27:IK27">
    <cfRule type="expression" dxfId="2144" priority="226">
      <formula>$IL27&gt;0</formula>
    </cfRule>
  </conditionalFormatting>
  <conditionalFormatting sqref="S27">
    <cfRule type="colorScale" priority="250">
      <colorScale>
        <cfvo type="min"/>
        <cfvo type="max"/>
        <color rgb="FFFCFCFF"/>
        <color rgb="FF754BFB"/>
      </colorScale>
    </cfRule>
  </conditionalFormatting>
  <conditionalFormatting sqref="AT27">
    <cfRule type="colorScale" priority="251">
      <colorScale>
        <cfvo type="min"/>
        <cfvo type="max"/>
        <color rgb="FFFCFCFF"/>
        <color theme="8" tint="0.39997558519241921"/>
      </colorScale>
    </cfRule>
  </conditionalFormatting>
  <conditionalFormatting sqref="CG27">
    <cfRule type="colorScale" priority="252">
      <colorScale>
        <cfvo type="min"/>
        <cfvo type="max"/>
        <color rgb="FFFCFCFF"/>
        <color rgb="FF63BE7B"/>
      </colorScale>
    </cfRule>
  </conditionalFormatting>
  <conditionalFormatting sqref="J27">
    <cfRule type="colorScale" priority="217">
      <colorScale>
        <cfvo type="min"/>
        <cfvo type="percentile" val="50"/>
        <cfvo type="max"/>
        <color rgb="FFF8696B"/>
        <color rgb="FFFFEB84"/>
        <color rgb="FF63BE7B"/>
      </colorScale>
    </cfRule>
  </conditionalFormatting>
  <conditionalFormatting sqref="H28">
    <cfRule type="cellIs" dxfId="2143" priority="186" stopIfTrue="1" operator="notEqual">
      <formula>""</formula>
    </cfRule>
  </conditionalFormatting>
  <conditionalFormatting sqref="R28 CU28">
    <cfRule type="cellIs" dxfId="2142" priority="188" operator="greaterThan">
      <formula>0</formula>
    </cfRule>
  </conditionalFormatting>
  <conditionalFormatting sqref="T28:AS28 CH28:CS28">
    <cfRule type="cellIs" dxfId="2141" priority="183" stopIfTrue="1" operator="equal">
      <formula>"n"</formula>
    </cfRule>
    <cfRule type="cellIs" dxfId="2140" priority="184" stopIfTrue="1" operator="equal">
      <formula>"y"</formula>
    </cfRule>
    <cfRule type="cellIs" dxfId="2139" priority="185" operator="greaterThan">
      <formula>0</formula>
    </cfRule>
  </conditionalFormatting>
  <conditionalFormatting sqref="AZ28:BB28">
    <cfRule type="expression" dxfId="2138" priority="182">
      <formula>$AT28=0</formula>
    </cfRule>
  </conditionalFormatting>
  <conditionalFormatting sqref="AZ28:BU28">
    <cfRule type="cellIs" dxfId="2137" priority="191" operator="equal">
      <formula>"PIN"</formula>
    </cfRule>
    <cfRule type="cellIs" dxfId="2136" priority="192" operator="equal">
      <formula>"ORA"</formula>
    </cfRule>
    <cfRule type="cellIs" dxfId="2135" priority="193" operator="equal">
      <formula>"GRA"</formula>
    </cfRule>
    <cfRule type="cellIs" dxfId="2134" priority="194" operator="equal">
      <formula>"PUR"</formula>
    </cfRule>
    <cfRule type="cellIs" dxfId="2133" priority="195" operator="equal">
      <formula>"BRO"</formula>
    </cfRule>
    <cfRule type="cellIs" dxfId="2132" priority="196" operator="equal">
      <formula>"YEL"</formula>
    </cfRule>
    <cfRule type="cellIs" dxfId="2131" priority="197" operator="equal">
      <formula>"BLU"</formula>
    </cfRule>
    <cfRule type="cellIs" dxfId="2130" priority="198" operator="equal">
      <formula>"WHI"</formula>
    </cfRule>
    <cfRule type="cellIs" dxfId="2129" priority="199" operator="equal">
      <formula>"GRE"</formula>
    </cfRule>
    <cfRule type="cellIs" dxfId="2128" priority="200" operator="equal">
      <formula>"RED"</formula>
    </cfRule>
    <cfRule type="cellIs" dxfId="2127" priority="201" operator="equal">
      <formula>"BLA"</formula>
    </cfRule>
  </conditionalFormatting>
  <conditionalFormatting sqref="BV28:BW28">
    <cfRule type="cellIs" dxfId="2126" priority="213" operator="equal">
      <formula>"nc"</formula>
    </cfRule>
  </conditionalFormatting>
  <conditionalFormatting sqref="BX28:CA28 CD28:CF28">
    <cfRule type="cellIs" dxfId="2125" priority="187" operator="equal">
      <formula>"y"</formula>
    </cfRule>
    <cfRule type="cellIs" dxfId="2124" priority="202" operator="equal">
      <formula>"PIN"</formula>
    </cfRule>
    <cfRule type="cellIs" dxfId="2123" priority="203" operator="equal">
      <formula>"ORA"</formula>
    </cfRule>
    <cfRule type="cellIs" dxfId="2122" priority="204" operator="equal">
      <formula>"GRA"</formula>
    </cfRule>
    <cfRule type="cellIs" dxfId="2121" priority="205" operator="equal">
      <formula>"PUR"</formula>
    </cfRule>
    <cfRule type="cellIs" dxfId="2120" priority="206" operator="equal">
      <formula>"BRO"</formula>
    </cfRule>
    <cfRule type="cellIs" dxfId="2119" priority="207" operator="equal">
      <formula>"YEL"</formula>
    </cfRule>
    <cfRule type="cellIs" dxfId="2118" priority="208" operator="equal">
      <formula>"BLU"</formula>
    </cfRule>
    <cfRule type="cellIs" dxfId="2117" priority="209" operator="equal">
      <formula>"WHI"</formula>
    </cfRule>
    <cfRule type="cellIs" dxfId="2116" priority="210" operator="equal">
      <formula>"GRE"</formula>
    </cfRule>
    <cfRule type="cellIs" dxfId="2115" priority="211" operator="equal">
      <formula>"RED"</formula>
    </cfRule>
    <cfRule type="cellIs" dxfId="2114" priority="212" operator="equal">
      <formula>"BLA"</formula>
    </cfRule>
  </conditionalFormatting>
  <conditionalFormatting sqref="BZ28:CA28 CD28:CF28">
    <cfRule type="cellIs" dxfId="2113" priority="189" operator="greaterThan">
      <formula>0</formula>
    </cfRule>
  </conditionalFormatting>
  <conditionalFormatting sqref="IC28:IK28">
    <cfRule type="expression" dxfId="2112" priority="190">
      <formula>$IL28&gt;0</formula>
    </cfRule>
  </conditionalFormatting>
  <conditionalFormatting sqref="S28">
    <cfRule type="colorScale" priority="214">
      <colorScale>
        <cfvo type="min"/>
        <cfvo type="max"/>
        <color rgb="FFFCFCFF"/>
        <color rgb="FF754BFB"/>
      </colorScale>
    </cfRule>
  </conditionalFormatting>
  <conditionalFormatting sqref="AT28">
    <cfRule type="colorScale" priority="215">
      <colorScale>
        <cfvo type="min"/>
        <cfvo type="max"/>
        <color rgb="FFFCFCFF"/>
        <color theme="8" tint="0.39997558519241921"/>
      </colorScale>
    </cfRule>
  </conditionalFormatting>
  <conditionalFormatting sqref="CG28">
    <cfRule type="colorScale" priority="216">
      <colorScale>
        <cfvo type="min"/>
        <cfvo type="max"/>
        <color rgb="FFFCFCFF"/>
        <color rgb="FF63BE7B"/>
      </colorScale>
    </cfRule>
  </conditionalFormatting>
  <conditionalFormatting sqref="J28">
    <cfRule type="colorScale" priority="181">
      <colorScale>
        <cfvo type="min"/>
        <cfvo type="percentile" val="50"/>
        <cfvo type="max"/>
        <color rgb="FFF8696B"/>
        <color rgb="FFFFEB84"/>
        <color rgb="FF63BE7B"/>
      </colorScale>
    </cfRule>
  </conditionalFormatting>
  <conditionalFormatting sqref="H29">
    <cfRule type="cellIs" dxfId="2111" priority="150" stopIfTrue="1" operator="notEqual">
      <formula>""</formula>
    </cfRule>
  </conditionalFormatting>
  <conditionalFormatting sqref="R29 CU29">
    <cfRule type="cellIs" dxfId="2110" priority="152" operator="greaterThan">
      <formula>0</formula>
    </cfRule>
  </conditionalFormatting>
  <conditionalFormatting sqref="T29:AS29 CH29:CS29">
    <cfRule type="cellIs" dxfId="2109" priority="147" stopIfTrue="1" operator="equal">
      <formula>"n"</formula>
    </cfRule>
    <cfRule type="cellIs" dxfId="2108" priority="148" stopIfTrue="1" operator="equal">
      <formula>"y"</formula>
    </cfRule>
    <cfRule type="cellIs" dxfId="2107" priority="149" operator="greaterThan">
      <formula>0</formula>
    </cfRule>
  </conditionalFormatting>
  <conditionalFormatting sqref="AZ29:BB29">
    <cfRule type="expression" dxfId="2106" priority="146">
      <formula>$AT29=0</formula>
    </cfRule>
  </conditionalFormatting>
  <conditionalFormatting sqref="AZ29:BU29">
    <cfRule type="cellIs" dxfId="2105" priority="155" operator="equal">
      <formula>"PIN"</formula>
    </cfRule>
    <cfRule type="cellIs" dxfId="2104" priority="156" operator="equal">
      <formula>"ORA"</formula>
    </cfRule>
    <cfRule type="cellIs" dxfId="2103" priority="157" operator="equal">
      <formula>"GRA"</formula>
    </cfRule>
    <cfRule type="cellIs" dxfId="2102" priority="158" operator="equal">
      <formula>"PUR"</formula>
    </cfRule>
    <cfRule type="cellIs" dxfId="2101" priority="159" operator="equal">
      <formula>"BRO"</formula>
    </cfRule>
    <cfRule type="cellIs" dxfId="2100" priority="160" operator="equal">
      <formula>"YEL"</formula>
    </cfRule>
    <cfRule type="cellIs" dxfId="2099" priority="161" operator="equal">
      <formula>"BLU"</formula>
    </cfRule>
    <cfRule type="cellIs" dxfId="2098" priority="162" operator="equal">
      <formula>"WHI"</formula>
    </cfRule>
    <cfRule type="cellIs" dxfId="2097" priority="163" operator="equal">
      <formula>"GRE"</formula>
    </cfRule>
    <cfRule type="cellIs" dxfId="2096" priority="164" operator="equal">
      <formula>"RED"</formula>
    </cfRule>
    <cfRule type="cellIs" dxfId="2095" priority="165" operator="equal">
      <formula>"BLA"</formula>
    </cfRule>
  </conditionalFormatting>
  <conditionalFormatting sqref="BV29:BW29">
    <cfRule type="cellIs" dxfId="2094" priority="177" operator="equal">
      <formula>"nc"</formula>
    </cfRule>
  </conditionalFormatting>
  <conditionalFormatting sqref="BX29:CA29 CD29:CF29">
    <cfRule type="cellIs" dxfId="2093" priority="151" operator="equal">
      <formula>"y"</formula>
    </cfRule>
    <cfRule type="cellIs" dxfId="2092" priority="166" operator="equal">
      <formula>"PIN"</formula>
    </cfRule>
    <cfRule type="cellIs" dxfId="2091" priority="167" operator="equal">
      <formula>"ORA"</formula>
    </cfRule>
    <cfRule type="cellIs" dxfId="2090" priority="168" operator="equal">
      <formula>"GRA"</formula>
    </cfRule>
    <cfRule type="cellIs" dxfId="2089" priority="169" operator="equal">
      <formula>"PUR"</formula>
    </cfRule>
    <cfRule type="cellIs" dxfId="2088" priority="170" operator="equal">
      <formula>"BRO"</formula>
    </cfRule>
    <cfRule type="cellIs" dxfId="2087" priority="171" operator="equal">
      <formula>"YEL"</formula>
    </cfRule>
    <cfRule type="cellIs" dxfId="2086" priority="172" operator="equal">
      <formula>"BLU"</formula>
    </cfRule>
    <cfRule type="cellIs" dxfId="2085" priority="173" operator="equal">
      <formula>"WHI"</formula>
    </cfRule>
    <cfRule type="cellIs" dxfId="2084" priority="174" operator="equal">
      <formula>"GRE"</formula>
    </cfRule>
    <cfRule type="cellIs" dxfId="2083" priority="175" operator="equal">
      <formula>"RED"</formula>
    </cfRule>
    <cfRule type="cellIs" dxfId="2082" priority="176" operator="equal">
      <formula>"BLA"</formula>
    </cfRule>
  </conditionalFormatting>
  <conditionalFormatting sqref="BZ29:CA29 CD29:CF29">
    <cfRule type="cellIs" dxfId="2081" priority="153" operator="greaterThan">
      <formula>0</formula>
    </cfRule>
  </conditionalFormatting>
  <conditionalFormatting sqref="IC29:IK29">
    <cfRule type="expression" dxfId="2080" priority="154">
      <formula>$IL29&gt;0</formula>
    </cfRule>
  </conditionalFormatting>
  <conditionalFormatting sqref="S29">
    <cfRule type="colorScale" priority="178">
      <colorScale>
        <cfvo type="min"/>
        <cfvo type="max"/>
        <color rgb="FFFCFCFF"/>
        <color rgb="FF754BFB"/>
      </colorScale>
    </cfRule>
  </conditionalFormatting>
  <conditionalFormatting sqref="AT29">
    <cfRule type="colorScale" priority="179">
      <colorScale>
        <cfvo type="min"/>
        <cfvo type="max"/>
        <color rgb="FFFCFCFF"/>
        <color theme="8" tint="0.39997558519241921"/>
      </colorScale>
    </cfRule>
  </conditionalFormatting>
  <conditionalFormatting sqref="CG29">
    <cfRule type="colorScale" priority="180">
      <colorScale>
        <cfvo type="min"/>
        <cfvo type="max"/>
        <color rgb="FFFCFCFF"/>
        <color rgb="FF63BE7B"/>
      </colorScale>
    </cfRule>
  </conditionalFormatting>
  <conditionalFormatting sqref="J29">
    <cfRule type="colorScale" priority="145">
      <colorScale>
        <cfvo type="min"/>
        <cfvo type="percentile" val="50"/>
        <cfvo type="max"/>
        <color rgb="FFF8696B"/>
        <color rgb="FFFFEB84"/>
        <color rgb="FF63BE7B"/>
      </colorScale>
    </cfRule>
  </conditionalFormatting>
  <conditionalFormatting sqref="H30">
    <cfRule type="cellIs" dxfId="319" priority="113" stopIfTrue="1" operator="notEqual">
      <formula>""</formula>
    </cfRule>
  </conditionalFormatting>
  <conditionalFormatting sqref="R30 CU30">
    <cfRule type="cellIs" dxfId="318" priority="115" operator="greaterThan">
      <formula>0</formula>
    </cfRule>
  </conditionalFormatting>
  <conditionalFormatting sqref="T30:AS30 CH30:CS30">
    <cfRule type="cellIs" dxfId="317" priority="110" stopIfTrue="1" operator="equal">
      <formula>"n"</formula>
    </cfRule>
    <cfRule type="cellIs" dxfId="316" priority="111" stopIfTrue="1" operator="equal">
      <formula>"y"</formula>
    </cfRule>
    <cfRule type="cellIs" dxfId="315" priority="112" operator="greaterThan">
      <formula>0</formula>
    </cfRule>
  </conditionalFormatting>
  <conditionalFormatting sqref="AZ30:BB30">
    <cfRule type="expression" dxfId="314" priority="109">
      <formula>$AT30=0</formula>
    </cfRule>
  </conditionalFormatting>
  <conditionalFormatting sqref="AZ30:BU30">
    <cfRule type="cellIs" dxfId="313" priority="118" operator="equal">
      <formula>"PIN"</formula>
    </cfRule>
    <cfRule type="cellIs" dxfId="312" priority="119" operator="equal">
      <formula>"ORA"</formula>
    </cfRule>
    <cfRule type="cellIs" dxfId="311" priority="120" operator="equal">
      <formula>"GRA"</formula>
    </cfRule>
    <cfRule type="cellIs" dxfId="310" priority="121" operator="equal">
      <formula>"PUR"</formula>
    </cfRule>
    <cfRule type="cellIs" dxfId="309" priority="122" operator="equal">
      <formula>"BRO"</formula>
    </cfRule>
    <cfRule type="cellIs" dxfId="308" priority="123" operator="equal">
      <formula>"YEL"</formula>
    </cfRule>
    <cfRule type="cellIs" dxfId="307" priority="124" operator="equal">
      <formula>"BLU"</formula>
    </cfRule>
    <cfRule type="cellIs" dxfId="306" priority="125" operator="equal">
      <formula>"WHI"</formula>
    </cfRule>
    <cfRule type="cellIs" dxfId="305" priority="126" operator="equal">
      <formula>"GRE"</formula>
    </cfRule>
    <cfRule type="cellIs" dxfId="304" priority="127" operator="equal">
      <formula>"RED"</formula>
    </cfRule>
    <cfRule type="cellIs" dxfId="303" priority="128" operator="equal">
      <formula>"BLA"</formula>
    </cfRule>
  </conditionalFormatting>
  <conditionalFormatting sqref="BV30">
    <cfRule type="cellIs" dxfId="302" priority="140" operator="equal">
      <formula>"nc"</formula>
    </cfRule>
  </conditionalFormatting>
  <conditionalFormatting sqref="BX30:CA30 CD30:CF30">
    <cfRule type="cellIs" dxfId="301" priority="114" operator="equal">
      <formula>"y"</formula>
    </cfRule>
    <cfRule type="cellIs" dxfId="300" priority="129" operator="equal">
      <formula>"PIN"</formula>
    </cfRule>
    <cfRule type="cellIs" dxfId="299" priority="130" operator="equal">
      <formula>"ORA"</formula>
    </cfRule>
    <cfRule type="cellIs" dxfId="298" priority="131" operator="equal">
      <formula>"GRA"</formula>
    </cfRule>
    <cfRule type="cellIs" dxfId="297" priority="132" operator="equal">
      <formula>"PUR"</formula>
    </cfRule>
    <cfRule type="cellIs" dxfId="296" priority="133" operator="equal">
      <formula>"BRO"</formula>
    </cfRule>
    <cfRule type="cellIs" dxfId="295" priority="134" operator="equal">
      <formula>"YEL"</formula>
    </cfRule>
    <cfRule type="cellIs" dxfId="294" priority="135" operator="equal">
      <formula>"BLU"</formula>
    </cfRule>
    <cfRule type="cellIs" dxfId="293" priority="136" operator="equal">
      <formula>"WHI"</formula>
    </cfRule>
    <cfRule type="cellIs" dxfId="292" priority="137" operator="equal">
      <formula>"GRE"</formula>
    </cfRule>
    <cfRule type="cellIs" dxfId="291" priority="138" operator="equal">
      <formula>"RED"</formula>
    </cfRule>
    <cfRule type="cellIs" dxfId="290" priority="139" operator="equal">
      <formula>"BLA"</formula>
    </cfRule>
  </conditionalFormatting>
  <conditionalFormatting sqref="BZ30:CA30 CD30:CF30">
    <cfRule type="cellIs" dxfId="289" priority="116" operator="greaterThan">
      <formula>0</formula>
    </cfRule>
  </conditionalFormatting>
  <conditionalFormatting sqref="IC30:IK30">
    <cfRule type="expression" dxfId="288" priority="117">
      <formula>$IL30&gt;0</formula>
    </cfRule>
  </conditionalFormatting>
  <conditionalFormatting sqref="J30">
    <cfRule type="colorScale" priority="141">
      <colorScale>
        <cfvo type="min"/>
        <cfvo type="percentile" val="50"/>
        <cfvo type="max"/>
        <color rgb="FFF8696B"/>
        <color rgb="FFFFEB84"/>
        <color rgb="FF63BE7B"/>
      </colorScale>
    </cfRule>
  </conditionalFormatting>
  <conditionalFormatting sqref="S30">
    <cfRule type="colorScale" priority="142">
      <colorScale>
        <cfvo type="min"/>
        <cfvo type="max"/>
        <color rgb="FFFCFCFF"/>
        <color rgb="FF754BFB"/>
      </colorScale>
    </cfRule>
  </conditionalFormatting>
  <conditionalFormatting sqref="AT30">
    <cfRule type="colorScale" priority="143">
      <colorScale>
        <cfvo type="min"/>
        <cfvo type="max"/>
        <color rgb="FFFCFCFF"/>
        <color theme="8" tint="0.39997558519241921"/>
      </colorScale>
    </cfRule>
  </conditionalFormatting>
  <conditionalFormatting sqref="CG30">
    <cfRule type="colorScale" priority="144">
      <colorScale>
        <cfvo type="min"/>
        <cfvo type="max"/>
        <color rgb="FFFCFCFF"/>
        <color rgb="FF63BE7B"/>
      </colorScale>
    </cfRule>
  </conditionalFormatting>
  <conditionalFormatting sqref="H31">
    <cfRule type="cellIs" dxfId="287" priority="77" stopIfTrue="1" operator="notEqual">
      <formula>""</formula>
    </cfRule>
  </conditionalFormatting>
  <conditionalFormatting sqref="R31 CU31">
    <cfRule type="cellIs" dxfId="286" priority="79" operator="greaterThan">
      <formula>0</formula>
    </cfRule>
  </conditionalFormatting>
  <conditionalFormatting sqref="T31:AS31 CH31:CS31">
    <cfRule type="cellIs" dxfId="285" priority="74" stopIfTrue="1" operator="equal">
      <formula>"n"</formula>
    </cfRule>
    <cfRule type="cellIs" dxfId="284" priority="75" stopIfTrue="1" operator="equal">
      <formula>"y"</formula>
    </cfRule>
    <cfRule type="cellIs" dxfId="283" priority="76" operator="greaterThan">
      <formula>0</formula>
    </cfRule>
  </conditionalFormatting>
  <conditionalFormatting sqref="AZ31:BB31">
    <cfRule type="expression" dxfId="282" priority="73">
      <formula>$AT31=0</formula>
    </cfRule>
  </conditionalFormatting>
  <conditionalFormatting sqref="AZ31:BU31">
    <cfRule type="cellIs" dxfId="281" priority="82" operator="equal">
      <formula>"PIN"</formula>
    </cfRule>
    <cfRule type="cellIs" dxfId="280" priority="83" operator="equal">
      <formula>"ORA"</formula>
    </cfRule>
    <cfRule type="cellIs" dxfId="279" priority="84" operator="equal">
      <formula>"GRA"</formula>
    </cfRule>
    <cfRule type="cellIs" dxfId="278" priority="85" operator="equal">
      <formula>"PUR"</formula>
    </cfRule>
    <cfRule type="cellIs" dxfId="277" priority="86" operator="equal">
      <formula>"BRO"</formula>
    </cfRule>
    <cfRule type="cellIs" dxfId="276" priority="87" operator="equal">
      <formula>"YEL"</formula>
    </cfRule>
    <cfRule type="cellIs" dxfId="275" priority="88" operator="equal">
      <formula>"BLU"</formula>
    </cfRule>
    <cfRule type="cellIs" dxfId="274" priority="89" operator="equal">
      <formula>"WHI"</formula>
    </cfRule>
    <cfRule type="cellIs" dxfId="273" priority="90" operator="equal">
      <formula>"GRE"</formula>
    </cfRule>
    <cfRule type="cellIs" dxfId="272" priority="91" operator="equal">
      <formula>"RED"</formula>
    </cfRule>
    <cfRule type="cellIs" dxfId="271" priority="92" operator="equal">
      <formula>"BLA"</formula>
    </cfRule>
  </conditionalFormatting>
  <conditionalFormatting sqref="BV31">
    <cfRule type="cellIs" dxfId="270" priority="104" operator="equal">
      <formula>"nc"</formula>
    </cfRule>
  </conditionalFormatting>
  <conditionalFormatting sqref="BX31:CA31 CD31:CF31">
    <cfRule type="cellIs" dxfId="269" priority="78" operator="equal">
      <formula>"y"</formula>
    </cfRule>
    <cfRule type="cellIs" dxfId="268" priority="93" operator="equal">
      <formula>"PIN"</formula>
    </cfRule>
    <cfRule type="cellIs" dxfId="267" priority="94" operator="equal">
      <formula>"ORA"</formula>
    </cfRule>
    <cfRule type="cellIs" dxfId="266" priority="95" operator="equal">
      <formula>"GRA"</formula>
    </cfRule>
    <cfRule type="cellIs" dxfId="265" priority="96" operator="equal">
      <formula>"PUR"</formula>
    </cfRule>
    <cfRule type="cellIs" dxfId="264" priority="97" operator="equal">
      <formula>"BRO"</formula>
    </cfRule>
    <cfRule type="cellIs" dxfId="263" priority="98" operator="equal">
      <formula>"YEL"</formula>
    </cfRule>
    <cfRule type="cellIs" dxfId="262" priority="99" operator="equal">
      <formula>"BLU"</formula>
    </cfRule>
    <cfRule type="cellIs" dxfId="261" priority="100" operator="equal">
      <formula>"WHI"</formula>
    </cfRule>
    <cfRule type="cellIs" dxfId="260" priority="101" operator="equal">
      <formula>"GRE"</formula>
    </cfRule>
    <cfRule type="cellIs" dxfId="259" priority="102" operator="equal">
      <formula>"RED"</formula>
    </cfRule>
    <cfRule type="cellIs" dxfId="258" priority="103" operator="equal">
      <formula>"BLA"</formula>
    </cfRule>
  </conditionalFormatting>
  <conditionalFormatting sqref="BZ31:CA31 CD31:CF31">
    <cfRule type="cellIs" dxfId="257" priority="80" operator="greaterThan">
      <formula>0</formula>
    </cfRule>
  </conditionalFormatting>
  <conditionalFormatting sqref="IC31:IK31">
    <cfRule type="expression" dxfId="256" priority="81">
      <formula>$IL31&gt;0</formula>
    </cfRule>
  </conditionalFormatting>
  <conditionalFormatting sqref="J31">
    <cfRule type="colorScale" priority="105">
      <colorScale>
        <cfvo type="min"/>
        <cfvo type="percentile" val="50"/>
        <cfvo type="max"/>
        <color rgb="FFF8696B"/>
        <color rgb="FFFFEB84"/>
        <color rgb="FF63BE7B"/>
      </colorScale>
    </cfRule>
  </conditionalFormatting>
  <conditionalFormatting sqref="S31">
    <cfRule type="colorScale" priority="106">
      <colorScale>
        <cfvo type="min"/>
        <cfvo type="max"/>
        <color rgb="FFFCFCFF"/>
        <color rgb="FF754BFB"/>
      </colorScale>
    </cfRule>
  </conditionalFormatting>
  <conditionalFormatting sqref="AT31">
    <cfRule type="colorScale" priority="107">
      <colorScale>
        <cfvo type="min"/>
        <cfvo type="max"/>
        <color rgb="FFFCFCFF"/>
        <color theme="8" tint="0.39997558519241921"/>
      </colorScale>
    </cfRule>
  </conditionalFormatting>
  <conditionalFormatting sqref="CG31">
    <cfRule type="colorScale" priority="108">
      <colorScale>
        <cfvo type="min"/>
        <cfvo type="max"/>
        <color rgb="FFFCFCFF"/>
        <color rgb="FF63BE7B"/>
      </colorScale>
    </cfRule>
  </conditionalFormatting>
  <conditionalFormatting sqref="H32">
    <cfRule type="cellIs" dxfId="255" priority="41" stopIfTrue="1" operator="notEqual">
      <formula>""</formula>
    </cfRule>
  </conditionalFormatting>
  <conditionalFormatting sqref="R32 CU32">
    <cfRule type="cellIs" dxfId="254" priority="43" operator="greaterThan">
      <formula>0</formula>
    </cfRule>
  </conditionalFormatting>
  <conditionalFormatting sqref="T32:AS32 CH32:CS32">
    <cfRule type="cellIs" dxfId="253" priority="38" stopIfTrue="1" operator="equal">
      <formula>"n"</formula>
    </cfRule>
    <cfRule type="cellIs" dxfId="252" priority="39" stopIfTrue="1" operator="equal">
      <formula>"y"</formula>
    </cfRule>
    <cfRule type="cellIs" dxfId="251" priority="40" operator="greaterThan">
      <formula>0</formula>
    </cfRule>
  </conditionalFormatting>
  <conditionalFormatting sqref="AZ32:BB32">
    <cfRule type="expression" dxfId="250" priority="37">
      <formula>$AT32=0</formula>
    </cfRule>
  </conditionalFormatting>
  <conditionalFormatting sqref="AZ32:BU32">
    <cfRule type="cellIs" dxfId="249" priority="46" operator="equal">
      <formula>"PIN"</formula>
    </cfRule>
    <cfRule type="cellIs" dxfId="248" priority="47" operator="equal">
      <formula>"ORA"</formula>
    </cfRule>
    <cfRule type="cellIs" dxfId="247" priority="48" operator="equal">
      <formula>"GRA"</formula>
    </cfRule>
    <cfRule type="cellIs" dxfId="246" priority="49" operator="equal">
      <formula>"PUR"</formula>
    </cfRule>
    <cfRule type="cellIs" dxfId="245" priority="50" operator="equal">
      <formula>"BRO"</formula>
    </cfRule>
    <cfRule type="cellIs" dxfId="244" priority="51" operator="equal">
      <formula>"YEL"</formula>
    </cfRule>
    <cfRule type="cellIs" dxfId="243" priority="52" operator="equal">
      <formula>"BLU"</formula>
    </cfRule>
    <cfRule type="cellIs" dxfId="242" priority="53" operator="equal">
      <formula>"WHI"</formula>
    </cfRule>
    <cfRule type="cellIs" dxfId="241" priority="54" operator="equal">
      <formula>"GRE"</formula>
    </cfRule>
    <cfRule type="cellIs" dxfId="240" priority="55" operator="equal">
      <formula>"RED"</formula>
    </cfRule>
    <cfRule type="cellIs" dxfId="239" priority="56" operator="equal">
      <formula>"BLA"</formula>
    </cfRule>
  </conditionalFormatting>
  <conditionalFormatting sqref="BV32">
    <cfRule type="cellIs" dxfId="238" priority="68" operator="equal">
      <formula>"nc"</formula>
    </cfRule>
  </conditionalFormatting>
  <conditionalFormatting sqref="BX32:CA32 CD32:CF32">
    <cfRule type="cellIs" dxfId="237" priority="42" operator="equal">
      <formula>"y"</formula>
    </cfRule>
    <cfRule type="cellIs" dxfId="236" priority="57" operator="equal">
      <formula>"PIN"</formula>
    </cfRule>
    <cfRule type="cellIs" dxfId="235" priority="58" operator="equal">
      <formula>"ORA"</formula>
    </cfRule>
    <cfRule type="cellIs" dxfId="234" priority="59" operator="equal">
      <formula>"GRA"</formula>
    </cfRule>
    <cfRule type="cellIs" dxfId="233" priority="60" operator="equal">
      <formula>"PUR"</formula>
    </cfRule>
    <cfRule type="cellIs" dxfId="232" priority="61" operator="equal">
      <formula>"BRO"</formula>
    </cfRule>
    <cfRule type="cellIs" dxfId="231" priority="62" operator="equal">
      <formula>"YEL"</formula>
    </cfRule>
    <cfRule type="cellIs" dxfId="230" priority="63" operator="equal">
      <formula>"BLU"</formula>
    </cfRule>
    <cfRule type="cellIs" dxfId="229" priority="64" operator="equal">
      <formula>"WHI"</formula>
    </cfRule>
    <cfRule type="cellIs" dxfId="228" priority="65" operator="equal">
      <formula>"GRE"</formula>
    </cfRule>
    <cfRule type="cellIs" dxfId="227" priority="66" operator="equal">
      <formula>"RED"</formula>
    </cfRule>
    <cfRule type="cellIs" dxfId="226" priority="67" operator="equal">
      <formula>"BLA"</formula>
    </cfRule>
  </conditionalFormatting>
  <conditionalFormatting sqref="BZ32:CA32 CD32:CF32">
    <cfRule type="cellIs" dxfId="225" priority="44" operator="greaterThan">
      <formula>0</formula>
    </cfRule>
  </conditionalFormatting>
  <conditionalFormatting sqref="IC32:IK32">
    <cfRule type="expression" dxfId="224" priority="45">
      <formula>$IL32&gt;0</formula>
    </cfRule>
  </conditionalFormatting>
  <conditionalFormatting sqref="J32">
    <cfRule type="colorScale" priority="69">
      <colorScale>
        <cfvo type="min"/>
        <cfvo type="percentile" val="50"/>
        <cfvo type="max"/>
        <color rgb="FFF8696B"/>
        <color rgb="FFFFEB84"/>
        <color rgb="FF63BE7B"/>
      </colorScale>
    </cfRule>
  </conditionalFormatting>
  <conditionalFormatting sqref="S32">
    <cfRule type="colorScale" priority="70">
      <colorScale>
        <cfvo type="min"/>
        <cfvo type="max"/>
        <color rgb="FFFCFCFF"/>
        <color rgb="FF754BFB"/>
      </colorScale>
    </cfRule>
  </conditionalFormatting>
  <conditionalFormatting sqref="AT32">
    <cfRule type="colorScale" priority="71">
      <colorScale>
        <cfvo type="min"/>
        <cfvo type="max"/>
        <color rgb="FFFCFCFF"/>
        <color theme="8" tint="0.39997558519241921"/>
      </colorScale>
    </cfRule>
  </conditionalFormatting>
  <conditionalFormatting sqref="CG32">
    <cfRule type="colorScale" priority="72">
      <colorScale>
        <cfvo type="min"/>
        <cfvo type="max"/>
        <color rgb="FFFCFCFF"/>
        <color rgb="FF63BE7B"/>
      </colorScale>
    </cfRule>
  </conditionalFormatting>
  <conditionalFormatting sqref="H33">
    <cfRule type="cellIs" dxfId="223" priority="5" stopIfTrue="1" operator="notEqual">
      <formula>""</formula>
    </cfRule>
  </conditionalFormatting>
  <conditionalFormatting sqref="R33 CU33">
    <cfRule type="cellIs" dxfId="222" priority="7" operator="greaterThan">
      <formula>0</formula>
    </cfRule>
  </conditionalFormatting>
  <conditionalFormatting sqref="T33:AS33 CH33:CS33">
    <cfRule type="cellIs" dxfId="221" priority="2" stopIfTrue="1" operator="equal">
      <formula>"n"</formula>
    </cfRule>
    <cfRule type="cellIs" dxfId="220" priority="3" stopIfTrue="1" operator="equal">
      <formula>"y"</formula>
    </cfRule>
    <cfRule type="cellIs" dxfId="219" priority="4" operator="greaterThan">
      <formula>0</formula>
    </cfRule>
  </conditionalFormatting>
  <conditionalFormatting sqref="AZ33:BB33">
    <cfRule type="expression" dxfId="218" priority="1">
      <formula>$AT33=0</formula>
    </cfRule>
  </conditionalFormatting>
  <conditionalFormatting sqref="AZ33:BU33">
    <cfRule type="cellIs" dxfId="217" priority="10" operator="equal">
      <formula>"PIN"</formula>
    </cfRule>
    <cfRule type="cellIs" dxfId="216" priority="11" operator="equal">
      <formula>"ORA"</formula>
    </cfRule>
    <cfRule type="cellIs" dxfId="215" priority="12" operator="equal">
      <formula>"GRA"</formula>
    </cfRule>
    <cfRule type="cellIs" dxfId="214" priority="13" operator="equal">
      <formula>"PUR"</formula>
    </cfRule>
    <cfRule type="cellIs" dxfId="213" priority="14" operator="equal">
      <formula>"BRO"</formula>
    </cfRule>
    <cfRule type="cellIs" dxfId="212" priority="15" operator="equal">
      <formula>"YEL"</formula>
    </cfRule>
    <cfRule type="cellIs" dxfId="211" priority="16" operator="equal">
      <formula>"BLU"</formula>
    </cfRule>
    <cfRule type="cellIs" dxfId="210" priority="17" operator="equal">
      <formula>"WHI"</formula>
    </cfRule>
    <cfRule type="cellIs" dxfId="209" priority="18" operator="equal">
      <formula>"GRE"</formula>
    </cfRule>
    <cfRule type="cellIs" dxfId="208" priority="19" operator="equal">
      <formula>"RED"</formula>
    </cfRule>
    <cfRule type="cellIs" dxfId="207" priority="20" operator="equal">
      <formula>"BLA"</formula>
    </cfRule>
  </conditionalFormatting>
  <conditionalFormatting sqref="BV33">
    <cfRule type="cellIs" dxfId="206" priority="32" operator="equal">
      <formula>"nc"</formula>
    </cfRule>
  </conditionalFormatting>
  <conditionalFormatting sqref="BX33:CA33 CD33:CF33">
    <cfRule type="cellIs" dxfId="205" priority="6" operator="equal">
      <formula>"y"</formula>
    </cfRule>
    <cfRule type="cellIs" dxfId="204" priority="21" operator="equal">
      <formula>"PIN"</formula>
    </cfRule>
    <cfRule type="cellIs" dxfId="203" priority="22" operator="equal">
      <formula>"ORA"</formula>
    </cfRule>
    <cfRule type="cellIs" dxfId="202" priority="23" operator="equal">
      <formula>"GRA"</formula>
    </cfRule>
    <cfRule type="cellIs" dxfId="201" priority="24" operator="equal">
      <formula>"PUR"</formula>
    </cfRule>
    <cfRule type="cellIs" dxfId="200" priority="25" operator="equal">
      <formula>"BRO"</formula>
    </cfRule>
    <cfRule type="cellIs" dxfId="199" priority="26" operator="equal">
      <formula>"YEL"</formula>
    </cfRule>
    <cfRule type="cellIs" dxfId="198" priority="27" operator="equal">
      <formula>"BLU"</formula>
    </cfRule>
    <cfRule type="cellIs" dxfId="197" priority="28" operator="equal">
      <formula>"WHI"</formula>
    </cfRule>
    <cfRule type="cellIs" dxfId="196" priority="29" operator="equal">
      <formula>"GRE"</formula>
    </cfRule>
    <cfRule type="cellIs" dxfId="195" priority="30" operator="equal">
      <formula>"RED"</formula>
    </cfRule>
    <cfRule type="cellIs" dxfId="194" priority="31" operator="equal">
      <formula>"BLA"</formula>
    </cfRule>
  </conditionalFormatting>
  <conditionalFormatting sqref="BZ33:CA33 CD33:CF33">
    <cfRule type="cellIs" dxfId="193" priority="8" operator="greaterThan">
      <formula>0</formula>
    </cfRule>
  </conditionalFormatting>
  <conditionalFormatting sqref="IC33:IK33">
    <cfRule type="expression" dxfId="192" priority="9">
      <formula>$IL33&gt;0</formula>
    </cfRule>
  </conditionalFormatting>
  <conditionalFormatting sqref="J33">
    <cfRule type="colorScale" priority="33">
      <colorScale>
        <cfvo type="min"/>
        <cfvo type="percentile" val="50"/>
        <cfvo type="max"/>
        <color rgb="FFF8696B"/>
        <color rgb="FFFFEB84"/>
        <color rgb="FF63BE7B"/>
      </colorScale>
    </cfRule>
  </conditionalFormatting>
  <conditionalFormatting sqref="S33">
    <cfRule type="colorScale" priority="34">
      <colorScale>
        <cfvo type="min"/>
        <cfvo type="max"/>
        <color rgb="FFFCFCFF"/>
        <color rgb="FF754BFB"/>
      </colorScale>
    </cfRule>
  </conditionalFormatting>
  <conditionalFormatting sqref="AT33">
    <cfRule type="colorScale" priority="35">
      <colorScale>
        <cfvo type="min"/>
        <cfvo type="max"/>
        <color rgb="FFFCFCFF"/>
        <color theme="8" tint="0.39997558519241921"/>
      </colorScale>
    </cfRule>
  </conditionalFormatting>
  <conditionalFormatting sqref="CG33">
    <cfRule type="colorScale" priority="36">
      <colorScale>
        <cfvo type="min"/>
        <cfvo type="max"/>
        <color rgb="FFFCFCFF"/>
        <color rgb="FF63BE7B"/>
      </colorScale>
    </cfRule>
  </conditionalFormatting>
  <hyperlinks>
    <hyperlink ref="A2" r:id="rId1" display="https://fbref.com/en/country/BRA/Brazil-Football" xr:uid="{86FD01D8-4718-4AAF-87A2-099B9D31DD4A}"/>
    <hyperlink ref="E2" r:id="rId2" xr:uid="{6F1F6B85-9D6F-44F0-B53F-08219E1835D3}"/>
    <hyperlink ref="P2" r:id="rId3" display="https://en.wikipedia.org/wiki/Flag_of_Brazil" xr:uid="{35BB483B-BAD9-47DA-9464-70B41B02C844}"/>
    <hyperlink ref="E3" r:id="rId4" xr:uid="{FF361E51-19A4-4539-A5C0-A101ACBE6598}"/>
    <hyperlink ref="I4" r:id="rId5" xr:uid="{B8E7ACC7-5185-4597-8444-55AD76560574}"/>
    <hyperlink ref="E4" r:id="rId6" xr:uid="{AA39EF60-0B64-45CC-9893-87F37CD3F28D}"/>
    <hyperlink ref="D4" r:id="rId7" xr:uid="{259E4226-3862-4228-A1F2-2F03037074C8}"/>
    <hyperlink ref="I5" r:id="rId8" xr:uid="{2C76A7E0-9098-46B5-8CE5-3DA4194DDED2}"/>
    <hyperlink ref="E5" r:id="rId9" xr:uid="{6D86357B-A4C7-4D8D-AADF-59923629A747}"/>
    <hyperlink ref="D5" r:id="rId10" xr:uid="{1B7B97F2-752F-41D4-B0DE-585908CCE502}"/>
    <hyperlink ref="I6" r:id="rId11" xr:uid="{7E4EBA1A-E3D6-48C8-8F06-05CF5935776A}"/>
    <hyperlink ref="E6" r:id="rId12" xr:uid="{93DDC6D6-527A-43FE-BC97-FCADC3086143}"/>
    <hyperlink ref="D6" r:id="rId13" xr:uid="{2602EBE2-E2D0-4390-8197-3E7DAF5E5602}"/>
    <hyperlink ref="E7" r:id="rId14" xr:uid="{8CC3BA04-CAAB-4791-A4E5-586C29805780}"/>
    <hyperlink ref="D7" r:id="rId15" xr:uid="{FCE0D353-E486-4BF6-997C-B4A983245753}"/>
    <hyperlink ref="I7" r:id="rId16" xr:uid="{59304CFF-C216-4AE5-A1E7-26583F2C3F52}"/>
    <hyperlink ref="E8" r:id="rId17" xr:uid="{9C770666-CF27-4084-A72E-5216C1A78C15}"/>
    <hyperlink ref="D8" r:id="rId18" xr:uid="{E2CB8F92-663B-4263-878B-6A621ADF2F1D}"/>
    <hyperlink ref="I8" r:id="rId19" xr:uid="{EA08292E-C84D-48BD-88D3-2C21337D54C7}"/>
    <hyperlink ref="I9" r:id="rId20" xr:uid="{0B20ABFA-9C8D-4F32-A5CD-390376479A06}"/>
    <hyperlink ref="E9" r:id="rId21" xr:uid="{7D098B30-5EB5-4557-AEFB-08BD9185314B}"/>
    <hyperlink ref="D9" r:id="rId22" xr:uid="{13B95A7D-8597-411A-A8B9-C0CAAE7031D3}"/>
    <hyperlink ref="I10" r:id="rId23" xr:uid="{BD6203E5-2BB5-4B91-BB97-C9CA5A5F164E}"/>
    <hyperlink ref="E10" r:id="rId24" xr:uid="{916A546E-848B-455A-8212-EFEDF074A668}"/>
    <hyperlink ref="D10" r:id="rId25" xr:uid="{05A8115D-9D52-4FCC-97BC-89430856AE34}"/>
    <hyperlink ref="I11" r:id="rId26" xr:uid="{997098A9-BFDB-43FF-8285-BB2151D8A008}"/>
    <hyperlink ref="E11" r:id="rId27" xr:uid="{E02EE406-7E43-416D-82A4-6641A66E118E}"/>
    <hyperlink ref="D11" r:id="rId28" xr:uid="{AC80D1E2-A40D-4BFF-B4A8-D74F962B68C7}"/>
    <hyperlink ref="I12" r:id="rId29" xr:uid="{CF5FF627-B1E2-4E49-A416-B04557FB6BC6}"/>
    <hyperlink ref="E12" r:id="rId30" xr:uid="{DE6733E4-3C3F-419E-8A67-9FCE1636B4B6}"/>
    <hyperlink ref="D12" r:id="rId31" xr:uid="{A552CB8B-D5CB-4AAA-AF69-62E0A14D0B17}"/>
    <hyperlink ref="I13" r:id="rId32" xr:uid="{B883A3E8-629B-4B91-B33A-BE5EE790D5AA}"/>
    <hyperlink ref="E13" r:id="rId33" xr:uid="{FBACCD32-F0A8-4460-8D70-070F486587F6}"/>
    <hyperlink ref="D13" r:id="rId34" xr:uid="{B39E3CA2-BF78-45D3-884B-535D3517C46A}"/>
    <hyperlink ref="E14" r:id="rId35" xr:uid="{584E29A8-8D7F-41C6-B2DB-10FE4FEB010C}"/>
    <hyperlink ref="D14" r:id="rId36" xr:uid="{968C289B-33D0-4B7E-A1B4-42ED3F2830AC}"/>
    <hyperlink ref="I14" r:id="rId37" xr:uid="{F63DA062-A4ED-4D1E-B1E1-1F34EF75FCD2}"/>
    <hyperlink ref="I15" r:id="rId38" xr:uid="{061DA526-36EF-4169-B115-CF144BFEEC12}"/>
    <hyperlink ref="E15" r:id="rId39" xr:uid="{E74E54EE-48B1-4FA6-8700-3553B4D104D5}"/>
    <hyperlink ref="I16" r:id="rId40" xr:uid="{1D328B54-BF16-4887-85AF-4F149B881008}"/>
    <hyperlink ref="E16" r:id="rId41" xr:uid="{483CDA08-CD5C-49D5-B01F-252138318BE9}"/>
    <hyperlink ref="D16" r:id="rId42" xr:uid="{B91C387A-F890-448D-B81E-43749845335C}"/>
    <hyperlink ref="I17" r:id="rId43" xr:uid="{9DA7DAFF-3387-4444-A3F5-F6BD7BB1DCF1}"/>
    <hyperlink ref="E17" r:id="rId44" xr:uid="{A10A0A06-17FE-4B78-BC52-4A947B331142}"/>
    <hyperlink ref="D17" r:id="rId45" xr:uid="{FDF56E0B-CD77-444A-8A7B-80969ACD54AF}"/>
    <hyperlink ref="I18" r:id="rId46" xr:uid="{AC666CCB-2DD7-43FC-B915-9D12E8B8BFBF}"/>
    <hyperlink ref="E18" r:id="rId47" xr:uid="{136A4765-DE7A-4057-ABF9-6A3B36E3B1D0}"/>
    <hyperlink ref="D18" r:id="rId48" xr:uid="{01B36815-23EE-4514-93DB-A6A53870C2C9}"/>
    <hyperlink ref="I19" r:id="rId49" xr:uid="{DA890917-B672-436F-9120-33838D3B9856}"/>
    <hyperlink ref="E19" r:id="rId50" xr:uid="{1594DDBA-1518-46FC-808D-FB84325474DA}"/>
    <hyperlink ref="D19" r:id="rId51" xr:uid="{EF25647B-DD9E-4008-8573-A9E5282E840F}"/>
    <hyperlink ref="E20" r:id="rId52" xr:uid="{EFF11927-7D54-491F-9DDC-786569182CF5}"/>
    <hyperlink ref="D20" r:id="rId53" xr:uid="{A89AA3B8-C296-49D1-9278-77D34F34F4A8}"/>
    <hyperlink ref="E21" r:id="rId54" xr:uid="{E59FE822-4058-45C6-BD80-E5A2AB924490}"/>
    <hyperlink ref="D21" r:id="rId55" xr:uid="{8E7A5960-A296-4B05-BFD5-F45E3B8CDEDE}"/>
    <hyperlink ref="I21" r:id="rId56" xr:uid="{D18FDF2C-3863-4070-93A2-B10B4F1D1AB9}"/>
    <hyperlink ref="I22" r:id="rId57" xr:uid="{60AEE31B-95E0-4073-B50E-8A10035110EE}"/>
    <hyperlink ref="E22" r:id="rId58" xr:uid="{3EB5A242-CF99-4032-AFEE-6FBC82D5BD45}"/>
    <hyperlink ref="D22" r:id="rId59" xr:uid="{F82C0FAB-5B16-429D-BB89-ED7E2B1236B8}"/>
    <hyperlink ref="E23" r:id="rId60" xr:uid="{B0234F2E-F17A-4215-BBF6-252628485917}"/>
    <hyperlink ref="D23" r:id="rId61" xr:uid="{156C15CD-B042-4E7B-B9CB-59DCC9648DEF}"/>
    <hyperlink ref="I23" r:id="rId62" xr:uid="{53C63F93-8869-4EF3-86E9-40CF5E3FDE9E}"/>
    <hyperlink ref="I24" r:id="rId63" xr:uid="{49698C3D-CCAA-4DC7-8594-A02BCFE0C017}"/>
    <hyperlink ref="E24" r:id="rId64" xr:uid="{87A210B8-3FBD-4617-9B43-59A8B51FD4F8}"/>
    <hyperlink ref="D24" r:id="rId65" xr:uid="{FEAD06D4-FFC5-44DA-A199-8DDB20BA9E01}"/>
    <hyperlink ref="I25" r:id="rId66" xr:uid="{387C60E4-1FFB-4C42-A025-F43977C0A62D}"/>
    <hyperlink ref="E25" r:id="rId67" xr:uid="{DC3661B7-095F-485E-9FA2-6FF17264D7FD}"/>
    <hyperlink ref="D25" r:id="rId68" xr:uid="{71D7B201-5A29-4A12-8C3D-3D69F65284BF}"/>
    <hyperlink ref="I26" r:id="rId69" xr:uid="{4F30CD7E-99CC-4FF7-8376-AE06337AB394}"/>
    <hyperlink ref="E26" r:id="rId70" xr:uid="{80D32EB4-B0AE-4DDF-AAC4-B84025344EF1}"/>
    <hyperlink ref="D26" r:id="rId71" xr:uid="{A9233A25-D9D1-4FD9-BC83-C64A9349A24D}"/>
    <hyperlink ref="I27" r:id="rId72" xr:uid="{7EFA2B61-8CBF-4CBB-A66B-0B73ED23BC54}"/>
    <hyperlink ref="E27" r:id="rId73" xr:uid="{E6B6F7BC-9B70-4D2A-A99C-79BDC74EDA91}"/>
    <hyperlink ref="D27" r:id="rId74" xr:uid="{15316AC5-7ADC-4369-8120-F2E598DAC091}"/>
    <hyperlink ref="I28" r:id="rId75" xr:uid="{58E6FA40-74A9-441A-9054-4D1656305D01}"/>
    <hyperlink ref="E28" r:id="rId76" xr:uid="{051B4386-6000-482D-9B79-375387F97EAD}"/>
    <hyperlink ref="D28" r:id="rId77" xr:uid="{F723CAF3-229E-4EE5-B833-32C6362738D3}"/>
    <hyperlink ref="I29" r:id="rId78" xr:uid="{4C87DEB9-2406-4413-86DC-044EEF693CF2}"/>
    <hyperlink ref="E29" r:id="rId79" xr:uid="{C7623B1E-B4A4-47BC-83B6-FB8D55D25CE7}"/>
    <hyperlink ref="D29" r:id="rId80" xr:uid="{E291B797-619B-4CA8-B97D-97C4DDD94C14}"/>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BD186-B46C-4CDE-A826-4B463C1440E6}">
  <dimension ref="A1:IY15"/>
  <sheetViews>
    <sheetView zoomScale="70" zoomScaleNormal="70" workbookViewId="0">
      <selection activeCell="A15" sqref="A15:XFD15"/>
    </sheetView>
  </sheetViews>
  <sheetFormatPr defaultRowHeight="14.4" x14ac:dyDescent="0.3"/>
  <cols>
    <col min="1" max="1" width="24.33203125" customWidth="1"/>
    <col min="2" max="2" width="10.109375" customWidth="1"/>
    <col min="3" max="3" width="9" bestFit="1" customWidth="1"/>
    <col min="7" max="7" width="9" bestFit="1" customWidth="1"/>
    <col min="11" max="11" width="9.88671875" bestFit="1" customWidth="1"/>
    <col min="12" max="12" width="9" bestFit="1" customWidth="1"/>
    <col min="17" max="17" width="9" bestFit="1" customWidth="1"/>
    <col min="19" max="19" width="9" bestFit="1"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189</v>
      </c>
      <c r="B2" s="40" t="e" vm="56">
        <v>#VALUE!</v>
      </c>
      <c r="C2" s="41">
        <v>1</v>
      </c>
      <c r="D2" s="42" t="s">
        <v>190</v>
      </c>
      <c r="E2" s="43" t="s">
        <v>191</v>
      </c>
      <c r="F2" s="44" t="s">
        <v>166</v>
      </c>
      <c r="G2" s="45">
        <f>COUNTIF($A$1:$A$8294,A2)</f>
        <v>1</v>
      </c>
      <c r="H2" s="46"/>
      <c r="I2" s="47" t="s">
        <v>192</v>
      </c>
      <c r="J2" s="48" t="str">
        <f>""</f>
        <v/>
      </c>
      <c r="K2" s="49">
        <v>19630000</v>
      </c>
      <c r="L2" s="50">
        <v>2900000</v>
      </c>
      <c r="M2" s="50" t="s">
        <v>193</v>
      </c>
      <c r="N2" s="51" t="s">
        <v>169</v>
      </c>
      <c r="O2" s="52" t="s">
        <v>194</v>
      </c>
      <c r="P2" s="53" t="s">
        <v>195</v>
      </c>
      <c r="Q2" s="54">
        <v>1</v>
      </c>
      <c r="R2" s="55" t="s">
        <v>169</v>
      </c>
      <c r="S2" s="56">
        <v>2</v>
      </c>
      <c r="T2" s="57" t="s">
        <v>172</v>
      </c>
      <c r="U2" s="58" t="s">
        <v>172</v>
      </c>
      <c r="V2" s="58" t="s">
        <v>173</v>
      </c>
      <c r="W2" s="58" t="s">
        <v>172</v>
      </c>
      <c r="X2" s="58" t="s">
        <v>172</v>
      </c>
      <c r="Y2" s="58" t="s">
        <v>172</v>
      </c>
      <c r="Z2" s="58" t="s">
        <v>172</v>
      </c>
      <c r="AA2" s="58" t="s">
        <v>172</v>
      </c>
      <c r="AB2" s="58" t="s">
        <v>172</v>
      </c>
      <c r="AC2" s="58" t="s">
        <v>172</v>
      </c>
      <c r="AD2" s="58" t="s">
        <v>172</v>
      </c>
      <c r="AE2" s="58" t="s">
        <v>172</v>
      </c>
      <c r="AF2" s="59" t="s">
        <v>172</v>
      </c>
      <c r="AG2" s="59" t="s">
        <v>173</v>
      </c>
      <c r="AH2" s="59" t="s">
        <v>172</v>
      </c>
      <c r="AI2" s="59" t="s">
        <v>173</v>
      </c>
      <c r="AJ2" s="59" t="s">
        <v>172</v>
      </c>
      <c r="AK2" s="59" t="s">
        <v>172</v>
      </c>
      <c r="AL2" s="59" t="s">
        <v>172</v>
      </c>
      <c r="AM2" s="59" t="s">
        <v>172</v>
      </c>
      <c r="AN2" s="59" t="s">
        <v>172</v>
      </c>
      <c r="AO2" s="59" t="s">
        <v>172</v>
      </c>
      <c r="AP2" s="59" t="s">
        <v>172</v>
      </c>
      <c r="AQ2" s="59" t="s">
        <v>172</v>
      </c>
      <c r="AR2" s="59" t="s">
        <v>172</v>
      </c>
      <c r="AS2" s="59" t="s">
        <v>172</v>
      </c>
      <c r="AT2" s="60">
        <v>1</v>
      </c>
      <c r="AU2" s="59"/>
      <c r="AV2" s="59" t="str">
        <f>IF(LEFT(A2,1)="[",LEFT(A2,5)&amp;AU2&amp;A2,"")</f>
        <v/>
      </c>
      <c r="AW2" s="59" t="str">
        <f>C2&amp;A2</f>
        <v>1Chile</v>
      </c>
      <c r="AX2" s="61"/>
      <c r="AY2" s="61"/>
      <c r="AZ2" s="62" t="s">
        <v>174</v>
      </c>
      <c r="BA2" s="62"/>
      <c r="BB2" s="62"/>
      <c r="BC2" s="63"/>
      <c r="BD2" s="64" t="s">
        <v>152</v>
      </c>
      <c r="BE2" s="47"/>
      <c r="BF2" s="64" t="s">
        <v>174</v>
      </c>
      <c r="BG2" s="64" t="s">
        <v>174</v>
      </c>
      <c r="BH2" s="64" t="s">
        <v>174</v>
      </c>
      <c r="BI2" s="64"/>
      <c r="BJ2" s="64"/>
      <c r="BK2" s="47"/>
      <c r="BL2" s="64" t="s">
        <v>151</v>
      </c>
      <c r="BM2" s="64" t="s">
        <v>152</v>
      </c>
      <c r="BN2" s="64" t="s">
        <v>153</v>
      </c>
      <c r="BO2" s="64" t="s">
        <v>154</v>
      </c>
      <c r="BP2" s="64" t="s">
        <v>155</v>
      </c>
      <c r="BQ2" s="64" t="s">
        <v>174</v>
      </c>
      <c r="BR2" s="64" t="s">
        <v>174</v>
      </c>
      <c r="BS2" s="64" t="s">
        <v>174</v>
      </c>
      <c r="BT2" s="64" t="s">
        <v>159</v>
      </c>
      <c r="BU2" s="65" t="s">
        <v>173</v>
      </c>
      <c r="BV2" s="66"/>
      <c r="BW2" s="66">
        <v>0</v>
      </c>
      <c r="BX2" s="47"/>
      <c r="CB2" s="6"/>
      <c r="CC2" s="6"/>
      <c r="CD2" s="67">
        <v>0</v>
      </c>
      <c r="CE2" s="67">
        <v>0</v>
      </c>
      <c r="CF2" s="67" t="e">
        <v>#REF!</v>
      </c>
      <c r="CG2" s="68" cm="1">
        <f t="array" ref="CG2">SUMPRODUCT(--(LEN(TRIM(BL2:BT2))&gt;0))</f>
        <v>6</v>
      </c>
      <c r="CH2" s="59" t="str">
        <f t="shared" ref="CH2:CH8" si="0">IF(CG2=2,"y","n")</f>
        <v>n</v>
      </c>
      <c r="CI2" s="59" t="str">
        <f t="shared" ref="CI2:CI8" si="1">IF(CG2=3,"y","n")</f>
        <v>n</v>
      </c>
      <c r="CJ2" s="59" t="str">
        <f t="shared" ref="CJ2:CJ8" si="2">IF(CG2=4,"y","n")</f>
        <v>n</v>
      </c>
      <c r="CK2" s="59" t="str">
        <f t="shared" ref="CK2:CK8" si="3">IF(CG2&gt;4,"y","n")</f>
        <v>y</v>
      </c>
      <c r="CL2" s="59" t="str">
        <f t="shared" ref="CL2:CL8" si="4">IF(S2=0,"y","n")</f>
        <v>n</v>
      </c>
      <c r="CM2" s="59" t="str">
        <f t="shared" ref="CM2:CM8" si="5">IF(S2=2,"y","n")</f>
        <v>y</v>
      </c>
      <c r="CN2" s="59" t="str">
        <f t="shared" ref="CN2:CN8" si="6">IF(S2=3,"y","n")</f>
        <v>n</v>
      </c>
      <c r="CO2" s="59" t="str">
        <f t="shared" ref="CO2:CO8" si="7">IF(S2&gt;=4,"y","n")</f>
        <v>n</v>
      </c>
      <c r="CP2" s="59" t="str">
        <f t="shared" ref="CP2:CP8" si="8">IF(AT2=0,"y","n")</f>
        <v>n</v>
      </c>
      <c r="CQ2" s="59" t="str">
        <f t="shared" ref="CQ2:CQ8" si="9">IF(AT2=1,"y","n")</f>
        <v>y</v>
      </c>
      <c r="CR2" s="59" t="str">
        <f t="shared" ref="CR2:CR8" si="10">IF(AT2=2,"y","n")</f>
        <v>n</v>
      </c>
      <c r="CS2" s="59" t="str">
        <f t="shared" ref="CS2:CS8" si="11">IF(AT2&gt;=3,"y","n")</f>
        <v>n</v>
      </c>
      <c r="CT2" s="69" t="str">
        <f t="shared" ref="CT2:CT8" si="12">CHAR(34)&amp;A2&amp;CHAR(34)</f>
        <v>"Chile"</v>
      </c>
      <c r="CU2" s="70" t="str">
        <f t="shared" ref="CU2:CU8" si="13">CHAR(34)&amp;"rgn_"&amp;R2&amp;CHAR(34)</f>
        <v>"rgn_South America"</v>
      </c>
      <c r="CV2" s="48" t="str">
        <f t="shared" ref="CV2:CV8" si="14">CHAR(34)&amp;D2&amp;CHAR(34)</f>
        <v>"https://i.ibb.co/YWTPJTk/Chile-Flag.png"</v>
      </c>
      <c r="CW2" s="48" t="str">
        <f t="shared" ref="CW2:CZ15" si="15">IF(CH2="y",CHAR(34)&amp;CH$1&amp;CHAR(34)&amp;",","")</f>
        <v/>
      </c>
      <c r="CX2" s="48" t="str">
        <f t="shared" si="15"/>
        <v/>
      </c>
      <c r="CY2" s="48" t="str">
        <f t="shared" si="15"/>
        <v/>
      </c>
      <c r="CZ2" s="48" t="str">
        <f t="shared" si="15"/>
        <v>"5+Colo",</v>
      </c>
      <c r="DA2" s="48" t="str">
        <f t="shared" ref="DA2:DA8" si="16">IF(Q2&gt;1,CHAR(34)&amp;"words2"&amp;CHAR(34)&amp;",","")</f>
        <v/>
      </c>
      <c r="DB2" s="48" t="str">
        <f t="shared" ref="DB2:DB8" si="17">IF(Q2&gt;2,CHAR(34)&amp;"words3"&amp;CHAR(34)&amp;",","")</f>
        <v/>
      </c>
      <c r="DC2" s="48" t="str">
        <f t="shared" ref="DC2:DC8" si="18">IF(Q2=2,CHAR(34)&amp;"exact2"&amp;CHAR(34)&amp;",","")</f>
        <v/>
      </c>
      <c r="DD2" s="48" t="str">
        <f t="shared" ref="DD2:DD8"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 t="shared" ref="DE2:DE8"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 t="shared" ref="DF2:DF8" si="21">IFERROR(IF(SEARCH("tan",A2)&gt;0,CHAR(34)&amp;"withtn"&amp;CHAR(34)&amp;",",""),"")</f>
        <v/>
      </c>
      <c r="DG2" s="48" t="str">
        <f t="shared" ref="DG2:DG8" si="22">IFERROR(IF(SEARCH("q",A2)&gt;0,CHAR(34)&amp;"with_q"&amp;CHAR(34)&amp;",",""),"")</f>
        <v/>
      </c>
      <c r="DH2" s="48" t="str">
        <f t="shared" ref="DH2:DH8" si="23">IFERROR(IF(SEARCH("v",A2)&gt;0,CHAR(34)&amp;"with_v"&amp;CHAR(34)&amp;",",""),"")</f>
        <v/>
      </c>
      <c r="DI2" s="48" t="str">
        <f t="shared" ref="DI2:DI8" si="24">IFERROR(IF(SEARCH("w",A2)&gt;0,CHAR(34)&amp;"with_w"&amp;CHAR(34)&amp;",",""),"")</f>
        <v/>
      </c>
      <c r="DJ2" s="48" t="str">
        <f t="shared" ref="DJ2:DJ8" si="25">IFERROR(IF(SEARCH("y",A2)&gt;0,CHAR(34)&amp;"with_y"&amp;CHAR(34)&amp;",",""),"")</f>
        <v/>
      </c>
      <c r="DK2" s="48" t="str">
        <f t="shared" ref="DK2:DK8" si="26">IFERROR(IF(SEARCH("z",A2)&gt;0,CHAR(34)&amp;"with_z"&amp;CHAR(34)&amp;",",""),"")</f>
        <v/>
      </c>
      <c r="DL2" s="48" t="str">
        <f t="shared" ref="DL2:DL8" si="27">IF(CG2=2, CHAR(34) &amp; _xlfn.TEXTJOIN("", TRUE, _xlfn._xlws.SORT(HP2:HX2)) &amp; CHAR(34) &amp; ",", "")</f>
        <v/>
      </c>
      <c r="DM2" s="48" t="str" cm="1">
        <f t="array" ref="DM2">IF(CG2=3,CHAR(34) &amp; _xlfn.TEXTJOIN("", TRUE, RIGHT(HP2:HX2, 2)) &amp; CHAR(34) &amp; ",", "")</f>
        <v/>
      </c>
      <c r="DN2" s="48" t="str">
        <f t="shared" ref="DN2:DN8" si="28">IF(AND(ISNUMBER(SEARCH("18", O2)), ISERROR(SEARCH("1918", O2)), ISERROR(SEARCH("2018", O2))), CHAR(34) &amp; "year18" &amp; CHAR(34) &amp; ",", "")</f>
        <v>"year18",</v>
      </c>
      <c r="DO2" s="48" t="str">
        <f t="shared" ref="DO2:DO8" si="29">IF(AND(ISNUMBER(SEARCH("19", O2)), ISERROR(SEARCH("1819", O2)),  ISERROR(SEARCH("1219", O2)),ISERROR(SEARCH("1119", O2)),ISERROR(SEARCH("1190", O2)),ISERROR(SEARCH("2019", O2))), CHAR(34) &amp; "year19" &amp; CHAR(34) &amp; ",", "")</f>
        <v/>
      </c>
      <c r="DP2" s="6" t="str">
        <f t="shared" ref="DP2:DP8" si="30">IF(AND(ISNUMBER(SEARCH("20", O2)), ISERROR(SEARCH("1920", O2))), CHAR(34)&amp;"year00"&amp;CHAR(34)&amp;",", "")</f>
        <v/>
      </c>
      <c r="DQ2" s="6" t="str">
        <f t="shared" ref="DQ2:DQ8" si="31">IF(CC2="y",CHAR(34)&amp;"soviet"&amp;CHAR(34)&amp;",","")</f>
        <v/>
      </c>
      <c r="DR2" s="6" t="str">
        <f t="shared" ref="DR2:DR8" si="32">IF(BY2="y",CHAR(34)&amp;"dgband"&amp;CHAR(34)&amp;",","")</f>
        <v/>
      </c>
      <c r="DS2" s="6" t="str">
        <f t="shared" ref="DS2:DS8" si="33">IF(W2="y",IF(AND(V2="n",BY2&lt;&gt;"y"),CHAR(34)&amp;"allver"&amp;CHAR(34)&amp;",",""),"")</f>
        <v/>
      </c>
      <c r="DT2" s="6" t="str">
        <f t="shared" ref="DT2:DT8" si="34">IF(V2="y",IF(AND(W2="n",BY2&lt;&gt;"y"),CHAR(34)&amp;"allhor"&amp;CHAR(34)&amp;",",""),"")</f>
        <v>"allhor",</v>
      </c>
      <c r="DU2" s="6" t="str">
        <f t="shared" ref="DU2:DU8" si="35">IF(BY2="y",IF(AND(W2="n",V2="n"),CHAR(34)&amp;"alldia"&amp;CHAR(34)&amp;",",""),"")</f>
        <v/>
      </c>
      <c r="DV2" s="48" t="str">
        <f t="shared" ref="DV2:DV8" si="36">IF(IA2&lt;&gt;"",(IF(IA2="y",CHAR(34)&amp;"largec"&amp;CHAR(34)&amp;",",CHAR(34)&amp;"smallc"&amp;CHAR(34)&amp;",")),"")</f>
        <v>"smallc",</v>
      </c>
      <c r="DW2" s="48" t="str">
        <f t="shared" ref="DW2:DZ15" si="37">IF(CL2="y",CHAR(34)&amp;CL$1&amp;CHAR(34)&amp;",","")</f>
        <v/>
      </c>
      <c r="DX2" s="48" t="str">
        <f t="shared" si="37"/>
        <v>"2Bands",</v>
      </c>
      <c r="DY2" s="48" t="str">
        <f t="shared" si="37"/>
        <v/>
      </c>
      <c r="DZ2" s="48" t="str">
        <f t="shared" si="37"/>
        <v/>
      </c>
      <c r="EA2" s="48" t="str">
        <f t="shared" ref="EA2:EE15" si="38">IF(T2="y",CHAR(34)&amp;T$1&amp;CHAR(34)&amp;",","")</f>
        <v/>
      </c>
      <c r="EB2" s="48" t="str">
        <f t="shared" si="38"/>
        <v/>
      </c>
      <c r="EC2" s="48" t="str">
        <f t="shared" si="38"/>
        <v>"Horizo",</v>
      </c>
      <c r="ED2" s="48" t="str">
        <f t="shared" si="38"/>
        <v/>
      </c>
      <c r="EE2" s="48" t="str">
        <f t="shared" si="38"/>
        <v/>
      </c>
      <c r="EF2" s="48" t="str">
        <f t="shared" ref="EF2:EF8" si="39">IF(AND(Y2&lt;&gt;"n",Y2&lt;&gt;""),CHAR(34)&amp;Y$1&amp;CHAR(34)&amp;",","")</f>
        <v/>
      </c>
      <c r="EG2" s="48" t="str">
        <f t="shared" ref="EG2:EZ14" si="40">IF(Z2="y",CHAR(34)&amp;Z$1&amp;CHAR(34)&amp;",","")</f>
        <v/>
      </c>
      <c r="EH2" s="48" t="str">
        <f t="shared" si="40"/>
        <v/>
      </c>
      <c r="EI2" s="48" t="str">
        <f t="shared" si="40"/>
        <v/>
      </c>
      <c r="EJ2" s="48" t="str">
        <f t="shared" si="40"/>
        <v/>
      </c>
      <c r="EK2" s="48" t="str">
        <f t="shared" si="40"/>
        <v/>
      </c>
      <c r="EL2" s="48" t="str">
        <f t="shared" si="40"/>
        <v/>
      </c>
      <c r="EM2" s="48" t="str">
        <f t="shared" si="40"/>
        <v/>
      </c>
      <c r="EN2" s="48" t="str">
        <f t="shared" si="40"/>
        <v>"Unequa",</v>
      </c>
      <c r="EO2" s="48" t="str">
        <f t="shared" si="40"/>
        <v/>
      </c>
      <c r="EP2" s="48" t="str">
        <f t="shared" si="40"/>
        <v>"Canton",</v>
      </c>
      <c r="EQ2" s="48" t="str">
        <f t="shared" si="40"/>
        <v/>
      </c>
      <c r="ER2" s="48" t="str">
        <f t="shared" si="40"/>
        <v/>
      </c>
      <c r="ES2" s="48" t="str">
        <f t="shared" si="40"/>
        <v/>
      </c>
      <c r="ET2" s="48" t="str">
        <f t="shared" si="40"/>
        <v/>
      </c>
      <c r="EU2" s="48" t="str">
        <f t="shared" si="40"/>
        <v/>
      </c>
      <c r="EV2" s="48" t="str">
        <f t="shared" si="40"/>
        <v/>
      </c>
      <c r="EW2" s="48" t="str">
        <f t="shared" si="40"/>
        <v/>
      </c>
      <c r="EX2" s="48" t="str">
        <f t="shared" si="40"/>
        <v/>
      </c>
      <c r="EY2" s="48" t="str">
        <f t="shared" si="40"/>
        <v/>
      </c>
      <c r="EZ2" s="48" t="str">
        <f t="shared" si="40"/>
        <v/>
      </c>
      <c r="FA2" s="48" t="str">
        <f t="shared" ref="FA2:FA8" si="41">IF(AT2&gt;0,CHAR(34)&amp;"sta"&amp;AZ2&amp;CHAR(34)&amp;",","")</f>
        <v>"sta",</v>
      </c>
      <c r="FB2" s="48" t="str">
        <f t="shared" ref="FB2:FB8" si="42">IF(AND(AT2&gt;0,BA2&lt;&gt;""),CHAR(34)&amp;"sta"&amp;BA2&amp;CHAR(34)&amp;",","")</f>
        <v/>
      </c>
      <c r="FC2" s="48" t="str">
        <f t="shared" ref="FC2:FC8" si="43">IF(AND(AT2&gt;0,BB2&lt;&gt;""),CHAR(34)&amp;"sta"&amp;BB2&amp;CHAR(34)&amp;",","")</f>
        <v/>
      </c>
      <c r="FD2" s="48" t="str">
        <f t="shared" ref="FD2:FD8" si="44">IF(BV2="n",CHAR(34)&amp;"tcWHYE"&amp;CHAR(34)&amp;",",IF(BV2="y",CHAR(34)&amp;FD$1&amp;CHAR(34)&amp;",",""))</f>
        <v/>
      </c>
      <c r="FE2" s="48" t="str">
        <f t="shared" ref="FE2:FE8" si="45">IF(COUNTIF(BL2:BT2,"BLU")=0,CHAR(34)&amp;"NO_BLU"&amp;CHAR(34)&amp;",", "")</f>
        <v/>
      </c>
      <c r="FF2" s="48" t="str">
        <f t="shared" ref="FF2:FF8" si="46">IF(COUNTIF(BL2:BT2,"WHI")=0,CHAR(34)&amp;"NO_WHI"&amp;CHAR(34)&amp;",", "")</f>
        <v/>
      </c>
      <c r="FG2" s="48" t="str">
        <f t="shared" ref="FG2:FG8" si="47">IF(COUNTIF(BL2:BT2,"RED")=0,CHAR(34)&amp;"NO_RED"&amp;CHAR(34)&amp;",", "")</f>
        <v/>
      </c>
      <c r="FH2" s="48" t="str">
        <f t="shared" ref="FH2:FH8" si="48">IF(COUNTIF(BL2:BS2,"GRE")=0,CHAR(34)&amp;"NO_GRE"&amp;CHAR(34)&amp;",", "")</f>
        <v/>
      </c>
      <c r="FI2" s="48" t="str">
        <f t="shared" ref="FI2:FI8" si="49">IF(COUNTIF(BL2:BT2,"YEL")=0,CHAR(34)&amp;"NO_YEL"&amp;CHAR(34)&amp;",", "")</f>
        <v/>
      </c>
      <c r="FJ2" s="48" t="str">
        <f t="shared" ref="FJ2:FJ8" si="50">IF(COUNTIF(BL2:BT2,"BLA")=0,CHAR(34)&amp;"NO_BLA"&amp;CHAR(34)&amp;",", "")</f>
        <v/>
      </c>
      <c r="FK2" s="48" t="str">
        <f t="shared" ref="FK2:FK8" si="51">IF(AND(FH2&lt;&gt;"",FF2&lt;&gt;""),CHAR(34)&amp;"WHGRNO"&amp;CHAR(34)&amp;",","")</f>
        <v/>
      </c>
      <c r="FL2" s="48" t="str">
        <f t="shared" ref="FL2:FL8" si="52">IF(AND(FI2&lt;&gt;"",FF2&lt;&gt;""),CHAR(34)&amp;"WHYENO"&amp;CHAR(34)&amp;",","")</f>
        <v/>
      </c>
      <c r="FM2" s="48" t="str">
        <f t="shared" ref="FM2:FM8" si="53">IF(AND(FJ2&lt;&gt;"",FF2&lt;&gt;""),CHAR(34)&amp;"BAWHNO"&amp;CHAR(34)&amp;",","")</f>
        <v/>
      </c>
      <c r="FN2" s="48" t="str">
        <f t="shared" ref="FN2:FN8" si="54">IF(AND(FE2&lt;&gt;"",FF2&lt;&gt;""),CHAR(34)&amp;"BLWHNO"&amp;CHAR(34)&amp;",","")</f>
        <v/>
      </c>
      <c r="FO2" s="48" t="str">
        <f t="shared" ref="FO2:FO8" si="55">IF(AND(FE2&lt;&gt;"",FG2&lt;&gt;""),CHAR(34)&amp;"BLRENO"&amp;CHAR(34)&amp;",","")</f>
        <v/>
      </c>
      <c r="FP2" s="48" t="str">
        <f t="shared" ref="FP2:FP8" si="56">IF(AND(FF2&lt;&gt;"",FF2&lt;&gt;""),CHAR(34)&amp;"WHRENO"&amp;CHAR(34)&amp;",","")</f>
        <v/>
      </c>
      <c r="FQ2" s="48" t="str">
        <f t="shared" ref="FQ2:FQ8" si="57">IF(LEN(BF2)=3,CHAR(34)&amp;"001"&amp;BF2&amp;CHAR(34)&amp;",","")</f>
        <v/>
      </c>
      <c r="FR2" s="48" t="str">
        <f t="shared" ref="FR2:FR8" si="58">IF(LEN(BG2)=3,CHAR(34)&amp;"002"&amp;BG2&amp;CHAR(34)&amp;",","")</f>
        <v/>
      </c>
      <c r="FS2" s="48" t="str">
        <f t="shared" ref="FS2:FS8" si="59">IF(LEN(BH2)=3,CHAR(34)&amp;"003"&amp;BH2&amp;CHAR(34)&amp;",","")</f>
        <v/>
      </c>
      <c r="FT2" s="48" t="str">
        <f t="shared" ref="FT2:FT8" si="60">CHAR(34)&amp;"myr"&amp;BD2&amp;CHAR(34)&amp;","</f>
        <v>"myrBLU",</v>
      </c>
      <c r="FU2" s="48" t="str">
        <f t="shared" ref="FU2:FU8" si="61">IF(AY2="y",CHAR(34)&amp;"island"&amp;CHAR(34)&amp;",","")</f>
        <v/>
      </c>
      <c r="FV2" s="48" t="str">
        <f t="shared" ref="FV2:FV8" si="62">IF(BZ2="y",CHAR(34)&amp;"landlo"&amp;CHAR(34)&amp;",","")</f>
        <v/>
      </c>
      <c r="FW2" s="48" t="str">
        <f t="shared" ref="FW2:FW8" si="63">IF(CA2="y",CHAR(34)&amp;"eunion"&amp;CHAR(34)&amp;",","")</f>
        <v/>
      </c>
      <c r="FX2" s="48" t="str">
        <f t="shared" ref="FX2:FX8" si="64">SUBSTITUTE(IFERROR(SEARCH("[",A2),IFERROR(IF(AND(CA2&lt;&gt;"y",SEARCH("Europe",R2)&gt;0),CHAR(34)&amp;"noeuni"&amp;CHAR(34)&amp;",",""),"")),"1","")</f>
        <v/>
      </c>
      <c r="FY2" s="48" t="str">
        <f t="shared" ref="FY2:FY8" si="65">IFERROR(IF(SEARCH("Arabic",CB2)&gt;0,CHAR(34)&amp;"arabic"&amp;CHAR(34)&amp;",",""),"")</f>
        <v/>
      </c>
      <c r="FZ2" s="48" t="str">
        <f t="shared" ref="FZ2:FZ8" si="66">IFERROR(IF(SEARCH("English",CB2)&gt;0,CHAR(34)&amp;"englis"&amp;CHAR(34)&amp;",",""),"")</f>
        <v/>
      </c>
      <c r="GA2" s="48" t="str">
        <f t="shared" ref="GA2:GA8" si="67">IFERROR(IF(SEARCH("French",CB2)&gt;0,CHAR(34)&amp;"french"&amp;CHAR(34)&amp;",",""),"")</f>
        <v/>
      </c>
      <c r="GB2" s="48" t="str">
        <f t="shared" ref="GB2:GB8" si="68">IFERROR(IF(SEARCH("Spanish",CB2)&gt;0,CHAR(34)&amp;"spanis"&amp;CHAR(34)&amp;",",""),"")</f>
        <v/>
      </c>
      <c r="GC2" s="48" t="str">
        <f t="shared" ref="GC2:GC8" si="69">IFERROR(IF(SEARCH("Portuguese",CB2)&gt;0,CHAR(34)&amp;"portug"&amp;CHAR(34)&amp;",",""),"")</f>
        <v/>
      </c>
      <c r="GD2" s="48" t="str">
        <f t="shared" ref="GD2:GD8" si="70">IFERROR(IF(SEARCH("German",CB2)&gt;0,CHAR(34)&amp;"german"&amp;CHAR(34)&amp;",",""),"")</f>
        <v/>
      </c>
      <c r="GE2" s="48" t="str">
        <f t="shared" ref="GE2:GE8" si="71">IFERROR(IF(SEARCH("Dutch",CB2)&gt;0,CHAR(34)&amp;"dutchs"&amp;CHAR(34)&amp;",",""),"")</f>
        <v/>
      </c>
      <c r="GF2" s="48" t="str">
        <f t="shared" ref="GF2" si="72">IFERROR(IF(SEARCH("Historical",AU2)&gt;0,CHAR(34)&amp;"histor"&amp;CHAR(34)&amp;",",""),"")</f>
        <v/>
      </c>
      <c r="GG2" s="48" t="str">
        <f t="shared" ref="GG2:GG8" si="73">IF(BU2="y",CHAR(34)&amp;"unjack"&amp;CHAR(34)&amp;",","")</f>
        <v>"unjack",</v>
      </c>
      <c r="GH2" s="48" t="str">
        <f t="shared" ref="GH2:GH8" si="74">IF(CD2=1,CHAR(34)&amp;"southc"&amp;CHAR(34)&amp;",","")</f>
        <v/>
      </c>
      <c r="GI2" s="48" t="str">
        <f t="shared" ref="GI2:GI8" si="75">IF(CE2=1,CHAR(34)&amp;"hasmap"&amp;CHAR(34)&amp;",","")</f>
        <v/>
      </c>
      <c r="GJ2" s="48" t="str">
        <f t="shared" ref="GJ2:GJ8" si="76">IF(CP2="y",CHAR(34)&amp;CP$1&amp;CHAR(34)&amp;",","")</f>
        <v/>
      </c>
      <c r="GK2" s="48" t="str">
        <f t="shared" ref="GK2:GK8" si="77">IF(GJ2="",CHAR(34)&amp;"HasSta"&amp;CHAR(34)&amp;",","")</f>
        <v>"HasSta",</v>
      </c>
      <c r="GL2" s="48" t="str">
        <f t="shared" ref="GL2:GN15" si="78">IF(CQ2="y",CHAR(34)&amp;CQ$1&amp;CHAR(34)&amp;",","")</f>
        <v>"1Stars",</v>
      </c>
      <c r="GM2" s="48" t="str">
        <f t="shared" si="78"/>
        <v/>
      </c>
      <c r="GN2" s="48" t="str">
        <f t="shared" si="78"/>
        <v/>
      </c>
      <c r="GP2" s="48" t="str">
        <f t="shared" ref="GP2:GP8" si="79">CHAR(34)&amp;AU2&amp;CHAR(34)</f>
        <v>""</v>
      </c>
      <c r="GS2" s="48" t="str">
        <f t="shared" ref="GS2:GS8" si="80">SUBSTITUTE("["&amp;_xlfn.CONCAT(CW2:GN2)&amp;"]",",]","]")</f>
        <v>["5+Colo","lets05","startC","year18","allhor","smallc","2Bands","Horizo","Unequa","Canton","sta","myrBLU","unjack","HasSta","1Stars"]</v>
      </c>
      <c r="GT2" s="48" t="str">
        <f t="shared" ref="GT2:HB15" si="81">IF(BL2&lt;&gt;"",CHAR(34)&amp;"cl_"&amp;BL2&amp;CHAR(34)&amp;",","")</f>
        <v>"cl_BLA",</v>
      </c>
      <c r="GU2" s="48" t="str">
        <f t="shared" si="81"/>
        <v>"cl_BLU",</v>
      </c>
      <c r="GV2" s="48" t="str">
        <f t="shared" si="81"/>
        <v>"cl_GRE",</v>
      </c>
      <c r="GW2" s="48" t="str">
        <f t="shared" si="81"/>
        <v>"cl_RED",</v>
      </c>
      <c r="GX2" s="48" t="str">
        <f t="shared" si="81"/>
        <v>"cl_YEL",</v>
      </c>
      <c r="GY2" s="48" t="str">
        <f t="shared" si="81"/>
        <v/>
      </c>
      <c r="GZ2" s="48" t="str">
        <f t="shared" si="81"/>
        <v/>
      </c>
      <c r="HA2" s="48" t="str">
        <f t="shared" si="81"/>
        <v/>
      </c>
      <c r="HB2" s="48" t="str">
        <f t="shared" si="81"/>
        <v>"cl_WHI",</v>
      </c>
      <c r="HC2" s="48" t="str">
        <f t="shared" ref="HC2:HC8" si="82">SUBSTITUTE("["&amp;_xlfn.CONCAT(GT2:HB2)&amp;"]",",]","]")</f>
        <v>["cl_BLA","cl_BLU","cl_GRE","cl_RED","cl_YEL","cl_WHI"]</v>
      </c>
      <c r="HE2" s="71"/>
      <c r="HF2" s="72" t="str">
        <f t="shared" ref="HF2:HF8" si="83">"{couname:"&amp;CT2&amp;(IF(HK2&lt;&gt;"",",subtype:"&amp;CHAR(34)&amp;HK2&amp;CHAR(34),""))&amp;",year:"&amp;HJ2&amp;",region:"&amp;CU2&amp;",Colors:"&amp;HC2&amp;",Items:"&amp;GS2&amp;",Flag:"&amp;CV2&amp;",HDFlag:"&amp;CHAR(34)&amp;E2&amp;CHAR(34)&amp;",type:"&amp;GP2&amp;", describe: "&amp;HH2&amp;", isnew:"&amp;CHAR(34)&amp;F2&amp;CHAR(34)&amp;", links: "&amp;HL2&amp;"},"</f>
        <v>{couname:"Chile",year:"1817 ",region:"rgn_South America",Colors:["cl_BLA","cl_BLU","cl_GRE","cl_RED","cl_YEL","cl_WHI"],Items:["5+Colo","lets05","startC","year18","allhor","smallc","2Bands","Horizo","Unequa","Canton","sta","myrBLU","unjack","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isnew:".", links: "https://en.wikipedia.org/wiki/Flag_of_Chile"},</v>
      </c>
      <c r="HG2" s="73" t="str">
        <f t="shared" ref="HG2:HG8" si="84">"{couname:"&amp;CT2&amp;(IF(HK2&lt;&gt;"",",subtype:"&amp;CHAR(34)&amp;HK2&amp;CHAR(34),""))&amp;",year:"&amp;HJ2&amp;",region:"&amp;CU2&amp;",Colors:"&amp;HC2&amp;",Items:"&amp;GS2&amp;",Flag:"&amp;CV2&amp;",HDFlag:"&amp;CHAR(34)&amp;E2&amp;CHAR(34)&amp;",type:"&amp;GP2&amp;", describe: "&amp;HI2&amp;", links: "&amp;HL2&amp;"},"</f>
        <v>{couname:"Chile",year:"1817 ",region:"rgn_South America",Colors:["cl_BLA","cl_BLU","cl_GRE","cl_RED","cl_YEL","cl_WHI"],Items:["5+Colo","lets05","startC","year18","allhor","smallc","2Bands","Horizo","Unequa","Canton","sta","myrBLU","unjack","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links: "https://en.wikipedia.org/wiki/Flag_of_Chile"},</v>
      </c>
      <c r="HH2" s="48" t="str">
        <f t="shared" ref="HH2:HH8" si="85">IF(P2&lt;&gt;"",CHAR(34)&amp;"\n"&amp;P2&amp;CHAR(34),CHAR(34)&amp;CHAR(34))</f>
        <v>"\nThe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v>
      </c>
      <c r="HI2" s="48" t="str">
        <f t="shared" ref="HI2:HI8" si="86">IF(J2=0,CHAR(34)&amp;CHAR(34),HH2)</f>
        <v>"\nThe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v>
      </c>
      <c r="HJ2" s="48" t="str">
        <f t="shared" ref="HJ2:HJ8" si="87">CHAR(34)&amp;O2&amp;CHAR(34)</f>
        <v>"1817 "</v>
      </c>
      <c r="HL2" s="48" t="str">
        <f t="shared" ref="HL2:HL8" si="88">CHAR(34)&amp;I2&amp;CHAR(34)</f>
        <v>"https://en.wikipedia.org/wiki/Flag_of_Chile"</v>
      </c>
      <c r="HM2" s="72" t="str">
        <f t="shared" ref="HM2:HM8"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{"couname":"Chile","year":"1817 ","region":"rgn_South America","Colors":["cl_BLA","cl_BLU","cl_GRE","cl_RED","cl_YEL","cl_WHI"],"Items":["5+Colo","lets05","startC","year18","allhor","smallc","2Bands","Horizo","Unequa","Canton","sta","myrBLU","unjack","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"isnew": ".", "links": "https://en.wikipedia.org/wiki/Flag_of_Chile"},</v>
      </c>
      <c r="HN2" s="74" t="str">
        <f t="shared" ref="HN2:HN8" si="9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{"couname":"Chile","year":"1817 ","region":"rgn_South America","Colors":["cl_BLA","cl_BLU","cl_GRE","cl_RED","cl_YEL","cl_WHI"],"Items":["5+Colo","lets05","startC","year18","allhor","smallc","2Bands","Horizo","Unequa","Canton","sta","myrBLU","unjack","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"isnew": ".", "links": "https://en.wikipedia.org/wiki/Flag_of_Chile"},</v>
      </c>
      <c r="HO2" s="75">
        <v>45576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172</v>
      </c>
      <c r="IB2" s="6"/>
      <c r="IC2" s="77"/>
      <c r="ID2" s="77"/>
      <c r="IE2" s="77"/>
      <c r="IF2" s="77"/>
      <c r="IG2" s="77"/>
      <c r="IH2" s="77"/>
      <c r="II2" s="77"/>
      <c r="IJ2" s="77"/>
      <c r="IK2" s="77"/>
      <c r="IL2" s="48">
        <f t="shared" ref="IL2:IL8" si="91">SUM(IC2:IK2)</f>
        <v>0</v>
      </c>
      <c r="IM2" s="45">
        <f t="shared" ref="IM2:IM8" si="92">COUNTIF(IC2:IK2,"&gt;0")-CG2</f>
        <v>-6</v>
      </c>
      <c r="IN2" s="78" t="str">
        <f t="shared" ref="IN2:IN8" si="93">"http://mkweb.bcgsc.ca/color-summarizer/?url="&amp;D2&amp;"&amp;precision=low&amp;num_clusters="&amp;CG2&amp;"&amp;text=1"</f>
        <v>http://mkweb.bcgsc.ca/color-summarizer/?url=https://i.ibb.co/YWTPJTk/Chile-Flag.png&amp;precision=low&amp;num_clusters=6&amp;text=1</v>
      </c>
      <c r="IO2" s="48" t="str">
        <f t="shared" ref="IO2:IO8" si="94">IF(HP2&lt;&gt;"",CHAR(34)&amp;"black"&amp;CHAR(34),"")</f>
        <v>"black"</v>
      </c>
      <c r="IP2" s="48" t="str">
        <f t="shared" ref="IP2:IP8" si="95">IF(HQ2&lt;&gt;"",CHAR(34)&amp;"blue"&amp;CHAR(34),"")</f>
        <v>"blue"</v>
      </c>
      <c r="IQ2" s="48" t="str">
        <f t="shared" ref="IQ2:IQ8" si="96">IF(HR2&lt;&gt;"",CHAR(34)&amp;"green"&amp;CHAR(34),"")</f>
        <v>"green"</v>
      </c>
      <c r="IR2" s="48" t="str">
        <f t="shared" ref="IR2:IR8" si="97">IF(HS2&lt;&gt;"",CHAR(34)&amp;"red"&amp;CHAR(34),"")</f>
        <v>"red"</v>
      </c>
      <c r="IS2" s="48" t="str">
        <f t="shared" ref="IS2:IS8" si="98">IF(HT2&lt;&gt;"",CHAR(34)&amp;"yellow"&amp;CHAR(34),"")</f>
        <v>"yellow"</v>
      </c>
      <c r="IT2" s="48" t="str">
        <f t="shared" ref="IT2:IT8" si="99">IF(HU2&lt;&gt;"",CHAR(34)&amp;"orange"&amp;CHAR(34),"")</f>
        <v/>
      </c>
      <c r="IU2" s="48" t="str">
        <f t="shared" ref="IU2:IU8" si="100">IF(HV2&lt;&gt;"",CHAR(34)&amp;"brown"&amp;CHAR(34),"")</f>
        <v/>
      </c>
      <c r="IV2" s="48" t="str">
        <f t="shared" ref="IV2:IV8" si="101">IF(HW2&lt;&gt;"",CHAR(34)&amp;"purple"&amp;CHAR(34),"")</f>
        <v/>
      </c>
      <c r="IW2" s="48" t="str">
        <f t="shared" ref="IW2:IW8" si="102">IF(HX2&lt;&gt;"",CHAR(34)&amp;"white"&amp;CHAR(34),"")</f>
        <v>"white"</v>
      </c>
      <c r="IX2" s="48" t="str">
        <f t="shared" ref="IX2:IX8" si="103">"{"&amp;CHAR(34)&amp;"url"&amp;CHAR(34)&amp;":"&amp;CHAR(34)&amp;IN2&amp;CHAR(34)&amp;","&amp;CHAR(34)&amp;"name"&amp;CHAR(34)&amp;":"&amp;CHAR(34)&amp;A2&amp;CHAR(34)&amp;"},"</f>
        <v>{"url":"http://mkweb.bcgsc.ca/color-summarizer/?url=https://i.ibb.co/YWTPJTk/Chile-Flag.png&amp;precision=low&amp;num_clusters=6&amp;text=1","name":"Chile"},</v>
      </c>
      <c r="IY2" s="48">
        <v>298</v>
      </c>
    </row>
    <row r="3" spans="1:259" s="48" customFormat="1" ht="38.4" customHeight="1" thickBot="1" x14ac:dyDescent="0.35">
      <c r="A3" s="79" t="s">
        <v>548</v>
      </c>
      <c r="B3" s="40" t="e" vm="57">
        <v>#VALUE!</v>
      </c>
      <c r="C3" s="41">
        <v>2</v>
      </c>
      <c r="D3" s="42" t="s">
        <v>549</v>
      </c>
      <c r="E3" s="43" t="s">
        <v>550</v>
      </c>
      <c r="F3" s="44" t="s">
        <v>166</v>
      </c>
      <c r="G3" s="45">
        <f>COUNTIF($A$1:$A$8294,A3)</f>
        <v>1</v>
      </c>
      <c r="H3" s="46"/>
      <c r="I3" s="47" t="s">
        <v>551</v>
      </c>
      <c r="J3" s="48" t="str">
        <f>""</f>
        <v/>
      </c>
      <c r="K3" s="49"/>
      <c r="L3" s="50"/>
      <c r="M3" s="50"/>
      <c r="N3" s="51" t="s">
        <v>169</v>
      </c>
      <c r="O3" s="52">
        <v>2005</v>
      </c>
      <c r="P3" s="53" t="s">
        <v>552</v>
      </c>
      <c r="Q3" s="54">
        <v>2</v>
      </c>
      <c r="R3" s="55" t="s">
        <v>169</v>
      </c>
      <c r="S3" s="56">
        <v>0</v>
      </c>
      <c r="T3" s="57" t="s">
        <v>172</v>
      </c>
      <c r="U3" s="58" t="s">
        <v>172</v>
      </c>
      <c r="V3" s="58" t="s">
        <v>172</v>
      </c>
      <c r="W3" s="58" t="s">
        <v>172</v>
      </c>
      <c r="X3" s="58" t="s">
        <v>172</v>
      </c>
      <c r="Y3" s="58" t="s">
        <v>172</v>
      </c>
      <c r="Z3" s="58" t="s">
        <v>172</v>
      </c>
      <c r="AA3" s="58" t="s">
        <v>172</v>
      </c>
      <c r="AB3" s="58" t="s">
        <v>172</v>
      </c>
      <c r="AC3" s="58" t="s">
        <v>172</v>
      </c>
      <c r="AD3" s="58" t="s">
        <v>172</v>
      </c>
      <c r="AE3" s="58" t="s">
        <v>172</v>
      </c>
      <c r="AF3" s="59" t="s">
        <v>172</v>
      </c>
      <c r="AG3" s="59" t="s">
        <v>172</v>
      </c>
      <c r="AH3" s="59" t="s">
        <v>173</v>
      </c>
      <c r="AI3" s="59" t="s">
        <v>172</v>
      </c>
      <c r="AJ3" s="59" t="s">
        <v>172</v>
      </c>
      <c r="AK3" s="59" t="s">
        <v>172</v>
      </c>
      <c r="AL3" s="59" t="s">
        <v>172</v>
      </c>
      <c r="AM3" s="59" t="s">
        <v>172</v>
      </c>
      <c r="AN3" s="59" t="s">
        <v>172</v>
      </c>
      <c r="AO3" s="59" t="s">
        <v>172</v>
      </c>
      <c r="AP3" s="59" t="s">
        <v>172</v>
      </c>
      <c r="AQ3" s="59" t="s">
        <v>172</v>
      </c>
      <c r="AR3" s="59" t="s">
        <v>172</v>
      </c>
      <c r="AS3" s="59" t="s">
        <v>172</v>
      </c>
      <c r="AT3" s="60">
        <v>1</v>
      </c>
      <c r="AU3" s="59" t="s">
        <v>553</v>
      </c>
      <c r="AV3" s="59" t="str">
        <f>IF(LEFT(A3,1)="[",LEFT(A3,5)&amp;AU3&amp;A3,"")</f>
        <v>[CHL]Region[CHL] Atacama Region</v>
      </c>
      <c r="AW3" s="59" t="str">
        <f>C3&amp;A3</f>
        <v>2[CHL] Atacama Region</v>
      </c>
      <c r="AX3" s="61" t="str">
        <f>_xlfn.TEXTJOIN(";",TRUE,AU3:AW3)</f>
        <v>Region;[CHL]Region[CHL] Atacama Region;2[CHL] Atacama Region</v>
      </c>
      <c r="AY3" s="61" t="s">
        <v>173</v>
      </c>
      <c r="AZ3" s="62"/>
      <c r="BA3" s="62"/>
      <c r="BB3" s="62"/>
      <c r="BC3" s="63"/>
      <c r="BD3" s="64" t="s">
        <v>154</v>
      </c>
      <c r="BE3" s="47"/>
      <c r="BF3" s="64" t="s">
        <v>154</v>
      </c>
      <c r="BG3" s="64" t="s">
        <v>159</v>
      </c>
      <c r="BH3" s="64" t="s">
        <v>154</v>
      </c>
      <c r="BI3" s="64"/>
      <c r="BJ3" s="64"/>
      <c r="BK3" s="47"/>
      <c r="BL3" s="64" t="s">
        <v>154</v>
      </c>
      <c r="BM3" s="64" t="s">
        <v>159</v>
      </c>
      <c r="BN3" s="64" t="s">
        <v>152</v>
      </c>
      <c r="BO3" s="64" t="s">
        <v>156</v>
      </c>
      <c r="BP3" s="64"/>
      <c r="BQ3" s="64"/>
      <c r="BR3" s="64"/>
      <c r="BS3" s="64"/>
      <c r="BT3" s="64"/>
      <c r="BU3" s="65"/>
      <c r="BV3" s="66" t="s">
        <v>278</v>
      </c>
      <c r="BW3" s="66" t="s">
        <v>270</v>
      </c>
      <c r="BX3" s="47"/>
      <c r="CB3" s="6" t="s">
        <v>137</v>
      </c>
      <c r="CC3" s="6"/>
      <c r="CD3" s="67">
        <v>0</v>
      </c>
      <c r="CE3" s="67">
        <v>0</v>
      </c>
      <c r="CF3" s="67" t="e">
        <v>#REF!</v>
      </c>
      <c r="CG3" s="68" cm="1">
        <f t="array" ref="CG3">SUMPRODUCT(--(LEN(TRIM(BL3:BT3))&gt;0))</f>
        <v>4</v>
      </c>
      <c r="CH3" s="59" t="str">
        <f t="shared" si="0"/>
        <v>n</v>
      </c>
      <c r="CI3" s="59" t="str">
        <f t="shared" si="1"/>
        <v>n</v>
      </c>
      <c r="CJ3" s="59" t="str">
        <f t="shared" si="2"/>
        <v>y</v>
      </c>
      <c r="CK3" s="59" t="str">
        <f t="shared" si="3"/>
        <v>n</v>
      </c>
      <c r="CL3" s="59" t="str">
        <f t="shared" si="4"/>
        <v>y</v>
      </c>
      <c r="CM3" s="59" t="str">
        <f t="shared" si="5"/>
        <v>n</v>
      </c>
      <c r="CN3" s="59" t="str">
        <f t="shared" si="6"/>
        <v>n</v>
      </c>
      <c r="CO3" s="59" t="str">
        <f t="shared" si="7"/>
        <v>n</v>
      </c>
      <c r="CP3" s="59" t="str">
        <f t="shared" si="8"/>
        <v>n</v>
      </c>
      <c r="CQ3" s="59" t="str">
        <f t="shared" si="9"/>
        <v>y</v>
      </c>
      <c r="CR3" s="59" t="str">
        <f t="shared" si="10"/>
        <v>n</v>
      </c>
      <c r="CS3" s="59" t="str">
        <f t="shared" si="11"/>
        <v>n</v>
      </c>
      <c r="CT3" s="69" t="str">
        <f t="shared" si="12"/>
        <v>"[CHL] Atacama Region"</v>
      </c>
      <c r="CU3" s="70" t="str">
        <f t="shared" si="13"/>
        <v>"rgn_South America"</v>
      </c>
      <c r="CV3" s="48" t="str">
        <f t="shared" si="14"/>
        <v>"https://upload.wikimedia.org/wikipedia/commons/thumb/3/38/Flag_of_Atacama%2C_Chile.svg/640px-Flag_of_Atacama%2C_Chile.svg.png"</v>
      </c>
      <c r="CW3" s="48" t="str">
        <f t="shared" si="15"/>
        <v/>
      </c>
      <c r="CX3" s="48" t="str">
        <f t="shared" si="15"/>
        <v/>
      </c>
      <c r="CY3" s="48" t="str">
        <f t="shared" si="15"/>
        <v>"4Color",</v>
      </c>
      <c r="CZ3" s="48" t="str">
        <f t="shared" si="15"/>
        <v/>
      </c>
      <c r="DA3" s="48" t="str">
        <f t="shared" si="16"/>
        <v>"words2",</v>
      </c>
      <c r="DB3" s="48" t="str">
        <f t="shared" si="17"/>
        <v/>
      </c>
      <c r="DC3" s="48" t="str">
        <f t="shared" si="18"/>
        <v>"exact2",</v>
      </c>
      <c r="DD3" s="48" t="str">
        <f t="shared" si="19"/>
        <v>"lets13",</v>
      </c>
      <c r="DE3" s="48" t="str">
        <f t="shared" si="20"/>
        <v>"startA",</v>
      </c>
      <c r="DF3" s="48" t="str">
        <f t="shared" si="21"/>
        <v/>
      </c>
      <c r="DG3" s="48" t="str">
        <f t="shared" si="22"/>
        <v/>
      </c>
      <c r="DH3" s="48" t="str">
        <f t="shared" si="23"/>
        <v/>
      </c>
      <c r="DI3" s="48" t="str">
        <f t="shared" si="24"/>
        <v/>
      </c>
      <c r="DJ3" s="48" t="str">
        <f t="shared" si="25"/>
        <v/>
      </c>
      <c r="DK3" s="48" t="str">
        <f t="shared" si="26"/>
        <v/>
      </c>
      <c r="DL3" s="48" t="str">
        <f t="shared" si="27"/>
        <v/>
      </c>
      <c r="DM3" s="48" t="str" cm="1">
        <f t="array" ref="DM3">IF(CG3=3,CHAR(34) &amp; _xlfn.TEXTJOIN("", TRUE, RIGHT(HP3:HX3, 2)) &amp; CHAR(34) &amp; ",", "")</f>
        <v/>
      </c>
      <c r="DN3" s="48" t="str">
        <f t="shared" si="28"/>
        <v/>
      </c>
      <c r="DO3" s="48" t="str">
        <f t="shared" si="29"/>
        <v/>
      </c>
      <c r="DP3" s="6" t="str">
        <f t="shared" si="30"/>
        <v>"year00",</v>
      </c>
      <c r="DQ3" s="6" t="str">
        <f t="shared" si="31"/>
        <v/>
      </c>
      <c r="DR3" s="6" t="str">
        <f t="shared" si="32"/>
        <v/>
      </c>
      <c r="DS3" s="6" t="str">
        <f t="shared" si="33"/>
        <v/>
      </c>
      <c r="DT3" s="6" t="str">
        <f t="shared" si="34"/>
        <v/>
      </c>
      <c r="DU3" s="6" t="str">
        <f t="shared" si="35"/>
        <v/>
      </c>
      <c r="DV3" s="48" t="str">
        <f t="shared" si="36"/>
        <v/>
      </c>
      <c r="DW3" s="48" t="str">
        <f t="shared" si="37"/>
        <v>"NoBand",</v>
      </c>
      <c r="DX3" s="48" t="str">
        <f t="shared" si="37"/>
        <v/>
      </c>
      <c r="DY3" s="48" t="str">
        <f t="shared" si="37"/>
        <v/>
      </c>
      <c r="DZ3" s="48" t="str">
        <f t="shared" si="37"/>
        <v/>
      </c>
      <c r="EA3" s="48" t="str">
        <f t="shared" si="38"/>
        <v/>
      </c>
      <c r="EB3" s="48" t="str">
        <f t="shared" si="38"/>
        <v/>
      </c>
      <c r="EC3" s="48" t="str">
        <f t="shared" si="38"/>
        <v/>
      </c>
      <c r="ED3" s="48" t="str">
        <f t="shared" si="38"/>
        <v/>
      </c>
      <c r="EE3" s="48" t="str">
        <f t="shared" si="38"/>
        <v/>
      </c>
      <c r="EF3" s="48" t="str">
        <f t="shared" si="39"/>
        <v/>
      </c>
      <c r="EG3" s="48" t="str">
        <f t="shared" si="40"/>
        <v/>
      </c>
      <c r="EH3" s="48" t="str">
        <f t="shared" si="40"/>
        <v/>
      </c>
      <c r="EI3" s="48" t="str">
        <f t="shared" si="40"/>
        <v/>
      </c>
      <c r="EJ3" s="48" t="str">
        <f t="shared" si="40"/>
        <v/>
      </c>
      <c r="EK3" s="48" t="str">
        <f t="shared" si="40"/>
        <v/>
      </c>
      <c r="EL3" s="48" t="str">
        <f t="shared" si="40"/>
        <v/>
      </c>
      <c r="EM3" s="48" t="str">
        <f t="shared" si="40"/>
        <v/>
      </c>
      <c r="EN3" s="48" t="str">
        <f t="shared" si="40"/>
        <v/>
      </c>
      <c r="EO3" s="48" t="str">
        <f t="shared" si="40"/>
        <v>"Center",</v>
      </c>
      <c r="EP3" s="48" t="str">
        <f t="shared" si="40"/>
        <v/>
      </c>
      <c r="EQ3" s="48" t="str">
        <f t="shared" si="40"/>
        <v/>
      </c>
      <c r="ER3" s="48" t="str">
        <f t="shared" si="40"/>
        <v/>
      </c>
      <c r="ES3" s="48" t="str">
        <f t="shared" si="40"/>
        <v/>
      </c>
      <c r="ET3" s="48" t="str">
        <f t="shared" si="40"/>
        <v/>
      </c>
      <c r="EU3" s="48" t="str">
        <f t="shared" si="40"/>
        <v/>
      </c>
      <c r="EV3" s="48" t="str">
        <f t="shared" si="40"/>
        <v/>
      </c>
      <c r="EW3" s="48" t="str">
        <f t="shared" si="40"/>
        <v/>
      </c>
      <c r="EX3" s="48" t="str">
        <f t="shared" si="40"/>
        <v/>
      </c>
      <c r="EY3" s="48" t="str">
        <f t="shared" si="40"/>
        <v/>
      </c>
      <c r="EZ3" s="48" t="str">
        <f t="shared" si="40"/>
        <v/>
      </c>
      <c r="FA3" s="48" t="str">
        <f t="shared" si="41"/>
        <v>"sta",</v>
      </c>
      <c r="FB3" s="48" t="str">
        <f t="shared" si="42"/>
        <v/>
      </c>
      <c r="FC3" s="48" t="str">
        <f t="shared" si="43"/>
        <v/>
      </c>
      <c r="FD3" s="48" t="str">
        <f t="shared" si="44"/>
        <v/>
      </c>
      <c r="FE3" s="48" t="str">
        <f t="shared" si="45"/>
        <v/>
      </c>
      <c r="FF3" s="48" t="str">
        <f t="shared" si="46"/>
        <v/>
      </c>
      <c r="FG3" s="48" t="str">
        <f t="shared" si="47"/>
        <v/>
      </c>
      <c r="FH3" s="48" t="str">
        <f t="shared" si="48"/>
        <v>"NO_GRE",</v>
      </c>
      <c r="FI3" s="48" t="str">
        <f t="shared" si="49"/>
        <v>"NO_YEL",</v>
      </c>
      <c r="FJ3" s="48" t="str">
        <f t="shared" si="50"/>
        <v>"NO_BLA",</v>
      </c>
      <c r="FK3" s="48" t="str">
        <f t="shared" si="51"/>
        <v/>
      </c>
      <c r="FL3" s="48" t="str">
        <f t="shared" si="52"/>
        <v/>
      </c>
      <c r="FM3" s="48" t="str">
        <f t="shared" si="53"/>
        <v/>
      </c>
      <c r="FN3" s="48" t="str">
        <f t="shared" si="54"/>
        <v/>
      </c>
      <c r="FO3" s="48" t="str">
        <f t="shared" si="55"/>
        <v/>
      </c>
      <c r="FP3" s="48" t="str">
        <f t="shared" si="56"/>
        <v/>
      </c>
      <c r="FQ3" s="48" t="str">
        <f t="shared" si="57"/>
        <v>"001RED",</v>
      </c>
      <c r="FR3" s="48" t="str">
        <f t="shared" si="58"/>
        <v>"002WHI",</v>
      </c>
      <c r="FS3" s="48" t="str">
        <f t="shared" si="59"/>
        <v>"003RED",</v>
      </c>
      <c r="FT3" s="48" t="str">
        <f t="shared" si="60"/>
        <v>"myrRED",</v>
      </c>
      <c r="FU3" s="48" t="str">
        <f t="shared" si="61"/>
        <v>"island",</v>
      </c>
      <c r="FV3" s="48" t="str">
        <f t="shared" si="62"/>
        <v/>
      </c>
      <c r="FW3" s="48" t="str">
        <f t="shared" si="63"/>
        <v/>
      </c>
      <c r="FX3" s="48" t="str">
        <f t="shared" si="64"/>
        <v/>
      </c>
      <c r="FY3" s="48" t="str">
        <f t="shared" si="65"/>
        <v/>
      </c>
      <c r="FZ3" s="48" t="str">
        <f t="shared" si="66"/>
        <v/>
      </c>
      <c r="GA3" s="48" t="str">
        <f t="shared" si="67"/>
        <v>"french",</v>
      </c>
      <c r="GB3" s="48" t="str">
        <f t="shared" si="68"/>
        <v/>
      </c>
      <c r="GC3" s="48" t="str">
        <f t="shared" si="69"/>
        <v/>
      </c>
      <c r="GD3" s="48" t="str">
        <f t="shared" si="70"/>
        <v/>
      </c>
      <c r="GE3" s="48" t="str">
        <f t="shared" si="71"/>
        <v/>
      </c>
      <c r="GF3" s="48" t="str">
        <f>IFERROR(IF(SEARCH("Histor",AU3)&gt;0,CHAR(34)&amp;"histor"&amp;CHAR(34)&amp;",",""),"")</f>
        <v/>
      </c>
      <c r="GG3" s="48" t="str">
        <f t="shared" si="73"/>
        <v/>
      </c>
      <c r="GH3" s="48" t="str">
        <f t="shared" si="74"/>
        <v/>
      </c>
      <c r="GI3" s="48" t="str">
        <f t="shared" si="75"/>
        <v/>
      </c>
      <c r="GJ3" s="48" t="str">
        <f t="shared" si="76"/>
        <v/>
      </c>
      <c r="GK3" s="48" t="str">
        <f t="shared" si="77"/>
        <v>"HasSta",</v>
      </c>
      <c r="GL3" s="48" t="str">
        <f t="shared" si="78"/>
        <v>"1Stars",</v>
      </c>
      <c r="GM3" s="48" t="str">
        <f t="shared" si="78"/>
        <v/>
      </c>
      <c r="GN3" s="48" t="str">
        <f t="shared" si="78"/>
        <v/>
      </c>
      <c r="GP3" s="48" t="str">
        <f t="shared" si="79"/>
        <v>"Region"</v>
      </c>
      <c r="GS3" s="48" t="str">
        <f t="shared" si="80"/>
        <v>["4Color","words2","exact2","lets13","startA","year00","NoBand","Center","sta","NO_GRE","NO_YEL","NO_BLA","001RED","002WHI","003RED","myrRED","island","french","HasSta","1Stars"]</v>
      </c>
      <c r="GT3" s="48" t="str">
        <f t="shared" si="81"/>
        <v>"cl_RED",</v>
      </c>
      <c r="GU3" s="48" t="str">
        <f t="shared" si="81"/>
        <v>"cl_WHI",</v>
      </c>
      <c r="GV3" s="48" t="str">
        <f t="shared" si="81"/>
        <v>"cl_BLU",</v>
      </c>
      <c r="GW3" s="48" t="str">
        <f t="shared" si="81"/>
        <v>"cl_ORA",</v>
      </c>
      <c r="GX3" s="48" t="str">
        <f t="shared" si="81"/>
        <v/>
      </c>
      <c r="GY3" s="48" t="str">
        <f t="shared" si="81"/>
        <v/>
      </c>
      <c r="GZ3" s="48" t="str">
        <f t="shared" si="81"/>
        <v/>
      </c>
      <c r="HA3" s="48" t="str">
        <f t="shared" si="81"/>
        <v/>
      </c>
      <c r="HB3" s="48" t="str">
        <f t="shared" si="81"/>
        <v/>
      </c>
      <c r="HC3" s="48" t="str">
        <f t="shared" si="82"/>
        <v>["cl_RED","cl_WHI","cl_BLU","cl_ORA"]</v>
      </c>
      <c r="HE3" s="71"/>
      <c r="HF3" s="72" t="str">
        <f t="shared" si="83"/>
        <v>{couname:"[CHL] Atacama Region",year:"2005",region:"rgn_South America",Colors:["cl_RED","cl_WHI","cl_BLU","cl_ORA"],Items:["4Color","words2","exact2","lets13","startA","year00","NoBand","Center","sta","NO_GRE","NO_YEL","NO_BLA","001RED","002WHI","003RED","myrRED","island","french","HasSta","1Stars"],Flag:"https://upload.wikimedia.org/wikipedia/commons/thumb/3/38/Flag_of_Atacama%2C_Chile.svg/640px-Flag_of_Atacama%2C_Chile.svg.png",HDFlag:"https://upload.wikimedia.org/wikipedia/commons/thumb/3/38/Flag_of_Atacama%2C_Chile.svg/2560px-Flag_of_Atacama%2C_Chile.svg.png",type:"Reg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isnew:".", links: "https://www.crwflags.com/fotw/flags/cl-03.html#about "},</v>
      </c>
      <c r="HG3" s="73" t="str">
        <f t="shared" si="84"/>
        <v>{couname:"[CHL] Atacama Region",year:"2005",region:"rgn_South America",Colors:["cl_RED","cl_WHI","cl_BLU","cl_ORA"],Items:["4Color","words2","exact2","lets13","startA","year00","NoBand","Center","sta","NO_GRE","NO_YEL","NO_BLA","001RED","002WHI","003RED","myrRED","island","french","HasSta","1Stars"],Flag:"https://upload.wikimedia.org/wikipedia/commons/thumb/3/38/Flag_of_Atacama%2C_Chile.svg/640px-Flag_of_Atacama%2C_Chile.svg.png",HDFlag:"https://upload.wikimedia.org/wikipedia/commons/thumb/3/38/Flag_of_Atacama%2C_Chile.svg/2560px-Flag_of_Atacama%2C_Chile.svg.png",type:"Reg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links: "https://www.crwflags.com/fotw/flags/cl-03.html#about "},</v>
      </c>
      <c r="HH3" s="48" t="str">
        <f t="shared" si="85"/>
        <v>"\nAccording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v>
      </c>
      <c r="HI3" s="48" t="str">
        <f t="shared" si="86"/>
        <v>"\nAccording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v>
      </c>
      <c r="HJ3" s="48" t="str">
        <f t="shared" si="87"/>
        <v>"2005"</v>
      </c>
      <c r="HL3" s="48" t="str">
        <f t="shared" si="88"/>
        <v>"https://www.crwflags.com/fotw/flags/cl-03.html#about "</v>
      </c>
      <c r="HM3" s="72" t="str">
        <f t="shared" si="89"/>
        <v>{"couname":"[CHL] Atacama Region","year":"2005","region":"rgn_South America","Colors":["cl_RED","cl_WHI","cl_BLU","cl_ORA"],"Items":["4Color","words2","exact2","lets13","startA","year00","NoBand","Center","sta","NO_GRE","NO_YEL","NO_BLA","001RED","002WHI","003RED","myrRED","island","french","HasSta","1Stars"],"Flag":"https://upload.wikimedia.org/wikipedia/commons/thumb/3/38/Flag_of_Atacama%2C_Chile.svg/640px-Flag_of_Atacama%2C_Chile.svg.png","HDFlag":"https://upload.wikimedia.org/wikipedia/commons/thumb/3/38/Flag_of_Atacama%2C_Chile.svg/2560px-Flag_of_Atacama%2C_Chile.svg.png","type":"Reg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"isnew": ".", "links": "https://www.crwflags.com/fotw/flags/cl-03.html#about "},</v>
      </c>
      <c r="HN3" s="74" t="str">
        <f t="shared" si="90"/>
        <v>{"couname":"[CHL] Atacama Region","year":"2005","region":"rgn_South America","Colors":["cl_RED","cl_WHI","cl_BLU","cl_ORA"],"Items":["4Color","words2","exact2","lets13","startA","year00","NoBand","Center","sta","NO_GRE","NO_YEL","NO_BLA","001RED","002WHI","003RED","myrRED","island","french","HasSta","1Stars"],"Flag":"https://upload.wikimedia.org/wikipedia/commons/thumb/3/38/Flag_of_Atacama%2C_Chile.svg/640px-Flag_of_Atacama%2C_Chile.svg.png","HDFlag":"https://upload.wikimedia.org/wikipedia/commons/thumb/3/38/Flag_of_Atacama%2C_Chile.svg/2560px-Flag_of_Atacama%2C_Chile.svg.png","type":"Reg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"isnew": ".", "links": "https://www.crwflags.com/fotw/flags/cl-03.html#about "},</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ORA</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 t="shared" si="91"/>
        <v>0</v>
      </c>
      <c r="IM3" s="45">
        <f t="shared" si="92"/>
        <v>-4</v>
      </c>
      <c r="IN3" s="78" t="str">
        <f t="shared" si="93"/>
        <v>http://mkweb.bcgsc.ca/color-summarizer/?url=https://upload.wikimedia.org/wikipedia/commons/thumb/3/38/Flag_of_Atacama%2C_Chile.svg/640px-Flag_of_Atacama%2C_Chile.svg.png&amp;precision=low&amp;num_clusters=4&amp;text=1</v>
      </c>
      <c r="IO3" s="48" t="str">
        <f t="shared" si="94"/>
        <v/>
      </c>
      <c r="IP3" s="48" t="str">
        <f t="shared" si="95"/>
        <v>"blue"</v>
      </c>
      <c r="IQ3" s="48" t="str">
        <f t="shared" si="96"/>
        <v/>
      </c>
      <c r="IR3" s="48" t="str">
        <f t="shared" si="97"/>
        <v>"red"</v>
      </c>
      <c r="IS3" s="48" t="str">
        <f t="shared" si="98"/>
        <v/>
      </c>
      <c r="IT3" s="48" t="str">
        <f t="shared" si="99"/>
        <v>"orange"</v>
      </c>
      <c r="IU3" s="48" t="str">
        <f t="shared" si="100"/>
        <v/>
      </c>
      <c r="IV3" s="48" t="str">
        <f t="shared" si="101"/>
        <v/>
      </c>
      <c r="IW3" s="48" t="str">
        <f t="shared" si="102"/>
        <v>"white"</v>
      </c>
      <c r="IX3" s="48" t="str">
        <f t="shared" si="103"/>
        <v>{"url":"http://mkweb.bcgsc.ca/color-summarizer/?url=https://upload.wikimedia.org/wikipedia/commons/thumb/3/38/Flag_of_Atacama%2C_Chile.svg/640px-Flag_of_Atacama%2C_Chile.svg.png&amp;precision=low&amp;num_clusters=4&amp;text=1","name":"[CHL] Atacama Region"},</v>
      </c>
      <c r="IY3" s="48">
        <v>79</v>
      </c>
    </row>
    <row r="4" spans="1:259" s="48" customFormat="1" ht="38.4" customHeight="1" thickBot="1" x14ac:dyDescent="0.35">
      <c r="A4" s="79" t="s">
        <v>554</v>
      </c>
      <c r="B4" s="40" t="e" vm="58">
        <v>#VALUE!</v>
      </c>
      <c r="C4" s="41">
        <v>2</v>
      </c>
      <c r="D4" s="42" t="s">
        <v>555</v>
      </c>
      <c r="E4" s="43" t="s">
        <v>555</v>
      </c>
      <c r="F4" s="44" t="s">
        <v>166</v>
      </c>
      <c r="G4" s="45">
        <f>COUNTIF($A$1:$A$8294,A4)</f>
        <v>1</v>
      </c>
      <c r="H4" s="46"/>
      <c r="I4" s="47" t="s">
        <v>556</v>
      </c>
      <c r="J4" s="48" t="str">
        <f>""</f>
        <v/>
      </c>
      <c r="K4" s="49"/>
      <c r="L4" s="50"/>
      <c r="M4" s="50"/>
      <c r="N4" s="51" t="s">
        <v>169</v>
      </c>
      <c r="O4" s="52" t="s">
        <v>557</v>
      </c>
      <c r="P4" s="53" t="s">
        <v>558</v>
      </c>
      <c r="Q4" s="54">
        <v>2</v>
      </c>
      <c r="R4" s="55" t="s">
        <v>169</v>
      </c>
      <c r="S4" s="56">
        <v>0</v>
      </c>
      <c r="T4" s="57" t="s">
        <v>172</v>
      </c>
      <c r="U4" s="58" t="s">
        <v>172</v>
      </c>
      <c r="V4" s="58" t="s">
        <v>173</v>
      </c>
      <c r="W4" s="58" t="s">
        <v>173</v>
      </c>
      <c r="X4" s="58" t="s">
        <v>172</v>
      </c>
      <c r="Y4" s="58" t="s">
        <v>173</v>
      </c>
      <c r="Z4" s="58" t="s">
        <v>172</v>
      </c>
      <c r="AA4" s="58" t="s">
        <v>173</v>
      </c>
      <c r="AB4" s="58" t="s">
        <v>173</v>
      </c>
      <c r="AC4" s="58" t="s">
        <v>172</v>
      </c>
      <c r="AD4" s="58" t="s">
        <v>172</v>
      </c>
      <c r="AE4" s="58" t="s">
        <v>172</v>
      </c>
      <c r="AF4" s="59" t="s">
        <v>172</v>
      </c>
      <c r="AG4" s="59" t="s">
        <v>172</v>
      </c>
      <c r="AH4" s="59" t="s">
        <v>173</v>
      </c>
      <c r="AI4" s="59" t="s">
        <v>172</v>
      </c>
      <c r="AJ4" s="59" t="s">
        <v>172</v>
      </c>
      <c r="AK4" s="59" t="s">
        <v>172</v>
      </c>
      <c r="AL4" s="59" t="s">
        <v>172</v>
      </c>
      <c r="AM4" s="59" t="s">
        <v>173</v>
      </c>
      <c r="AN4" s="59" t="s">
        <v>173</v>
      </c>
      <c r="AO4" s="59" t="s">
        <v>172</v>
      </c>
      <c r="AP4" s="59" t="s">
        <v>172</v>
      </c>
      <c r="AQ4" s="59" t="s">
        <v>172</v>
      </c>
      <c r="AR4" s="59" t="s">
        <v>172</v>
      </c>
      <c r="AS4" s="59" t="s">
        <v>172</v>
      </c>
      <c r="AT4" s="60">
        <v>17</v>
      </c>
      <c r="AU4" s="59" t="s">
        <v>553</v>
      </c>
      <c r="AV4" s="59" t="str">
        <f>IF(LEFT(A4,1)="[",LEFT(A4,5)&amp;AU4&amp;A4,"")</f>
        <v>[CHL]Region[CHL] Aysén Region</v>
      </c>
      <c r="AW4" s="59" t="str">
        <f>C4&amp;A4</f>
        <v>2[CHL] Aysén Region</v>
      </c>
      <c r="AX4" s="61"/>
      <c r="AY4" s="61"/>
      <c r="AZ4" s="62" t="s">
        <v>152</v>
      </c>
      <c r="BA4" s="62"/>
      <c r="BB4" s="62"/>
      <c r="BC4" s="63"/>
      <c r="BD4" s="64" t="s">
        <v>159</v>
      </c>
      <c r="BE4" s="47"/>
      <c r="BF4" s="64" t="s">
        <v>154</v>
      </c>
      <c r="BG4" s="64" t="s">
        <v>159</v>
      </c>
      <c r="BH4" s="64" t="s">
        <v>154</v>
      </c>
      <c r="BI4" s="64"/>
      <c r="BJ4" s="64"/>
      <c r="BK4" s="47"/>
      <c r="BL4" s="64" t="s">
        <v>154</v>
      </c>
      <c r="BM4" s="64" t="s">
        <v>159</v>
      </c>
      <c r="BN4" s="64" t="s">
        <v>152</v>
      </c>
      <c r="BO4" s="64"/>
      <c r="BP4" s="64"/>
      <c r="BQ4" s="64"/>
      <c r="BR4" s="64"/>
      <c r="BS4" s="64"/>
      <c r="BT4" s="64"/>
      <c r="BU4" s="65"/>
      <c r="BV4" s="66"/>
      <c r="BW4" s="66">
        <v>0</v>
      </c>
      <c r="BX4" s="47"/>
      <c r="CB4" s="6"/>
      <c r="CC4" s="6"/>
      <c r="CD4" s="67">
        <v>0</v>
      </c>
      <c r="CE4" s="67">
        <v>0</v>
      </c>
      <c r="CF4" s="67" t="e">
        <v>#REF!</v>
      </c>
      <c r="CG4" s="68" cm="1">
        <f t="array" ref="CG4">SUMPRODUCT(--(LEN(TRIM(BL4:BT4))&gt;0))</f>
        <v>3</v>
      </c>
      <c r="CH4" s="59" t="str">
        <f t="shared" si="0"/>
        <v>n</v>
      </c>
      <c r="CI4" s="59" t="str">
        <f t="shared" si="1"/>
        <v>y</v>
      </c>
      <c r="CJ4" s="59" t="str">
        <f t="shared" si="2"/>
        <v>n</v>
      </c>
      <c r="CK4" s="59" t="str">
        <f t="shared" si="3"/>
        <v>n</v>
      </c>
      <c r="CL4" s="59" t="str">
        <f t="shared" si="4"/>
        <v>y</v>
      </c>
      <c r="CM4" s="59" t="str">
        <f t="shared" si="5"/>
        <v>n</v>
      </c>
      <c r="CN4" s="59" t="str">
        <f t="shared" si="6"/>
        <v>n</v>
      </c>
      <c r="CO4" s="59" t="str">
        <f t="shared" si="7"/>
        <v>n</v>
      </c>
      <c r="CP4" s="59" t="str">
        <f t="shared" si="8"/>
        <v>n</v>
      </c>
      <c r="CQ4" s="59" t="str">
        <f t="shared" si="9"/>
        <v>n</v>
      </c>
      <c r="CR4" s="59" t="str">
        <f t="shared" si="10"/>
        <v>n</v>
      </c>
      <c r="CS4" s="59" t="str">
        <f t="shared" si="11"/>
        <v>y</v>
      </c>
      <c r="CT4" s="69" t="str">
        <f t="shared" si="12"/>
        <v>"[CHL] Aysén Region"</v>
      </c>
      <c r="CU4" s="70" t="str">
        <f t="shared" si="13"/>
        <v>"rgn_South America"</v>
      </c>
      <c r="CV4" s="48" t="str">
        <f t="shared" si="14"/>
        <v>"https://www.crwflags.com/fotw/images/c/cl-11.gif"</v>
      </c>
      <c r="CW4" s="48" t="str">
        <f t="shared" si="15"/>
        <v/>
      </c>
      <c r="CX4" s="48" t="str">
        <f t="shared" si="15"/>
        <v>"3Color",</v>
      </c>
      <c r="CY4" s="48" t="str">
        <f t="shared" si="15"/>
        <v/>
      </c>
      <c r="CZ4" s="48" t="str">
        <f t="shared" si="15"/>
        <v/>
      </c>
      <c r="DA4" s="48" t="str">
        <f t="shared" si="16"/>
        <v>"words2",</v>
      </c>
      <c r="DB4" s="48" t="str">
        <f t="shared" si="17"/>
        <v/>
      </c>
      <c r="DC4" s="48" t="str">
        <f t="shared" si="18"/>
        <v>"exact2",</v>
      </c>
      <c r="DD4" s="48" t="str">
        <f t="shared" si="19"/>
        <v>"lets11",</v>
      </c>
      <c r="DE4" s="48" t="str">
        <f t="shared" si="20"/>
        <v>"startA",</v>
      </c>
      <c r="DF4" s="48" t="str">
        <f t="shared" si="21"/>
        <v/>
      </c>
      <c r="DG4" s="48" t="str">
        <f t="shared" si="22"/>
        <v/>
      </c>
      <c r="DH4" s="48" t="str">
        <f t="shared" si="23"/>
        <v/>
      </c>
      <c r="DI4" s="48" t="str">
        <f t="shared" si="24"/>
        <v/>
      </c>
      <c r="DJ4" s="48" t="str">
        <f t="shared" si="25"/>
        <v>"with_y",</v>
      </c>
      <c r="DK4" s="48" t="str">
        <f t="shared" si="26"/>
        <v/>
      </c>
      <c r="DL4" s="48" t="str">
        <f t="shared" si="27"/>
        <v/>
      </c>
      <c r="DM4" s="48" t="str" cm="1">
        <f t="array" ref="DM4">IF(CG4=3,CHAR(34) &amp; _xlfn.TEXTJOIN("", TRUE, RIGHT(HP4:HX4, 2)) &amp; CHAR(34) &amp; ",", "")</f>
        <v>"LUEDHI",</v>
      </c>
      <c r="DN4" s="48" t="str">
        <f t="shared" si="28"/>
        <v/>
      </c>
      <c r="DO4" s="48" t="str">
        <f t="shared" si="29"/>
        <v/>
      </c>
      <c r="DP4" s="6" t="str">
        <f t="shared" si="30"/>
        <v/>
      </c>
      <c r="DQ4" s="6" t="str">
        <f t="shared" si="31"/>
        <v/>
      </c>
      <c r="DR4" s="6" t="str">
        <f t="shared" si="32"/>
        <v/>
      </c>
      <c r="DS4" s="6" t="str">
        <f t="shared" si="33"/>
        <v/>
      </c>
      <c r="DT4" s="6" t="str">
        <f t="shared" si="34"/>
        <v/>
      </c>
      <c r="DU4" s="6" t="str">
        <f t="shared" si="35"/>
        <v/>
      </c>
      <c r="DV4" s="48" t="str">
        <f t="shared" si="36"/>
        <v/>
      </c>
      <c r="DW4" s="48" t="str">
        <f t="shared" si="37"/>
        <v>"NoBand",</v>
      </c>
      <c r="DX4" s="48" t="str">
        <f t="shared" si="37"/>
        <v/>
      </c>
      <c r="DY4" s="48" t="str">
        <f t="shared" si="37"/>
        <v/>
      </c>
      <c r="DZ4" s="48" t="str">
        <f t="shared" si="37"/>
        <v/>
      </c>
      <c r="EA4" s="48" t="str">
        <f t="shared" si="38"/>
        <v/>
      </c>
      <c r="EB4" s="48" t="str">
        <f t="shared" si="38"/>
        <v/>
      </c>
      <c r="EC4" s="48" t="str">
        <f t="shared" si="38"/>
        <v>"Horizo",</v>
      </c>
      <c r="ED4" s="48" t="str">
        <f t="shared" si="38"/>
        <v>"Vertic",</v>
      </c>
      <c r="EE4" s="48" t="str">
        <f t="shared" si="38"/>
        <v/>
      </c>
      <c r="EF4" s="48" t="str">
        <f t="shared" si="39"/>
        <v>"Animal",</v>
      </c>
      <c r="EG4" s="48" t="str">
        <f t="shared" si="40"/>
        <v/>
      </c>
      <c r="EH4" s="48" t="str">
        <f t="shared" si="40"/>
        <v>"Plants",</v>
      </c>
      <c r="EI4" s="48" t="str">
        <f t="shared" si="40"/>
        <v>"Texted",</v>
      </c>
      <c r="EJ4" s="48" t="str">
        <f t="shared" si="40"/>
        <v/>
      </c>
      <c r="EK4" s="48" t="str">
        <f t="shared" si="40"/>
        <v/>
      </c>
      <c r="EL4" s="48" t="str">
        <f t="shared" si="40"/>
        <v/>
      </c>
      <c r="EM4" s="48" t="str">
        <f t="shared" si="40"/>
        <v/>
      </c>
      <c r="EN4" s="48" t="str">
        <f t="shared" si="40"/>
        <v/>
      </c>
      <c r="EO4" s="48" t="str">
        <f t="shared" si="40"/>
        <v>"Center",</v>
      </c>
      <c r="EP4" s="48" t="str">
        <f t="shared" si="40"/>
        <v/>
      </c>
      <c r="EQ4" s="48" t="str">
        <f t="shared" si="40"/>
        <v/>
      </c>
      <c r="ER4" s="48" t="str">
        <f t="shared" si="40"/>
        <v/>
      </c>
      <c r="ES4" s="48" t="str">
        <f t="shared" si="40"/>
        <v/>
      </c>
      <c r="ET4" s="48" t="str">
        <f t="shared" si="40"/>
        <v>"Geogrh",</v>
      </c>
      <c r="EU4" s="48" t="str">
        <f t="shared" si="40"/>
        <v>"Humans",</v>
      </c>
      <c r="EV4" s="48" t="str">
        <f t="shared" si="40"/>
        <v/>
      </c>
      <c r="EW4" s="48" t="str">
        <f t="shared" si="40"/>
        <v/>
      </c>
      <c r="EX4" s="48" t="str">
        <f t="shared" si="40"/>
        <v/>
      </c>
      <c r="EY4" s="48" t="str">
        <f t="shared" si="40"/>
        <v/>
      </c>
      <c r="EZ4" s="48" t="str">
        <f t="shared" si="40"/>
        <v/>
      </c>
      <c r="FA4" s="48" t="str">
        <f t="shared" si="41"/>
        <v>"staBLU",</v>
      </c>
      <c r="FB4" s="48" t="str">
        <f t="shared" si="42"/>
        <v/>
      </c>
      <c r="FC4" s="48" t="str">
        <f t="shared" si="43"/>
        <v/>
      </c>
      <c r="FD4" s="48" t="str">
        <f t="shared" si="44"/>
        <v/>
      </c>
      <c r="FE4" s="48" t="str">
        <f t="shared" si="45"/>
        <v/>
      </c>
      <c r="FF4" s="48" t="str">
        <f t="shared" si="46"/>
        <v/>
      </c>
      <c r="FG4" s="48" t="str">
        <f t="shared" si="47"/>
        <v/>
      </c>
      <c r="FH4" s="48" t="str">
        <f t="shared" si="48"/>
        <v>"NO_GRE",</v>
      </c>
      <c r="FI4" s="48" t="str">
        <f t="shared" si="49"/>
        <v>"NO_YEL",</v>
      </c>
      <c r="FJ4" s="48" t="str">
        <f t="shared" si="50"/>
        <v>"NO_BLA",</v>
      </c>
      <c r="FK4" s="48" t="str">
        <f t="shared" si="51"/>
        <v/>
      </c>
      <c r="FL4" s="48" t="str">
        <f t="shared" si="52"/>
        <v/>
      </c>
      <c r="FM4" s="48" t="str">
        <f t="shared" si="53"/>
        <v/>
      </c>
      <c r="FN4" s="48" t="str">
        <f t="shared" si="54"/>
        <v/>
      </c>
      <c r="FO4" s="48" t="str">
        <f t="shared" si="55"/>
        <v/>
      </c>
      <c r="FP4" s="48" t="str">
        <f t="shared" si="56"/>
        <v/>
      </c>
      <c r="FQ4" s="48" t="str">
        <f t="shared" si="57"/>
        <v>"001RED",</v>
      </c>
      <c r="FR4" s="48" t="str">
        <f t="shared" si="58"/>
        <v>"002WHI",</v>
      </c>
      <c r="FS4" s="48" t="str">
        <f t="shared" si="59"/>
        <v>"003RED",</v>
      </c>
      <c r="FT4" s="48" t="str">
        <f t="shared" si="60"/>
        <v>"myrWHI",</v>
      </c>
      <c r="FU4" s="48" t="str">
        <f t="shared" si="61"/>
        <v/>
      </c>
      <c r="FV4" s="48" t="str">
        <f t="shared" si="62"/>
        <v/>
      </c>
      <c r="FW4" s="48" t="str">
        <f t="shared" si="63"/>
        <v/>
      </c>
      <c r="FX4" s="48" t="str">
        <f t="shared" si="64"/>
        <v/>
      </c>
      <c r="FY4" s="48" t="str">
        <f t="shared" si="65"/>
        <v/>
      </c>
      <c r="FZ4" s="48" t="str">
        <f t="shared" si="66"/>
        <v/>
      </c>
      <c r="GA4" s="48" t="str">
        <f t="shared" si="67"/>
        <v/>
      </c>
      <c r="GB4" s="48" t="str">
        <f t="shared" si="68"/>
        <v/>
      </c>
      <c r="GC4" s="48" t="str">
        <f t="shared" si="69"/>
        <v/>
      </c>
      <c r="GD4" s="48" t="str">
        <f t="shared" si="70"/>
        <v/>
      </c>
      <c r="GE4" s="48" t="str">
        <f t="shared" si="71"/>
        <v/>
      </c>
      <c r="GF4" s="48" t="str">
        <f>IFERROR(IF(SEARCH("Historical",AU4)&gt;0,CHAR(34)&amp;"histor"&amp;CHAR(34)&amp;",",""),"")</f>
        <v/>
      </c>
      <c r="GG4" s="48" t="str">
        <f t="shared" si="73"/>
        <v/>
      </c>
      <c r="GH4" s="48" t="str">
        <f t="shared" si="74"/>
        <v/>
      </c>
      <c r="GI4" s="48" t="str">
        <f t="shared" si="75"/>
        <v/>
      </c>
      <c r="GJ4" s="48" t="str">
        <f t="shared" si="76"/>
        <v/>
      </c>
      <c r="GK4" s="48" t="str">
        <f t="shared" si="77"/>
        <v>"HasSta",</v>
      </c>
      <c r="GL4" s="48" t="str">
        <f t="shared" si="78"/>
        <v/>
      </c>
      <c r="GM4" s="48" t="str">
        <f t="shared" si="78"/>
        <v/>
      </c>
      <c r="GN4" s="48" t="str">
        <f t="shared" si="78"/>
        <v>"3+Star",</v>
      </c>
      <c r="GP4" s="48" t="str">
        <f t="shared" si="79"/>
        <v>"Region"</v>
      </c>
      <c r="GS4" s="48" t="str">
        <f t="shared" si="80"/>
        <v>["3Color","words2","exact2","lets11","startA","with_y","LUEDHI","NoBand","Horizo","Vertic","Animal","Plants","Texted","Center","Geogrh","Humans","staBLU","NO_GRE","NO_YEL","NO_BLA","001RED","002WHI","003RED","myrWHI","HasSta","3+Star"]</v>
      </c>
      <c r="GT4" s="48" t="str">
        <f t="shared" si="81"/>
        <v>"cl_RED",</v>
      </c>
      <c r="GU4" s="48" t="str">
        <f t="shared" si="81"/>
        <v>"cl_WHI",</v>
      </c>
      <c r="GV4" s="48" t="str">
        <f t="shared" si="81"/>
        <v>"cl_BLU",</v>
      </c>
      <c r="GW4" s="48" t="str">
        <f t="shared" si="81"/>
        <v/>
      </c>
      <c r="GX4" s="48" t="str">
        <f t="shared" si="81"/>
        <v/>
      </c>
      <c r="GY4" s="48" t="str">
        <f t="shared" si="81"/>
        <v/>
      </c>
      <c r="GZ4" s="48" t="str">
        <f t="shared" si="81"/>
        <v/>
      </c>
      <c r="HA4" s="48" t="str">
        <f t="shared" si="81"/>
        <v/>
      </c>
      <c r="HB4" s="48" t="str">
        <f t="shared" si="81"/>
        <v/>
      </c>
      <c r="HC4" s="48" t="str">
        <f t="shared" si="82"/>
        <v>["cl_RED","cl_WHI","cl_BLU"]</v>
      </c>
      <c r="HE4" s="71"/>
      <c r="HF4" s="72" t="str">
        <f t="shared" si="83"/>
        <v>{couname:"[CHL] Aysén Region",year:"???",region:"rgn_South America",Colors:["cl_RED","cl_WHI","cl_BLU"],Items:["3Color","words2","exact2","lets11","startA","with_y","LUEDHI","NoBand","Horizo","Vertic","Animal","Plants","Texted","Center","Geogrh","Humans","staBLU","NO_GRE","NO_YEL","NO_BLA","001RED","002WHI","003RED","myrWHI","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isnew:".", links: "https://www.crwflags.com/fotw/flags/cl-11.html "},</v>
      </c>
      <c r="HG4" s="73" t="str">
        <f t="shared" si="84"/>
        <v>{couname:"[CHL] Aysén Region",year:"???",region:"rgn_South America",Colors:["cl_RED","cl_WHI","cl_BLU"],Items:["3Color","words2","exact2","lets11","startA","with_y","LUEDHI","NoBand","Horizo","Vertic","Animal","Plants","Texted","Center","Geogrh","Humans","staBLU","NO_GRE","NO_YEL","NO_BLA","001RED","002WHI","003RED","myrWHI","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links: "https://www.crwflags.com/fotw/flags/cl-11.html "},</v>
      </c>
      <c r="HH4" s="48" t="str">
        <f t="shared" si="85"/>
        <v>"\nXI Region Aysén does not appear to have an official flag. The de facto flag consists of the regional coat of arms on a white field. It is similar to the previous flag, which was also unofficial."</v>
      </c>
      <c r="HI4" s="48" t="str">
        <f t="shared" si="86"/>
        <v>"\nXI Region Aysén does not appear to have an official flag. The de facto flag consists of the regional coat of arms on a white field. It is similar to the previous flag, which was also unofficial."</v>
      </c>
      <c r="HJ4" s="48" t="str">
        <f t="shared" si="87"/>
        <v>"???"</v>
      </c>
      <c r="HL4" s="48" t="str">
        <f t="shared" si="88"/>
        <v>"https://www.crwflags.com/fotw/flags/cl-11.html "</v>
      </c>
      <c r="HM4" s="72" t="str">
        <f t="shared" si="89"/>
        <v>{"couname":"[CHL] Aysén Region","year":"???","region":"rgn_South America","Colors":["cl_RED","cl_WHI","cl_BLU"],"Items":["3Color","words2","exact2","lets11","startA","with_y","LUEDHI","NoBand","Horizo","Vertic","Animal","Plants","Texted","Center","Geogrh","Humans","staBLU","NO_GRE","NO_YEL","NO_BLA","001RED","002WHI","003RED","myrWHI","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"isnew": ".", "links": "https://www.crwflags.com/fotw/flags/cl-11.html "},</v>
      </c>
      <c r="HN4" s="74" t="str">
        <f t="shared" si="90"/>
        <v>{"couname":"[CHL] Aysén Region","year":"???","region":"rgn_South America","Colors":["cl_RED","cl_WHI","cl_BLU"],"Items":["3Color","words2","exact2","lets11","startA","with_y","LUEDHI","NoBand","Horizo","Vertic","Animal","Plants","Texted","Center","Geogrh","Humans","staBLU","NO_GRE","NO_YEL","NO_BLA","001RED","002WHI","003RED","myrWHI","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"isnew": ".", "links": "https://www.crwflags.com/fotw/flags/cl-11.html "},</v>
      </c>
      <c r="HO4" s="75"/>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L4" s="48">
        <f t="shared" si="91"/>
        <v>0</v>
      </c>
      <c r="IM4" s="45">
        <f t="shared" si="92"/>
        <v>-3</v>
      </c>
      <c r="IN4" s="78" t="str">
        <f t="shared" si="93"/>
        <v>http://mkweb.bcgsc.ca/color-summarizer/?url=https://www.crwflags.com/fotw/images/c/cl-11.gif&amp;precision=low&amp;num_clusters=3&amp;text=1</v>
      </c>
      <c r="IO4" s="48" t="str">
        <f t="shared" si="94"/>
        <v/>
      </c>
      <c r="IP4" s="48" t="str">
        <f t="shared" si="95"/>
        <v>"blue"</v>
      </c>
      <c r="IQ4" s="48" t="str">
        <f t="shared" si="96"/>
        <v/>
      </c>
      <c r="IR4" s="48" t="str">
        <f t="shared" si="97"/>
        <v>"red"</v>
      </c>
      <c r="IS4" s="48" t="str">
        <f t="shared" si="98"/>
        <v/>
      </c>
      <c r="IT4" s="48" t="str">
        <f t="shared" si="99"/>
        <v/>
      </c>
      <c r="IU4" s="48" t="str">
        <f t="shared" si="100"/>
        <v/>
      </c>
      <c r="IV4" s="48" t="str">
        <f t="shared" si="101"/>
        <v/>
      </c>
      <c r="IW4" s="48" t="str">
        <f t="shared" si="102"/>
        <v>"white"</v>
      </c>
      <c r="IX4" s="48" t="str">
        <f t="shared" si="103"/>
        <v>{"url":"http://mkweb.bcgsc.ca/color-summarizer/?url=https://www.crwflags.com/fotw/images/c/cl-11.gif&amp;precision=low&amp;num_clusters=3&amp;text=1","name":"[CHL] Aysén Region"},</v>
      </c>
      <c r="IY4" s="48">
        <v>696</v>
      </c>
    </row>
    <row r="5" spans="1:259" s="48" customFormat="1" ht="38.4" customHeight="1" thickBot="1" x14ac:dyDescent="0.35">
      <c r="A5" s="79" t="s">
        <v>559</v>
      </c>
      <c r="B5" s="40" t="e" vm="59">
        <v>#VALUE!</v>
      </c>
      <c r="C5" s="41">
        <v>2</v>
      </c>
      <c r="D5" s="42" t="s">
        <v>560</v>
      </c>
      <c r="E5" s="43" t="s">
        <v>560</v>
      </c>
      <c r="F5" s="44" t="s">
        <v>166</v>
      </c>
      <c r="G5" s="45">
        <f>COUNTIF($A$1:$A$8294,A5)</f>
        <v>1</v>
      </c>
      <c r="H5" s="46"/>
      <c r="I5" s="47" t="s">
        <v>561</v>
      </c>
      <c r="J5" s="48" t="str">
        <f>""</f>
        <v/>
      </c>
      <c r="K5" s="49"/>
      <c r="L5" s="50"/>
      <c r="M5" s="50"/>
      <c r="N5" s="51" t="s">
        <v>169</v>
      </c>
      <c r="O5" s="52" t="s">
        <v>557</v>
      </c>
      <c r="P5" s="53" t="s">
        <v>562</v>
      </c>
      <c r="Q5" s="54">
        <v>2</v>
      </c>
      <c r="R5" s="55" t="s">
        <v>169</v>
      </c>
      <c r="S5" s="56">
        <v>0</v>
      </c>
      <c r="T5" s="57" t="s">
        <v>173</v>
      </c>
      <c r="U5" s="58" t="s">
        <v>173</v>
      </c>
      <c r="V5" s="58" t="s">
        <v>173</v>
      </c>
      <c r="W5" s="58" t="s">
        <v>172</v>
      </c>
      <c r="X5" s="58" t="s">
        <v>173</v>
      </c>
      <c r="Y5" s="58" t="s">
        <v>173</v>
      </c>
      <c r="Z5" s="58" t="s">
        <v>173</v>
      </c>
      <c r="AA5" s="58" t="s">
        <v>173</v>
      </c>
      <c r="AB5" s="58" t="s">
        <v>173</v>
      </c>
      <c r="AC5" s="58" t="s">
        <v>172</v>
      </c>
      <c r="AD5" s="58" t="s">
        <v>172</v>
      </c>
      <c r="AE5" s="58" t="s">
        <v>172</v>
      </c>
      <c r="AF5" s="59" t="s">
        <v>172</v>
      </c>
      <c r="AG5" s="59" t="s">
        <v>172</v>
      </c>
      <c r="AH5" s="59" t="s">
        <v>173</v>
      </c>
      <c r="AI5" s="59" t="s">
        <v>172</v>
      </c>
      <c r="AJ5" s="59" t="s">
        <v>172</v>
      </c>
      <c r="AK5" s="59" t="s">
        <v>172</v>
      </c>
      <c r="AL5" s="59" t="s">
        <v>172</v>
      </c>
      <c r="AM5" s="59" t="s">
        <v>172</v>
      </c>
      <c r="AN5" s="59" t="s">
        <v>172</v>
      </c>
      <c r="AO5" s="59" t="s">
        <v>173</v>
      </c>
      <c r="AP5" s="59" t="s">
        <v>172</v>
      </c>
      <c r="AQ5" s="59" t="s">
        <v>173</v>
      </c>
      <c r="AR5" s="59" t="s">
        <v>172</v>
      </c>
      <c r="AS5" s="59" t="s">
        <v>172</v>
      </c>
      <c r="AT5" s="60">
        <v>0</v>
      </c>
      <c r="AU5" s="59" t="s">
        <v>553</v>
      </c>
      <c r="AV5" s="59" t="str">
        <f>IF(LEFT(A5,1)="[",LEFT(A5,5)&amp;AU5&amp;A5,"")</f>
        <v>[CHL]Region[CHL] Biobío Region</v>
      </c>
      <c r="AW5" s="59" t="str">
        <f>C5&amp;A5</f>
        <v>2[CHL] Biobío Region</v>
      </c>
      <c r="AX5" s="61"/>
      <c r="AY5" s="61"/>
      <c r="AZ5" s="62" t="s">
        <v>159</v>
      </c>
      <c r="BA5" s="62" t="s">
        <v>152</v>
      </c>
      <c r="BB5" s="62"/>
      <c r="BC5" s="63"/>
      <c r="BD5" s="64" t="s">
        <v>159</v>
      </c>
      <c r="BE5" s="47"/>
      <c r="BF5" s="64" t="s">
        <v>159</v>
      </c>
      <c r="BG5" s="64" t="s">
        <v>152</v>
      </c>
      <c r="BH5" s="64" t="s">
        <v>159</v>
      </c>
      <c r="BI5" s="64"/>
      <c r="BJ5" s="64"/>
      <c r="BK5" s="47"/>
      <c r="BL5" s="64" t="s">
        <v>159</v>
      </c>
      <c r="BM5" s="64" t="s">
        <v>152</v>
      </c>
      <c r="BN5" s="64"/>
      <c r="BO5" s="64"/>
      <c r="BP5" s="64"/>
      <c r="BQ5" s="64"/>
      <c r="BR5" s="64"/>
      <c r="BS5" s="64"/>
      <c r="BT5" s="64"/>
      <c r="BU5" s="65"/>
      <c r="BV5" s="66"/>
      <c r="BW5" s="66">
        <v>0</v>
      </c>
      <c r="BX5" s="47"/>
      <c r="CB5" s="6"/>
      <c r="CC5" s="6"/>
      <c r="CD5" s="67">
        <v>0</v>
      </c>
      <c r="CE5" s="67">
        <v>0</v>
      </c>
      <c r="CF5" s="67" t="e">
        <v>#REF!</v>
      </c>
      <c r="CG5" s="68" cm="1">
        <f t="array" ref="CG5">SUMPRODUCT(--(LEN(TRIM(BL5:BT5))&gt;0))</f>
        <v>2</v>
      </c>
      <c r="CH5" s="59" t="str">
        <f t="shared" si="0"/>
        <v>y</v>
      </c>
      <c r="CI5" s="59" t="str">
        <f t="shared" si="1"/>
        <v>n</v>
      </c>
      <c r="CJ5" s="59" t="str">
        <f t="shared" si="2"/>
        <v>n</v>
      </c>
      <c r="CK5" s="59" t="str">
        <f t="shared" si="3"/>
        <v>n</v>
      </c>
      <c r="CL5" s="59" t="str">
        <f t="shared" si="4"/>
        <v>y</v>
      </c>
      <c r="CM5" s="59" t="str">
        <f t="shared" si="5"/>
        <v>n</v>
      </c>
      <c r="CN5" s="59" t="str">
        <f t="shared" si="6"/>
        <v>n</v>
      </c>
      <c r="CO5" s="59" t="str">
        <f t="shared" si="7"/>
        <v>n</v>
      </c>
      <c r="CP5" s="59" t="str">
        <f t="shared" si="8"/>
        <v>y</v>
      </c>
      <c r="CQ5" s="59" t="str">
        <f t="shared" si="9"/>
        <v>n</v>
      </c>
      <c r="CR5" s="59" t="str">
        <f t="shared" si="10"/>
        <v>n</v>
      </c>
      <c r="CS5" s="59" t="str">
        <f t="shared" si="11"/>
        <v>n</v>
      </c>
      <c r="CT5" s="69" t="str">
        <f t="shared" si="12"/>
        <v>"[CHL] Biobío Region"</v>
      </c>
      <c r="CU5" s="70" t="str">
        <f t="shared" si="13"/>
        <v>"rgn_South America"</v>
      </c>
      <c r="CV5" s="48" t="str">
        <f t="shared" si="14"/>
        <v>"https://www.crwflags.com/fotw/images/c/cl-08t.gif"</v>
      </c>
      <c r="CW5" s="48" t="str">
        <f t="shared" si="15"/>
        <v>"2Color",</v>
      </c>
      <c r="CX5" s="48" t="str">
        <f t="shared" si="15"/>
        <v/>
      </c>
      <c r="CY5" s="48" t="str">
        <f t="shared" si="15"/>
        <v/>
      </c>
      <c r="CZ5" s="48" t="str">
        <f t="shared" si="15"/>
        <v/>
      </c>
      <c r="DA5" s="48" t="str">
        <f t="shared" si="16"/>
        <v>"words2",</v>
      </c>
      <c r="DB5" s="48" t="str">
        <f t="shared" si="17"/>
        <v/>
      </c>
      <c r="DC5" s="48" t="str">
        <f t="shared" si="18"/>
        <v>"exact2",</v>
      </c>
      <c r="DD5" s="48" t="str">
        <f t="shared" si="19"/>
        <v>"lets12",</v>
      </c>
      <c r="DE5" s="48" t="str">
        <f t="shared" si="20"/>
        <v>"startB",</v>
      </c>
      <c r="DF5" s="48" t="str">
        <f t="shared" si="21"/>
        <v/>
      </c>
      <c r="DG5" s="48" t="str">
        <f t="shared" si="22"/>
        <v/>
      </c>
      <c r="DH5" s="48" t="str">
        <f t="shared" si="23"/>
        <v/>
      </c>
      <c r="DI5" s="48" t="str">
        <f t="shared" si="24"/>
        <v/>
      </c>
      <c r="DJ5" s="48" t="str">
        <f t="shared" si="25"/>
        <v/>
      </c>
      <c r="DK5" s="48" t="str">
        <f t="shared" si="26"/>
        <v/>
      </c>
      <c r="DL5" s="48" t="str">
        <f t="shared" si="27"/>
        <v>"BLUWHI",</v>
      </c>
      <c r="DM5" s="48" t="str" cm="1">
        <f t="array" ref="DM5">IF(CG5=3,CHAR(34) &amp; _xlfn.TEXTJOIN("", TRUE, RIGHT(HP5:HX5, 2)) &amp; CHAR(34) &amp; ",", "")</f>
        <v/>
      </c>
      <c r="DN5" s="48" t="str">
        <f t="shared" si="28"/>
        <v/>
      </c>
      <c r="DO5" s="48" t="str">
        <f t="shared" si="29"/>
        <v/>
      </c>
      <c r="DP5" s="6" t="str">
        <f t="shared" si="30"/>
        <v/>
      </c>
      <c r="DQ5" s="6" t="str">
        <f t="shared" si="31"/>
        <v/>
      </c>
      <c r="DR5" s="6" t="str">
        <f t="shared" si="32"/>
        <v/>
      </c>
      <c r="DS5" s="6" t="str">
        <f t="shared" si="33"/>
        <v/>
      </c>
      <c r="DT5" s="6" t="str">
        <f t="shared" si="34"/>
        <v>"allhor",</v>
      </c>
      <c r="DU5" s="6" t="str">
        <f t="shared" si="35"/>
        <v/>
      </c>
      <c r="DV5" s="48" t="str">
        <f t="shared" si="36"/>
        <v/>
      </c>
      <c r="DW5" s="48" t="str">
        <f t="shared" si="37"/>
        <v>"NoBand",</v>
      </c>
      <c r="DX5" s="48" t="str">
        <f t="shared" si="37"/>
        <v/>
      </c>
      <c r="DY5" s="48" t="str">
        <f t="shared" si="37"/>
        <v/>
      </c>
      <c r="DZ5" s="48" t="str">
        <f t="shared" si="37"/>
        <v/>
      </c>
      <c r="EA5" s="48" t="str">
        <f t="shared" si="38"/>
        <v>"Diagon",</v>
      </c>
      <c r="EB5" s="48" t="str">
        <f t="shared" si="38"/>
        <v>"Crosse",</v>
      </c>
      <c r="EC5" s="48" t="str">
        <f t="shared" si="38"/>
        <v>"Horizo",</v>
      </c>
      <c r="ED5" s="48" t="str">
        <f t="shared" si="38"/>
        <v/>
      </c>
      <c r="EE5" s="48" t="str">
        <f t="shared" si="38"/>
        <v>"Circle",</v>
      </c>
      <c r="EF5" s="48" t="str">
        <f t="shared" si="39"/>
        <v>"Animal",</v>
      </c>
      <c r="EG5" s="48" t="str">
        <f t="shared" si="40"/>
        <v>"Bird",</v>
      </c>
      <c r="EH5" s="48" t="str">
        <f t="shared" si="40"/>
        <v>"Plants",</v>
      </c>
      <c r="EI5" s="48" t="str">
        <f t="shared" si="40"/>
        <v>"Texted",</v>
      </c>
      <c r="EJ5" s="48" t="str">
        <f t="shared" si="40"/>
        <v/>
      </c>
      <c r="EK5" s="48" t="str">
        <f t="shared" si="40"/>
        <v/>
      </c>
      <c r="EL5" s="48" t="str">
        <f t="shared" si="40"/>
        <v/>
      </c>
      <c r="EM5" s="48" t="str">
        <f t="shared" si="40"/>
        <v/>
      </c>
      <c r="EN5" s="48" t="str">
        <f t="shared" si="40"/>
        <v/>
      </c>
      <c r="EO5" s="48" t="str">
        <f t="shared" si="40"/>
        <v>"Center",</v>
      </c>
      <c r="EP5" s="48" t="str">
        <f t="shared" si="40"/>
        <v/>
      </c>
      <c r="EQ5" s="48" t="str">
        <f t="shared" si="40"/>
        <v/>
      </c>
      <c r="ER5" s="48" t="str">
        <f t="shared" si="40"/>
        <v/>
      </c>
      <c r="ES5" s="48" t="str">
        <f t="shared" si="40"/>
        <v/>
      </c>
      <c r="ET5" s="48" t="str">
        <f t="shared" si="40"/>
        <v/>
      </c>
      <c r="EU5" s="48" t="str">
        <f t="shared" si="40"/>
        <v/>
      </c>
      <c r="EV5" s="48" t="str">
        <f t="shared" si="40"/>
        <v>"Builds",</v>
      </c>
      <c r="EW5" s="48" t="str">
        <f t="shared" si="40"/>
        <v/>
      </c>
      <c r="EX5" s="48" t="str">
        <f t="shared" si="40"/>
        <v>"Crowns",</v>
      </c>
      <c r="EY5" s="48" t="str">
        <f t="shared" si="40"/>
        <v/>
      </c>
      <c r="EZ5" s="48" t="str">
        <f t="shared" si="40"/>
        <v/>
      </c>
      <c r="FA5" s="48" t="str">
        <f t="shared" si="41"/>
        <v/>
      </c>
      <c r="FB5" s="48" t="str">
        <f t="shared" si="42"/>
        <v/>
      </c>
      <c r="FC5" s="48" t="str">
        <f t="shared" si="43"/>
        <v/>
      </c>
      <c r="FD5" s="48" t="str">
        <f t="shared" si="44"/>
        <v/>
      </c>
      <c r="FE5" s="48" t="str">
        <f t="shared" si="45"/>
        <v/>
      </c>
      <c r="FF5" s="48" t="str">
        <f t="shared" si="46"/>
        <v/>
      </c>
      <c r="FG5" s="48" t="str">
        <f t="shared" si="47"/>
        <v>"NO_RED",</v>
      </c>
      <c r="FH5" s="48" t="str">
        <f t="shared" si="48"/>
        <v>"NO_GRE",</v>
      </c>
      <c r="FI5" s="48" t="str">
        <f t="shared" si="49"/>
        <v>"NO_YEL",</v>
      </c>
      <c r="FJ5" s="48" t="str">
        <f t="shared" si="50"/>
        <v>"NO_BLA",</v>
      </c>
      <c r="FK5" s="48" t="str">
        <f t="shared" si="51"/>
        <v/>
      </c>
      <c r="FL5" s="48" t="str">
        <f t="shared" si="52"/>
        <v/>
      </c>
      <c r="FM5" s="48" t="str">
        <f t="shared" si="53"/>
        <v/>
      </c>
      <c r="FN5" s="48" t="str">
        <f t="shared" si="54"/>
        <v/>
      </c>
      <c r="FO5" s="48" t="str">
        <f t="shared" si="55"/>
        <v/>
      </c>
      <c r="FP5" s="48" t="str">
        <f t="shared" si="56"/>
        <v/>
      </c>
      <c r="FQ5" s="48" t="str">
        <f t="shared" si="57"/>
        <v>"001WHI",</v>
      </c>
      <c r="FR5" s="48" t="str">
        <f t="shared" si="58"/>
        <v>"002BLU",</v>
      </c>
      <c r="FS5" s="48" t="str">
        <f t="shared" si="59"/>
        <v>"003WHI",</v>
      </c>
      <c r="FT5" s="48" t="str">
        <f t="shared" si="60"/>
        <v>"myrWHI",</v>
      </c>
      <c r="FU5" s="48" t="str">
        <f t="shared" si="61"/>
        <v/>
      </c>
      <c r="FV5" s="48" t="str">
        <f t="shared" si="62"/>
        <v/>
      </c>
      <c r="FW5" s="48" t="str">
        <f t="shared" si="63"/>
        <v/>
      </c>
      <c r="FX5" s="48" t="str">
        <f t="shared" si="64"/>
        <v/>
      </c>
      <c r="FY5" s="48" t="str">
        <f t="shared" si="65"/>
        <v/>
      </c>
      <c r="FZ5" s="48" t="str">
        <f t="shared" si="66"/>
        <v/>
      </c>
      <c r="GA5" s="48" t="str">
        <f t="shared" si="67"/>
        <v/>
      </c>
      <c r="GB5" s="48" t="str">
        <f t="shared" si="68"/>
        <v/>
      </c>
      <c r="GC5" s="48" t="str">
        <f t="shared" si="69"/>
        <v/>
      </c>
      <c r="GD5" s="48" t="str">
        <f t="shared" si="70"/>
        <v/>
      </c>
      <c r="GE5" s="48" t="str">
        <f t="shared" si="71"/>
        <v/>
      </c>
      <c r="GF5" s="48" t="str">
        <f>IFERROR(IF(SEARCH("Historical",AU5)&gt;0,CHAR(34)&amp;"histor"&amp;CHAR(34)&amp;",",""),"")</f>
        <v/>
      </c>
      <c r="GG5" s="48" t="str">
        <f t="shared" si="73"/>
        <v/>
      </c>
      <c r="GH5" s="48" t="str">
        <f t="shared" si="74"/>
        <v/>
      </c>
      <c r="GI5" s="48" t="str">
        <f t="shared" si="75"/>
        <v/>
      </c>
      <c r="GJ5" s="48" t="str">
        <f t="shared" si="76"/>
        <v>"NoStar",</v>
      </c>
      <c r="GK5" s="48" t="str">
        <f t="shared" si="77"/>
        <v/>
      </c>
      <c r="GL5" s="48" t="str">
        <f t="shared" si="78"/>
        <v/>
      </c>
      <c r="GM5" s="48" t="str">
        <f t="shared" si="78"/>
        <v/>
      </c>
      <c r="GN5" s="48" t="str">
        <f t="shared" si="78"/>
        <v/>
      </c>
      <c r="GP5" s="48" t="str">
        <f t="shared" si="79"/>
        <v>"Region"</v>
      </c>
      <c r="GS5" s="48" t="str">
        <f t="shared" si="80"/>
        <v>["2Color","words2","exact2","lets12","startB","BLUWHI","allhor","NoBand","Diagon","Crosse","Horizo","Circle","Animal","Bird","Plants","Texted","Center","Builds","Crowns","NO_RED","NO_GRE","NO_YEL","NO_BLA","001WHI","002BLU","003WHI","myrWHI","NoStar"]</v>
      </c>
      <c r="GT5" s="48" t="str">
        <f t="shared" si="81"/>
        <v>"cl_WHI",</v>
      </c>
      <c r="GU5" s="48" t="str">
        <f t="shared" si="81"/>
        <v>"cl_BLU",</v>
      </c>
      <c r="GV5" s="48" t="str">
        <f t="shared" si="81"/>
        <v/>
      </c>
      <c r="GW5" s="48" t="str">
        <f t="shared" si="81"/>
        <v/>
      </c>
      <c r="GX5" s="48" t="str">
        <f t="shared" si="81"/>
        <v/>
      </c>
      <c r="GY5" s="48" t="str">
        <f t="shared" si="81"/>
        <v/>
      </c>
      <c r="GZ5" s="48" t="str">
        <f t="shared" si="81"/>
        <v/>
      </c>
      <c r="HA5" s="48" t="str">
        <f t="shared" si="81"/>
        <v/>
      </c>
      <c r="HB5" s="48" t="str">
        <f t="shared" si="81"/>
        <v/>
      </c>
      <c r="HC5" s="48" t="str">
        <f t="shared" si="82"/>
        <v>["cl_WHI","cl_BLU"]</v>
      </c>
      <c r="HE5" s="71"/>
      <c r="HF5" s="72" t="str">
        <f t="shared" si="83"/>
        <v>{couname:"[CHL] Biobío Region",year:"???",region:"rgn_South America",Colors:["cl_WHI","cl_BLU"],Items:["2Color","words2","exact2","lets12","startB","BLUWHI","allhor","NoBand","Diagon","Crosse","Horizo","Circle","Animal","Bird","Plants","Texted","Center","Builds","Crowns","NO_RED","NO_GRE","NO_YEL","NO_BLA","001WHI","002BLU","003WHI","myrWHI","NoStar"],Flag:"https://www.crwflags.com/fotw/images/c/cl-08t.gif",HDFlag:"https://www.crwflags.com/fotw/images/c/cl-08t.gif",type:"Region", describe: "\nIt is white with coat of arms.\n", isnew:".", links: "https://www.crwflags.com/fotw/flags/cl-08.html"},</v>
      </c>
      <c r="HG5" s="73" t="str">
        <f t="shared" si="84"/>
        <v>{couname:"[CHL] Biobío Region",year:"???",region:"rgn_South America",Colors:["cl_WHI","cl_BLU"],Items:["2Color","words2","exact2","lets12","startB","BLUWHI","allhor","NoBand","Diagon","Crosse","Horizo","Circle","Animal","Bird","Plants","Texted","Center","Builds","Crowns","NO_RED","NO_GRE","NO_YEL","NO_BLA","001WHI","002BLU","003WHI","myrWHI","NoStar"],Flag:"https://www.crwflags.com/fotw/images/c/cl-08t.gif",HDFlag:"https://www.crwflags.com/fotw/images/c/cl-08t.gif",type:"Region", describe: "\nIt is white with coat of arms.\n", links: "https://www.crwflags.com/fotw/flags/cl-08.html"},</v>
      </c>
      <c r="HH5" s="48" t="str">
        <f t="shared" si="85"/>
        <v>"\nIt is white with coat of arms.\n"</v>
      </c>
      <c r="HI5" s="48" t="str">
        <f t="shared" si="86"/>
        <v>"\nIt is white with coat of arms.\n"</v>
      </c>
      <c r="HJ5" s="48" t="str">
        <f t="shared" si="87"/>
        <v>"???"</v>
      </c>
      <c r="HL5" s="48" t="str">
        <f t="shared" si="88"/>
        <v>"https://www.crwflags.com/fotw/flags/cl-08.html"</v>
      </c>
      <c r="HM5" s="72" t="str">
        <f t="shared" si="89"/>
        <v>{"couname":"[CHL] Biobío Region","year":"???","region":"rgn_South America","Colors":["cl_WHI","cl_BLU"],"Items":["2Color","words2","exact2","lets12","startB","BLUWHI","allhor","NoBand","Diagon","Crosse","Horizo","Circle","Animal","Bird","Plants","Texted","Center","Builds","Crowns","NO_RED","NO_GRE","NO_YEL","NO_BLA","001WHI","002BLU","003WHI","myrWHI","NoStar"],"Flag":"https://www.crwflags.com/fotw/images/c/cl-08t.gif","HDFlag":"https://www.crwflags.com/fotw/images/c/cl-08t.gif","type":"Region", "describe": "\nIt is white with coat of arms.\n", "isnew": ".", "links": "https://www.crwflags.com/fotw/flags/cl-08.html"},</v>
      </c>
      <c r="HN5" s="74" t="str">
        <f t="shared" si="90"/>
        <v>{"couname":"[CHL] Biobío Region","year":"???","region":"rgn_South America","Colors":["cl_WHI","cl_BLU"],"Items":["2Color","words2","exact2","lets12","startB","BLUWHI","allhor","NoBand","Diagon","Crosse","Horizo","Circle","Animal","Bird","Plants","Texted","Center","Builds","Crowns","NO_RED","NO_GRE","NO_YEL","NO_BLA","001WHI","002BLU","003WHI","myrWHI","NoStar"],"Flag":"https://www.crwflags.com/fotw/images/c/cl-08t.gif","HDFlag":"https://www.crwflags.com/fotw/images/c/cl-08t.gif","type":"Region", "describe": "\nIt is white with coat of arms.\n", "isnew": ".", "links": "https://www.crwflags.com/fotw/flags/cl-08.html"},</v>
      </c>
      <c r="HO5" s="75"/>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
      </c>
      <c r="HT5" s="48" t="str" cm="1">
        <f t="array" ref="HT5">IF(_xlfn.TEXTJOIN(", ", TRUE, IF(ISNUMBER(SEARCH("YEL", BL5:BT5)), COLUMN(BL5:BT5) - COLUMN(BL5) + 1, ""))&lt;&gt;"","YEL","")</f>
        <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L5" s="48">
        <f t="shared" si="91"/>
        <v>0</v>
      </c>
      <c r="IM5" s="45">
        <f t="shared" si="92"/>
        <v>-2</v>
      </c>
      <c r="IN5" s="78" t="str">
        <f t="shared" si="93"/>
        <v>http://mkweb.bcgsc.ca/color-summarizer/?url=https://www.crwflags.com/fotw/images/c/cl-08t.gif&amp;precision=low&amp;num_clusters=2&amp;text=1</v>
      </c>
      <c r="IO5" s="48" t="str">
        <f t="shared" si="94"/>
        <v/>
      </c>
      <c r="IP5" s="48" t="str">
        <f t="shared" si="95"/>
        <v>"blue"</v>
      </c>
      <c r="IQ5" s="48" t="str">
        <f t="shared" si="96"/>
        <v/>
      </c>
      <c r="IR5" s="48" t="str">
        <f t="shared" si="97"/>
        <v/>
      </c>
      <c r="IS5" s="48" t="str">
        <f t="shared" si="98"/>
        <v/>
      </c>
      <c r="IT5" s="48" t="str">
        <f t="shared" si="99"/>
        <v/>
      </c>
      <c r="IU5" s="48" t="str">
        <f t="shared" si="100"/>
        <v/>
      </c>
      <c r="IV5" s="48" t="str">
        <f t="shared" si="101"/>
        <v/>
      </c>
      <c r="IW5" s="48" t="str">
        <f t="shared" si="102"/>
        <v>"white"</v>
      </c>
      <c r="IX5" s="48" t="str">
        <f t="shared" si="103"/>
        <v>{"url":"http://mkweb.bcgsc.ca/color-summarizer/?url=https://www.crwflags.com/fotw/images/c/cl-08t.gif&amp;precision=low&amp;num_clusters=2&amp;text=1","name":"[CHL] Biobío Region"},</v>
      </c>
      <c r="IY5" s="48">
        <v>697</v>
      </c>
    </row>
    <row r="6" spans="1:259" s="48" customFormat="1" ht="38.4" customHeight="1" thickBot="1" x14ac:dyDescent="0.35">
      <c r="A6" s="79" t="s">
        <v>563</v>
      </c>
      <c r="B6" s="40" t="e" vm="60">
        <v>#VALUE!</v>
      </c>
      <c r="C6" s="41">
        <v>2</v>
      </c>
      <c r="D6" s="42" t="s">
        <v>564</v>
      </c>
      <c r="E6" s="43" t="s">
        <v>564</v>
      </c>
      <c r="F6" s="44" t="s">
        <v>166</v>
      </c>
      <c r="G6" s="45">
        <f>COUNTIF($A$1:$A$8294,A6)</f>
        <v>1</v>
      </c>
      <c r="H6" s="46"/>
      <c r="I6" s="47" t="s">
        <v>565</v>
      </c>
      <c r="J6" s="48" t="str">
        <f>""</f>
        <v/>
      </c>
      <c r="K6" s="49"/>
      <c r="L6" s="50"/>
      <c r="M6" s="50"/>
      <c r="N6" s="51" t="s">
        <v>169</v>
      </c>
      <c r="O6" s="52">
        <v>2000</v>
      </c>
      <c r="P6" s="53" t="s">
        <v>566</v>
      </c>
      <c r="Q6" s="54">
        <v>2</v>
      </c>
      <c r="R6" s="55" t="s">
        <v>169</v>
      </c>
      <c r="S6" s="56">
        <v>0</v>
      </c>
      <c r="T6" s="57" t="s">
        <v>173</v>
      </c>
      <c r="U6" s="58" t="s">
        <v>173</v>
      </c>
      <c r="V6" s="58" t="s">
        <v>173</v>
      </c>
      <c r="W6" s="58" t="s">
        <v>172</v>
      </c>
      <c r="X6" s="58" t="s">
        <v>173</v>
      </c>
      <c r="Y6" s="58" t="s">
        <v>172</v>
      </c>
      <c r="Z6" s="58" t="s">
        <v>172</v>
      </c>
      <c r="AA6" s="58" t="s">
        <v>172</v>
      </c>
      <c r="AB6" s="58" t="s">
        <v>172</v>
      </c>
      <c r="AC6" s="58" t="s">
        <v>172</v>
      </c>
      <c r="AD6" s="58" t="s">
        <v>173</v>
      </c>
      <c r="AE6" s="58" t="s">
        <v>172</v>
      </c>
      <c r="AF6" s="59" t="s">
        <v>172</v>
      </c>
      <c r="AG6" s="59" t="s">
        <v>172</v>
      </c>
      <c r="AH6" s="59" t="s">
        <v>172</v>
      </c>
      <c r="AI6" s="59" t="s">
        <v>172</v>
      </c>
      <c r="AJ6" s="59" t="s">
        <v>172</v>
      </c>
      <c r="AK6" s="59" t="s">
        <v>172</v>
      </c>
      <c r="AL6" s="59" t="s">
        <v>172</v>
      </c>
      <c r="AM6" s="59" t="s">
        <v>173</v>
      </c>
      <c r="AN6" s="59" t="s">
        <v>172</v>
      </c>
      <c r="AO6" s="59" t="s">
        <v>172</v>
      </c>
      <c r="AP6" s="59" t="s">
        <v>172</v>
      </c>
      <c r="AQ6" s="59" t="s">
        <v>172</v>
      </c>
      <c r="AR6" s="59" t="s">
        <v>172</v>
      </c>
      <c r="AS6" s="59" t="s">
        <v>172</v>
      </c>
      <c r="AT6" s="60">
        <v>6</v>
      </c>
      <c r="AU6" s="59" t="s">
        <v>553</v>
      </c>
      <c r="AV6" s="59" t="str">
        <f>IF(LEFT(A6,1)="[",LEFT(A6,5)&amp;AU6&amp;A6,"")</f>
        <v>[CHL]Region[CHL] Coquimbo Region</v>
      </c>
      <c r="AW6" s="59" t="str">
        <f>C6&amp;A6</f>
        <v>2[CHL] Coquimbo Region</v>
      </c>
      <c r="AX6" s="61"/>
      <c r="AY6" s="61"/>
      <c r="AZ6" s="62"/>
      <c r="BA6" s="62"/>
      <c r="BB6" s="62"/>
      <c r="BC6" s="63"/>
      <c r="BD6" s="64" t="s">
        <v>154</v>
      </c>
      <c r="BE6" s="47"/>
      <c r="BF6" s="64" t="s">
        <v>154</v>
      </c>
      <c r="BG6" s="64" t="s">
        <v>159</v>
      </c>
      <c r="BH6" s="64" t="s">
        <v>154</v>
      </c>
      <c r="BI6" s="64"/>
      <c r="BJ6" s="64"/>
      <c r="BK6" s="47"/>
      <c r="BL6" s="64" t="s">
        <v>154</v>
      </c>
      <c r="BM6" s="64" t="s">
        <v>159</v>
      </c>
      <c r="BN6" s="64"/>
      <c r="BO6" s="64"/>
      <c r="BP6" s="64"/>
      <c r="BQ6" s="64"/>
      <c r="BR6" s="64"/>
      <c r="BS6" s="64"/>
      <c r="BT6" s="64"/>
      <c r="BU6" s="65"/>
      <c r="BV6" s="66"/>
      <c r="BW6" s="66">
        <v>0</v>
      </c>
      <c r="BX6" s="47"/>
      <c r="CB6" s="6"/>
      <c r="CC6" s="6"/>
      <c r="CD6" s="67">
        <v>0</v>
      </c>
      <c r="CE6" s="67">
        <v>0</v>
      </c>
      <c r="CF6" s="67" t="e">
        <v>#REF!</v>
      </c>
      <c r="CG6" s="68" cm="1">
        <f t="array" ref="CG6">SUMPRODUCT(--(LEN(TRIM(BL6:BT6))&gt;0))</f>
        <v>2</v>
      </c>
      <c r="CH6" s="59" t="str">
        <f t="shared" si="0"/>
        <v>y</v>
      </c>
      <c r="CI6" s="59" t="str">
        <f t="shared" si="1"/>
        <v>n</v>
      </c>
      <c r="CJ6" s="59" t="str">
        <f t="shared" si="2"/>
        <v>n</v>
      </c>
      <c r="CK6" s="59" t="str">
        <f t="shared" si="3"/>
        <v>n</v>
      </c>
      <c r="CL6" s="59" t="str">
        <f t="shared" si="4"/>
        <v>y</v>
      </c>
      <c r="CM6" s="59" t="str">
        <f t="shared" si="5"/>
        <v>n</v>
      </c>
      <c r="CN6" s="59" t="str">
        <f t="shared" si="6"/>
        <v>n</v>
      </c>
      <c r="CO6" s="59" t="str">
        <f t="shared" si="7"/>
        <v>n</v>
      </c>
      <c r="CP6" s="59" t="str">
        <f t="shared" si="8"/>
        <v>n</v>
      </c>
      <c r="CQ6" s="59" t="str">
        <f t="shared" si="9"/>
        <v>n</v>
      </c>
      <c r="CR6" s="59" t="str">
        <f t="shared" si="10"/>
        <v>n</v>
      </c>
      <c r="CS6" s="59" t="str">
        <f t="shared" si="11"/>
        <v>y</v>
      </c>
      <c r="CT6" s="69" t="str">
        <f t="shared" si="12"/>
        <v>"[CHL] Coquimbo Region"</v>
      </c>
      <c r="CU6" s="70" t="str">
        <f t="shared" si="13"/>
        <v>"rgn_South America"</v>
      </c>
      <c r="CV6" s="48" t="str">
        <f t="shared" si="14"/>
        <v>"https://www.crwflags.com/fotw/images/c/cl-04.gif"</v>
      </c>
      <c r="CW6" s="48" t="str">
        <f t="shared" si="15"/>
        <v>"2Color",</v>
      </c>
      <c r="CX6" s="48" t="str">
        <f t="shared" si="15"/>
        <v/>
      </c>
      <c r="CY6" s="48" t="str">
        <f t="shared" si="15"/>
        <v/>
      </c>
      <c r="CZ6" s="48" t="str">
        <f t="shared" si="15"/>
        <v/>
      </c>
      <c r="DA6" s="48" t="str">
        <f t="shared" si="16"/>
        <v>"words2",</v>
      </c>
      <c r="DB6" s="48" t="str">
        <f t="shared" si="17"/>
        <v/>
      </c>
      <c r="DC6" s="48" t="str">
        <f t="shared" si="18"/>
        <v>"exact2",</v>
      </c>
      <c r="DD6" s="48" t="str">
        <f t="shared" si="19"/>
        <v>"lets14",</v>
      </c>
      <c r="DE6" s="48" t="str">
        <f t="shared" si="20"/>
        <v>"startC",</v>
      </c>
      <c r="DF6" s="48" t="str">
        <f t="shared" si="21"/>
        <v/>
      </c>
      <c r="DG6" s="48" t="str">
        <f t="shared" si="22"/>
        <v>"with_q",</v>
      </c>
      <c r="DH6" s="48" t="str">
        <f t="shared" si="23"/>
        <v/>
      </c>
      <c r="DI6" s="48" t="str">
        <f t="shared" si="24"/>
        <v/>
      </c>
      <c r="DJ6" s="48" t="str">
        <f t="shared" si="25"/>
        <v/>
      </c>
      <c r="DK6" s="48" t="str">
        <f t="shared" si="26"/>
        <v/>
      </c>
      <c r="DL6" s="48" t="str">
        <f t="shared" si="27"/>
        <v>"REDWHI",</v>
      </c>
      <c r="DM6" s="48" t="str" cm="1">
        <f t="array" ref="DM6">IF(CG6=3,CHAR(34) &amp; _xlfn.TEXTJOIN("", TRUE, RIGHT(HP6:HX6, 2)) &amp; CHAR(34) &amp; ",", "")</f>
        <v/>
      </c>
      <c r="DN6" s="48" t="str">
        <f t="shared" si="28"/>
        <v/>
      </c>
      <c r="DO6" s="48" t="str">
        <f t="shared" si="29"/>
        <v/>
      </c>
      <c r="DP6" s="6" t="str">
        <f t="shared" si="30"/>
        <v>"year00",</v>
      </c>
      <c r="DQ6" s="6" t="str">
        <f t="shared" si="31"/>
        <v/>
      </c>
      <c r="DR6" s="6" t="str">
        <f t="shared" si="32"/>
        <v/>
      </c>
      <c r="DS6" s="6" t="str">
        <f t="shared" si="33"/>
        <v/>
      </c>
      <c r="DT6" s="6" t="str">
        <f t="shared" si="34"/>
        <v>"allhor",</v>
      </c>
      <c r="DU6" s="6" t="str">
        <f t="shared" si="35"/>
        <v/>
      </c>
      <c r="DV6" s="48" t="str">
        <f t="shared" si="36"/>
        <v/>
      </c>
      <c r="DW6" s="48" t="str">
        <f t="shared" si="37"/>
        <v>"NoBand",</v>
      </c>
      <c r="DX6" s="48" t="str">
        <f t="shared" si="37"/>
        <v/>
      </c>
      <c r="DY6" s="48" t="str">
        <f t="shared" si="37"/>
        <v/>
      </c>
      <c r="DZ6" s="48" t="str">
        <f t="shared" si="37"/>
        <v/>
      </c>
      <c r="EA6" s="48" t="str">
        <f t="shared" si="38"/>
        <v>"Diagon",</v>
      </c>
      <c r="EB6" s="48" t="str">
        <f t="shared" si="38"/>
        <v>"Crosse",</v>
      </c>
      <c r="EC6" s="48" t="str">
        <f t="shared" si="38"/>
        <v>"Horizo",</v>
      </c>
      <c r="ED6" s="48" t="str">
        <f t="shared" si="38"/>
        <v/>
      </c>
      <c r="EE6" s="48" t="str">
        <f t="shared" si="38"/>
        <v>"Circle",</v>
      </c>
      <c r="EF6" s="48" t="str">
        <f t="shared" si="39"/>
        <v/>
      </c>
      <c r="EG6" s="48" t="str">
        <f t="shared" si="40"/>
        <v/>
      </c>
      <c r="EH6" s="48" t="str">
        <f t="shared" si="40"/>
        <v/>
      </c>
      <c r="EI6" s="48" t="str">
        <f t="shared" si="40"/>
        <v/>
      </c>
      <c r="EJ6" s="48" t="str">
        <f t="shared" si="40"/>
        <v/>
      </c>
      <c r="EK6" s="48" t="str">
        <f t="shared" si="40"/>
        <v>"HasSun",</v>
      </c>
      <c r="EL6" s="48" t="str">
        <f t="shared" si="40"/>
        <v/>
      </c>
      <c r="EM6" s="48" t="str">
        <f t="shared" si="40"/>
        <v/>
      </c>
      <c r="EN6" s="48" t="str">
        <f t="shared" si="40"/>
        <v/>
      </c>
      <c r="EO6" s="48" t="str">
        <f t="shared" si="40"/>
        <v/>
      </c>
      <c r="EP6" s="48" t="str">
        <f t="shared" si="40"/>
        <v/>
      </c>
      <c r="EQ6" s="48" t="str">
        <f t="shared" si="40"/>
        <v/>
      </c>
      <c r="ER6" s="48" t="str">
        <f t="shared" si="40"/>
        <v/>
      </c>
      <c r="ES6" s="48" t="str">
        <f t="shared" si="40"/>
        <v/>
      </c>
      <c r="ET6" s="48" t="str">
        <f t="shared" si="40"/>
        <v>"Geogrh",</v>
      </c>
      <c r="EU6" s="48" t="str">
        <f t="shared" si="40"/>
        <v/>
      </c>
      <c r="EV6" s="48" t="str">
        <f t="shared" si="40"/>
        <v/>
      </c>
      <c r="EW6" s="48" t="str">
        <f t="shared" si="40"/>
        <v/>
      </c>
      <c r="EX6" s="48" t="str">
        <f t="shared" si="40"/>
        <v/>
      </c>
      <c r="EY6" s="48" t="str">
        <f t="shared" si="40"/>
        <v/>
      </c>
      <c r="EZ6" s="48" t="str">
        <f t="shared" si="40"/>
        <v/>
      </c>
      <c r="FA6" s="48" t="str">
        <f t="shared" si="41"/>
        <v>"sta",</v>
      </c>
      <c r="FB6" s="48" t="str">
        <f t="shared" si="42"/>
        <v/>
      </c>
      <c r="FC6" s="48" t="str">
        <f t="shared" si="43"/>
        <v/>
      </c>
      <c r="FD6" s="48" t="str">
        <f t="shared" si="44"/>
        <v/>
      </c>
      <c r="FE6" s="48" t="str">
        <f t="shared" si="45"/>
        <v>"NO_BLU",</v>
      </c>
      <c r="FF6" s="48" t="str">
        <f t="shared" si="46"/>
        <v/>
      </c>
      <c r="FG6" s="48" t="str">
        <f t="shared" si="47"/>
        <v/>
      </c>
      <c r="FH6" s="48" t="str">
        <f t="shared" si="48"/>
        <v>"NO_GRE",</v>
      </c>
      <c r="FI6" s="48" t="str">
        <f t="shared" si="49"/>
        <v>"NO_YEL",</v>
      </c>
      <c r="FJ6" s="48" t="str">
        <f t="shared" si="50"/>
        <v>"NO_BLA",</v>
      </c>
      <c r="FK6" s="48" t="str">
        <f t="shared" si="51"/>
        <v/>
      </c>
      <c r="FL6" s="48" t="str">
        <f t="shared" si="52"/>
        <v/>
      </c>
      <c r="FM6" s="48" t="str">
        <f t="shared" si="53"/>
        <v/>
      </c>
      <c r="FN6" s="48" t="str">
        <f t="shared" si="54"/>
        <v/>
      </c>
      <c r="FO6" s="48" t="str">
        <f t="shared" si="55"/>
        <v/>
      </c>
      <c r="FP6" s="48" t="str">
        <f t="shared" si="56"/>
        <v/>
      </c>
      <c r="FQ6" s="48" t="str">
        <f t="shared" si="57"/>
        <v>"001RED",</v>
      </c>
      <c r="FR6" s="48" t="str">
        <f t="shared" si="58"/>
        <v>"002WHI",</v>
      </c>
      <c r="FS6" s="48" t="str">
        <f t="shared" si="59"/>
        <v>"003RED",</v>
      </c>
      <c r="FT6" s="48" t="str">
        <f t="shared" si="60"/>
        <v>"myrRED",</v>
      </c>
      <c r="FU6" s="48" t="str">
        <f t="shared" si="61"/>
        <v/>
      </c>
      <c r="FV6" s="48" t="str">
        <f t="shared" si="62"/>
        <v/>
      </c>
      <c r="FW6" s="48" t="str">
        <f t="shared" si="63"/>
        <v/>
      </c>
      <c r="FX6" s="48" t="str">
        <f t="shared" si="64"/>
        <v/>
      </c>
      <c r="FY6" s="48" t="str">
        <f t="shared" si="65"/>
        <v/>
      </c>
      <c r="FZ6" s="48" t="str">
        <f t="shared" si="66"/>
        <v/>
      </c>
      <c r="GA6" s="48" t="str">
        <f t="shared" si="67"/>
        <v/>
      </c>
      <c r="GB6" s="48" t="str">
        <f t="shared" si="68"/>
        <v/>
      </c>
      <c r="GC6" s="48" t="str">
        <f t="shared" si="69"/>
        <v/>
      </c>
      <c r="GD6" s="48" t="str">
        <f t="shared" si="70"/>
        <v/>
      </c>
      <c r="GE6" s="48" t="str">
        <f t="shared" si="71"/>
        <v/>
      </c>
      <c r="GF6" s="48" t="str">
        <f>IFERROR(IF(SEARCH("Historical",AU6)&gt;0,CHAR(34)&amp;"histor"&amp;CHAR(34)&amp;",",""),"")</f>
        <v/>
      </c>
      <c r="GG6" s="48" t="str">
        <f t="shared" si="73"/>
        <v/>
      </c>
      <c r="GH6" s="48" t="str">
        <f t="shared" si="74"/>
        <v/>
      </c>
      <c r="GI6" s="48" t="str">
        <f t="shared" si="75"/>
        <v/>
      </c>
      <c r="GJ6" s="48" t="str">
        <f t="shared" si="76"/>
        <v/>
      </c>
      <c r="GK6" s="48" t="str">
        <f t="shared" si="77"/>
        <v>"HasSta",</v>
      </c>
      <c r="GL6" s="48" t="str">
        <f t="shared" si="78"/>
        <v/>
      </c>
      <c r="GM6" s="48" t="str">
        <f t="shared" si="78"/>
        <v/>
      </c>
      <c r="GN6" s="48" t="str">
        <f t="shared" si="78"/>
        <v>"3+Star",</v>
      </c>
      <c r="GP6" s="48" t="str">
        <f t="shared" si="79"/>
        <v>"Region"</v>
      </c>
      <c r="GS6" s="48" t="str">
        <f t="shared" si="80"/>
        <v>["2Color","words2","exact2","lets14","startC","with_q","REDWHI","year00","allhor","NoBand","Diagon","Crosse","Horizo","Circle","HasSun","Geogrh","sta","NO_BLU","NO_GRE","NO_YEL","NO_BLA","001RED","002WHI","003RED","myrRED","HasSta","3+Star"]</v>
      </c>
      <c r="GT6" s="48" t="str">
        <f t="shared" si="81"/>
        <v>"cl_RED",</v>
      </c>
      <c r="GU6" s="48" t="str">
        <f t="shared" si="81"/>
        <v>"cl_WHI",</v>
      </c>
      <c r="GV6" s="48" t="str">
        <f t="shared" si="81"/>
        <v/>
      </c>
      <c r="GW6" s="48" t="str">
        <f t="shared" si="81"/>
        <v/>
      </c>
      <c r="GX6" s="48" t="str">
        <f t="shared" si="81"/>
        <v/>
      </c>
      <c r="GY6" s="48" t="str">
        <f t="shared" si="81"/>
        <v/>
      </c>
      <c r="GZ6" s="48" t="str">
        <f t="shared" si="81"/>
        <v/>
      </c>
      <c r="HA6" s="48" t="str">
        <f t="shared" si="81"/>
        <v/>
      </c>
      <c r="HB6" s="48" t="str">
        <f t="shared" si="81"/>
        <v/>
      </c>
      <c r="HC6" s="48" t="str">
        <f t="shared" si="82"/>
        <v>["cl_RED","cl_WHI"]</v>
      </c>
      <c r="HE6" s="71"/>
      <c r="HF6" s="72" t="str">
        <f t="shared" si="83"/>
        <v>{couname:"[CHL] Coquimbo Region",year:"2000",region:"rgn_South America",Colors:["cl_RED","cl_WHI"],Items:["2Color","words2","exact2","lets14","startC","with_q","REDWHI","year00","allhor","NoBand","Diagon","Crosse","Horizo","Circle","HasSun","Geogrh","sta","NO_BLU","NO_GRE","NO_YEL","NO_BLA","001RED","002WHI","003RED","myrRED","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isnew:".", links: "https://www.crwflags.com/fotw/flags/cl-04.html"},</v>
      </c>
      <c r="HG6" s="73" t="str">
        <f t="shared" si="84"/>
        <v>{couname:"[CHL] Coquimbo Region",year:"2000",region:"rgn_South America",Colors:["cl_RED","cl_WHI"],Items:["2Color","words2","exact2","lets14","startC","with_q","REDWHI","year00","allhor","NoBand","Diagon","Crosse","Horizo","Circle","HasSun","Geogrh","sta","NO_BLU","NO_GRE","NO_YEL","NO_BLA","001RED","002WHI","003RED","myrRED","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links: "https://www.crwflags.com/fotw/flags/cl-04.html"},</v>
      </c>
      <c r="HH6" s="48" t="str">
        <f t="shared" si="85"/>
        <v>"\nThe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v>
      </c>
      <c r="HI6" s="48" t="str">
        <f t="shared" si="86"/>
        <v>"\nThe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v>
      </c>
      <c r="HJ6" s="48" t="str">
        <f t="shared" si="87"/>
        <v>"2000"</v>
      </c>
      <c r="HL6" s="48" t="str">
        <f t="shared" si="88"/>
        <v>"https://www.crwflags.com/fotw/flags/cl-04.html"</v>
      </c>
      <c r="HM6" s="72" t="str">
        <f t="shared" si="89"/>
        <v>{"couname":"[CHL] Coquimbo Region","year":"2000","region":"rgn_South America","Colors":["cl_RED","cl_WHI"],"Items":["2Color","words2","exact2","lets14","startC","with_q","REDWHI","year00","allhor","NoBand","Diagon","Crosse","Horizo","Circle","HasSun","Geogrh","sta","NO_BLU","NO_GRE","NO_YEL","NO_BLA","001RED","002WHI","003RED","myrRED","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"isnew": ".", "links": "https://www.crwflags.com/fotw/flags/cl-04.html"},</v>
      </c>
      <c r="HN6" s="74" t="str">
        <f t="shared" si="90"/>
        <v>{"couname":"[CHL] Coquimbo Region","year":"2000","region":"rgn_South America","Colors":["cl_RED","cl_WHI"],"Items":["2Color","words2","exact2","lets14","startC","with_q","REDWHI","year00","allhor","NoBand","Diagon","Crosse","Horizo","Circle","HasSun","Geogrh","sta","NO_BLU","NO_GRE","NO_YEL","NO_BLA","001RED","002WHI","003RED","myrRED","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"isnew": ".", "links": "https://www.crwflags.com/fotw/flags/cl-04.html"},</v>
      </c>
      <c r="HO6" s="75"/>
      <c r="HP6" s="48" t="str" cm="1">
        <f t="array" ref="HP6">IF(_xlfn.TEXTJOIN(", ", TRUE, IF(ISNUMBER(SEARCH("BLA", BL6:BT6)), COLUMN(BL6:BT6) - COLUMN(BL6) + 1, ""))&lt;&gt;"","BLA","")</f>
        <v/>
      </c>
      <c r="HQ6" s="48" t="str" cm="1">
        <f t="array" ref="HQ6">IF(_xlfn.TEXTJOIN(", ", TRUE, IF(ISNUMBER(SEARCH("BLU", BL6:BT6)), COLUMN(BL6:BT6) - COLUMN(BL6) + 1, ""))&lt;&gt;"","BLU","")</f>
        <v/>
      </c>
      <c r="HR6" s="48" t="str" cm="1">
        <f t="array" ref="HR6">IF(_xlfn.TEXTJOIN(", ", TRUE, IF(ISNUMBER(SEARCH("GRE", BL6:BT6)), COLUMN(BL6:BT6) - COLUMN(BL6) + 1, ""))&lt;&gt;"","GRE","")</f>
        <v/>
      </c>
      <c r="HS6" s="48" t="str" cm="1">
        <f t="array" ref="HS6">IF(_xlfn.TEXTJOIN(", ", TRUE, IF(ISNUMBER(SEARCH("RED", BL6:BT6)), COLUMN(BL6:BT6) - COLUMN(BL6) + 1, ""))&lt;&gt;"","RED","")</f>
        <v>RED</v>
      </c>
      <c r="HT6" s="48" t="str" cm="1">
        <f t="array" ref="HT6">IF(_xlfn.TEXTJOIN(", ", TRUE, IF(ISNUMBER(SEARCH("YEL", BL6:BT6)), COLUMN(BL6:BT6) - COLUMN(BL6) + 1, ""))&lt;&gt;"","YEL","")</f>
        <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L6" s="48">
        <f t="shared" si="91"/>
        <v>0</v>
      </c>
      <c r="IM6" s="45">
        <f t="shared" si="92"/>
        <v>-2</v>
      </c>
      <c r="IN6" s="78" t="str">
        <f t="shared" si="93"/>
        <v>http://mkweb.bcgsc.ca/color-summarizer/?url=https://www.crwflags.com/fotw/images/c/cl-04.gif&amp;precision=low&amp;num_clusters=2&amp;text=1</v>
      </c>
      <c r="IO6" s="48" t="str">
        <f t="shared" si="94"/>
        <v/>
      </c>
      <c r="IP6" s="48" t="str">
        <f t="shared" si="95"/>
        <v/>
      </c>
      <c r="IQ6" s="48" t="str">
        <f t="shared" si="96"/>
        <v/>
      </c>
      <c r="IR6" s="48" t="str">
        <f t="shared" si="97"/>
        <v>"red"</v>
      </c>
      <c r="IS6" s="48" t="str">
        <f t="shared" si="98"/>
        <v/>
      </c>
      <c r="IT6" s="48" t="str">
        <f t="shared" si="99"/>
        <v/>
      </c>
      <c r="IU6" s="48" t="str">
        <f t="shared" si="100"/>
        <v/>
      </c>
      <c r="IV6" s="48" t="str">
        <f t="shared" si="101"/>
        <v/>
      </c>
      <c r="IW6" s="48" t="str">
        <f t="shared" si="102"/>
        <v>"white"</v>
      </c>
      <c r="IX6" s="48" t="str">
        <f t="shared" si="103"/>
        <v>{"url":"http://mkweb.bcgsc.ca/color-summarizer/?url=https://www.crwflags.com/fotw/images/c/cl-04.gif&amp;precision=low&amp;num_clusters=2&amp;text=1","name":"[CHL] Coquimbo Region"},</v>
      </c>
      <c r="IY6" s="48">
        <v>698</v>
      </c>
    </row>
    <row r="7" spans="1:259" s="48" customFormat="1" ht="38.4" customHeight="1" thickBot="1" x14ac:dyDescent="0.35">
      <c r="A7" s="79" t="s">
        <v>567</v>
      </c>
      <c r="B7" s="40" t="e" vm="61">
        <v>#VALUE!</v>
      </c>
      <c r="C7" s="41">
        <v>2</v>
      </c>
      <c r="D7" s="42" t="s">
        <v>568</v>
      </c>
      <c r="E7" s="43" t="s">
        <v>569</v>
      </c>
      <c r="F7" s="44" t="s">
        <v>166</v>
      </c>
      <c r="G7" s="45">
        <f>COUNTIF($A$1:$A$8294,A7)</f>
        <v>1</v>
      </c>
      <c r="H7" s="46"/>
      <c r="I7" s="47" t="s">
        <v>570</v>
      </c>
      <c r="J7" s="48" t="str">
        <f>""</f>
        <v/>
      </c>
      <c r="K7" s="49"/>
      <c r="L7" s="50"/>
      <c r="M7" s="50"/>
      <c r="N7" s="51" t="s">
        <v>169</v>
      </c>
      <c r="O7" s="52" t="s">
        <v>268</v>
      </c>
      <c r="P7" s="53" t="s">
        <v>571</v>
      </c>
      <c r="Q7" s="54">
        <v>2</v>
      </c>
      <c r="R7" s="55" t="s">
        <v>572</v>
      </c>
      <c r="S7" s="56">
        <v>0</v>
      </c>
      <c r="T7" s="57" t="s">
        <v>172</v>
      </c>
      <c r="U7" s="58" t="s">
        <v>172</v>
      </c>
      <c r="V7" s="58" t="s">
        <v>172</v>
      </c>
      <c r="W7" s="58" t="s">
        <v>172</v>
      </c>
      <c r="X7" s="58" t="s">
        <v>172</v>
      </c>
      <c r="Y7" s="58" t="s">
        <v>172</v>
      </c>
      <c r="Z7" s="58" t="s">
        <v>172</v>
      </c>
      <c r="AA7" s="58" t="s">
        <v>172</v>
      </c>
      <c r="AB7" s="58" t="s">
        <v>172</v>
      </c>
      <c r="AC7" s="58" t="s">
        <v>172</v>
      </c>
      <c r="AD7" s="58" t="s">
        <v>172</v>
      </c>
      <c r="AE7" s="58" t="s">
        <v>173</v>
      </c>
      <c r="AF7" s="59" t="s">
        <v>172</v>
      </c>
      <c r="AG7" s="59" t="s">
        <v>172</v>
      </c>
      <c r="AH7" s="59" t="s">
        <v>173</v>
      </c>
      <c r="AI7" s="59" t="s">
        <v>172</v>
      </c>
      <c r="AJ7" s="59" t="s">
        <v>172</v>
      </c>
      <c r="AK7" s="59" t="s">
        <v>172</v>
      </c>
      <c r="AL7" s="59" t="s">
        <v>173</v>
      </c>
      <c r="AM7" s="59" t="s">
        <v>172</v>
      </c>
      <c r="AN7" s="59" t="s">
        <v>173</v>
      </c>
      <c r="AO7" s="59" t="s">
        <v>172</v>
      </c>
      <c r="AP7" s="59" t="s">
        <v>172</v>
      </c>
      <c r="AQ7" s="59" t="s">
        <v>172</v>
      </c>
      <c r="AR7" s="59" t="s">
        <v>172</v>
      </c>
      <c r="AS7" s="59" t="s">
        <v>172</v>
      </c>
      <c r="AT7" s="60">
        <v>0</v>
      </c>
      <c r="AU7" s="59" t="s">
        <v>573</v>
      </c>
      <c r="AV7" s="59" t="str">
        <f>IF(LEFT(A7,1)="[",LEFT(A7,5)&amp;AU7&amp;A7,"")</f>
        <v>[CHL]Special Territory[CHL] Easter Island</v>
      </c>
      <c r="AW7" s="59" t="str">
        <f>C7&amp;A7</f>
        <v>2[CHL] Easter Island</v>
      </c>
      <c r="AX7" s="61"/>
      <c r="AY7" s="61"/>
      <c r="AZ7" s="62"/>
      <c r="BA7" s="62"/>
      <c r="BB7" s="62"/>
      <c r="BC7" s="63"/>
      <c r="BD7" s="64" t="s">
        <v>217</v>
      </c>
      <c r="BE7" s="47"/>
      <c r="BF7" s="64" t="s">
        <v>155</v>
      </c>
      <c r="BG7" s="64"/>
      <c r="BH7" s="64" t="s">
        <v>154</v>
      </c>
      <c r="BI7" s="64"/>
      <c r="BJ7" s="64"/>
      <c r="BK7" s="47"/>
      <c r="BL7" s="64" t="s">
        <v>154</v>
      </c>
      <c r="BM7" s="64" t="s">
        <v>155</v>
      </c>
      <c r="BN7" s="64" t="s">
        <v>159</v>
      </c>
      <c r="BO7" s="64" t="s">
        <v>151</v>
      </c>
      <c r="BP7" s="64"/>
      <c r="BQ7" s="64"/>
      <c r="BR7" s="64"/>
      <c r="BS7" s="64"/>
      <c r="BT7" s="64"/>
      <c r="BU7" s="65"/>
      <c r="BV7" s="66"/>
      <c r="BW7" s="66">
        <v>0</v>
      </c>
      <c r="BX7" s="47"/>
      <c r="CB7" s="6"/>
      <c r="CC7" s="6"/>
      <c r="CD7" s="67">
        <v>0</v>
      </c>
      <c r="CE7" s="67">
        <v>0</v>
      </c>
      <c r="CF7" s="67" t="e">
        <v>#REF!</v>
      </c>
      <c r="CG7" s="68" cm="1">
        <f t="array" ref="CG7">SUMPRODUCT(--(LEN(TRIM(BL7:BT7))&gt;0))</f>
        <v>4</v>
      </c>
      <c r="CH7" s="59" t="str">
        <f t="shared" si="0"/>
        <v>n</v>
      </c>
      <c r="CI7" s="59" t="str">
        <f t="shared" si="1"/>
        <v>n</v>
      </c>
      <c r="CJ7" s="59" t="str">
        <f t="shared" si="2"/>
        <v>y</v>
      </c>
      <c r="CK7" s="59" t="str">
        <f t="shared" si="3"/>
        <v>n</v>
      </c>
      <c r="CL7" s="59" t="str">
        <f t="shared" si="4"/>
        <v>y</v>
      </c>
      <c r="CM7" s="59" t="str">
        <f t="shared" si="5"/>
        <v>n</v>
      </c>
      <c r="CN7" s="59" t="str">
        <f t="shared" si="6"/>
        <v>n</v>
      </c>
      <c r="CO7" s="59" t="str">
        <f t="shared" si="7"/>
        <v>n</v>
      </c>
      <c r="CP7" s="59" t="str">
        <f t="shared" si="8"/>
        <v>y</v>
      </c>
      <c r="CQ7" s="59" t="str">
        <f t="shared" si="9"/>
        <v>n</v>
      </c>
      <c r="CR7" s="59" t="str">
        <f t="shared" si="10"/>
        <v>n</v>
      </c>
      <c r="CS7" s="59" t="str">
        <f t="shared" si="11"/>
        <v>n</v>
      </c>
      <c r="CT7" s="69" t="str">
        <f t="shared" si="12"/>
        <v>"[CHL] Easter Island"</v>
      </c>
      <c r="CU7" s="70" t="str">
        <f t="shared" si="13"/>
        <v>"rgn_South America, rgn_Oceania"</v>
      </c>
      <c r="CV7" s="48" t="str">
        <f t="shared" si="14"/>
        <v>"https://upload.wikimedia.org/wikipedia/commons/thumb/d/d8/Flag_of_Rapa_Nui%2C_Chile.svg/383px-Flag_of_Rapa_Nui%2C_Chile.svg.png"</v>
      </c>
      <c r="CW7" s="48" t="str">
        <f t="shared" si="15"/>
        <v/>
      </c>
      <c r="CX7" s="48" t="str">
        <f t="shared" si="15"/>
        <v/>
      </c>
      <c r="CY7" s="48" t="str">
        <f t="shared" si="15"/>
        <v>"4Color",</v>
      </c>
      <c r="CZ7" s="48" t="str">
        <f t="shared" si="15"/>
        <v/>
      </c>
      <c r="DA7" s="48" t="str">
        <f t="shared" si="16"/>
        <v>"words2",</v>
      </c>
      <c r="DB7" s="48" t="str">
        <f t="shared" si="17"/>
        <v/>
      </c>
      <c r="DC7" s="48" t="str">
        <f t="shared" si="18"/>
        <v>"exact2",</v>
      </c>
      <c r="DD7" s="48" t="str">
        <f t="shared" si="19"/>
        <v>"lets12",</v>
      </c>
      <c r="DE7" s="48" t="str">
        <f t="shared" si="20"/>
        <v>"startE",</v>
      </c>
      <c r="DF7" s="48" t="str">
        <f t="shared" si="21"/>
        <v/>
      </c>
      <c r="DG7" s="48" t="str">
        <f t="shared" si="22"/>
        <v/>
      </c>
      <c r="DH7" s="48" t="str">
        <f t="shared" si="23"/>
        <v/>
      </c>
      <c r="DI7" s="48" t="str">
        <f t="shared" si="24"/>
        <v/>
      </c>
      <c r="DJ7" s="48" t="str">
        <f t="shared" si="25"/>
        <v/>
      </c>
      <c r="DK7" s="48" t="str">
        <f t="shared" si="26"/>
        <v/>
      </c>
      <c r="DL7" s="48" t="str">
        <f t="shared" si="27"/>
        <v/>
      </c>
      <c r="DM7" s="48" t="str" cm="1">
        <f t="array" ref="DM7">IF(CG7=3,CHAR(34) &amp; _xlfn.TEXTJOIN("", TRUE, RIGHT(HP7:HX7, 2)) &amp; CHAR(34) &amp; ",", "")</f>
        <v/>
      </c>
      <c r="DN7" s="48" t="str">
        <f t="shared" si="28"/>
        <v/>
      </c>
      <c r="DO7" s="48" t="str">
        <f t="shared" si="29"/>
        <v/>
      </c>
      <c r="DP7" s="6" t="str">
        <f t="shared" si="30"/>
        <v>"year00",</v>
      </c>
      <c r="DQ7" s="6" t="str">
        <f t="shared" si="31"/>
        <v/>
      </c>
      <c r="DR7" s="6" t="str">
        <f t="shared" si="32"/>
        <v/>
      </c>
      <c r="DS7" s="6" t="str">
        <f t="shared" si="33"/>
        <v/>
      </c>
      <c r="DT7" s="6" t="str">
        <f t="shared" si="34"/>
        <v/>
      </c>
      <c r="DU7" s="6" t="str">
        <f t="shared" si="35"/>
        <v/>
      </c>
      <c r="DV7" s="48" t="str">
        <f t="shared" si="36"/>
        <v/>
      </c>
      <c r="DW7" s="48" t="str">
        <f t="shared" si="37"/>
        <v>"NoBand",</v>
      </c>
      <c r="DX7" s="48" t="str">
        <f t="shared" si="37"/>
        <v/>
      </c>
      <c r="DY7" s="48" t="str">
        <f t="shared" si="37"/>
        <v/>
      </c>
      <c r="DZ7" s="48" t="str">
        <f t="shared" si="37"/>
        <v/>
      </c>
      <c r="EA7" s="48" t="str">
        <f t="shared" si="38"/>
        <v/>
      </c>
      <c r="EB7" s="48" t="str">
        <f t="shared" si="38"/>
        <v/>
      </c>
      <c r="EC7" s="48" t="str">
        <f t="shared" si="38"/>
        <v/>
      </c>
      <c r="ED7" s="48" t="str">
        <f t="shared" si="38"/>
        <v/>
      </c>
      <c r="EE7" s="48" t="str">
        <f t="shared" si="38"/>
        <v/>
      </c>
      <c r="EF7" s="48" t="str">
        <f t="shared" si="39"/>
        <v/>
      </c>
      <c r="EG7" s="48" t="str">
        <f t="shared" si="40"/>
        <v/>
      </c>
      <c r="EH7" s="48" t="str">
        <f t="shared" si="40"/>
        <v/>
      </c>
      <c r="EI7" s="48" t="str">
        <f t="shared" si="40"/>
        <v/>
      </c>
      <c r="EJ7" s="48" t="str">
        <f t="shared" si="40"/>
        <v/>
      </c>
      <c r="EK7" s="48" t="str">
        <f t="shared" si="40"/>
        <v/>
      </c>
      <c r="EL7" s="48" t="str">
        <f t="shared" si="40"/>
        <v>"IsMoon",</v>
      </c>
      <c r="EM7" s="48" t="str">
        <f t="shared" si="40"/>
        <v/>
      </c>
      <c r="EN7" s="48" t="str">
        <f t="shared" si="40"/>
        <v/>
      </c>
      <c r="EO7" s="48" t="str">
        <f t="shared" si="40"/>
        <v>"Center",</v>
      </c>
      <c r="EP7" s="48" t="str">
        <f t="shared" si="40"/>
        <v/>
      </c>
      <c r="EQ7" s="48" t="str">
        <f t="shared" si="40"/>
        <v/>
      </c>
      <c r="ER7" s="48" t="str">
        <f t="shared" si="40"/>
        <v/>
      </c>
      <c r="ES7" s="48" t="str">
        <f t="shared" si="40"/>
        <v>"Wavess",</v>
      </c>
      <c r="ET7" s="48" t="str">
        <f t="shared" si="40"/>
        <v/>
      </c>
      <c r="EU7" s="48" t="str">
        <f t="shared" si="40"/>
        <v>"Humans",</v>
      </c>
      <c r="EV7" s="48" t="str">
        <f t="shared" si="40"/>
        <v/>
      </c>
      <c r="EW7" s="48" t="str">
        <f t="shared" si="40"/>
        <v/>
      </c>
      <c r="EX7" s="48" t="str">
        <f t="shared" si="40"/>
        <v/>
      </c>
      <c r="EY7" s="48" t="str">
        <f t="shared" si="40"/>
        <v/>
      </c>
      <c r="EZ7" s="48" t="str">
        <f t="shared" si="40"/>
        <v/>
      </c>
      <c r="FA7" s="48" t="str">
        <f t="shared" si="41"/>
        <v/>
      </c>
      <c r="FB7" s="48" t="str">
        <f t="shared" si="42"/>
        <v/>
      </c>
      <c r="FC7" s="48" t="str">
        <f t="shared" si="43"/>
        <v/>
      </c>
      <c r="FD7" s="48" t="str">
        <f t="shared" si="44"/>
        <v/>
      </c>
      <c r="FE7" s="48" t="str">
        <f t="shared" si="45"/>
        <v>"NO_BLU",</v>
      </c>
      <c r="FF7" s="48" t="str">
        <f t="shared" si="46"/>
        <v/>
      </c>
      <c r="FG7" s="48" t="str">
        <f t="shared" si="47"/>
        <v/>
      </c>
      <c r="FH7" s="48" t="str">
        <f t="shared" si="48"/>
        <v>"NO_GRE",</v>
      </c>
      <c r="FI7" s="48" t="str">
        <f t="shared" si="49"/>
        <v/>
      </c>
      <c r="FJ7" s="48" t="str">
        <f t="shared" si="50"/>
        <v/>
      </c>
      <c r="FK7" s="48" t="str">
        <f t="shared" si="51"/>
        <v/>
      </c>
      <c r="FL7" s="48" t="str">
        <f t="shared" si="52"/>
        <v/>
      </c>
      <c r="FM7" s="48" t="str">
        <f t="shared" si="53"/>
        <v/>
      </c>
      <c r="FN7" s="48" t="str">
        <f t="shared" si="54"/>
        <v/>
      </c>
      <c r="FO7" s="48" t="str">
        <f t="shared" si="55"/>
        <v/>
      </c>
      <c r="FP7" s="48" t="str">
        <f t="shared" si="56"/>
        <v/>
      </c>
      <c r="FQ7" s="48" t="str">
        <f t="shared" si="57"/>
        <v>"001YEL",</v>
      </c>
      <c r="FR7" s="48" t="str">
        <f t="shared" si="58"/>
        <v/>
      </c>
      <c r="FS7" s="48" t="str">
        <f t="shared" si="59"/>
        <v>"003RED",</v>
      </c>
      <c r="FT7" s="48" t="str">
        <f t="shared" si="60"/>
        <v>"myrEQ",</v>
      </c>
      <c r="FU7" s="48" t="str">
        <f t="shared" si="61"/>
        <v/>
      </c>
      <c r="FV7" s="48" t="str">
        <f t="shared" si="62"/>
        <v/>
      </c>
      <c r="FW7" s="48" t="str">
        <f t="shared" si="63"/>
        <v/>
      </c>
      <c r="FX7" s="48" t="str">
        <f t="shared" si="64"/>
        <v/>
      </c>
      <c r="FY7" s="48" t="str">
        <f t="shared" si="65"/>
        <v/>
      </c>
      <c r="FZ7" s="48" t="str">
        <f t="shared" si="66"/>
        <v/>
      </c>
      <c r="GA7" s="48" t="str">
        <f t="shared" si="67"/>
        <v/>
      </c>
      <c r="GB7" s="48" t="str">
        <f t="shared" si="68"/>
        <v/>
      </c>
      <c r="GC7" s="48" t="str">
        <f t="shared" si="69"/>
        <v/>
      </c>
      <c r="GD7" s="48" t="str">
        <f t="shared" si="70"/>
        <v/>
      </c>
      <c r="GE7" s="48" t="str">
        <f t="shared" si="71"/>
        <v/>
      </c>
      <c r="GF7" s="48" t="str">
        <f>IFERROR(IF(SEARCH("Historical",AU7)&gt;0,CHAR(34)&amp;"histor"&amp;CHAR(34)&amp;",",""),"")</f>
        <v/>
      </c>
      <c r="GG7" s="48" t="str">
        <f t="shared" si="73"/>
        <v/>
      </c>
      <c r="GH7" s="48" t="str">
        <f t="shared" si="74"/>
        <v/>
      </c>
      <c r="GI7" s="48" t="str">
        <f t="shared" si="75"/>
        <v/>
      </c>
      <c r="GJ7" s="48" t="str">
        <f t="shared" si="76"/>
        <v>"NoStar",</v>
      </c>
      <c r="GK7" s="48" t="str">
        <f t="shared" si="77"/>
        <v/>
      </c>
      <c r="GL7" s="48" t="str">
        <f t="shared" si="78"/>
        <v/>
      </c>
      <c r="GM7" s="48" t="str">
        <f t="shared" si="78"/>
        <v/>
      </c>
      <c r="GN7" s="48" t="str">
        <f t="shared" si="78"/>
        <v/>
      </c>
      <c r="GP7" s="48" t="str">
        <f t="shared" si="79"/>
        <v>"Special Territory"</v>
      </c>
      <c r="GS7" s="48" t="str">
        <f t="shared" si="80"/>
        <v>["4Color","words2","exact2","lets12","startE","year00","NoBand","IsMoon","Center","Wavess","Humans","NO_BLU","NO_GRE","001YEL","003RED","myrEQ","NoStar"]</v>
      </c>
      <c r="GT7" s="48" t="str">
        <f t="shared" si="81"/>
        <v>"cl_RED",</v>
      </c>
      <c r="GU7" s="48" t="str">
        <f t="shared" si="81"/>
        <v>"cl_YEL",</v>
      </c>
      <c r="GV7" s="48" t="str">
        <f t="shared" si="81"/>
        <v>"cl_WHI",</v>
      </c>
      <c r="GW7" s="48" t="str">
        <f t="shared" si="81"/>
        <v>"cl_BLA",</v>
      </c>
      <c r="GX7" s="48" t="str">
        <f t="shared" si="81"/>
        <v/>
      </c>
      <c r="GY7" s="48" t="str">
        <f t="shared" si="81"/>
        <v/>
      </c>
      <c r="GZ7" s="48" t="str">
        <f t="shared" si="81"/>
        <v/>
      </c>
      <c r="HA7" s="48" t="str">
        <f t="shared" si="81"/>
        <v/>
      </c>
      <c r="HB7" s="48" t="str">
        <f t="shared" si="81"/>
        <v/>
      </c>
      <c r="HC7" s="48" t="str">
        <f t="shared" si="82"/>
        <v>["cl_RED","cl_YEL","cl_WHI","cl_BLA"]</v>
      </c>
      <c r="HE7" s="71"/>
      <c r="HF7" s="72" t="str">
        <f t="shared" si="83"/>
        <v>{couname:"[CHL] Easter Island",year:"2006 ",region:"rgn_South America, rgn_Oceania",Colors:["cl_RED","cl_YEL","cl_WHI","cl_BLA"],Items:["4Color","words2","exact2","lets12","startE","year00","NoBand","IsMoon","Center","Wavess","Humans","NO_BLU","NO_GRE","001YEL","003RED","myrEQ","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isnew:".", links: "https://en.wikipedia.org/wiki/Flag_of_Easter_Island"},</v>
      </c>
      <c r="HG7" s="73" t="str">
        <f t="shared" si="84"/>
        <v>{couname:"[CHL] Easter Island",year:"2006 ",region:"rgn_South America, rgn_Oceania",Colors:["cl_RED","cl_YEL","cl_WHI","cl_BLA"],Items:["4Color","words2","exact2","lets12","startE","year00","NoBand","IsMoon","Center","Wavess","Humans","NO_BLU","NO_GRE","001YEL","003RED","myrEQ","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links: "https://en.wikipedia.org/wiki/Flag_of_Easter_Island"},</v>
      </c>
      <c r="HH7" s="48" t="str">
        <f t="shared" si="85"/>
        <v>"\nIt is a white flag featuring in center a reimiro (a wooden pectoral ornament once worn by the people of Rapa Nui) painted in red (mana), a symbol of power, with two anthropomorphic figures at its edges, representing the Ariki ('chiefs, nobles')"</v>
      </c>
      <c r="HI7" s="48" t="str">
        <f t="shared" si="86"/>
        <v>"\nIt is a white flag featuring in center a reimiro (a wooden pectoral ornament once worn by the people of Rapa Nui) painted in red (mana), a symbol of power, with two anthropomorphic figures at its edges, representing the Ariki ('chiefs, nobles')"</v>
      </c>
      <c r="HJ7" s="48" t="str">
        <f t="shared" si="87"/>
        <v>"2006 "</v>
      </c>
      <c r="HL7" s="48" t="str">
        <f t="shared" si="88"/>
        <v>"https://en.wikipedia.org/wiki/Flag_of_Easter_Island"</v>
      </c>
      <c r="HM7" s="72" t="str">
        <f t="shared" si="89"/>
        <v>{"couname":"[CHL] Easter Island","year":"2006 ","region":"rgn_South America, rgn_Oceania","Colors":["cl_RED","cl_YEL","cl_WHI","cl_BLA"],"Items":["4Color","words2","exact2","lets12","startE","year00","NoBand","IsMoon","Center","Wavess","Humans","NO_BLU","NO_GRE","001YEL","003RED","myrEQ","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"isnew": ".", "links": "https://en.wikipedia.org/wiki/Flag_of_Easter_Island"},</v>
      </c>
      <c r="HN7" s="74" t="str">
        <f t="shared" si="90"/>
        <v>{"couname":"[CHL] Easter Island","year":"2006 ","region":"rgn_South America, rgn_Oceania","Colors":["cl_RED","cl_YEL","cl_WHI","cl_BLA"],"Items":["4Color","words2","exact2","lets12","startE","year00","NoBand","IsMoon","Center","Wavess","Humans","NO_BLU","NO_GRE","001YEL","003RED","myrEQ","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"isnew": ".", "links": "https://en.wikipedia.org/wiki/Flag_of_Easter_Island"},</v>
      </c>
      <c r="HO7" s="75"/>
      <c r="HP7" s="48" t="str" cm="1">
        <f t="array" ref="HP7">IF(_xlfn.TEXTJOIN(", ", TRUE, IF(ISNUMBER(SEARCH("BLA", BL7:BT7)), COLUMN(BL7:BT7) - COLUMN(BL7) + 1, ""))&lt;&gt;"","BLA","")</f>
        <v>BLA</v>
      </c>
      <c r="HQ7" s="48" t="str" cm="1">
        <f t="array" ref="HQ7">IF(_xlfn.TEXTJOIN(", ", TRUE, IF(ISNUMBER(SEARCH("BLU", BL7:BT7)), COLUMN(BL7:BT7) - COLUMN(BL7) + 1, ""))&lt;&gt;"","BLU","")</f>
        <v/>
      </c>
      <c r="HR7" s="48" t="str" cm="1">
        <f t="array" ref="HR7">IF(_xlfn.TEXTJOIN(", ", TRUE, IF(ISNUMBER(SEARCH("GRE", BL7:BT7)), COLUMN(BL7:BT7) - COLUMN(BL7) + 1, ""))&lt;&gt;"","GRE","")</f>
        <v/>
      </c>
      <c r="HS7" s="48" t="str" cm="1">
        <f t="array" ref="HS7">IF(_xlfn.TEXTJOIN(", ", TRUE, IF(ISNUMBER(SEARCH("RED", BL7:BT7)), COLUMN(BL7:BT7) - COLUMN(BL7) + 1, ""))&lt;&gt;"","RED","")</f>
        <v>RED</v>
      </c>
      <c r="HT7" s="48" t="str" cm="1">
        <f t="array" ref="HT7">IF(_xlfn.TEXTJOIN(", ", TRUE, IF(ISNUMBER(SEARCH("YEL", BL7:BT7)), COLUMN(BL7:BT7) - COLUMN(BL7) + 1, ""))&lt;&gt;"","YEL","")</f>
        <v>YEL</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c r="ID7" s="77"/>
      <c r="IE7" s="77"/>
      <c r="IF7" s="77"/>
      <c r="IG7" s="77"/>
      <c r="IH7" s="77"/>
      <c r="II7" s="77"/>
      <c r="IJ7" s="77"/>
      <c r="IK7" s="77"/>
      <c r="IL7" s="48">
        <f t="shared" si="91"/>
        <v>0</v>
      </c>
      <c r="IM7" s="45">
        <f t="shared" si="92"/>
        <v>-4</v>
      </c>
      <c r="IN7" s="78" t="str">
        <f t="shared" si="93"/>
        <v>http://mkweb.bcgsc.ca/color-summarizer/?url=https://upload.wikimedia.org/wikipedia/commons/thumb/d/d8/Flag_of_Rapa_Nui%2C_Chile.svg/383px-Flag_of_Rapa_Nui%2C_Chile.svg.png&amp;precision=low&amp;num_clusters=4&amp;text=1</v>
      </c>
      <c r="IO7" s="48" t="str">
        <f t="shared" si="94"/>
        <v>"black"</v>
      </c>
      <c r="IP7" s="48" t="str">
        <f t="shared" si="95"/>
        <v/>
      </c>
      <c r="IQ7" s="48" t="str">
        <f t="shared" si="96"/>
        <v/>
      </c>
      <c r="IR7" s="48" t="str">
        <f t="shared" si="97"/>
        <v>"red"</v>
      </c>
      <c r="IS7" s="48" t="str">
        <f t="shared" si="98"/>
        <v>"yellow"</v>
      </c>
      <c r="IT7" s="48" t="str">
        <f t="shared" si="99"/>
        <v/>
      </c>
      <c r="IU7" s="48" t="str">
        <f t="shared" si="100"/>
        <v/>
      </c>
      <c r="IV7" s="48" t="str">
        <f t="shared" si="101"/>
        <v/>
      </c>
      <c r="IW7" s="48" t="str">
        <f t="shared" si="102"/>
        <v>"white"</v>
      </c>
      <c r="IX7" s="48" t="str">
        <f t="shared" si="103"/>
        <v>{"url":"http://mkweb.bcgsc.ca/color-summarizer/?url=https://upload.wikimedia.org/wikipedia/commons/thumb/d/d8/Flag_of_Rapa_Nui%2C_Chile.svg/383px-Flag_of_Rapa_Nui%2C_Chile.svg.png&amp;precision=low&amp;num_clusters=4&amp;text=1","name":"[CHL] Easter Island"},</v>
      </c>
      <c r="IY7" s="48">
        <v>699</v>
      </c>
    </row>
    <row r="8" spans="1:259" s="48" customFormat="1" ht="37.799999999999997" customHeight="1" thickBot="1" x14ac:dyDescent="0.35">
      <c r="A8" s="79" t="s">
        <v>574</v>
      </c>
      <c r="B8" s="40" t="e" vm="62">
        <v>#VALUE!</v>
      </c>
      <c r="C8" s="41">
        <v>2</v>
      </c>
      <c r="D8" s="42" t="s">
        <v>575</v>
      </c>
      <c r="E8" s="43" t="s">
        <v>575</v>
      </c>
      <c r="F8" s="44" t="s">
        <v>166</v>
      </c>
      <c r="G8" s="45">
        <f>COUNTIF($A$1:$A$8294,A8)</f>
        <v>1</v>
      </c>
      <c r="H8" s="46"/>
      <c r="I8" s="47" t="s">
        <v>576</v>
      </c>
      <c r="J8" s="48" t="str">
        <f>""</f>
        <v/>
      </c>
      <c r="K8" s="49"/>
      <c r="L8" s="50"/>
      <c r="M8" s="50"/>
      <c r="N8" s="51" t="s">
        <v>169</v>
      </c>
      <c r="O8" s="52" t="s">
        <v>557</v>
      </c>
      <c r="P8" s="53" t="s">
        <v>577</v>
      </c>
      <c r="Q8" s="54">
        <v>5</v>
      </c>
      <c r="R8" s="55" t="s">
        <v>169</v>
      </c>
      <c r="S8" s="56">
        <v>0</v>
      </c>
      <c r="T8" s="57" t="s">
        <v>173</v>
      </c>
      <c r="U8" s="58" t="s">
        <v>172</v>
      </c>
      <c r="V8" s="58" t="s">
        <v>173</v>
      </c>
      <c r="W8" s="58" t="s">
        <v>173</v>
      </c>
      <c r="X8" s="58" t="s">
        <v>173</v>
      </c>
      <c r="Y8" s="58" t="s">
        <v>172</v>
      </c>
      <c r="Z8" s="58" t="s">
        <v>172</v>
      </c>
      <c r="AA8" s="58" t="s">
        <v>172</v>
      </c>
      <c r="AB8" s="58" t="s">
        <v>173</v>
      </c>
      <c r="AC8" s="58" t="s">
        <v>173</v>
      </c>
      <c r="AD8" s="58" t="s">
        <v>173</v>
      </c>
      <c r="AE8" s="58" t="s">
        <v>172</v>
      </c>
      <c r="AF8" s="59" t="s">
        <v>172</v>
      </c>
      <c r="AG8" s="59" t="s">
        <v>172</v>
      </c>
      <c r="AH8" s="59" t="s">
        <v>173</v>
      </c>
      <c r="AI8" s="59" t="s">
        <v>172</v>
      </c>
      <c r="AJ8" s="59" t="s">
        <v>172</v>
      </c>
      <c r="AK8" s="59" t="s">
        <v>172</v>
      </c>
      <c r="AL8" s="59" t="s">
        <v>172</v>
      </c>
      <c r="AM8" s="59" t="s">
        <v>172</v>
      </c>
      <c r="AN8" s="59" t="s">
        <v>172</v>
      </c>
      <c r="AO8" s="59" t="s">
        <v>172</v>
      </c>
      <c r="AP8" s="59" t="s">
        <v>172</v>
      </c>
      <c r="AQ8" s="59" t="s">
        <v>172</v>
      </c>
      <c r="AR8" s="59" t="s">
        <v>172</v>
      </c>
      <c r="AS8" s="59" t="s">
        <v>172</v>
      </c>
      <c r="AT8" s="60">
        <v>1</v>
      </c>
      <c r="AU8" s="59" t="s">
        <v>553</v>
      </c>
      <c r="AV8" s="59" t="str">
        <f>IF(LEFT(A8,1)="[",LEFT(A8,5)&amp;AU8&amp;A8,"")</f>
        <v>[CHL]Region[CHL] Libertador General Bernardo O'Higgins Region</v>
      </c>
      <c r="AW8" s="59" t="str">
        <f>C8&amp;A8</f>
        <v>2[CHL] Libertador General Bernardo O'Higgins Region</v>
      </c>
      <c r="AX8" s="61"/>
      <c r="AY8" s="61"/>
      <c r="AZ8" s="62" t="s">
        <v>152</v>
      </c>
      <c r="BA8" s="62"/>
      <c r="BB8" s="62"/>
      <c r="BC8" s="63"/>
      <c r="BD8" s="64" t="s">
        <v>154</v>
      </c>
      <c r="BE8" s="47"/>
      <c r="BF8" s="64"/>
      <c r="BG8" s="64"/>
      <c r="BH8" s="64" t="s">
        <v>154</v>
      </c>
      <c r="BI8" s="64" t="s">
        <v>159</v>
      </c>
      <c r="BJ8" s="64" t="s">
        <v>152</v>
      </c>
      <c r="BK8" s="47"/>
      <c r="BL8" s="64" t="s">
        <v>154</v>
      </c>
      <c r="BM8" s="64" t="s">
        <v>159</v>
      </c>
      <c r="BN8" s="64" t="s">
        <v>152</v>
      </c>
      <c r="BO8" s="64"/>
      <c r="BP8" s="64"/>
      <c r="BQ8" s="64"/>
      <c r="BR8" s="64"/>
      <c r="BS8" s="64"/>
      <c r="BT8" s="64"/>
      <c r="BU8" s="65"/>
      <c r="BV8" s="66"/>
      <c r="BW8" s="66">
        <v>0</v>
      </c>
      <c r="BX8" s="47"/>
      <c r="CB8" s="6"/>
      <c r="CC8" s="6"/>
      <c r="CD8" s="67">
        <v>0</v>
      </c>
      <c r="CE8" s="67">
        <v>0</v>
      </c>
      <c r="CF8" s="67" t="e">
        <v>#REF!</v>
      </c>
      <c r="CG8" s="68" cm="1">
        <f t="array" ref="CG8">SUMPRODUCT(--(LEN(TRIM(BL8:BT8))&gt;0))</f>
        <v>3</v>
      </c>
      <c r="CH8" s="59" t="str">
        <f t="shared" si="0"/>
        <v>n</v>
      </c>
      <c r="CI8" s="59" t="str">
        <f t="shared" si="1"/>
        <v>y</v>
      </c>
      <c r="CJ8" s="59" t="str">
        <f t="shared" si="2"/>
        <v>n</v>
      </c>
      <c r="CK8" s="59" t="str">
        <f t="shared" si="3"/>
        <v>n</v>
      </c>
      <c r="CL8" s="59" t="str">
        <f t="shared" si="4"/>
        <v>y</v>
      </c>
      <c r="CM8" s="59" t="str">
        <f t="shared" si="5"/>
        <v>n</v>
      </c>
      <c r="CN8" s="59" t="str">
        <f t="shared" si="6"/>
        <v>n</v>
      </c>
      <c r="CO8" s="59" t="str">
        <f t="shared" si="7"/>
        <v>n</v>
      </c>
      <c r="CP8" s="59" t="str">
        <f t="shared" si="8"/>
        <v>n</v>
      </c>
      <c r="CQ8" s="59" t="str">
        <f t="shared" si="9"/>
        <v>y</v>
      </c>
      <c r="CR8" s="59" t="str">
        <f t="shared" si="10"/>
        <v>n</v>
      </c>
      <c r="CS8" s="59" t="str">
        <f t="shared" si="11"/>
        <v>n</v>
      </c>
      <c r="CT8" s="69" t="str">
        <f t="shared" si="12"/>
        <v>"[CHL] Libertador General Bernardo O'Higgins Region"</v>
      </c>
      <c r="CU8" s="70" t="str">
        <f t="shared" si="13"/>
        <v>"rgn_South America"</v>
      </c>
      <c r="CV8" s="48" t="str">
        <f t="shared" si="14"/>
        <v>"https://www.crwflags.com/fotw/images/c/cl-06.gif"</v>
      </c>
      <c r="CW8" s="48" t="str">
        <f t="shared" si="15"/>
        <v/>
      </c>
      <c r="CX8" s="48" t="str">
        <f t="shared" si="15"/>
        <v>"3Color",</v>
      </c>
      <c r="CY8" s="48" t="str">
        <f t="shared" si="15"/>
        <v/>
      </c>
      <c r="CZ8" s="48" t="str">
        <f t="shared" si="15"/>
        <v/>
      </c>
      <c r="DA8" s="48" t="str">
        <f t="shared" si="16"/>
        <v>"words2",</v>
      </c>
      <c r="DB8" s="48" t="str">
        <f t="shared" si="17"/>
        <v>"words3",</v>
      </c>
      <c r="DC8" s="48" t="str">
        <f t="shared" si="18"/>
        <v/>
      </c>
      <c r="DD8" s="48" t="str">
        <f t="shared" si="19"/>
        <v>"lets40",</v>
      </c>
      <c r="DE8" s="48" t="str">
        <f t="shared" si="20"/>
        <v>"startL",</v>
      </c>
      <c r="DF8" s="48" t="str">
        <f t="shared" si="21"/>
        <v/>
      </c>
      <c r="DG8" s="48" t="str">
        <f t="shared" si="22"/>
        <v/>
      </c>
      <c r="DH8" s="48" t="str">
        <f t="shared" si="23"/>
        <v/>
      </c>
      <c r="DI8" s="48" t="str">
        <f t="shared" si="24"/>
        <v/>
      </c>
      <c r="DJ8" s="48" t="str">
        <f t="shared" si="25"/>
        <v/>
      </c>
      <c r="DK8" s="48" t="str">
        <f t="shared" si="26"/>
        <v/>
      </c>
      <c r="DL8" s="48" t="str">
        <f t="shared" si="27"/>
        <v/>
      </c>
      <c r="DM8" s="48" t="str" cm="1">
        <f t="array" ref="DM8">IF(CG8=3,CHAR(34) &amp; _xlfn.TEXTJOIN("", TRUE, RIGHT(HP8:HX8, 2)) &amp; CHAR(34) &amp; ",", "")</f>
        <v>"LUEDHI",</v>
      </c>
      <c r="DN8" s="48" t="str">
        <f t="shared" si="28"/>
        <v/>
      </c>
      <c r="DO8" s="48" t="str">
        <f t="shared" si="29"/>
        <v/>
      </c>
      <c r="DP8" s="6" t="str">
        <f t="shared" si="30"/>
        <v/>
      </c>
      <c r="DQ8" s="6" t="str">
        <f t="shared" si="31"/>
        <v/>
      </c>
      <c r="DR8" s="6" t="str">
        <f t="shared" si="32"/>
        <v/>
      </c>
      <c r="DS8" s="6" t="str">
        <f t="shared" si="33"/>
        <v/>
      </c>
      <c r="DT8" s="6" t="str">
        <f t="shared" si="34"/>
        <v/>
      </c>
      <c r="DU8" s="6" t="str">
        <f t="shared" si="35"/>
        <v/>
      </c>
      <c r="DV8" s="48" t="str">
        <f t="shared" si="36"/>
        <v/>
      </c>
      <c r="DW8" s="48" t="str">
        <f t="shared" si="37"/>
        <v>"NoBand",</v>
      </c>
      <c r="DX8" s="48" t="str">
        <f t="shared" si="37"/>
        <v/>
      </c>
      <c r="DY8" s="48" t="str">
        <f t="shared" si="37"/>
        <v/>
      </c>
      <c r="DZ8" s="48" t="str">
        <f t="shared" si="37"/>
        <v/>
      </c>
      <c r="EA8" s="48" t="str">
        <f t="shared" si="38"/>
        <v>"Diagon",</v>
      </c>
      <c r="EB8" s="48" t="str">
        <f t="shared" si="38"/>
        <v/>
      </c>
      <c r="EC8" s="48" t="str">
        <f t="shared" si="38"/>
        <v>"Horizo",</v>
      </c>
      <c r="ED8" s="48" t="str">
        <f t="shared" si="38"/>
        <v>"Vertic",</v>
      </c>
      <c r="EE8" s="48" t="str">
        <f t="shared" si="38"/>
        <v>"Circle",</v>
      </c>
      <c r="EF8" s="48" t="str">
        <f t="shared" si="39"/>
        <v/>
      </c>
      <c r="EG8" s="48" t="str">
        <f t="shared" si="40"/>
        <v/>
      </c>
      <c r="EH8" s="48" t="str">
        <f t="shared" si="40"/>
        <v/>
      </c>
      <c r="EI8" s="48" t="str">
        <f t="shared" si="40"/>
        <v>"Texted",</v>
      </c>
      <c r="EJ8" s="48" t="str">
        <f t="shared" si="40"/>
        <v>"Weapon",</v>
      </c>
      <c r="EK8" s="48" t="str">
        <f t="shared" si="40"/>
        <v>"HasSun",</v>
      </c>
      <c r="EL8" s="48" t="str">
        <f t="shared" si="40"/>
        <v/>
      </c>
      <c r="EM8" s="48" t="str">
        <f t="shared" si="40"/>
        <v/>
      </c>
      <c r="EN8" s="48" t="str">
        <f t="shared" si="40"/>
        <v/>
      </c>
      <c r="EO8" s="48" t="str">
        <f t="shared" si="40"/>
        <v>"Center",</v>
      </c>
      <c r="EP8" s="48" t="str">
        <f t="shared" si="40"/>
        <v/>
      </c>
      <c r="EQ8" s="48" t="str">
        <f t="shared" si="40"/>
        <v/>
      </c>
      <c r="ER8" s="48" t="str">
        <f t="shared" si="40"/>
        <v/>
      </c>
      <c r="ES8" s="48" t="str">
        <f t="shared" si="40"/>
        <v/>
      </c>
      <c r="ET8" s="48" t="str">
        <f t="shared" si="40"/>
        <v/>
      </c>
      <c r="EU8" s="48" t="str">
        <f t="shared" si="40"/>
        <v/>
      </c>
      <c r="EV8" s="48" t="str">
        <f t="shared" si="40"/>
        <v/>
      </c>
      <c r="EW8" s="48" t="str">
        <f t="shared" si="40"/>
        <v/>
      </c>
      <c r="EX8" s="48" t="str">
        <f t="shared" si="40"/>
        <v/>
      </c>
      <c r="EY8" s="48" t="str">
        <f t="shared" si="40"/>
        <v/>
      </c>
      <c r="EZ8" s="48" t="str">
        <f t="shared" si="40"/>
        <v/>
      </c>
      <c r="FA8" s="48" t="str">
        <f t="shared" si="41"/>
        <v>"staBLU",</v>
      </c>
      <c r="FB8" s="48" t="str">
        <f t="shared" si="42"/>
        <v/>
      </c>
      <c r="FC8" s="48" t="str">
        <f t="shared" si="43"/>
        <v/>
      </c>
      <c r="FD8" s="48" t="str">
        <f t="shared" si="44"/>
        <v/>
      </c>
      <c r="FE8" s="48" t="str">
        <f t="shared" si="45"/>
        <v/>
      </c>
      <c r="FF8" s="48" t="str">
        <f t="shared" si="46"/>
        <v/>
      </c>
      <c r="FG8" s="48" t="str">
        <f t="shared" si="47"/>
        <v/>
      </c>
      <c r="FH8" s="48" t="str">
        <f t="shared" si="48"/>
        <v>"NO_GRE",</v>
      </c>
      <c r="FI8" s="48" t="str">
        <f t="shared" si="49"/>
        <v>"NO_YEL",</v>
      </c>
      <c r="FJ8" s="48" t="str">
        <f t="shared" si="50"/>
        <v>"NO_BLA",</v>
      </c>
      <c r="FK8" s="48" t="str">
        <f t="shared" si="51"/>
        <v/>
      </c>
      <c r="FL8" s="48" t="str">
        <f t="shared" si="52"/>
        <v/>
      </c>
      <c r="FM8" s="48" t="str">
        <f t="shared" si="53"/>
        <v/>
      </c>
      <c r="FN8" s="48" t="str">
        <f t="shared" si="54"/>
        <v/>
      </c>
      <c r="FO8" s="48" t="str">
        <f t="shared" si="55"/>
        <v/>
      </c>
      <c r="FP8" s="48" t="str">
        <f t="shared" si="56"/>
        <v/>
      </c>
      <c r="FQ8" s="48" t="str">
        <f t="shared" si="57"/>
        <v/>
      </c>
      <c r="FR8" s="48" t="str">
        <f t="shared" si="58"/>
        <v/>
      </c>
      <c r="FS8" s="48" t="str">
        <f t="shared" si="59"/>
        <v>"003RED",</v>
      </c>
      <c r="FT8" s="48" t="str">
        <f t="shared" si="60"/>
        <v>"myrRED",</v>
      </c>
      <c r="FU8" s="48" t="str">
        <f t="shared" si="61"/>
        <v/>
      </c>
      <c r="FV8" s="48" t="str">
        <f t="shared" si="62"/>
        <v/>
      </c>
      <c r="FW8" s="48" t="str">
        <f t="shared" si="63"/>
        <v/>
      </c>
      <c r="FX8" s="48" t="str">
        <f t="shared" si="64"/>
        <v/>
      </c>
      <c r="FY8" s="48" t="str">
        <f t="shared" si="65"/>
        <v/>
      </c>
      <c r="FZ8" s="48" t="str">
        <f t="shared" si="66"/>
        <v/>
      </c>
      <c r="GA8" s="48" t="str">
        <f t="shared" si="67"/>
        <v/>
      </c>
      <c r="GB8" s="48" t="str">
        <f t="shared" si="68"/>
        <v/>
      </c>
      <c r="GC8" s="48" t="str">
        <f t="shared" si="69"/>
        <v/>
      </c>
      <c r="GD8" s="48" t="str">
        <f t="shared" si="70"/>
        <v/>
      </c>
      <c r="GE8" s="48" t="str">
        <f t="shared" si="71"/>
        <v/>
      </c>
      <c r="GF8" s="48" t="str">
        <f>IFERROR(IF(SEARCH("Historical",AU8)&gt;0,CHAR(34)&amp;"histor"&amp;CHAR(34)&amp;",",""),"")</f>
        <v/>
      </c>
      <c r="GG8" s="48" t="str">
        <f t="shared" si="73"/>
        <v/>
      </c>
      <c r="GH8" s="48" t="str">
        <f t="shared" si="74"/>
        <v/>
      </c>
      <c r="GI8" s="48" t="str">
        <f t="shared" si="75"/>
        <v/>
      </c>
      <c r="GJ8" s="48" t="str">
        <f t="shared" si="76"/>
        <v/>
      </c>
      <c r="GK8" s="48" t="str">
        <f t="shared" si="77"/>
        <v>"HasSta",</v>
      </c>
      <c r="GL8" s="48" t="str">
        <f t="shared" si="78"/>
        <v>"1Stars",</v>
      </c>
      <c r="GM8" s="48" t="str">
        <f t="shared" si="78"/>
        <v/>
      </c>
      <c r="GN8" s="48" t="str">
        <f t="shared" si="78"/>
        <v/>
      </c>
      <c r="GP8" s="48" t="str">
        <f t="shared" si="79"/>
        <v>"Region"</v>
      </c>
      <c r="GS8" s="48" t="str">
        <f t="shared" si="80"/>
        <v>["3Color","words2","words3","lets40","startL","LUEDHI","NoBand","Diagon","Horizo","Vertic","Circle","Texted","Weapon","HasSun","Center","staBLU","NO_GRE","NO_YEL","NO_BLA","003RED","myrRED","HasSta","1Stars"]</v>
      </c>
      <c r="GT8" s="48" t="str">
        <f t="shared" si="81"/>
        <v>"cl_RED",</v>
      </c>
      <c r="GU8" s="48" t="str">
        <f t="shared" si="81"/>
        <v>"cl_WHI",</v>
      </c>
      <c r="GV8" s="48" t="str">
        <f t="shared" si="81"/>
        <v>"cl_BLU",</v>
      </c>
      <c r="GW8" s="48" t="str">
        <f t="shared" si="81"/>
        <v/>
      </c>
      <c r="GX8" s="48" t="str">
        <f t="shared" si="81"/>
        <v/>
      </c>
      <c r="GY8" s="48" t="str">
        <f t="shared" si="81"/>
        <v/>
      </c>
      <c r="GZ8" s="48" t="str">
        <f t="shared" si="81"/>
        <v/>
      </c>
      <c r="HA8" s="48" t="str">
        <f t="shared" si="81"/>
        <v/>
      </c>
      <c r="HB8" s="48" t="str">
        <f t="shared" si="81"/>
        <v/>
      </c>
      <c r="HC8" s="48" t="str">
        <f t="shared" si="82"/>
        <v>["cl_RED","cl_WHI","cl_BLU"]</v>
      </c>
      <c r="HE8" s="71"/>
      <c r="HF8" s="72" t="str">
        <f t="shared" si="83"/>
        <v>{couname:"[CHL] Libertador General Bernardo O'Higgins Region",year:"???",region:"rgn_South America",Colors:["cl_RED","cl_WHI","cl_BLU"],Items:["3Color","words2","words3","lets40","startL","LUEDHI","NoBand","Diagon","Horizo","Vertic","Circle","Texted","Weapon","HasSun","Center","staBLU","NO_GRE","NO_YEL","NO_BLA","003RED","myrRED","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isnew:".", links: "https://www.crwflags.com/fotw/flags/cl-06.html#about"},</v>
      </c>
      <c r="HG8" s="73" t="str">
        <f t="shared" si="84"/>
        <v>{couname:"[CHL] Libertador General Bernardo O'Higgins Region",year:"???",region:"rgn_South America",Colors:["cl_RED","cl_WHI","cl_BLU"],Items:["3Color","words2","words3","lets40","startL","LUEDHI","NoBand","Diagon","Horizo","Vertic","Circle","Texted","Weapon","HasSun","Center","staBLU","NO_GRE","NO_YEL","NO_BLA","003RED","myrRED","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links: "https://www.crwflags.com/fotw/flags/cl-06.html#about"},</v>
      </c>
      <c r="HH8" s="48" t="str">
        <f t="shared" si="85"/>
        <v>"\nThis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v>
      </c>
      <c r="HI8" s="48" t="str">
        <f t="shared" si="86"/>
        <v>"\nThis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v>
      </c>
      <c r="HJ8" s="48" t="str">
        <f t="shared" si="87"/>
        <v>"???"</v>
      </c>
      <c r="HL8" s="48" t="str">
        <f t="shared" si="88"/>
        <v>"https://www.crwflags.com/fotw/flags/cl-06.html#about"</v>
      </c>
      <c r="HM8" s="72" t="str">
        <f t="shared" si="89"/>
        <v>{"couname":"[CHL] Libertador General Bernardo O'Higgins Region","year":"???","region":"rgn_South America","Colors":["cl_RED","cl_WHI","cl_BLU"],"Items":["3Color","words2","words3","lets40","startL","LUEDHI","NoBand","Diagon","Horizo","Vertic","Circle","Texted","Weapon","HasSun","Center","staBLU","NO_GRE","NO_YEL","NO_BLA","003RED","myrRED","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"isnew": ".", "links": "https://www.crwflags.com/fotw/flags/cl-06.html#about"},</v>
      </c>
      <c r="HN8" s="74" t="str">
        <f t="shared" si="90"/>
        <v>{"couname":"[CHL] Libertador General Bernardo O'Higgins Region","year":"???","region":"rgn_South America","Colors":["cl_RED","cl_WHI","cl_BLU"],"Items":["3Color","words2","words3","lets40","startL","LUEDHI","NoBand","Diagon","Horizo","Vertic","Circle","Texted","Weapon","HasSun","Center","staBLU","NO_GRE","NO_YEL","NO_BLA","003RED","myrRED","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"isnew": ".", "links": "https://www.crwflags.com/fotw/flags/cl-06.html#about"},</v>
      </c>
      <c r="HO8" s="75"/>
      <c r="HP8" s="48" t="str" cm="1">
        <f t="array" ref="HP8">IF(_xlfn.TEXTJOIN(", ", TRUE, IF(ISNUMBER(SEARCH("BLA", BL8:BT8)), COLUMN(BL8:BT8) - COLUMN(BL8) + 1, ""))&lt;&gt;"","BLA","")</f>
        <v/>
      </c>
      <c r="HQ8" s="48" t="str" cm="1">
        <f t="array" ref="HQ8">IF(_xlfn.TEXTJOIN(", ", TRUE, IF(ISNUMBER(SEARCH("BLU", BL8:BT8)), COLUMN(BL8:BT8) - COLUMN(BL8) + 1, ""))&lt;&gt;"","BLU","")</f>
        <v>BLU</v>
      </c>
      <c r="HR8" s="48" t="str" cm="1">
        <f t="array" ref="HR8">IF(_xlfn.TEXTJOIN(", ", TRUE, IF(ISNUMBER(SEARCH("GRE", BL8:BT8)), COLUMN(BL8:BT8) - COLUMN(BL8) + 1, ""))&lt;&gt;"","GRE","")</f>
        <v/>
      </c>
      <c r="HS8" s="48" t="str" cm="1">
        <f t="array" ref="HS8">IF(_xlfn.TEXTJOIN(", ", TRUE, IF(ISNUMBER(SEARCH("RED", BL8:BT8)), COLUMN(BL8:BT8) - COLUMN(BL8) + 1, ""))&lt;&gt;"","RED","")</f>
        <v>RED</v>
      </c>
      <c r="HT8" s="48" t="str" cm="1">
        <f t="array" ref="HT8">IF(_xlfn.TEXTJOIN(", ", TRUE, IF(ISNUMBER(SEARCH("YEL", BL8:BT8)), COLUMN(BL8:BT8) - COLUMN(BL8) + 1, ""))&lt;&gt;"","YEL","")</f>
        <v/>
      </c>
      <c r="HU8" s="48" t="str" cm="1">
        <f t="array" ref="HU8">IF(_xlfn.TEXTJOIN(", ", TRUE, IF(ISNUMBER(SEARCH("ORA", BL8:BT8)), COLUMN(BL8:BT8) - COLUMN(BL8) + 1, ""))&lt;&gt;"","ORA","")</f>
        <v/>
      </c>
      <c r="HV8" s="48" t="str" cm="1">
        <f t="array" ref="HV8">IF(_xlfn.TEXTJOIN(", ", TRUE, IF(ISNUMBER(SEARCH("BRO", BL8:BT8)), COLUMN(BL8:BT8) - COLUMN(BL8) + 1, ""))&lt;&gt;"","BRO","")</f>
        <v/>
      </c>
      <c r="HW8" s="48" t="str" cm="1">
        <f t="array" ref="HW8">IF(_xlfn.TEXTJOIN(", ", TRUE, IF(ISNUMBER(SEARCH("PUR", BL8:BT8)), COLUMN(BL8:BT8) - COLUMN(BL8) + 1, ""))&lt;&gt;"","PUR","")</f>
        <v/>
      </c>
      <c r="HX8" s="48" t="str" cm="1">
        <f t="array" ref="HX8">IF(_xlfn.TEXTJOIN(", ", TRUE, IF(ISNUMBER(SEARCH("WHI", BL8:BT8)), COLUMN(BL8:BT8) - COLUMN(BL8) + 1, ""))&lt;&gt;"","WHI","")</f>
        <v>WHI</v>
      </c>
      <c r="HY8" s="76"/>
      <c r="HZ8" s="76"/>
      <c r="IA8" s="6"/>
      <c r="IB8" s="6"/>
      <c r="IC8" s="77"/>
      <c r="ID8" s="77"/>
      <c r="IE8" s="77"/>
      <c r="IF8" s="77"/>
      <c r="IG8" s="77"/>
      <c r="IH8" s="77"/>
      <c r="II8" s="77"/>
      <c r="IJ8" s="77"/>
      <c r="IK8" s="77"/>
      <c r="IL8" s="48">
        <f t="shared" si="91"/>
        <v>0</v>
      </c>
      <c r="IM8" s="45">
        <f t="shared" si="92"/>
        <v>-3</v>
      </c>
      <c r="IN8" s="78" t="str">
        <f t="shared" si="93"/>
        <v>http://mkweb.bcgsc.ca/color-summarizer/?url=https://www.crwflags.com/fotw/images/c/cl-06.gif&amp;precision=low&amp;num_clusters=3&amp;text=1</v>
      </c>
      <c r="IO8" s="48" t="str">
        <f t="shared" si="94"/>
        <v/>
      </c>
      <c r="IP8" s="48" t="str">
        <f t="shared" si="95"/>
        <v>"blue"</v>
      </c>
      <c r="IQ8" s="48" t="str">
        <f t="shared" si="96"/>
        <v/>
      </c>
      <c r="IR8" s="48" t="str">
        <f t="shared" si="97"/>
        <v>"red"</v>
      </c>
      <c r="IS8" s="48" t="str">
        <f t="shared" si="98"/>
        <v/>
      </c>
      <c r="IT8" s="48" t="str">
        <f t="shared" si="99"/>
        <v/>
      </c>
      <c r="IU8" s="48" t="str">
        <f t="shared" si="100"/>
        <v/>
      </c>
      <c r="IV8" s="48" t="str">
        <f t="shared" si="101"/>
        <v/>
      </c>
      <c r="IW8" s="48" t="str">
        <f t="shared" si="102"/>
        <v>"white"</v>
      </c>
      <c r="IX8" s="48" t="str">
        <f t="shared" si="103"/>
        <v>{"url":"http://mkweb.bcgsc.ca/color-summarizer/?url=https://www.crwflags.com/fotw/images/c/cl-06.gif&amp;precision=low&amp;num_clusters=3&amp;text=1","name":"[CHL] Libertador General Bernardo O'Higgins Region"},</v>
      </c>
      <c r="IY8" s="48">
        <v>700</v>
      </c>
    </row>
    <row r="9" spans="1:259" s="48" customFormat="1" ht="38.4" customHeight="1" thickBot="1" x14ac:dyDescent="0.35">
      <c r="A9" s="79" t="s">
        <v>578</v>
      </c>
      <c r="B9" s="40" t="e" vm="63">
        <v>#VALUE!</v>
      </c>
      <c r="C9" s="41">
        <v>2</v>
      </c>
      <c r="D9" s="42" t="s">
        <v>579</v>
      </c>
      <c r="E9" s="43" t="s">
        <v>580</v>
      </c>
      <c r="F9" s="44" t="s">
        <v>166</v>
      </c>
      <c r="G9" s="45">
        <f>COUNTIF($A$1:$A$8294,A9)</f>
        <v>1</v>
      </c>
      <c r="H9" s="46"/>
      <c r="I9" s="47" t="s">
        <v>581</v>
      </c>
      <c r="J9" s="48" t="str">
        <f>""</f>
        <v/>
      </c>
      <c r="K9" s="49"/>
      <c r="L9" s="50"/>
      <c r="M9" s="50"/>
      <c r="N9" s="51" t="s">
        <v>169</v>
      </c>
      <c r="O9" s="52">
        <v>2013</v>
      </c>
      <c r="P9" s="53" t="s">
        <v>582</v>
      </c>
      <c r="Q9" s="54">
        <v>3</v>
      </c>
      <c r="R9" s="55" t="s">
        <v>169</v>
      </c>
      <c r="S9" s="56">
        <v>2</v>
      </c>
      <c r="T9" s="57" t="s">
        <v>172</v>
      </c>
      <c r="U9" s="58" t="s">
        <v>172</v>
      </c>
      <c r="V9" s="58" t="s">
        <v>173</v>
      </c>
      <c r="W9" s="58" t="s">
        <v>172</v>
      </c>
      <c r="X9" s="58" t="s">
        <v>172</v>
      </c>
      <c r="Y9" s="58" t="s">
        <v>172</v>
      </c>
      <c r="Z9" s="58" t="s">
        <v>172</v>
      </c>
      <c r="AA9" s="58" t="s">
        <v>172</v>
      </c>
      <c r="AB9" s="58" t="s">
        <v>172</v>
      </c>
      <c r="AC9" s="58" t="s">
        <v>172</v>
      </c>
      <c r="AD9" s="58" t="s">
        <v>172</v>
      </c>
      <c r="AE9" s="58" t="s">
        <v>172</v>
      </c>
      <c r="AF9" s="59" t="s">
        <v>172</v>
      </c>
      <c r="AG9" s="59" t="s">
        <v>173</v>
      </c>
      <c r="AH9" s="59" t="s">
        <v>172</v>
      </c>
      <c r="AI9" s="59" t="s">
        <v>173</v>
      </c>
      <c r="AJ9" s="59" t="s">
        <v>172</v>
      </c>
      <c r="AK9" s="59" t="s">
        <v>172</v>
      </c>
      <c r="AL9" s="59" t="s">
        <v>172</v>
      </c>
      <c r="AM9" s="59" t="s">
        <v>172</v>
      </c>
      <c r="AN9" s="59" t="s">
        <v>172</v>
      </c>
      <c r="AO9" s="59" t="s">
        <v>172</v>
      </c>
      <c r="AP9" s="59" t="s">
        <v>172</v>
      </c>
      <c r="AQ9" s="59" t="s">
        <v>172</v>
      </c>
      <c r="AR9" s="59" t="s">
        <v>172</v>
      </c>
      <c r="AS9" s="59" t="s">
        <v>172</v>
      </c>
      <c r="AT9" s="60">
        <v>4</v>
      </c>
      <c r="AU9" s="59" t="s">
        <v>553</v>
      </c>
      <c r="AV9" s="59" t="str">
        <f>IF(LEFT(A9,1)="[",LEFT(A9,5)&amp;AU9&amp;A9,"")</f>
        <v xml:space="preserve">[CHL]Region[CHL] Los Lagos Region </v>
      </c>
      <c r="AW9" s="59" t="str">
        <f>C9&amp;A9</f>
        <v xml:space="preserve">2[CHL] Los Lagos Region </v>
      </c>
      <c r="AX9" s="61" t="str">
        <f>_xlfn.TEXTJOIN(";",TRUE,AU9:AW9)</f>
        <v xml:space="preserve">Region;[CHL]Region[CHL] Los Lagos Region ;2[CHL] Los Lagos Region </v>
      </c>
      <c r="AY9" s="61" t="s">
        <v>173</v>
      </c>
      <c r="AZ9" s="62" t="s">
        <v>159</v>
      </c>
      <c r="BA9" s="62"/>
      <c r="BB9" s="62"/>
      <c r="BC9" s="63"/>
      <c r="BD9" s="64" t="s">
        <v>217</v>
      </c>
      <c r="BE9" s="47"/>
      <c r="BF9" s="64"/>
      <c r="BG9" s="64"/>
      <c r="BH9" s="64"/>
      <c r="BI9" s="64" t="s">
        <v>151</v>
      </c>
      <c r="BJ9" s="64" t="s">
        <v>154</v>
      </c>
      <c r="BK9" s="47"/>
      <c r="BL9" s="64" t="s">
        <v>151</v>
      </c>
      <c r="BM9" s="64" t="s">
        <v>154</v>
      </c>
      <c r="BN9" s="64" t="s">
        <v>155</v>
      </c>
      <c r="BO9" s="64" t="s">
        <v>159</v>
      </c>
      <c r="BP9" s="64"/>
      <c r="BQ9" s="64"/>
      <c r="BR9" s="64"/>
      <c r="BS9" s="64"/>
      <c r="BT9" s="64"/>
      <c r="BU9" s="65"/>
      <c r="BV9" s="66" t="s">
        <v>173</v>
      </c>
      <c r="BW9" s="66" t="s">
        <v>261</v>
      </c>
      <c r="BX9" s="47"/>
      <c r="BY9" s="48" t="s">
        <v>173</v>
      </c>
      <c r="CB9" s="6" t="s">
        <v>583</v>
      </c>
      <c r="CC9" s="6"/>
      <c r="CD9" s="67">
        <v>1</v>
      </c>
      <c r="CE9" s="67">
        <v>0</v>
      </c>
      <c r="CF9" s="67" t="e">
        <v>#REF!</v>
      </c>
      <c r="CG9" s="68" cm="1">
        <f t="array" ref="CG9">SUMPRODUCT(--(LEN(TRIM(BL9:BT9))&gt;0))</f>
        <v>4</v>
      </c>
      <c r="CH9" s="59" t="str">
        <f>IF(CG9=2,"y","n")</f>
        <v>n</v>
      </c>
      <c r="CI9" s="59" t="str">
        <f>IF(CG9=3,"y","n")</f>
        <v>n</v>
      </c>
      <c r="CJ9" s="59" t="str">
        <f>IF(CG9=4,"y","n")</f>
        <v>y</v>
      </c>
      <c r="CK9" s="59" t="str">
        <f>IF(CG9&gt;4,"y","n")</f>
        <v>n</v>
      </c>
      <c r="CL9" s="59" t="str">
        <f>IF(S9=0,"y","n")</f>
        <v>n</v>
      </c>
      <c r="CM9" s="59" t="str">
        <f>IF(S9=2,"y","n")</f>
        <v>y</v>
      </c>
      <c r="CN9" s="59" t="str">
        <f>IF(S9=3,"y","n")</f>
        <v>n</v>
      </c>
      <c r="CO9" s="59" t="str">
        <f>IF(S9&gt;=4,"y","n")</f>
        <v>n</v>
      </c>
      <c r="CP9" s="59" t="str">
        <f>IF(AT9=0,"y","n")</f>
        <v>n</v>
      </c>
      <c r="CQ9" s="59" t="str">
        <f>IF(AT9=1,"y","n")</f>
        <v>n</v>
      </c>
      <c r="CR9" s="59" t="str">
        <f>IF(AT9=2,"y","n")</f>
        <v>n</v>
      </c>
      <c r="CS9" s="59" t="str">
        <f>IF(AT9&gt;=3,"y","n")</f>
        <v>y</v>
      </c>
      <c r="CT9" s="69" t="str">
        <f>CHAR(34)&amp;A9&amp;CHAR(34)</f>
        <v>"[CHL] Los Lagos Region "</v>
      </c>
      <c r="CU9" s="70" t="str">
        <f>CHAR(34)&amp;"rgn_"&amp;R9&amp;CHAR(34)</f>
        <v>"rgn_South America"</v>
      </c>
      <c r="CV9" s="48" t="str">
        <f>CHAR(34)&amp;D9&amp;CHAR(34)</f>
        <v>"https://upload.wikimedia.org/wikipedia/commons/thumb/1/16/Flag_of_Los_Lagos_Region%2C_Chile.svg/640px-Flag_of_Los_Lagos_Region%2C_Chile.svg.png"</v>
      </c>
      <c r="CW9" s="48" t="str">
        <f t="shared" si="15"/>
        <v/>
      </c>
      <c r="CX9" s="48" t="str">
        <f t="shared" si="15"/>
        <v/>
      </c>
      <c r="CY9" s="48" t="str">
        <f t="shared" si="15"/>
        <v>"4Color",</v>
      </c>
      <c r="CZ9" s="48" t="str">
        <f t="shared" si="15"/>
        <v/>
      </c>
      <c r="DA9" s="48" t="str">
        <f>IF(Q9&gt;1,CHAR(34)&amp;"words2"&amp;CHAR(34)&amp;",","")</f>
        <v>"words2",</v>
      </c>
      <c r="DB9" s="48" t="str">
        <f>IF(Q9&gt;2,CHAR(34)&amp;"words3"&amp;CHAR(34)&amp;",","")</f>
        <v>"words3",</v>
      </c>
      <c r="DC9" s="48" t="str">
        <f>IF(Q9=2,CHAR(34)&amp;"exact2"&amp;CHAR(34)&amp;",","")</f>
        <v/>
      </c>
      <c r="DD9" s="48"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"lets14",</v>
      </c>
      <c r="DE9" s="48"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"startL",</v>
      </c>
      <c r="DF9" s="48" t="str">
        <f>IFERROR(IF(SEARCH("tan",A9)&gt;0,CHAR(34)&amp;"withtn"&amp;CHAR(34)&amp;",",""),"")</f>
        <v/>
      </c>
      <c r="DG9" s="48" t="str">
        <f>IFERROR(IF(SEARCH("q",A9)&gt;0,CHAR(34)&amp;"with_q"&amp;CHAR(34)&amp;",",""),"")</f>
        <v/>
      </c>
      <c r="DH9" s="48" t="str">
        <f>IFERROR(IF(SEARCH("v",A9)&gt;0,CHAR(34)&amp;"with_v"&amp;CHAR(34)&amp;",",""),"")</f>
        <v/>
      </c>
      <c r="DI9" s="48" t="str">
        <f>IFERROR(IF(SEARCH("w",A9)&gt;0,CHAR(34)&amp;"with_w"&amp;CHAR(34)&amp;",",""),"")</f>
        <v/>
      </c>
      <c r="DJ9" s="48" t="str">
        <f>IFERROR(IF(SEARCH("y",A9)&gt;0,CHAR(34)&amp;"with_y"&amp;CHAR(34)&amp;",",""),"")</f>
        <v/>
      </c>
      <c r="DK9" s="48" t="str">
        <f>IFERROR(IF(SEARCH("z",A9)&gt;0,CHAR(34)&amp;"with_z"&amp;CHAR(34)&amp;",",""),"")</f>
        <v/>
      </c>
      <c r="DL9" s="48" t="str">
        <f>IF(CG9=2, CHAR(34) &amp; _xlfn.TEXTJOIN("", TRUE, _xlfn._xlws.SORT(HP9:HX9)) &amp; CHAR(34) &amp; ",", "")</f>
        <v/>
      </c>
      <c r="DM9" s="48" t="str" cm="1">
        <f t="array" ref="DM9">IF(CG9=3,CHAR(34) &amp; _xlfn.TEXTJOIN("", TRUE, RIGHT(HP9:HX9, 2)) &amp; CHAR(34) &amp; ",", "")</f>
        <v/>
      </c>
      <c r="DN9" s="48" t="str">
        <f>IF(AND(ISNUMBER(SEARCH("18", O9)), ISERROR(SEARCH("1918", O9)), ISERROR(SEARCH("2018", O9))), CHAR(34) &amp; "year18" &amp; CHAR(34) &amp; ",", "")</f>
        <v/>
      </c>
      <c r="DO9" s="48" t="str">
        <f>IF(AND(ISNUMBER(SEARCH("19", O9)), ISERROR(SEARCH("1819", O9)),  ISERROR(SEARCH("1219", O9)),ISERROR(SEARCH("1119", O9)),ISERROR(SEARCH("1190", O9)),ISERROR(SEARCH("2019", O9))), CHAR(34) &amp; "year19" &amp; CHAR(34) &amp; ",", "")</f>
        <v/>
      </c>
      <c r="DP9" s="6" t="str">
        <f>IF(AND(ISNUMBER(SEARCH("20", O9)), ISERROR(SEARCH("1920", O9))), CHAR(34)&amp;"year00"&amp;CHAR(34)&amp;",", "")</f>
        <v>"year00",</v>
      </c>
      <c r="DQ9" s="6" t="str">
        <f>IF(CC9="y",CHAR(34)&amp;"soviet"&amp;CHAR(34)&amp;",","")</f>
        <v/>
      </c>
      <c r="DR9" s="6" t="str">
        <f>IF(BY9="y",CHAR(34)&amp;"dgband"&amp;CHAR(34)&amp;",","")</f>
        <v>"dgband",</v>
      </c>
      <c r="DS9" s="6" t="str">
        <f>IF(W9="y",IF(AND(V9="n",BY9&lt;&gt;"y"),CHAR(34)&amp;"allver"&amp;CHAR(34)&amp;",",""),"")</f>
        <v/>
      </c>
      <c r="DT9" s="6" t="str">
        <f>IF(V9="y",IF(AND(W9="n",BY9&lt;&gt;"y"),CHAR(34)&amp;"allhor"&amp;CHAR(34)&amp;",",""),"")</f>
        <v/>
      </c>
      <c r="DU9" s="6" t="str">
        <f>IF(BY9="y",IF(AND(W9="n",V9="n"),CHAR(34)&amp;"alldia"&amp;CHAR(34)&amp;",",""),"")</f>
        <v/>
      </c>
      <c r="DV9" s="48" t="str">
        <f>IF(IA9&lt;&gt;"",(IF(IA9="y",CHAR(34)&amp;"largec"&amp;CHAR(34)&amp;",",CHAR(34)&amp;"smallc"&amp;CHAR(34)&amp;",")),"")</f>
        <v/>
      </c>
      <c r="DW9" s="48" t="str">
        <f t="shared" si="37"/>
        <v/>
      </c>
      <c r="DX9" s="48" t="str">
        <f t="shared" si="37"/>
        <v>"2Bands",</v>
      </c>
      <c r="DY9" s="48" t="str">
        <f t="shared" si="37"/>
        <v/>
      </c>
      <c r="DZ9" s="48" t="str">
        <f t="shared" si="37"/>
        <v/>
      </c>
      <c r="EA9" s="48" t="str">
        <f t="shared" si="38"/>
        <v/>
      </c>
      <c r="EB9" s="48" t="str">
        <f t="shared" si="38"/>
        <v/>
      </c>
      <c r="EC9" s="48" t="str">
        <f t="shared" si="38"/>
        <v>"Horizo",</v>
      </c>
      <c r="ED9" s="48" t="str">
        <f t="shared" si="38"/>
        <v/>
      </c>
      <c r="EE9" s="48" t="str">
        <f t="shared" si="38"/>
        <v/>
      </c>
      <c r="EF9" s="48" t="str">
        <f>IF(AND(Y9&lt;&gt;"n",Y9&lt;&gt;""),CHAR(34)&amp;Y$1&amp;CHAR(34)&amp;",","")</f>
        <v/>
      </c>
      <c r="EG9" s="48" t="str">
        <f t="shared" si="40"/>
        <v/>
      </c>
      <c r="EH9" s="48" t="str">
        <f t="shared" si="40"/>
        <v/>
      </c>
      <c r="EI9" s="48" t="str">
        <f t="shared" si="40"/>
        <v/>
      </c>
      <c r="EJ9" s="48" t="str">
        <f t="shared" si="40"/>
        <v/>
      </c>
      <c r="EK9" s="48" t="str">
        <f t="shared" si="40"/>
        <v/>
      </c>
      <c r="EL9" s="48" t="str">
        <f t="shared" si="40"/>
        <v/>
      </c>
      <c r="EM9" s="48" t="str">
        <f t="shared" si="40"/>
        <v/>
      </c>
      <c r="EN9" s="48" t="str">
        <f t="shared" si="40"/>
        <v>"Unequa",</v>
      </c>
      <c r="EO9" s="48" t="str">
        <f t="shared" si="40"/>
        <v/>
      </c>
      <c r="EP9" s="48" t="str">
        <f t="shared" si="40"/>
        <v>"Canton",</v>
      </c>
      <c r="EQ9" s="48" t="str">
        <f t="shared" si="40"/>
        <v/>
      </c>
      <c r="ER9" s="48" t="str">
        <f t="shared" si="40"/>
        <v/>
      </c>
      <c r="ES9" s="48" t="str">
        <f t="shared" si="40"/>
        <v/>
      </c>
      <c r="ET9" s="48" t="str">
        <f t="shared" si="40"/>
        <v/>
      </c>
      <c r="EU9" s="48" t="str">
        <f t="shared" si="40"/>
        <v/>
      </c>
      <c r="EV9" s="48" t="str">
        <f t="shared" si="40"/>
        <v/>
      </c>
      <c r="EW9" s="48" t="str">
        <f t="shared" si="40"/>
        <v/>
      </c>
      <c r="EX9" s="48" t="str">
        <f t="shared" si="40"/>
        <v/>
      </c>
      <c r="EY9" s="48" t="str">
        <f t="shared" si="40"/>
        <v/>
      </c>
      <c r="EZ9" s="48" t="str">
        <f t="shared" si="40"/>
        <v/>
      </c>
      <c r="FA9" s="48" t="str">
        <f>IF(AT9&gt;0,CHAR(34)&amp;"sta"&amp;AZ9&amp;CHAR(34)&amp;",","")</f>
        <v>"staWHI",</v>
      </c>
      <c r="FB9" s="48" t="str">
        <f>IF(AND(AT9&gt;0,BA9&lt;&gt;""),CHAR(34)&amp;"sta"&amp;BA9&amp;CHAR(34)&amp;",","")</f>
        <v/>
      </c>
      <c r="FC9" s="48" t="str">
        <f>IF(AND(AT9&gt;0,BB9&lt;&gt;""),CHAR(34)&amp;"sta"&amp;BB9&amp;CHAR(34)&amp;",","")</f>
        <v/>
      </c>
      <c r="FD9" s="48" t="str">
        <f>IF(BV9="n",CHAR(34)&amp;"tcWHYE"&amp;CHAR(34)&amp;",",IF(BV9="y",CHAR(34)&amp;FD$1&amp;CHAR(34)&amp;",",""))</f>
        <v>"ntWHYE",</v>
      </c>
      <c r="FE9" s="48" t="str">
        <f>IF(COUNTIF(BL9:BT9,"BLU")=0,CHAR(34)&amp;"NO_BLU"&amp;CHAR(34)&amp;",", "")</f>
        <v>"NO_BLU",</v>
      </c>
      <c r="FF9" s="48" t="str">
        <f>IF(COUNTIF(BL9:BT9,"WHI")=0,CHAR(34)&amp;"NO_WHI"&amp;CHAR(34)&amp;",", "")</f>
        <v/>
      </c>
      <c r="FG9" s="48" t="str">
        <f>IF(COUNTIF(BL9:BT9,"RED")=0,CHAR(34)&amp;"NO_RED"&amp;CHAR(34)&amp;",", "")</f>
        <v/>
      </c>
      <c r="FH9" s="48" t="str">
        <f>IF(COUNTIF(BL9:BS9,"GRE")=0,CHAR(34)&amp;"NO_GRE"&amp;CHAR(34)&amp;",", "")</f>
        <v>"NO_GRE",</v>
      </c>
      <c r="FI9" s="48" t="str">
        <f>IF(COUNTIF(BL9:BT9,"YEL")=0,CHAR(34)&amp;"NO_YEL"&amp;CHAR(34)&amp;",", "")</f>
        <v/>
      </c>
      <c r="FJ9" s="48" t="str">
        <f>IF(COUNTIF(BL9:BT9,"BLA")=0,CHAR(34)&amp;"NO_BLA"&amp;CHAR(34)&amp;",", "")</f>
        <v/>
      </c>
      <c r="FK9" s="48" t="str">
        <f>IF(AND(FH9&lt;&gt;"",FF9&lt;&gt;""),CHAR(34)&amp;"WHGRNO"&amp;CHAR(34)&amp;",","")</f>
        <v/>
      </c>
      <c r="FL9" s="48" t="str">
        <f>IF(AND(FI9&lt;&gt;"",FF9&lt;&gt;""),CHAR(34)&amp;"WHYENO"&amp;CHAR(34)&amp;",","")</f>
        <v/>
      </c>
      <c r="FM9" s="48" t="str">
        <f>IF(AND(FJ9&lt;&gt;"",FF9&lt;&gt;""),CHAR(34)&amp;"BAWHNO"&amp;CHAR(34)&amp;",","")</f>
        <v/>
      </c>
      <c r="FN9" s="48" t="str">
        <f>IF(AND(FE9&lt;&gt;"",FF9&lt;&gt;""),CHAR(34)&amp;"BLWHNO"&amp;CHAR(34)&amp;",","")</f>
        <v/>
      </c>
      <c r="FO9" s="48" t="str">
        <f>IF(AND(FE9&lt;&gt;"",FG9&lt;&gt;""),CHAR(34)&amp;"BLRENO"&amp;CHAR(34)&amp;",","")</f>
        <v/>
      </c>
      <c r="FP9" s="48" t="str">
        <f>IF(AND(FF9&lt;&gt;"",FF9&lt;&gt;""),CHAR(34)&amp;"WHRENO"&amp;CHAR(34)&amp;",","")</f>
        <v/>
      </c>
      <c r="FQ9" s="48" t="str">
        <f>IF(LEN(BF9)=3,CHAR(34)&amp;"001"&amp;BF9&amp;CHAR(34)&amp;",","")</f>
        <v/>
      </c>
      <c r="FR9" s="48" t="str">
        <f>IF(LEN(BG9)=3,CHAR(34)&amp;"002"&amp;BG9&amp;CHAR(34)&amp;",","")</f>
        <v/>
      </c>
      <c r="FS9" s="48" t="str">
        <f>IF(LEN(BH9)=3,CHAR(34)&amp;"003"&amp;BH9&amp;CHAR(34)&amp;",","")</f>
        <v/>
      </c>
      <c r="FT9" s="48" t="str">
        <f>CHAR(34)&amp;"myr"&amp;BD9&amp;CHAR(34)&amp;","</f>
        <v>"myrEQ",</v>
      </c>
      <c r="FU9" s="48" t="str">
        <f>IF(AY9="y",CHAR(34)&amp;"island"&amp;CHAR(34)&amp;",","")</f>
        <v>"island",</v>
      </c>
      <c r="FV9" s="48" t="str">
        <f>IF(BZ9="y",CHAR(34)&amp;"landlo"&amp;CHAR(34)&amp;",","")</f>
        <v/>
      </c>
      <c r="FW9" s="48" t="str">
        <f>IF(CA9="y",CHAR(34)&amp;"eunion"&amp;CHAR(34)&amp;",","")</f>
        <v/>
      </c>
      <c r="FX9" s="48" t="str">
        <f>SUBSTITUTE(IFERROR(SEARCH("[",A9),IFERROR(IF(AND(CA9&lt;&gt;"y",SEARCH("Europe",R9)&gt;0),CHAR(34)&amp;"noeuni"&amp;CHAR(34)&amp;",",""),"")),"1","")</f>
        <v/>
      </c>
      <c r="FY9" s="48" t="str">
        <f>IFERROR(IF(SEARCH("Arabic",CB9)&gt;0,CHAR(34)&amp;"arabic"&amp;CHAR(34)&amp;",",""),"")</f>
        <v/>
      </c>
      <c r="FZ9" s="48" t="str">
        <f>IFERROR(IF(SEARCH("English",CB9)&gt;0,CHAR(34)&amp;"englis"&amp;CHAR(34)&amp;",",""),"")</f>
        <v>"englis",</v>
      </c>
      <c r="GA9" s="48" t="str">
        <f>IFERROR(IF(SEARCH("French",CB9)&gt;0,CHAR(34)&amp;"french"&amp;CHAR(34)&amp;",",""),"")</f>
        <v/>
      </c>
      <c r="GB9" s="48" t="str">
        <f>IFERROR(IF(SEARCH("Spanish",CB9)&gt;0,CHAR(34)&amp;"spanis"&amp;CHAR(34)&amp;",",""),"")</f>
        <v/>
      </c>
      <c r="GC9" s="48" t="str">
        <f>IFERROR(IF(SEARCH("Portuguese",CB9)&gt;0,CHAR(34)&amp;"portug"&amp;CHAR(34)&amp;",",""),"")</f>
        <v/>
      </c>
      <c r="GD9" s="48" t="str">
        <f>IFERROR(IF(SEARCH("German",CB9)&gt;0,CHAR(34)&amp;"german"&amp;CHAR(34)&amp;",",""),"")</f>
        <v/>
      </c>
      <c r="GE9" s="48" t="str">
        <f>IFERROR(IF(SEARCH("Dutch",CB9)&gt;0,CHAR(34)&amp;"dutchs"&amp;CHAR(34)&amp;",",""),"")</f>
        <v/>
      </c>
      <c r="GF9" s="48" t="str">
        <f>IFERROR(IF(SEARCH("Histor",AU9)&gt;0,CHAR(34)&amp;"histor"&amp;CHAR(34)&amp;",",""),"")</f>
        <v/>
      </c>
      <c r="GG9" s="48" t="str">
        <f>IF(BU9="y",CHAR(34)&amp;"unjack"&amp;CHAR(34)&amp;",","")</f>
        <v/>
      </c>
      <c r="GH9" s="48" t="str">
        <f>IF(CD9=1,CHAR(34)&amp;"southc"&amp;CHAR(34)&amp;",","")</f>
        <v>"southc",</v>
      </c>
      <c r="GI9" s="48" t="str">
        <f>IF(CE9=1,CHAR(34)&amp;"hasmap"&amp;CHAR(34)&amp;",","")</f>
        <v/>
      </c>
      <c r="GJ9" s="48" t="str">
        <f>IF(CP9="y",CHAR(34)&amp;CP$1&amp;CHAR(34)&amp;",","")</f>
        <v/>
      </c>
      <c r="GK9" s="48" t="str">
        <f>IF(GJ9="",CHAR(34)&amp;"HasSta"&amp;CHAR(34)&amp;",","")</f>
        <v>"HasSta",</v>
      </c>
      <c r="GL9" s="48" t="str">
        <f t="shared" si="78"/>
        <v/>
      </c>
      <c r="GM9" s="48" t="str">
        <f t="shared" si="78"/>
        <v/>
      </c>
      <c r="GN9" s="48" t="str">
        <f t="shared" si="78"/>
        <v>"3+Star",</v>
      </c>
      <c r="GP9" s="48" t="str">
        <f>CHAR(34)&amp;AU9&amp;CHAR(34)</f>
        <v>"Region"</v>
      </c>
      <c r="GS9" s="48" t="str">
        <f>SUBSTITUTE("["&amp;_xlfn.CONCAT(CW9:GN9)&amp;"]",",]","]")</f>
        <v>["4Color","words2","words3","lets14","startL","year00","dgband","2Bands","Horizo","Unequa","Canton","staWHI","ntWHYE","NO_BLU","NO_GRE","myrEQ","island","englis","southc","HasSta","3+Star"]</v>
      </c>
      <c r="GT9" s="48" t="str">
        <f t="shared" si="81"/>
        <v>"cl_BLA",</v>
      </c>
      <c r="GU9" s="48" t="str">
        <f t="shared" si="81"/>
        <v>"cl_RED",</v>
      </c>
      <c r="GV9" s="48" t="str">
        <f t="shared" si="81"/>
        <v>"cl_YEL",</v>
      </c>
      <c r="GW9" s="48" t="str">
        <f t="shared" si="81"/>
        <v>"cl_WHI",</v>
      </c>
      <c r="GX9" s="48" t="str">
        <f t="shared" si="81"/>
        <v/>
      </c>
      <c r="GY9" s="48" t="str">
        <f t="shared" si="81"/>
        <v/>
      </c>
      <c r="GZ9" s="48" t="str">
        <f t="shared" si="81"/>
        <v/>
      </c>
      <c r="HA9" s="48" t="str">
        <f t="shared" si="81"/>
        <v/>
      </c>
      <c r="HB9" s="48" t="str">
        <f t="shared" si="81"/>
        <v/>
      </c>
      <c r="HC9" s="48" t="str">
        <f>SUBSTITUTE("["&amp;_xlfn.CONCAT(GT9:HB9)&amp;"]",",]","]")</f>
        <v>["cl_BLA","cl_RED","cl_YEL","cl_WHI"]</v>
      </c>
      <c r="HE9" s="71"/>
      <c r="HF9" s="72" t="str">
        <f>"{couname:"&amp;CT9&amp;(IF(HK9&lt;&gt;"",",subtype:"&amp;CHAR(34)&amp;HK9&amp;CHAR(34),""))&amp;",year:"&amp;HJ9&amp;",region:"&amp;CU9&amp;",Colors:"&amp;HC9&amp;",Items:"&amp;GS9&amp;",Flag:"&amp;CV9&amp;",HDFlag:"&amp;CHAR(34)&amp;E9&amp;CHAR(34)&amp;",type:"&amp;GP9&amp;", describe: "&amp;HH9&amp;", isnew:"&amp;CHAR(34)&amp;F9&amp;CHAR(34)&amp;", links: "&amp;HL9&amp;"},"</f>
        <v>{couname:"[CHL] Los Lagos Region ",year:"2013",region:"rgn_South America",Colors:["cl_BLA","cl_RED","cl_YEL","cl_WHI"],Items:["4Color","words2","words3","lets14","startL","year00","dgband","2Bands","Horizo","Unequa","Canton","staWHI","ntWHYE","NO_BLU","NO_GRE","myrEQ","island","englis","southc","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isnew:".", links: "https://www.crwflags.com/fotw/flags/cl-10.html"},</v>
      </c>
      <c r="HG9" s="73" t="str">
        <f>"{couname:"&amp;CT9&amp;(IF(HK9&lt;&gt;"",",subtype:"&amp;CHAR(34)&amp;HK9&amp;CHAR(34),""))&amp;",year:"&amp;HJ9&amp;",region:"&amp;CU9&amp;",Colors:"&amp;HC9&amp;",Items:"&amp;GS9&amp;",Flag:"&amp;CV9&amp;",HDFlag:"&amp;CHAR(34)&amp;E9&amp;CHAR(34)&amp;",type:"&amp;GP9&amp;", describe: "&amp;HI9&amp;", links: "&amp;HL9&amp;"},"</f>
        <v>{couname:"[CHL] Los Lagos Region ",year:"2013",region:"rgn_South America",Colors:["cl_BLA","cl_RED","cl_YEL","cl_WHI"],Items:["4Color","words2","words3","lets14","startL","year00","dgband","2Bands","Horizo","Unequa","Canton","staWHI","ntWHYE","NO_BLU","NO_GRE","myrEQ","island","englis","southc","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links: "https://www.crwflags.com/fotw/flags/cl-10.html"},</v>
      </c>
      <c r="HH9" s="48" t="str">
        <f>IF(P9&lt;&gt;"",CHAR(34)&amp;"\n"&amp;P9&amp;CHAR(34),CHAR(34)&amp;CHAR(34))</f>
        <v>"\nThe flag is divided per fess (two horizontal stripes) of green over blue; in canton are four stars representing the Southern Cross constellation. The new flag was adopted on 23 October 2013 to coincide with the anniversary of the regional government system in Chile."</v>
      </c>
      <c r="HI9" s="48" t="str">
        <f>IF(J9=0,CHAR(34)&amp;CHAR(34),HH9)</f>
        <v>"\nThe flag is divided per fess (two horizontal stripes) of green over blue; in canton are four stars representing the Southern Cross constellation. The new flag was adopted on 23 October 2013 to coincide with the anniversary of the regional government system in Chile."</v>
      </c>
      <c r="HJ9" s="48" t="str">
        <f>CHAR(34)&amp;O9&amp;CHAR(34)</f>
        <v>"2013"</v>
      </c>
      <c r="HL9" s="48" t="str">
        <f>CHAR(34)&amp;I9&amp;CHAR(34)</f>
        <v>"https://www.crwflags.com/fotw/flags/cl-10.html"</v>
      </c>
      <c r="HM9" s="72"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{"couname":"[CHL] Los Lagos Region ","year":"2013","region":"rgn_South America","Colors":["cl_BLA","cl_RED","cl_YEL","cl_WHI"],"Items":["4Color","words2","words3","lets14","startL","year00","dgband","2Bands","Horizo","Unequa","Canton","staWHI","ntWHYE","NO_BLU","NO_GRE","myrEQ","island","englis","southc","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"isnew": ".", "links": "https://www.crwflags.com/fotw/flags/cl-10.html"},</v>
      </c>
      <c r="HN9" s="74"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{"couname":"[CHL] Los Lagos Region ","year":"2013","region":"rgn_South America","Colors":["cl_BLA","cl_RED","cl_YEL","cl_WHI"],"Items":["4Color","words2","words3","lets14","startL","year00","dgband","2Bands","Horizo","Unequa","Canton","staWHI","ntWHYE","NO_BLU","NO_GRE","myrEQ","island","englis","southc","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"isnew": ".", "links": "https://www.crwflags.com/fotw/flags/cl-10.html"},</v>
      </c>
      <c r="HO9" s="75"/>
      <c r="HP9" s="48" t="str" cm="1">
        <f t="array" ref="HP9">IF(_xlfn.TEXTJOIN(", ", TRUE, IF(ISNUMBER(SEARCH("BLA", BL9:BT9)), COLUMN(BL9:BT9) - COLUMN(BL9) + 1, ""))&lt;&gt;"","BLA","")</f>
        <v>BLA</v>
      </c>
      <c r="HQ9" s="48" t="str" cm="1">
        <f t="array" ref="HQ9">IF(_xlfn.TEXTJOIN(", ", TRUE, IF(ISNUMBER(SEARCH("BLU", BL9:BT9)), COLUMN(BL9:BT9) - COLUMN(BL9) + 1, ""))&lt;&gt;"","BLU","")</f>
        <v/>
      </c>
      <c r="HR9" s="48" t="str" cm="1">
        <f t="array" ref="HR9">IF(_xlfn.TEXTJOIN(", ", TRUE, IF(ISNUMBER(SEARCH("GRE", BL9:BT9)), COLUMN(BL9:BT9) - COLUMN(BL9) + 1, ""))&lt;&gt;"","GRE","")</f>
        <v/>
      </c>
      <c r="HS9" s="48" t="str" cm="1">
        <f t="array" ref="HS9">IF(_xlfn.TEXTJOIN(", ", TRUE, IF(ISNUMBER(SEARCH("RED", BL9:BT9)), COLUMN(BL9:BT9) - COLUMN(BL9) + 1, ""))&lt;&gt;"","RED","")</f>
        <v>RED</v>
      </c>
      <c r="HT9" s="48" t="str" cm="1">
        <f t="array" ref="HT9">IF(_xlfn.TEXTJOIN(", ", TRUE, IF(ISNUMBER(SEARCH("YEL", BL9:BT9)), COLUMN(BL9:BT9) - COLUMN(BL9) + 1, ""))&lt;&gt;"","YEL","")</f>
        <v>YEL</v>
      </c>
      <c r="HU9" s="48" t="str" cm="1">
        <f t="array" ref="HU9">IF(_xlfn.TEXTJOIN(", ", TRUE, IF(ISNUMBER(SEARCH("ORA", BL9:BT9)), COLUMN(BL9:BT9) - COLUMN(BL9) + 1, ""))&lt;&gt;"","ORA","")</f>
        <v/>
      </c>
      <c r="HV9" s="48" t="str" cm="1">
        <f t="array" ref="HV9">IF(_xlfn.TEXTJOIN(", ", TRUE, IF(ISNUMBER(SEARCH("BRO", BL9:BT9)), COLUMN(BL9:BT9) - COLUMN(BL9) + 1, ""))&lt;&gt;"","BRO","")</f>
        <v/>
      </c>
      <c r="HW9" s="48" t="str" cm="1">
        <f t="array" ref="HW9">IF(_xlfn.TEXTJOIN(", ", TRUE, IF(ISNUMBER(SEARCH("PUR", BL9:BT9)), COLUMN(BL9:BT9) - COLUMN(BL9) + 1, ""))&lt;&gt;"","PUR","")</f>
        <v/>
      </c>
      <c r="HX9" s="48" t="str" cm="1">
        <f t="array" ref="HX9">IF(_xlfn.TEXTJOIN(", ", TRUE, IF(ISNUMBER(SEARCH("WHI", BL9:BT9)), COLUMN(BL9:BT9) - COLUMN(BL9) + 1, ""))&lt;&gt;"","WHI","")</f>
        <v>WHI</v>
      </c>
      <c r="HY9" s="76"/>
      <c r="HZ9" s="76"/>
      <c r="IA9" s="6"/>
      <c r="IB9" s="6"/>
      <c r="IC9" s="77"/>
      <c r="ID9" s="77"/>
      <c r="IE9" s="77"/>
      <c r="IF9" s="77"/>
      <c r="IG9" s="77"/>
      <c r="IH9" s="77"/>
      <c r="II9" s="77"/>
      <c r="IJ9" s="77"/>
      <c r="IK9" s="77"/>
      <c r="IL9" s="48">
        <f>SUM(IC9:IK9)</f>
        <v>0</v>
      </c>
      <c r="IM9" s="45">
        <f>COUNTIF(IC9:IK9,"&gt;0")-CG9</f>
        <v>-4</v>
      </c>
      <c r="IN9" s="78" t="str">
        <f>"http://mkweb.bcgsc.ca/color-summarizer/?url="&amp;D9&amp;"&amp;precision=low&amp;num_clusters="&amp;CG9&amp;"&amp;text=1"</f>
        <v>http://mkweb.bcgsc.ca/color-summarizer/?url=https://upload.wikimedia.org/wikipedia/commons/thumb/1/16/Flag_of_Los_Lagos_Region%2C_Chile.svg/640px-Flag_of_Los_Lagos_Region%2C_Chile.svg.png&amp;precision=low&amp;num_clusters=4&amp;text=1</v>
      </c>
      <c r="IO9" s="48" t="str">
        <f>IF(HP9&lt;&gt;"",CHAR(34)&amp;"black"&amp;CHAR(34),"")</f>
        <v>"black"</v>
      </c>
      <c r="IP9" s="48" t="str">
        <f>IF(HQ9&lt;&gt;"",CHAR(34)&amp;"blue"&amp;CHAR(34),"")</f>
        <v/>
      </c>
      <c r="IQ9" s="48" t="str">
        <f>IF(HR9&lt;&gt;"",CHAR(34)&amp;"green"&amp;CHAR(34),"")</f>
        <v/>
      </c>
      <c r="IR9" s="48" t="str">
        <f>IF(HS9&lt;&gt;"",CHAR(34)&amp;"red"&amp;CHAR(34),"")</f>
        <v>"red"</v>
      </c>
      <c r="IS9" s="48" t="str">
        <f>IF(HT9&lt;&gt;"",CHAR(34)&amp;"yellow"&amp;CHAR(34),"")</f>
        <v>"yellow"</v>
      </c>
      <c r="IT9" s="48" t="str">
        <f>IF(HU9&lt;&gt;"",CHAR(34)&amp;"orange"&amp;CHAR(34),"")</f>
        <v/>
      </c>
      <c r="IU9" s="48" t="str">
        <f>IF(HV9&lt;&gt;"",CHAR(34)&amp;"brown"&amp;CHAR(34),"")</f>
        <v/>
      </c>
      <c r="IV9" s="48" t="str">
        <f>IF(HW9&lt;&gt;"",CHAR(34)&amp;"purple"&amp;CHAR(34),"")</f>
        <v/>
      </c>
      <c r="IW9" s="48" t="str">
        <f>IF(HX9&lt;&gt;"",CHAR(34)&amp;"white"&amp;CHAR(34),"")</f>
        <v>"white"</v>
      </c>
      <c r="IX9" s="48" t="str">
        <f>"{"&amp;CHAR(34)&amp;"url"&amp;CHAR(34)&amp;":"&amp;CHAR(34)&amp;IN9&amp;CHAR(34)&amp;","&amp;CHAR(34)&amp;"name"&amp;CHAR(34)&amp;":"&amp;CHAR(34)&amp;A9&amp;CHAR(34)&amp;"},"</f>
        <v>{"url":"http://mkweb.bcgsc.ca/color-summarizer/?url=https://upload.wikimedia.org/wikipedia/commons/thumb/1/16/Flag_of_Los_Lagos_Region%2C_Chile.svg/640px-Flag_of_Los_Lagos_Region%2C_Chile.svg.png&amp;precision=low&amp;num_clusters=4&amp;text=1","name":"[CHL] Los Lagos Region "},</v>
      </c>
      <c r="IY9" s="48">
        <v>169</v>
      </c>
    </row>
    <row r="10" spans="1:259" s="48" customFormat="1" ht="38.4" customHeight="1" thickBot="1" x14ac:dyDescent="0.35">
      <c r="A10" s="79" t="s">
        <v>584</v>
      </c>
      <c r="B10" s="40" t="e" vm="64">
        <v>#VALUE!</v>
      </c>
      <c r="C10" s="41">
        <v>2</v>
      </c>
      <c r="D10" s="42" t="s">
        <v>585</v>
      </c>
      <c r="E10" s="43" t="s">
        <v>585</v>
      </c>
      <c r="F10" s="44" t="s">
        <v>166</v>
      </c>
      <c r="G10" s="45">
        <f>COUNTIF($A$1:$A$8294,A10)</f>
        <v>1</v>
      </c>
      <c r="H10" s="46"/>
      <c r="I10" s="47" t="s">
        <v>586</v>
      </c>
      <c r="J10" s="48" t="str">
        <f>""</f>
        <v/>
      </c>
      <c r="K10" s="49"/>
      <c r="L10" s="50"/>
      <c r="M10" s="50"/>
      <c r="N10" s="51" t="s">
        <v>169</v>
      </c>
      <c r="O10" s="52" t="s">
        <v>557</v>
      </c>
      <c r="P10" s="53" t="s">
        <v>587</v>
      </c>
      <c r="Q10" s="54">
        <v>2</v>
      </c>
      <c r="R10" s="55" t="s">
        <v>169</v>
      </c>
      <c r="S10" s="56">
        <v>0</v>
      </c>
      <c r="T10" s="57" t="s">
        <v>173</v>
      </c>
      <c r="U10" s="58" t="s">
        <v>173</v>
      </c>
      <c r="V10" s="58" t="s">
        <v>173</v>
      </c>
      <c r="W10" s="58" t="s">
        <v>173</v>
      </c>
      <c r="X10" s="58" t="s">
        <v>172</v>
      </c>
      <c r="Y10" s="58" t="s">
        <v>172</v>
      </c>
      <c r="Z10" s="58" t="s">
        <v>172</v>
      </c>
      <c r="AA10" s="58" t="s">
        <v>173</v>
      </c>
      <c r="AB10" s="58" t="s">
        <v>173</v>
      </c>
      <c r="AC10" s="58" t="s">
        <v>172</v>
      </c>
      <c r="AD10" s="58" t="s">
        <v>172</v>
      </c>
      <c r="AE10" s="58" t="s">
        <v>172</v>
      </c>
      <c r="AF10" s="59" t="s">
        <v>172</v>
      </c>
      <c r="AG10" s="59" t="s">
        <v>172</v>
      </c>
      <c r="AH10" s="59" t="s">
        <v>173</v>
      </c>
      <c r="AI10" s="59" t="s">
        <v>172</v>
      </c>
      <c r="AJ10" s="59" t="s">
        <v>172</v>
      </c>
      <c r="AK10" s="59" t="s">
        <v>172</v>
      </c>
      <c r="AL10" s="59" t="s">
        <v>172</v>
      </c>
      <c r="AM10" s="59" t="s">
        <v>172</v>
      </c>
      <c r="AN10" s="59" t="s">
        <v>172</v>
      </c>
      <c r="AO10" s="59" t="s">
        <v>172</v>
      </c>
      <c r="AP10" s="59" t="s">
        <v>172</v>
      </c>
      <c r="AQ10" s="59" t="s">
        <v>172</v>
      </c>
      <c r="AR10" s="59" t="s">
        <v>172</v>
      </c>
      <c r="AS10" s="59" t="s">
        <v>172</v>
      </c>
      <c r="AT10" s="60">
        <v>0</v>
      </c>
      <c r="AU10" s="59" t="s">
        <v>553</v>
      </c>
      <c r="AV10" s="59" t="str">
        <f>IF(LEFT(A10,1)="[",LEFT(A10,5)&amp;AU10&amp;A10,"")</f>
        <v>[CHL]Region[CHL] Maule Region</v>
      </c>
      <c r="AW10" s="59" t="str">
        <f>C10&amp;A10</f>
        <v>2[CHL] Maule Region</v>
      </c>
      <c r="AX10" s="61"/>
      <c r="AY10" s="61"/>
      <c r="AZ10" s="62" t="s">
        <v>174</v>
      </c>
      <c r="BA10" s="62" t="s">
        <v>174</v>
      </c>
      <c r="BB10" s="62"/>
      <c r="BC10" s="63"/>
      <c r="BD10" s="64" t="s">
        <v>152</v>
      </c>
      <c r="BE10" s="47"/>
      <c r="BF10" s="64" t="s">
        <v>174</v>
      </c>
      <c r="BG10" s="64" t="s">
        <v>174</v>
      </c>
      <c r="BH10" s="64" t="s">
        <v>174</v>
      </c>
      <c r="BI10" s="64"/>
      <c r="BJ10" s="64"/>
      <c r="BK10" s="47"/>
      <c r="BL10" s="64" t="s">
        <v>151</v>
      </c>
      <c r="BM10" s="64" t="s">
        <v>152</v>
      </c>
      <c r="BN10" s="64" t="s">
        <v>153</v>
      </c>
      <c r="BO10" s="64" t="s">
        <v>154</v>
      </c>
      <c r="BP10" s="64" t="s">
        <v>174</v>
      </c>
      <c r="BQ10" s="64" t="s">
        <v>174</v>
      </c>
      <c r="BR10" s="64" t="s">
        <v>174</v>
      </c>
      <c r="BS10" s="64" t="s">
        <v>174</v>
      </c>
      <c r="BT10" s="64" t="s">
        <v>159</v>
      </c>
      <c r="BU10" s="65"/>
      <c r="BV10" s="66"/>
      <c r="BW10" s="66">
        <v>0</v>
      </c>
      <c r="BX10" s="47"/>
      <c r="BY10" s="48" t="s">
        <v>172</v>
      </c>
      <c r="CB10" s="6"/>
      <c r="CC10" s="6"/>
      <c r="CD10" s="67">
        <v>0</v>
      </c>
      <c r="CE10" s="67">
        <v>0</v>
      </c>
      <c r="CF10" s="67" t="e">
        <v>#REF!</v>
      </c>
      <c r="CG10" s="68" cm="1">
        <f t="array" ref="CG10">SUMPRODUCT(--(LEN(TRIM(BL10:BT10))&gt;0))</f>
        <v>5</v>
      </c>
      <c r="CH10" s="59" t="str">
        <f>IF(CG10=2,"y","n")</f>
        <v>n</v>
      </c>
      <c r="CI10" s="59" t="str">
        <f>IF(CG10=3,"y","n")</f>
        <v>n</v>
      </c>
      <c r="CJ10" s="59" t="str">
        <f>IF(CG10=4,"y","n")</f>
        <v>n</v>
      </c>
      <c r="CK10" s="59" t="str">
        <f>IF(CG10&gt;4,"y","n")</f>
        <v>y</v>
      </c>
      <c r="CL10" s="59" t="str">
        <f>IF(S10=0,"y","n")</f>
        <v>y</v>
      </c>
      <c r="CM10" s="59" t="str">
        <f>IF(S10=2,"y","n")</f>
        <v>n</v>
      </c>
      <c r="CN10" s="59" t="str">
        <f>IF(S10=3,"y","n")</f>
        <v>n</v>
      </c>
      <c r="CO10" s="59" t="str">
        <f>IF(S10&gt;=4,"y","n")</f>
        <v>n</v>
      </c>
      <c r="CP10" s="59" t="str">
        <f>IF(AT10=0,"y","n")</f>
        <v>y</v>
      </c>
      <c r="CQ10" s="59" t="str">
        <f>IF(AT10=1,"y","n")</f>
        <v>n</v>
      </c>
      <c r="CR10" s="59" t="str">
        <f>IF(AT10=2,"y","n")</f>
        <v>n</v>
      </c>
      <c r="CS10" s="59" t="str">
        <f>IF(AT10&gt;=3,"y","n")</f>
        <v>n</v>
      </c>
      <c r="CT10" s="69" t="str">
        <f>CHAR(34)&amp;A10&amp;CHAR(34)</f>
        <v>"[CHL] Maule Region"</v>
      </c>
      <c r="CU10" s="70" t="str">
        <f>CHAR(34)&amp;"rgn_"&amp;R10&amp;CHAR(34)</f>
        <v>"rgn_South America"</v>
      </c>
      <c r="CV10" s="48" t="str">
        <f>CHAR(34)&amp;D10&amp;CHAR(34)</f>
        <v>"https://www.crwflags.com/fotw/images/c/cl-07a.gif"</v>
      </c>
      <c r="CW10" s="48" t="str">
        <f t="shared" si="15"/>
        <v/>
      </c>
      <c r="CX10" s="48" t="str">
        <f t="shared" si="15"/>
        <v/>
      </c>
      <c r="CY10" s="48" t="str">
        <f t="shared" si="15"/>
        <v/>
      </c>
      <c r="CZ10" s="48" t="str">
        <f t="shared" si="15"/>
        <v>"5+Colo",</v>
      </c>
      <c r="DA10" s="48" t="str">
        <f>IF(Q10&gt;1,CHAR(34)&amp;"words2"&amp;CHAR(34)&amp;",","")</f>
        <v>"words2",</v>
      </c>
      <c r="DB10" s="48" t="str">
        <f>IF(Q10&gt;2,CHAR(34)&amp;"words3"&amp;CHAR(34)&amp;",","")</f>
        <v/>
      </c>
      <c r="DD10" s="48" t="str">
        <f>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"lets11",</v>
      </c>
      <c r="DE10" s="48" t="str">
        <f>CHAR(34)&amp;"start"&amp;IFERROR(LEFT(SUBSTITUTE(A10,"["&amp;MID(A10,FIND("[",A10)+1,FIND("]",A10)-FIND("[",A10)-1)&amp;"] ",""),1),LEFT(A10,1))&amp;CHAR(34)&amp;","</f>
        <v>"startM",</v>
      </c>
      <c r="DF10" s="48" t="str">
        <f>IFERROR(IF(SEARCH("tan",A10)&gt;0,CHAR(34)&amp;"withtn"&amp;CHAR(34)&amp;",",""),"")</f>
        <v/>
      </c>
      <c r="DG10" s="48" t="str">
        <f>IFERROR(IF(SEARCH("q",A10)&gt;0,CHAR(34)&amp;"with_q"&amp;CHAR(34)&amp;",",""),"")</f>
        <v/>
      </c>
      <c r="DH10" s="48" t="str">
        <f>IFERROR(IF(SEARCH("v",A10)&gt;0,CHAR(34)&amp;"with_v"&amp;CHAR(34)&amp;",",""),"")</f>
        <v/>
      </c>
      <c r="DI10" s="48" t="str">
        <f>IFERROR(IF(SEARCH("w",A10)&gt;0,CHAR(34)&amp;"with_w"&amp;CHAR(34)&amp;",",""),"")</f>
        <v/>
      </c>
      <c r="DJ10" s="48" t="str">
        <f>IFERROR(IF(SEARCH("y",A10)&gt;0,CHAR(34)&amp;"with_y"&amp;CHAR(34)&amp;",",""),"")</f>
        <v/>
      </c>
      <c r="DK10" s="48" t="str">
        <f>IFERROR(IF(SEARCH("z",A10)&gt;0,CHAR(34)&amp;"with_z"&amp;CHAR(34)&amp;",",""),"")</f>
        <v/>
      </c>
      <c r="DL10" s="48" t="str">
        <f>IF(CG10=2, CHAR(34) &amp; _xlfn.TEXTJOIN("", TRUE, _xlfn._xlws.SORT(HP10:HX10)) &amp; CHAR(34) &amp; ",", "")</f>
        <v/>
      </c>
      <c r="DM10" s="48" t="str" cm="1">
        <f t="array" ref="DM10">IF(CG10=3,CHAR(34) &amp; _xlfn.TEXTJOIN("", TRUE, RIGHT(HP10:HX10, 2)) &amp; CHAR(34) &amp; ",", "")</f>
        <v/>
      </c>
      <c r="DN10" s="48" t="str">
        <f>IF(AND(ISNUMBER(SEARCH("18", O10)), ISERROR(SEARCH("1918", O10)), ISERROR(SEARCH("2018", O10))), CHAR(34) &amp; "year18" &amp; CHAR(34) &amp; ",", "")</f>
        <v/>
      </c>
      <c r="DO10" s="48" t="str">
        <f>IF(AND(ISNUMBER(SEARCH("19", O10)), ISERROR(SEARCH("1819", O10)),  ISERROR(SEARCH("1219", O10)),ISERROR(SEARCH("1119", O10)),ISERROR(SEARCH("1190", O10)),ISERROR(SEARCH("2019", O10))), CHAR(34) &amp; "year19" &amp; CHAR(34) &amp; ",", "")</f>
        <v/>
      </c>
      <c r="DP10" s="6" t="str">
        <f>IF(AND(ISNUMBER(SEARCH("20", O10)), ISERROR(SEARCH("1920", O10))), CHAR(34)&amp;"year00"&amp;CHAR(34)&amp;",", "")</f>
        <v/>
      </c>
      <c r="DQ10" s="6" t="str">
        <f>IF(CC10="y",CHAR(34)&amp;"soviet"&amp;CHAR(34)&amp;",","")</f>
        <v/>
      </c>
      <c r="DR10" s="6" t="str">
        <f>IF(BY10="y",CHAR(34)&amp;"dgband"&amp;CHAR(34)&amp;",","")</f>
        <v/>
      </c>
      <c r="DS10" s="6" t="str">
        <f>IF(W10="y",IF(AND(V10="n",BY10&lt;&gt;"y"),CHAR(34)&amp;"allver"&amp;CHAR(34)&amp;",",""),"")</f>
        <v/>
      </c>
      <c r="DT10" s="6" t="str">
        <f>IF(V10="y",IF(AND(W10="n",BY10&lt;&gt;"y"),CHAR(34)&amp;"allhor"&amp;CHAR(34)&amp;",",""),"")</f>
        <v/>
      </c>
      <c r="DU10" s="6" t="str">
        <f>IF(BY10="y",IF(AND(W10="n",V10="n"),CHAR(34)&amp;"alldia"&amp;CHAR(34)&amp;",",""),"")</f>
        <v/>
      </c>
      <c r="DW10" s="48" t="str">
        <f t="shared" si="37"/>
        <v>"NoBand",</v>
      </c>
      <c r="DX10" s="48" t="str">
        <f t="shared" si="37"/>
        <v/>
      </c>
      <c r="DY10" s="48" t="str">
        <f t="shared" si="37"/>
        <v/>
      </c>
      <c r="DZ10" s="48" t="str">
        <f t="shared" si="37"/>
        <v/>
      </c>
      <c r="EA10" s="48" t="str">
        <f t="shared" si="38"/>
        <v>"Diagon",</v>
      </c>
      <c r="EB10" s="48" t="str">
        <f t="shared" si="38"/>
        <v>"Crosse",</v>
      </c>
      <c r="EC10" s="48" t="str">
        <f t="shared" si="38"/>
        <v>"Horizo",</v>
      </c>
      <c r="ED10" s="48" t="str">
        <f t="shared" si="38"/>
        <v>"Vertic",</v>
      </c>
      <c r="EE10" s="48" t="str">
        <f t="shared" si="38"/>
        <v/>
      </c>
      <c r="EF10" s="48" t="str">
        <f>IF(AND(Y10&lt;&gt;"n",Y10&lt;&gt;""),CHAR(34)&amp;Y$1&amp;CHAR(34)&amp;",","")</f>
        <v/>
      </c>
      <c r="EG10" s="48" t="str">
        <f t="shared" si="40"/>
        <v/>
      </c>
      <c r="EH10" s="48" t="str">
        <f t="shared" si="40"/>
        <v>"Plants",</v>
      </c>
      <c r="EI10" s="48" t="str">
        <f t="shared" si="40"/>
        <v>"Texted",</v>
      </c>
      <c r="EJ10" s="48" t="str">
        <f t="shared" si="40"/>
        <v/>
      </c>
      <c r="EK10" s="48" t="str">
        <f t="shared" si="40"/>
        <v/>
      </c>
      <c r="EL10" s="48" t="str">
        <f t="shared" si="40"/>
        <v/>
      </c>
      <c r="EM10" s="48" t="str">
        <f t="shared" si="40"/>
        <v/>
      </c>
      <c r="EN10" s="48" t="str">
        <f t="shared" si="40"/>
        <v/>
      </c>
      <c r="EO10" s="48" t="str">
        <f t="shared" si="40"/>
        <v>"Center",</v>
      </c>
      <c r="EP10" s="48" t="str">
        <f t="shared" si="40"/>
        <v/>
      </c>
      <c r="EQ10" s="48" t="str">
        <f t="shared" si="40"/>
        <v/>
      </c>
      <c r="ER10" s="48" t="str">
        <f t="shared" si="40"/>
        <v/>
      </c>
      <c r="ES10" s="48" t="str">
        <f t="shared" si="40"/>
        <v/>
      </c>
      <c r="ET10" s="48" t="str">
        <f t="shared" si="40"/>
        <v/>
      </c>
      <c r="EU10" s="48" t="str">
        <f t="shared" si="40"/>
        <v/>
      </c>
      <c r="EV10" s="48" t="str">
        <f t="shared" si="40"/>
        <v/>
      </c>
      <c r="EW10" s="48" t="str">
        <f t="shared" si="40"/>
        <v/>
      </c>
      <c r="EX10" s="48" t="str">
        <f t="shared" si="40"/>
        <v/>
      </c>
      <c r="EY10" s="48" t="str">
        <f t="shared" si="40"/>
        <v/>
      </c>
      <c r="EZ10" s="48" t="str">
        <f t="shared" si="40"/>
        <v/>
      </c>
      <c r="FA10" s="48" t="str">
        <f>IF(AT10&gt;0,CHAR(34)&amp;"sta"&amp;AZ10&amp;CHAR(34)&amp;",","")</f>
        <v/>
      </c>
      <c r="FB10" s="48" t="str">
        <f>IF(AND(AT10&gt;0,BA10&lt;&gt;""),CHAR(34)&amp;"sta"&amp;BA10&amp;CHAR(34)&amp;",","")</f>
        <v/>
      </c>
      <c r="FD10" s="48" t="str">
        <f>IF(BV10="n",CHAR(34)&amp;"tcWHYE"&amp;CHAR(34)&amp;",",IF(BV10="y",CHAR(34)&amp;FD$1&amp;CHAR(34)&amp;",",""))</f>
        <v/>
      </c>
      <c r="FE10" s="48" t="str">
        <f>IF(COUNTIF(BL10:BT10,"BLU")=0,CHAR(34)&amp;"NO_BLU"&amp;CHAR(34)&amp;",", "")</f>
        <v/>
      </c>
      <c r="FF10" s="48" t="str">
        <f>IF(COUNTIF(BL10:BT10,"WHI")=0,CHAR(34)&amp;"NO_WHI"&amp;CHAR(34)&amp;",", "")</f>
        <v/>
      </c>
      <c r="FG10" s="48" t="str">
        <f>IF(COUNTIF(BL10:BT10,"RED")=0,CHAR(34)&amp;"NO_RED"&amp;CHAR(34)&amp;",", "")</f>
        <v/>
      </c>
      <c r="FH10" s="48" t="str">
        <f>IF(COUNTIF(BL10:BS10,"GRE")=0,CHAR(34)&amp;"NO_GRE"&amp;CHAR(34)&amp;",", "")</f>
        <v/>
      </c>
      <c r="FI10" s="48" t="str">
        <f>IF(COUNTIF(BL10:BT10,"YEL")=0,CHAR(34)&amp;"NO_YEL"&amp;CHAR(34)&amp;",", "")</f>
        <v>"NO_YEL",</v>
      </c>
      <c r="FJ10" s="48" t="str">
        <f>IF(COUNTIF(BL10:BT10,"BLA")=0,CHAR(34)&amp;"NO_BLA"&amp;CHAR(34)&amp;",", "")</f>
        <v/>
      </c>
      <c r="FK10" s="48" t="str">
        <f>IF(AND(FH10&lt;&gt;"",FF10&lt;&gt;""),CHAR(34)&amp;"WHGRNO"&amp;CHAR(34)&amp;",","")</f>
        <v/>
      </c>
      <c r="FL10" s="48" t="str">
        <f>IF(AND(FI10&lt;&gt;"",FF10&lt;&gt;""),CHAR(34)&amp;"WHYENO"&amp;CHAR(34)&amp;",","")</f>
        <v/>
      </c>
      <c r="FM10" s="48" t="str">
        <f>IF(AND(FJ10&lt;&gt;"",FF10&lt;&gt;""),CHAR(34)&amp;"BAWHNO"&amp;CHAR(34)&amp;",","")</f>
        <v/>
      </c>
      <c r="FN10" s="48" t="str">
        <f>IF(AND(FE10&lt;&gt;"",FF10&lt;&gt;""),CHAR(34)&amp;"BLWHNO"&amp;CHAR(34)&amp;",","")</f>
        <v/>
      </c>
      <c r="FO10" s="48" t="str">
        <f>IF(AND(FE10&lt;&gt;"",FG10&lt;&gt;""),CHAR(34)&amp;"BLRENO"&amp;CHAR(34)&amp;",","")</f>
        <v/>
      </c>
      <c r="FP10" s="48" t="str">
        <f>IF(AND(FF10&lt;&gt;"",FF10&lt;&gt;""),CHAR(34)&amp;"WHRENO"&amp;CHAR(34)&amp;",","")</f>
        <v/>
      </c>
      <c r="FQ10" s="48" t="str">
        <f>IF(LEN(BF10)=3,CHAR(34)&amp;"001"&amp;BF10&amp;CHAR(34)&amp;",","")</f>
        <v/>
      </c>
      <c r="FR10" s="48" t="str">
        <f>IF(LEN(BG10)=3,CHAR(34)&amp;"002"&amp;BG10&amp;CHAR(34)&amp;",","")</f>
        <v/>
      </c>
      <c r="FS10" s="48" t="str">
        <f>IF(LEN(BH10)=3,CHAR(34)&amp;"003"&amp;BH10&amp;CHAR(34)&amp;",","")</f>
        <v/>
      </c>
      <c r="FT10" s="48" t="str">
        <f>CHAR(34)&amp;"myr"&amp;BD10&amp;CHAR(34)&amp;","</f>
        <v>"myrBLU",</v>
      </c>
      <c r="FU10" s="48" t="str">
        <f>IF(AY10="y",CHAR(34)&amp;"island"&amp;CHAR(34)&amp;",","")</f>
        <v/>
      </c>
      <c r="FV10" s="48" t="str">
        <f>IF(BZ10="y",CHAR(34)&amp;"landlo"&amp;CHAR(34)&amp;",","")</f>
        <v/>
      </c>
      <c r="FW10" s="48" t="str">
        <f>IF(CA10="y",CHAR(34)&amp;"eunion"&amp;CHAR(34)&amp;",","")</f>
        <v/>
      </c>
      <c r="FY10" s="48" t="str">
        <f>IFERROR(IF(SEARCH("Arabic",CB10)&gt;0,CHAR(34)&amp;"arabic"&amp;CHAR(34)&amp;",",""),"")</f>
        <v/>
      </c>
      <c r="FZ10" s="48" t="str">
        <f>IFERROR(IF(SEARCH("English",CB10)&gt;0,CHAR(34)&amp;"englis"&amp;CHAR(34)&amp;",",""),"")</f>
        <v/>
      </c>
      <c r="GA10" s="48" t="str">
        <f>IFERROR(IF(SEARCH("French",CB10)&gt;0,CHAR(34)&amp;"french"&amp;CHAR(34)&amp;",",""),"")</f>
        <v/>
      </c>
      <c r="GB10" s="48" t="str">
        <f>IFERROR(IF(SEARCH("Spanish",CB10)&gt;0,CHAR(34)&amp;"spanis"&amp;CHAR(34)&amp;",",""),"")</f>
        <v/>
      </c>
      <c r="GE10" s="48" t="str">
        <f>IFERROR(IF(SEARCH("Dutch",CB10)&gt;0,CHAR(34)&amp;"dutchs"&amp;CHAR(34)&amp;",",""),"")</f>
        <v/>
      </c>
      <c r="GF10" s="48" t="str">
        <f>IFERROR(IF(SEARCH("Historical",AU10)&gt;0,CHAR(34)&amp;"histor"&amp;CHAR(34)&amp;",",""),"")</f>
        <v/>
      </c>
      <c r="GG10" s="48" t="str">
        <f>IF(BU10="y",CHAR(34)&amp;"unjack"&amp;CHAR(34)&amp;",","")</f>
        <v/>
      </c>
      <c r="GH10" s="48" t="str">
        <f>IF(CD10=1,CHAR(34)&amp;"southc"&amp;CHAR(34)&amp;",","")</f>
        <v/>
      </c>
      <c r="GI10" s="48" t="str">
        <f>IF(CE10=1,CHAR(34)&amp;"hasmap"&amp;CHAR(34)&amp;",","")</f>
        <v/>
      </c>
      <c r="GJ10" s="48" t="str">
        <f>IF(CP10="y",CHAR(34)&amp;CP$1&amp;CHAR(34)&amp;",","")</f>
        <v>"NoStar",</v>
      </c>
      <c r="GK10" s="48" t="str">
        <f>IF(GJ10="",CHAR(34)&amp;"HasSta"&amp;CHAR(34)&amp;",","")</f>
        <v/>
      </c>
      <c r="GL10" s="48" t="str">
        <f t="shared" si="78"/>
        <v/>
      </c>
      <c r="GM10" s="48" t="str">
        <f t="shared" si="78"/>
        <v/>
      </c>
      <c r="GN10" s="48" t="str">
        <f t="shared" si="78"/>
        <v/>
      </c>
      <c r="GP10" s="48" t="str">
        <f>CHAR(34)&amp;AU10&amp;CHAR(34)</f>
        <v>"Region"</v>
      </c>
      <c r="GS10" s="48" t="str">
        <f>SUBSTITUTE("["&amp;_xlfn.CONCAT(CW10:GN10)&amp;"]",",]","]")</f>
        <v>["5+Colo","words2","lets11","startM","NoBand","Diagon","Crosse","Horizo","Vertic","Plants","Texted","Center","NO_YEL","myrBLU","NoStar"]</v>
      </c>
      <c r="GT10" s="48" t="str">
        <f t="shared" si="81"/>
        <v>"cl_BLA",</v>
      </c>
      <c r="GU10" s="48" t="str">
        <f t="shared" si="81"/>
        <v>"cl_BLU",</v>
      </c>
      <c r="GV10" s="48" t="str">
        <f t="shared" si="81"/>
        <v>"cl_GRE",</v>
      </c>
      <c r="GW10" s="48" t="str">
        <f t="shared" si="81"/>
        <v>"cl_RED",</v>
      </c>
      <c r="GX10" s="48" t="str">
        <f t="shared" si="81"/>
        <v/>
      </c>
      <c r="GY10" s="48" t="str">
        <f t="shared" si="81"/>
        <v/>
      </c>
      <c r="GZ10" s="48" t="str">
        <f t="shared" si="81"/>
        <v/>
      </c>
      <c r="HA10" s="48" t="str">
        <f t="shared" si="81"/>
        <v/>
      </c>
      <c r="HB10" s="48" t="str">
        <f t="shared" si="81"/>
        <v>"cl_WHI",</v>
      </c>
      <c r="HC10" s="48" t="str">
        <f>SUBSTITUTE("["&amp;_xlfn.CONCAT(GT10:HB10)&amp;"]",",]","]")</f>
        <v>["cl_BLA","cl_BLU","cl_GRE","cl_RED","cl_WHI"]</v>
      </c>
      <c r="HE10" s="71"/>
      <c r="HF10" s="72" t="str">
        <f>"{couname:"&amp;CT10&amp;(IF(HK10&lt;&gt;"",",subtype:"&amp;CHAR(34)&amp;HK10&amp;CHAR(34),""))&amp;",year:"&amp;HJ10&amp;",region:"&amp;CU10&amp;",Colors:"&amp;HC10&amp;",Items:"&amp;GS10&amp;",Flag:"&amp;CV10&amp;",HDFlag:"&amp;CHAR(34)&amp;E10&amp;CHAR(34)&amp;",type:"&amp;GP10&amp;", describe: "&amp;HH10&amp;", isnew:"&amp;CHAR(34)&amp;F10&amp;CHAR(34)&amp;", links: "&amp;HL10&amp;"},"</f>
        <v>{couname:"[CHL] Maule Region",year:"???",region:"rgn_South America",Colors:["cl_BLA","cl_BLU","cl_GRE","cl_RED","cl_WHI"],Items:["5+Colo","words2","lets11","startM","NoBand","Diagon","Crosse","Horizo","Vertic","Plants","Texted","Center","NO_YEL","myrBLU","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isnew:".", links: "https://www.crwflags.com/fotw/flags/cl-07.html"},</v>
      </c>
      <c r="HG10" s="73" t="str">
        <f>"{couname:"&amp;CT10&amp;(IF(HK10&lt;&gt;"",",subtype:"&amp;CHAR(34)&amp;HK10&amp;CHAR(34),""))&amp;",year:"&amp;HJ10&amp;",region:"&amp;CU10&amp;",Colors:"&amp;HC10&amp;",Items:"&amp;GS10&amp;",Flag:"&amp;CV10&amp;",HDFlag:"&amp;CHAR(34)&amp;E10&amp;CHAR(34)&amp;",type:"&amp;GP10&amp;", describe: "&amp;HI10&amp;", links: "&amp;HL10&amp;"},"</f>
        <v>{couname:"[CHL] Maule Region",year:"???",region:"rgn_South America",Colors:["cl_BLA","cl_BLU","cl_GRE","cl_RED","cl_WHI"],Items:["5+Colo","words2","lets11","startM","NoBand","Diagon","Crosse","Horizo","Vertic","Plants","Texted","Center","NO_YEL","myrBLU","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links: "https://www.crwflags.com/fotw/flags/cl-07.html"},</v>
      </c>
      <c r="HH10" s="48" t="str">
        <f>IF(P10&lt;&gt;"",CHAR(34)&amp;"\n"&amp;P10&amp;CHAR(34),CHAR(34)&amp;CHAR(34))</f>
        <v>"\nRegion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v>
      </c>
      <c r="HI10" s="48" t="str">
        <f>IF(J10=0,CHAR(34)&amp;CHAR(34),HH10)</f>
        <v>"\nRegion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v>
      </c>
      <c r="HJ10" s="48" t="str">
        <f>CHAR(34)&amp;O10&amp;CHAR(34)</f>
        <v>"???"</v>
      </c>
      <c r="HL10" s="48" t="str">
        <f>CHAR(34)&amp;I10&amp;CHAR(34)</f>
        <v>"https://www.crwflags.com/fotw/flags/cl-07.html"</v>
      </c>
      <c r="HM10" s="72"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{"couname":"[CHL] Maule Region","year":"???","region":"rgn_South America","Colors":["cl_BLA","cl_BLU","cl_GRE","cl_RED","cl_WHI"],"Items":["5+Colo","words2","lets11","startM","NoBand","Diagon","Crosse","Horizo","Vertic","Plants","Texted","Center","NO_YEL","myrBLU","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"isnew": ".", "links": "https://www.crwflags.com/fotw/flags/cl-07.html"},</v>
      </c>
      <c r="HN10" s="74"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{"couname":"[CHL] Maule Region","year":"???","region":"rgn_South America","Colors":["cl_BLA","cl_BLU","cl_GRE","cl_RED","cl_WHI"],"Items":["5+Colo","words2","lets11","startM","NoBand","Diagon","Crosse","Horizo","Vertic","Plants","Texted","Center","NO_YEL","myrBLU","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"isnew": ".", "links": "https://www.crwflags.com/fotw/flags/cl-07.html"},</v>
      </c>
      <c r="HO10" s="75">
        <v>45610</v>
      </c>
      <c r="HP10" s="48" t="str" cm="1">
        <f t="array" ref="HP10">IF(_xlfn.TEXTJOIN(", ", TRUE, IF(ISNUMBER(SEARCH("BLA", BL10:BT10)), COLUMN(BL10:BT10) - COLUMN(BL10) + 1, ""))&lt;&gt;"","BLA","")</f>
        <v>BLA</v>
      </c>
      <c r="HQ10" s="48" t="str" cm="1">
        <f t="array" ref="HQ10">IF(_xlfn.TEXTJOIN(", ", TRUE, IF(ISNUMBER(SEARCH("BLU", BL10:BT10)), COLUMN(BL10:BT10) - COLUMN(BL10) + 1, ""))&lt;&gt;"","BLU","")</f>
        <v>BLU</v>
      </c>
      <c r="HR10" s="48" t="str" cm="1">
        <f t="array" ref="HR10">IF(_xlfn.TEXTJOIN(", ", TRUE, IF(ISNUMBER(SEARCH("GRE", BL10:BT10)), COLUMN(BL10:BT10) - COLUMN(BL10) + 1, ""))&lt;&gt;"","GRE","")</f>
        <v>GRE</v>
      </c>
      <c r="HS10" s="48" t="str" cm="1">
        <f t="array" ref="HS10">IF(_xlfn.TEXTJOIN(", ", TRUE, IF(ISNUMBER(SEARCH("RED", BL10:BT10)), COLUMN(BL10:BT10) - COLUMN(BL10) + 1, ""))&lt;&gt;"","RED","")</f>
        <v>RED</v>
      </c>
      <c r="HT10" s="48" t="str" cm="1">
        <f t="array" ref="HT10">IF(_xlfn.TEXTJOIN(", ", TRUE, IF(ISNUMBER(SEARCH("YEL", BL10:BT10)), COLUMN(BL10:BT10) - COLUMN(BL10) + 1, ""))&lt;&gt;"","YEL","")</f>
        <v/>
      </c>
      <c r="HU10" s="48" t="str" cm="1">
        <f t="array" ref="HU10">IF(_xlfn.TEXTJOIN(", ", TRUE, IF(ISNUMBER(SEARCH("ORA", BL10:BT10)), COLUMN(BL10:BT10) - COLUMN(BL10) + 1, ""))&lt;&gt;"","ORA","")</f>
        <v/>
      </c>
      <c r="HV10" s="48" t="str" cm="1">
        <f t="array" ref="HV10">IF(_xlfn.TEXTJOIN(", ", TRUE, IF(ISNUMBER(SEARCH("BRO", BL10:BT10)), COLUMN(BL10:BT10) - COLUMN(BL10) + 1, ""))&lt;&gt;"","BRO","")</f>
        <v/>
      </c>
      <c r="HW10" s="48" t="str" cm="1">
        <f t="array" ref="HW10">IF(_xlfn.TEXTJOIN(", ", TRUE, IF(ISNUMBER(SEARCH("PUR", BL10:BT10)), COLUMN(BL10:BT10) - COLUMN(BL10) + 1, ""))&lt;&gt;"","PUR","")</f>
        <v/>
      </c>
      <c r="HX10" s="48" t="str" cm="1">
        <f t="array" ref="HX10">IF(_xlfn.TEXTJOIN(", ", TRUE, IF(ISNUMBER(SEARCH("WHI", BL10:BT10)), COLUMN(BL10:BT10) - COLUMN(BL10) + 1, ""))&lt;&gt;"","WHI","")</f>
        <v>WHI</v>
      </c>
      <c r="HY10" s="76"/>
      <c r="HZ10" s="76"/>
      <c r="IA10" s="6"/>
      <c r="IB10" s="6"/>
      <c r="IC10" s="77"/>
      <c r="ID10" s="77"/>
      <c r="IE10" s="77"/>
      <c r="IF10" s="77"/>
      <c r="IG10" s="77"/>
      <c r="IH10" s="77"/>
      <c r="II10" s="77"/>
      <c r="IJ10" s="77"/>
      <c r="IK10" s="77"/>
      <c r="IM10" s="45">
        <f>COUNTIF(IC10:IK10,"&gt;0")-CG10</f>
        <v>-5</v>
      </c>
      <c r="IN10" s="78" t="str">
        <f>"http://mkweb.bcgsc.ca/color-summarizer/?url="&amp;D10&amp;"&amp;precision=low&amp;num_clusters="&amp;CG10&amp;"&amp;text=1"</f>
        <v>http://mkweb.bcgsc.ca/color-summarizer/?url=https://www.crwflags.com/fotw/images/c/cl-07a.gif&amp;precision=low&amp;num_clusters=5&amp;text=1</v>
      </c>
      <c r="IO10" s="48" t="str">
        <f>IF(HP10&lt;&gt;"",CHAR(34)&amp;"black"&amp;CHAR(34),"")</f>
        <v>"black"</v>
      </c>
      <c r="IP10" s="48" t="str">
        <f>IF(HQ10&lt;&gt;"",CHAR(34)&amp;"blue"&amp;CHAR(34),"")</f>
        <v>"blue"</v>
      </c>
      <c r="IQ10" s="48" t="str">
        <f>IF(HR10&lt;&gt;"",CHAR(34)&amp;"green"&amp;CHAR(34),"")</f>
        <v>"green"</v>
      </c>
      <c r="IR10" s="48" t="str">
        <f>IF(HS10&lt;&gt;"",CHAR(34)&amp;"red"&amp;CHAR(34),"")</f>
        <v>"red"</v>
      </c>
      <c r="IS10" s="48" t="str">
        <f>IF(HT10&lt;&gt;"",CHAR(34)&amp;"yellow"&amp;CHAR(34),"")</f>
        <v/>
      </c>
      <c r="IT10" s="48" t="str">
        <f>IF(HU10&lt;&gt;"",CHAR(34)&amp;"orange"&amp;CHAR(34),"")</f>
        <v/>
      </c>
      <c r="IU10" s="48" t="str">
        <f>IF(HV10&lt;&gt;"",CHAR(34)&amp;"brown"&amp;CHAR(34),"")</f>
        <v/>
      </c>
      <c r="IV10" s="48" t="str">
        <f>IF(HW10&lt;&gt;"",CHAR(34)&amp;"purple"&amp;CHAR(34),"")</f>
        <v/>
      </c>
      <c r="IW10" s="48" t="str">
        <f>IF(HX10&lt;&gt;"",CHAR(34)&amp;"white"&amp;CHAR(34),"")</f>
        <v>"white"</v>
      </c>
      <c r="IX10" s="48" t="str">
        <f>"{"&amp;CHAR(34)&amp;"url"&amp;CHAR(34)&amp;":"&amp;CHAR(34)&amp;IN10&amp;CHAR(34)&amp;","&amp;CHAR(34)&amp;"name"&amp;CHAR(34)&amp;":"&amp;CHAR(34)&amp;A10&amp;CHAR(34)&amp;"},"</f>
        <v>{"url":"http://mkweb.bcgsc.ca/color-summarizer/?url=https://www.crwflags.com/fotw/images/c/cl-07a.gif&amp;precision=low&amp;num_clusters=5&amp;text=1","name":"[CHL] Maule Region"},</v>
      </c>
      <c r="IY10" s="48">
        <v>1383</v>
      </c>
    </row>
    <row r="11" spans="1:259" s="48" customFormat="1" ht="38.4" customHeight="1" thickBot="1" x14ac:dyDescent="0.35">
      <c r="A11" s="79" t="s">
        <v>588</v>
      </c>
      <c r="B11" s="40" t="e" vm="65">
        <v>#VALUE!</v>
      </c>
      <c r="C11" s="41">
        <v>2</v>
      </c>
      <c r="D11" s="42" t="s">
        <v>589</v>
      </c>
      <c r="E11" s="43" t="s">
        <v>590</v>
      </c>
      <c r="F11" s="44" t="s">
        <v>166</v>
      </c>
      <c r="G11" s="45">
        <f>COUNTIF($A$1:$A$8294,A11)</f>
        <v>1</v>
      </c>
      <c r="H11" s="46"/>
      <c r="I11" s="47" t="s">
        <v>591</v>
      </c>
      <c r="J11" s="48" t="str">
        <f>""</f>
        <v/>
      </c>
      <c r="K11" s="49"/>
      <c r="L11" s="50"/>
      <c r="M11" s="50"/>
      <c r="N11" s="51" t="s">
        <v>169</v>
      </c>
      <c r="O11" s="52" t="s">
        <v>557</v>
      </c>
      <c r="P11" s="53" t="s">
        <v>592</v>
      </c>
      <c r="Q11" s="54">
        <v>3</v>
      </c>
      <c r="R11" s="55" t="s">
        <v>169</v>
      </c>
      <c r="S11" s="56">
        <v>0</v>
      </c>
      <c r="T11" s="57" t="s">
        <v>173</v>
      </c>
      <c r="U11" s="58" t="s">
        <v>172</v>
      </c>
      <c r="V11" s="58" t="s">
        <v>173</v>
      </c>
      <c r="W11" s="58" t="s">
        <v>173</v>
      </c>
      <c r="X11" s="58" t="s">
        <v>173</v>
      </c>
      <c r="Y11" s="58" t="s">
        <v>172</v>
      </c>
      <c r="Z11" s="58" t="s">
        <v>172</v>
      </c>
      <c r="AA11" s="58" t="s">
        <v>172</v>
      </c>
      <c r="AB11" s="58" t="s">
        <v>173</v>
      </c>
      <c r="AC11" s="58" t="s">
        <v>172</v>
      </c>
      <c r="AD11" s="58" t="s">
        <v>172</v>
      </c>
      <c r="AE11" s="58" t="s">
        <v>172</v>
      </c>
      <c r="AF11" s="59" t="s">
        <v>172</v>
      </c>
      <c r="AG11" s="59" t="s">
        <v>172</v>
      </c>
      <c r="AH11" s="59" t="s">
        <v>173</v>
      </c>
      <c r="AI11" s="59" t="s">
        <v>172</v>
      </c>
      <c r="AJ11" s="59" t="s">
        <v>172</v>
      </c>
      <c r="AK11" s="59" t="s">
        <v>172</v>
      </c>
      <c r="AL11" s="59" t="s">
        <v>172</v>
      </c>
      <c r="AM11" s="59" t="s">
        <v>173</v>
      </c>
      <c r="AN11" s="59" t="s">
        <v>172</v>
      </c>
      <c r="AO11" s="59" t="s">
        <v>173</v>
      </c>
      <c r="AP11" s="59" t="s">
        <v>172</v>
      </c>
      <c r="AQ11" s="59" t="s">
        <v>172</v>
      </c>
      <c r="AR11" s="59" t="s">
        <v>172</v>
      </c>
      <c r="AS11" s="59" t="s">
        <v>172</v>
      </c>
      <c r="AT11" s="60">
        <v>0</v>
      </c>
      <c r="AU11" s="59" t="s">
        <v>553</v>
      </c>
      <c r="AV11" s="59" t="str">
        <f>IF(LEFT(A11,1)="[",LEFT(A11,5)&amp;AU11&amp;A11,"")</f>
        <v>[CHL]Region[CHL] Santiago Metropolitan Region</v>
      </c>
      <c r="AW11" s="59" t="str">
        <f>C11&amp;A11</f>
        <v>2[CHL] Santiago Metropolitan Region</v>
      </c>
      <c r="AX11" s="61"/>
      <c r="AY11" s="61"/>
      <c r="AZ11" s="62" t="s">
        <v>159</v>
      </c>
      <c r="BA11" s="62" t="s">
        <v>174</v>
      </c>
      <c r="BB11" s="62"/>
      <c r="BC11" s="63"/>
      <c r="BD11" s="64" t="s">
        <v>217</v>
      </c>
      <c r="BE11" s="47"/>
      <c r="BF11" s="64" t="s">
        <v>152</v>
      </c>
      <c r="BG11" s="64" t="s">
        <v>174</v>
      </c>
      <c r="BH11" s="64" t="s">
        <v>154</v>
      </c>
      <c r="BI11" s="64"/>
      <c r="BJ11" s="64"/>
      <c r="BK11" s="47"/>
      <c r="BL11" s="64" t="s">
        <v>151</v>
      </c>
      <c r="BM11" s="64" t="s">
        <v>152</v>
      </c>
      <c r="BN11" s="64" t="s">
        <v>174</v>
      </c>
      <c r="BO11" s="64" t="s">
        <v>154</v>
      </c>
      <c r="BP11" s="64" t="s">
        <v>174</v>
      </c>
      <c r="BQ11" s="64" t="s">
        <v>174</v>
      </c>
      <c r="BR11" s="64" t="s">
        <v>174</v>
      </c>
      <c r="BS11" s="64" t="s">
        <v>174</v>
      </c>
      <c r="BT11" s="64" t="s">
        <v>159</v>
      </c>
      <c r="BU11" s="65"/>
      <c r="BV11" s="66"/>
      <c r="BW11" s="66">
        <v>0</v>
      </c>
      <c r="BX11" s="47"/>
      <c r="BY11" s="48" t="s">
        <v>173</v>
      </c>
      <c r="CB11" s="6"/>
      <c r="CC11" s="6"/>
      <c r="CD11" s="67">
        <v>0</v>
      </c>
      <c r="CE11" s="67">
        <v>0</v>
      </c>
      <c r="CF11" s="67" t="e">
        <v>#REF!</v>
      </c>
      <c r="CG11" s="68" cm="1">
        <f t="array" ref="CG11">SUMPRODUCT(--(LEN(TRIM(BL11:BT11))&gt;0))</f>
        <v>4</v>
      </c>
      <c r="CH11" s="59" t="str">
        <f>IF(CG11=2,"y","n")</f>
        <v>n</v>
      </c>
      <c r="CI11" s="59" t="str">
        <f>IF(CG11=3,"y","n")</f>
        <v>n</v>
      </c>
      <c r="CJ11" s="59" t="str">
        <f>IF(CG11=4,"y","n")</f>
        <v>y</v>
      </c>
      <c r="CK11" s="59" t="str">
        <f>IF(CG11&gt;4,"y","n")</f>
        <v>n</v>
      </c>
      <c r="CL11" s="59" t="str">
        <f>IF(S11=0,"y","n")</f>
        <v>y</v>
      </c>
      <c r="CM11" s="59" t="str">
        <f>IF(S11=2,"y","n")</f>
        <v>n</v>
      </c>
      <c r="CN11" s="59" t="str">
        <f>IF(S11=3,"y","n")</f>
        <v>n</v>
      </c>
      <c r="CO11" s="59" t="str">
        <f>IF(S11&gt;=4,"y","n")</f>
        <v>n</v>
      </c>
      <c r="CP11" s="59" t="str">
        <f>IF(AT11=0,"y","n")</f>
        <v>y</v>
      </c>
      <c r="CQ11" s="59" t="str">
        <f>IF(AT11=1,"y","n")</f>
        <v>n</v>
      </c>
      <c r="CR11" s="59" t="str">
        <f>IF(AT11=2,"y","n")</f>
        <v>n</v>
      </c>
      <c r="CS11" s="59" t="str">
        <f>IF(AT11&gt;=3,"y","n")</f>
        <v>n</v>
      </c>
      <c r="CT11" s="69" t="str">
        <f>CHAR(34)&amp;A11&amp;CHAR(34)</f>
        <v>"[CHL] Santiago Metropolitan Region"</v>
      </c>
      <c r="CU11" s="70" t="str">
        <f>CHAR(34)&amp;"rgn_"&amp;R11&amp;CHAR(34)</f>
        <v>"rgn_South America"</v>
      </c>
      <c r="CV11" s="48" t="str">
        <f>CHAR(34)&amp;D11&amp;CHAR(34)</f>
        <v>"https://upload.wikimedia.org/wikipedia/commons/thumb/8/8d/Flag_of_the_Metropolitan_Region%2C_Chile.svg/640px-Flag_of_the_Metropolitan_Region%2C_Chile.svg.png"</v>
      </c>
      <c r="CW11" s="48" t="str">
        <f t="shared" si="15"/>
        <v/>
      </c>
      <c r="CX11" s="48" t="str">
        <f t="shared" si="15"/>
        <v/>
      </c>
      <c r="CY11" s="48" t="str">
        <f t="shared" si="15"/>
        <v>"4Color",</v>
      </c>
      <c r="CZ11" s="48" t="str">
        <f t="shared" si="15"/>
        <v/>
      </c>
      <c r="DA11" s="48" t="str">
        <f>IF(Q11&gt;1,CHAR(34)&amp;"words2"&amp;CHAR(34)&amp;",","")</f>
        <v>"words2",</v>
      </c>
      <c r="DB11" s="48" t="str">
        <f>IF(Q11&gt;2,CHAR(34)&amp;"words3"&amp;CHAR(34)&amp;",","")</f>
        <v>"words3",</v>
      </c>
      <c r="DD11" s="48" t="str">
        <f>IF(LEN(CHAR(34)&amp;"lets"&amp;LEN(SUBSTITUTE(SUBSTITUTE(IFERROR(TRIM(SUBSTITUTE(A11,MID(A11,FIND("[",A11),FIND("]",A11)-FIND("[",A11)+1),"")),A11)," ",""),"-",""))&amp;CHAR(34)&amp;",")=9,CHAR(34)&amp;"lets"&amp;LEN(SUBSTITUTE(SUBSTITUTE(IFERROR(TRIM(SUBSTITUTE(A11,MID(A11,FIND("[",A11),FIND("]",A11)-FIND("[",A11)+1),"")),A11)," ",""),"-",""))&amp;CHAR(34)&amp;",",CHAR(34)&amp;"lets0"&amp;LEN(SUBSTITUTE(SUBSTITUTE(IFERROR(TRIM(SUBSTITUTE(A11,MID(A11,FIND("[",A11),FIND("]",A11)-FIND("[",A11)+1),"")),A11)," ",""),"-",""))&amp;CHAR(34)&amp;",")</f>
        <v>"lets26",</v>
      </c>
      <c r="DE11" s="48" t="str">
        <f>CHAR(34)&amp;"start"&amp;IFERROR(LEFT(SUBSTITUTE(A11,"["&amp;MID(A11,FIND("[",A11)+1,FIND("]",A11)-FIND("[",A11)-1)&amp;"] ",""),1),LEFT(A11,1))&amp;CHAR(34)&amp;","</f>
        <v>"startS",</v>
      </c>
      <c r="DF11" s="48" t="str">
        <f>IFERROR(IF(SEARCH("tan",A11)&gt;0,CHAR(34)&amp;"withtn"&amp;CHAR(34)&amp;",",""),"")</f>
        <v>"withtn",</v>
      </c>
      <c r="DG11" s="48" t="str">
        <f>IFERROR(IF(SEARCH("q",A11)&gt;0,CHAR(34)&amp;"with_q"&amp;CHAR(34)&amp;",",""),"")</f>
        <v/>
      </c>
      <c r="DH11" s="48" t="str">
        <f>IFERROR(IF(SEARCH("v",A11)&gt;0,CHAR(34)&amp;"with_v"&amp;CHAR(34)&amp;",",""),"")</f>
        <v/>
      </c>
      <c r="DI11" s="48" t="str">
        <f>IFERROR(IF(SEARCH("w",A11)&gt;0,CHAR(34)&amp;"with_w"&amp;CHAR(34)&amp;",",""),"")</f>
        <v/>
      </c>
      <c r="DJ11" s="48" t="str">
        <f>IFERROR(IF(SEARCH("y",A11)&gt;0,CHAR(34)&amp;"with_y"&amp;CHAR(34)&amp;",",""),"")</f>
        <v/>
      </c>
      <c r="DK11" s="48" t="str">
        <f>IFERROR(IF(SEARCH("z",A11)&gt;0,CHAR(34)&amp;"with_z"&amp;CHAR(34)&amp;",",""),"")</f>
        <v/>
      </c>
      <c r="DL11" s="48" t="str">
        <f>IF(CG11=2, CHAR(34) &amp; _xlfn.TEXTJOIN("", TRUE, _xlfn._xlws.SORT(HP11:HX11)) &amp; CHAR(34) &amp; ",", "")</f>
        <v/>
      </c>
      <c r="DM11" s="48" t="str" cm="1">
        <f t="array" ref="DM11">IF(CG11=3,CHAR(34) &amp; _xlfn.TEXTJOIN("", TRUE, RIGHT(HP11:HX11, 2)) &amp; CHAR(34) &amp; ",", "")</f>
        <v/>
      </c>
      <c r="DN11" s="48" t="str">
        <f>IF(AND(ISNUMBER(SEARCH("18", O11)), ISERROR(SEARCH("1918", O11)), ISERROR(SEARCH("2018", O11))), CHAR(34) &amp; "year18" &amp; CHAR(34) &amp; ",", "")</f>
        <v/>
      </c>
      <c r="DO11" s="48" t="str">
        <f>IF(AND(ISNUMBER(SEARCH("19", O11)), ISERROR(SEARCH("1819", O11)),  ISERROR(SEARCH("1219", O11)),ISERROR(SEARCH("1119", O11)),ISERROR(SEARCH("1190", O11)),ISERROR(SEARCH("2019", O11))), CHAR(34) &amp; "year19" &amp; CHAR(34) &amp; ",", "")</f>
        <v/>
      </c>
      <c r="DP11" s="6" t="str">
        <f>IF(AND(ISNUMBER(SEARCH("20", O11)), ISERROR(SEARCH("1920", O11))), CHAR(34)&amp;"year00"&amp;CHAR(34)&amp;",", "")</f>
        <v/>
      </c>
      <c r="DQ11" s="6" t="str">
        <f>IF(CC11="y",CHAR(34)&amp;"soviet"&amp;CHAR(34)&amp;",","")</f>
        <v/>
      </c>
      <c r="DR11" s="6" t="str">
        <f>IF(BY11="y",CHAR(34)&amp;"dgband"&amp;CHAR(34)&amp;",","")</f>
        <v>"dgband",</v>
      </c>
      <c r="DS11" s="6" t="str">
        <f>IF(W11="y",IF(AND(V11="n",BY11&lt;&gt;"y"),CHAR(34)&amp;"allver"&amp;CHAR(34)&amp;",",""),"")</f>
        <v/>
      </c>
      <c r="DT11" s="6" t="str">
        <f>IF(V11="y",IF(AND(W11="n",BY11&lt;&gt;"y"),CHAR(34)&amp;"allhor"&amp;CHAR(34)&amp;",",""),"")</f>
        <v/>
      </c>
      <c r="DU11" s="6" t="str">
        <f>IF(BY11="y",IF(AND(W11="n",V11="n"),CHAR(34)&amp;"alldia"&amp;CHAR(34)&amp;",",""),"")</f>
        <v/>
      </c>
      <c r="DW11" s="48" t="str">
        <f t="shared" si="37"/>
        <v>"NoBand",</v>
      </c>
      <c r="DX11" s="48" t="str">
        <f t="shared" si="37"/>
        <v/>
      </c>
      <c r="DY11" s="48" t="str">
        <f t="shared" si="37"/>
        <v/>
      </c>
      <c r="DZ11" s="48" t="str">
        <f t="shared" si="37"/>
        <v/>
      </c>
      <c r="EA11" s="48" t="str">
        <f t="shared" si="38"/>
        <v>"Diagon",</v>
      </c>
      <c r="EB11" s="48" t="str">
        <f t="shared" si="38"/>
        <v/>
      </c>
      <c r="EC11" s="48" t="str">
        <f t="shared" si="38"/>
        <v>"Horizo",</v>
      </c>
      <c r="ED11" s="48" t="str">
        <f t="shared" si="38"/>
        <v>"Vertic",</v>
      </c>
      <c r="EE11" s="48" t="str">
        <f t="shared" si="38"/>
        <v>"Circle",</v>
      </c>
      <c r="EF11" s="48" t="str">
        <f>IF(AND(Y11&lt;&gt;"n",Y11&lt;&gt;""),CHAR(34)&amp;Y$1&amp;CHAR(34)&amp;",","")</f>
        <v/>
      </c>
      <c r="EG11" s="48" t="str">
        <f t="shared" si="40"/>
        <v/>
      </c>
      <c r="EH11" s="48" t="str">
        <f t="shared" si="40"/>
        <v/>
      </c>
      <c r="EI11" s="48" t="str">
        <f t="shared" si="40"/>
        <v>"Texted",</v>
      </c>
      <c r="EJ11" s="48" t="str">
        <f t="shared" si="40"/>
        <v/>
      </c>
      <c r="EK11" s="48" t="str">
        <f t="shared" si="40"/>
        <v/>
      </c>
      <c r="EL11" s="48" t="str">
        <f t="shared" si="40"/>
        <v/>
      </c>
      <c r="EM11" s="48" t="str">
        <f t="shared" si="40"/>
        <v/>
      </c>
      <c r="EN11" s="48" t="str">
        <f t="shared" si="40"/>
        <v/>
      </c>
      <c r="EO11" s="48" t="str">
        <f t="shared" si="40"/>
        <v>"Center",</v>
      </c>
      <c r="EP11" s="48" t="str">
        <f t="shared" si="40"/>
        <v/>
      </c>
      <c r="EQ11" s="48" t="str">
        <f t="shared" si="40"/>
        <v/>
      </c>
      <c r="ER11" s="48" t="str">
        <f t="shared" si="40"/>
        <v/>
      </c>
      <c r="ES11" s="48" t="str">
        <f t="shared" si="40"/>
        <v/>
      </c>
      <c r="ET11" s="48" t="str">
        <f t="shared" si="40"/>
        <v>"Geogrh",</v>
      </c>
      <c r="EU11" s="48" t="str">
        <f t="shared" si="40"/>
        <v/>
      </c>
      <c r="EV11" s="48" t="str">
        <f t="shared" si="40"/>
        <v>"Builds",</v>
      </c>
      <c r="EW11" s="48" t="str">
        <f t="shared" si="40"/>
        <v/>
      </c>
      <c r="EX11" s="48" t="str">
        <f t="shared" si="40"/>
        <v/>
      </c>
      <c r="EY11" s="48" t="str">
        <f t="shared" si="40"/>
        <v/>
      </c>
      <c r="EZ11" s="48" t="str">
        <f t="shared" si="40"/>
        <v/>
      </c>
      <c r="FA11" s="48" t="str">
        <f>IF(AT11&gt;0,CHAR(34)&amp;"sta"&amp;AZ11&amp;CHAR(34)&amp;",","")</f>
        <v/>
      </c>
      <c r="FB11" s="48" t="str">
        <f>IF(AND(AT11&gt;0,BA11&lt;&gt;""),CHAR(34)&amp;"sta"&amp;BA11&amp;CHAR(34)&amp;",","")</f>
        <v/>
      </c>
      <c r="FD11" s="48" t="str">
        <f>IF(BV11="n",CHAR(34)&amp;"tcWHYE"&amp;CHAR(34)&amp;",",IF(BV11="y",CHAR(34)&amp;FD$1&amp;CHAR(34)&amp;",",""))</f>
        <v/>
      </c>
      <c r="FE11" s="48" t="str">
        <f>IF(COUNTIF(BL11:BT11,"BLU")=0,CHAR(34)&amp;"NO_BLU"&amp;CHAR(34)&amp;",", "")</f>
        <v/>
      </c>
      <c r="FF11" s="48" t="str">
        <f>IF(COUNTIF(BL11:BT11,"WHI")=0,CHAR(34)&amp;"NO_WHI"&amp;CHAR(34)&amp;",", "")</f>
        <v/>
      </c>
      <c r="FG11" s="48" t="str">
        <f>IF(COUNTIF(BL11:BT11,"RED")=0,CHAR(34)&amp;"NO_RED"&amp;CHAR(34)&amp;",", "")</f>
        <v/>
      </c>
      <c r="FH11" s="48" t="str">
        <f>IF(COUNTIF(BL11:BS11,"GRE")=0,CHAR(34)&amp;"NO_GRE"&amp;CHAR(34)&amp;",", "")</f>
        <v>"NO_GRE",</v>
      </c>
      <c r="FI11" s="48" t="str">
        <f>IF(COUNTIF(BL11:BT11,"YEL")=0,CHAR(34)&amp;"NO_YEL"&amp;CHAR(34)&amp;",", "")</f>
        <v>"NO_YEL",</v>
      </c>
      <c r="FJ11" s="48" t="str">
        <f>IF(COUNTIF(BL11:BT11,"BLA")=0,CHAR(34)&amp;"NO_BLA"&amp;CHAR(34)&amp;",", "")</f>
        <v/>
      </c>
      <c r="FK11" s="48" t="str">
        <f>IF(AND(FH11&lt;&gt;"",FF11&lt;&gt;""),CHAR(34)&amp;"WHGRNO"&amp;CHAR(34)&amp;",","")</f>
        <v/>
      </c>
      <c r="FL11" s="48" t="str">
        <f>IF(AND(FI11&lt;&gt;"",FF11&lt;&gt;""),CHAR(34)&amp;"WHYENO"&amp;CHAR(34)&amp;",","")</f>
        <v/>
      </c>
      <c r="FM11" s="48" t="str">
        <f>IF(AND(FJ11&lt;&gt;"",FF11&lt;&gt;""),CHAR(34)&amp;"BAWHNO"&amp;CHAR(34)&amp;",","")</f>
        <v/>
      </c>
      <c r="FN11" s="48" t="str">
        <f>IF(AND(FE11&lt;&gt;"",FF11&lt;&gt;""),CHAR(34)&amp;"BLWHNO"&amp;CHAR(34)&amp;",","")</f>
        <v/>
      </c>
      <c r="FO11" s="48" t="str">
        <f>IF(AND(FE11&lt;&gt;"",FG11&lt;&gt;""),CHAR(34)&amp;"BLRENO"&amp;CHAR(34)&amp;",","")</f>
        <v/>
      </c>
      <c r="FP11" s="48" t="str">
        <f>IF(AND(FF11&lt;&gt;"",FF11&lt;&gt;""),CHAR(34)&amp;"WHRENO"&amp;CHAR(34)&amp;",","")</f>
        <v/>
      </c>
      <c r="FQ11" s="48" t="str">
        <f>IF(LEN(BF11)=3,CHAR(34)&amp;"001"&amp;BF11&amp;CHAR(34)&amp;",","")</f>
        <v>"001BLU",</v>
      </c>
      <c r="FR11" s="48" t="str">
        <f>IF(LEN(BG11)=3,CHAR(34)&amp;"002"&amp;BG11&amp;CHAR(34)&amp;",","")</f>
        <v/>
      </c>
      <c r="FS11" s="48" t="str">
        <f>IF(LEN(BH11)=3,CHAR(34)&amp;"003"&amp;BH11&amp;CHAR(34)&amp;",","")</f>
        <v>"003RED",</v>
      </c>
      <c r="FT11" s="48" t="str">
        <f>CHAR(34)&amp;"myr"&amp;BD11&amp;CHAR(34)&amp;","</f>
        <v>"myrEQ",</v>
      </c>
      <c r="FU11" s="48" t="str">
        <f>IF(AY11="y",CHAR(34)&amp;"island"&amp;CHAR(34)&amp;",","")</f>
        <v/>
      </c>
      <c r="FV11" s="48" t="str">
        <f>IF(BZ11="y",CHAR(34)&amp;"landlo"&amp;CHAR(34)&amp;",","")</f>
        <v/>
      </c>
      <c r="FW11" s="48" t="str">
        <f>IF(CA11="y",CHAR(34)&amp;"eunion"&amp;CHAR(34)&amp;",","")</f>
        <v/>
      </c>
      <c r="FY11" s="48" t="str">
        <f>IFERROR(IF(SEARCH("Arabic",CB11)&gt;0,CHAR(34)&amp;"arabic"&amp;CHAR(34)&amp;",",""),"")</f>
        <v/>
      </c>
      <c r="FZ11" s="48" t="str">
        <f>IFERROR(IF(SEARCH("English",CB11)&gt;0,CHAR(34)&amp;"englis"&amp;CHAR(34)&amp;",",""),"")</f>
        <v/>
      </c>
      <c r="GA11" s="48" t="str">
        <f>IFERROR(IF(SEARCH("French",CB11)&gt;0,CHAR(34)&amp;"french"&amp;CHAR(34)&amp;",",""),"")</f>
        <v/>
      </c>
      <c r="GB11" s="48" t="str">
        <f>IFERROR(IF(SEARCH("Spanish",CB11)&gt;0,CHAR(34)&amp;"spanis"&amp;CHAR(34)&amp;",",""),"")</f>
        <v/>
      </c>
      <c r="GE11" s="48" t="str">
        <f>IFERROR(IF(SEARCH("Dutch",CB11)&gt;0,CHAR(34)&amp;"dutchs"&amp;CHAR(34)&amp;",",""),"")</f>
        <v/>
      </c>
      <c r="GF11" s="48" t="str">
        <f>IFERROR(IF(SEARCH("Historical",AU11)&gt;0,CHAR(34)&amp;"histor"&amp;CHAR(34)&amp;",",""),"")</f>
        <v/>
      </c>
      <c r="GG11" s="48" t="str">
        <f>IF(BU11="y",CHAR(34)&amp;"unjack"&amp;CHAR(34)&amp;",","")</f>
        <v/>
      </c>
      <c r="GH11" s="48" t="str">
        <f>IF(CD11=1,CHAR(34)&amp;"southc"&amp;CHAR(34)&amp;",","")</f>
        <v/>
      </c>
      <c r="GI11" s="48" t="str">
        <f>IF(CE11=1,CHAR(34)&amp;"hasmap"&amp;CHAR(34)&amp;",","")</f>
        <v/>
      </c>
      <c r="GJ11" s="48" t="str">
        <f>IF(CP11="y",CHAR(34)&amp;CP$1&amp;CHAR(34)&amp;",","")</f>
        <v>"NoStar",</v>
      </c>
      <c r="GK11" s="48" t="str">
        <f>IF(GJ11="",CHAR(34)&amp;"HasSta"&amp;CHAR(34)&amp;",","")</f>
        <v/>
      </c>
      <c r="GL11" s="48" t="str">
        <f t="shared" si="78"/>
        <v/>
      </c>
      <c r="GM11" s="48" t="str">
        <f t="shared" si="78"/>
        <v/>
      </c>
      <c r="GN11" s="48" t="str">
        <f t="shared" si="78"/>
        <v/>
      </c>
      <c r="GP11" s="48" t="str">
        <f>CHAR(34)&amp;AU11&amp;CHAR(34)</f>
        <v>"Region"</v>
      </c>
      <c r="GS11" s="48" t="str">
        <f>SUBSTITUTE("["&amp;_xlfn.CONCAT(CW11:GN11)&amp;"]",",]","]")</f>
        <v>["4Color","words2","words3","lets26","startS","withtn","dgband","NoBand","Diagon","Horizo","Vertic","Circle","Texted","Center","Geogrh","Builds","NO_GRE","NO_YEL","001BLU","003RED","myrEQ","NoStar"]</v>
      </c>
      <c r="GT11" s="48" t="str">
        <f t="shared" si="81"/>
        <v>"cl_BLA",</v>
      </c>
      <c r="GU11" s="48" t="str">
        <f t="shared" si="81"/>
        <v>"cl_BLU",</v>
      </c>
      <c r="GV11" s="48" t="str">
        <f t="shared" si="81"/>
        <v/>
      </c>
      <c r="GW11" s="48" t="str">
        <f t="shared" si="81"/>
        <v>"cl_RED",</v>
      </c>
      <c r="GX11" s="48" t="str">
        <f t="shared" si="81"/>
        <v/>
      </c>
      <c r="GY11" s="48" t="str">
        <f t="shared" si="81"/>
        <v/>
      </c>
      <c r="GZ11" s="48" t="str">
        <f t="shared" si="81"/>
        <v/>
      </c>
      <c r="HA11" s="48" t="str">
        <f t="shared" si="81"/>
        <v/>
      </c>
      <c r="HB11" s="48" t="str">
        <f t="shared" si="81"/>
        <v>"cl_WHI",</v>
      </c>
      <c r="HC11" s="48" t="str">
        <f>SUBSTITUTE("["&amp;_xlfn.CONCAT(GT11:HB11)&amp;"]",",]","]")</f>
        <v>["cl_BLA","cl_BLU","cl_RED","cl_WHI"]</v>
      </c>
      <c r="HE11" s="71"/>
      <c r="HF11" s="72" t="str">
        <f>"{couname:"&amp;CT11&amp;(IF(HK11&lt;&gt;"",",subtype:"&amp;CHAR(34)&amp;HK11&amp;CHAR(34),""))&amp;",year:"&amp;HJ11&amp;",region:"&amp;CU11&amp;",Colors:"&amp;HC11&amp;",Items:"&amp;GS11&amp;",Flag:"&amp;CV11&amp;",HDFlag:"&amp;CHAR(34)&amp;E11&amp;CHAR(34)&amp;",type:"&amp;GP11&amp;", describe: "&amp;HH11&amp;", isnew:"&amp;CHAR(34)&amp;F11&amp;CHAR(34)&amp;", links: "&amp;HL11&amp;"},"</f>
        <v>{couname:"[CHL] Santiago Metropolitan Region",year:"???",region:"rgn_South America",Colors:["cl_BLA","cl_BLU","cl_RED","cl_WHI"],Items:["4Color","words2","words3","lets26","startS","withtn","dgband","NoBand","Diagon","Horizo","Vertic","Circle","Texted","Center","Geogrh","Builds","NO_GRE","NO_YEL","001BLU","003RED","myrEQ","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Region", describe: "\nThe flag appears to feature the logo of the Santiago Metropolitan Regional Government on a dark grey field.\nRandy Young, 23 August 2018", isnew:".", links: "https://www.crwflags.com/fotw/flags/cl-13.html"},</v>
      </c>
      <c r="HG11" s="73" t="str">
        <f>"{couname:"&amp;CT11&amp;(IF(HK11&lt;&gt;"",",subtype:"&amp;CHAR(34)&amp;HK11&amp;CHAR(34),""))&amp;",year:"&amp;HJ11&amp;",region:"&amp;CU11&amp;",Colors:"&amp;HC11&amp;",Items:"&amp;GS11&amp;",Flag:"&amp;CV11&amp;",HDFlag:"&amp;CHAR(34)&amp;E11&amp;CHAR(34)&amp;",type:"&amp;GP11&amp;", describe: "&amp;HI11&amp;", links: "&amp;HL11&amp;"},"</f>
        <v>{couname:"[CHL] Santiago Metropolitan Region",year:"???",region:"rgn_South America",Colors:["cl_BLA","cl_BLU","cl_RED","cl_WHI"],Items:["4Color","words2","words3","lets26","startS","withtn","dgband","NoBand","Diagon","Horizo","Vertic","Circle","Texted","Center","Geogrh","Builds","NO_GRE","NO_YEL","001BLU","003RED","myrEQ","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Region", describe: "\nThe flag appears to feature the logo of the Santiago Metropolitan Regional Government on a dark grey field.\nRandy Young, 23 August 2018", links: "https://www.crwflags.com/fotw/flags/cl-13.html"},</v>
      </c>
      <c r="HH11" s="48" t="str">
        <f>IF(P11&lt;&gt;"",CHAR(34)&amp;"\n"&amp;P11&amp;CHAR(34),CHAR(34)&amp;CHAR(34))</f>
        <v>"\nThe flag appears to feature the logo of the Santiago Metropolitan Regional Government on a dark grey field.\nRandy Young, 23 August 2018"</v>
      </c>
      <c r="HI11" s="48" t="str">
        <f>IF(J11=0,CHAR(34)&amp;CHAR(34),HH11)</f>
        <v>"\nThe flag appears to feature the logo of the Santiago Metropolitan Regional Government on a dark grey field.\nRandy Young, 23 August 2018"</v>
      </c>
      <c r="HJ11" s="48" t="str">
        <f>CHAR(34)&amp;O11&amp;CHAR(34)</f>
        <v>"???"</v>
      </c>
      <c r="HL11" s="48" t="str">
        <f>CHAR(34)&amp;I11&amp;CHAR(34)</f>
        <v>"https://www.crwflags.com/fotw/flags/cl-13.html"</v>
      </c>
      <c r="HM11" s="72"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{"couname":"[CHL] Santiago Metropolitan Region","year":"???","region":"rgn_South America","Colors":["cl_BLA","cl_BLU","cl_RED","cl_WHI"],"Items":["4Color","words2","words3","lets26","startS","withtn","dgband","NoBand","Diagon","Horizo","Vertic","Circle","Texted","Center","Geogrh","Builds","NO_GRE","NO_YEL","001BLU","003RED","myrEQ","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Region", "describe": "\nThe flag appears to feature the logo of the Santiago Metropolitan Regional Government on a dark grey field.\nRandy Young, 23 August 2018", "isnew": ".", "links": "https://www.crwflags.com/fotw/flags/cl-13.html"},</v>
      </c>
      <c r="HN11" s="74"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{"couname":"[CHL] Santiago Metropolitan Region","year":"???","region":"rgn_South America","Colors":["cl_BLA","cl_BLU","cl_RED","cl_WHI"],"Items":["4Color","words2","words3","lets26","startS","withtn","dgband","NoBand","Diagon","Horizo","Vertic","Circle","Texted","Center","Geogrh","Builds","NO_GRE","NO_YEL","001BLU","003RED","myrEQ","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Region", "describe": "\nThe flag appears to feature the logo of the Santiago Metropolitan Regional Government on a dark grey field.\nRandy Young, 23 August 2018", "isnew": ".", "links": "https://www.crwflags.com/fotw/flags/cl-13.html"},</v>
      </c>
      <c r="HO11" s="75">
        <v>45618</v>
      </c>
      <c r="HP11" s="48" t="str" cm="1">
        <f t="array" ref="HP11">IF(_xlfn.TEXTJOIN(", ", TRUE, IF(ISNUMBER(SEARCH("BLA", BL11:BT11)), COLUMN(BL11:BT11) - COLUMN(BL11) + 1, ""))&lt;&gt;"","BLA","")</f>
        <v>BLA</v>
      </c>
      <c r="HQ11" s="48" t="str" cm="1">
        <f t="array" ref="HQ11">IF(_xlfn.TEXTJOIN(", ", TRUE, IF(ISNUMBER(SEARCH("BLU", BL11:BT11)), COLUMN(BL11:BT11) - COLUMN(BL11) + 1, ""))&lt;&gt;"","BLU","")</f>
        <v>BLU</v>
      </c>
      <c r="HR11" s="48" t="str" cm="1">
        <f t="array" ref="HR11">IF(_xlfn.TEXTJOIN(", ", TRUE, IF(ISNUMBER(SEARCH("GRE", BL11:BT11)), COLUMN(BL11:BT11) - COLUMN(BL11) + 1, ""))&lt;&gt;"","GRE","")</f>
        <v/>
      </c>
      <c r="HS11" s="48" t="str" cm="1">
        <f t="array" ref="HS11">IF(_xlfn.TEXTJOIN(", ", TRUE, IF(ISNUMBER(SEARCH("RED", BL11:BT11)), COLUMN(BL11:BT11) - COLUMN(BL11) + 1, ""))&lt;&gt;"","RED","")</f>
        <v>RED</v>
      </c>
      <c r="HT11" s="48" t="str" cm="1">
        <f t="array" ref="HT11">IF(_xlfn.TEXTJOIN(", ", TRUE, IF(ISNUMBER(SEARCH("YEL", BL11:BT11)), COLUMN(BL11:BT11) - COLUMN(BL11) + 1, ""))&lt;&gt;"","YEL","")</f>
        <v/>
      </c>
      <c r="HU11" s="48" t="str" cm="1">
        <f t="array" ref="HU11">IF(_xlfn.TEXTJOIN(", ", TRUE, IF(ISNUMBER(SEARCH("ORA", BL11:BT11)), COLUMN(BL11:BT11) - COLUMN(BL11) + 1, ""))&lt;&gt;"","ORA","")</f>
        <v/>
      </c>
      <c r="HV11" s="48" t="str" cm="1">
        <f t="array" ref="HV11">IF(_xlfn.TEXTJOIN(", ", TRUE, IF(ISNUMBER(SEARCH("BRO", BL11:BT11)), COLUMN(BL11:BT11) - COLUMN(BL11) + 1, ""))&lt;&gt;"","BRO","")</f>
        <v/>
      </c>
      <c r="HW11" s="48" t="str" cm="1">
        <f t="array" ref="HW11">IF(_xlfn.TEXTJOIN(", ", TRUE, IF(ISNUMBER(SEARCH("PUR", BL11:BT11)), COLUMN(BL11:BT11) - COLUMN(BL11) + 1, ""))&lt;&gt;"","PUR","")</f>
        <v/>
      </c>
      <c r="HX11" s="48" t="str" cm="1">
        <f t="array" ref="HX11">IF(_xlfn.TEXTJOIN(", ", TRUE, IF(ISNUMBER(SEARCH("WHI", BL11:BT11)), COLUMN(BL11:BT11) - COLUMN(BL11) + 1, ""))&lt;&gt;"","WHI","")</f>
        <v>WHI</v>
      </c>
      <c r="HY11" s="76"/>
      <c r="HZ11" s="76"/>
      <c r="IA11" s="6"/>
      <c r="IB11" s="6"/>
      <c r="IC11" s="77"/>
      <c r="ID11" s="77"/>
      <c r="IE11" s="77"/>
      <c r="IF11" s="77"/>
      <c r="IG11" s="77"/>
      <c r="IH11" s="77"/>
      <c r="II11" s="77"/>
      <c r="IJ11" s="77"/>
      <c r="IK11" s="77"/>
      <c r="IM11" s="45">
        <f>COUNTIF(IC11:IK11,"&gt;0")-CG11</f>
        <v>-4</v>
      </c>
      <c r="IN11" s="78" t="str">
        <f>"http://mkweb.bcgsc.ca/color-summarizer/?url="&amp;D11&amp;"&amp;precision=low&amp;num_clusters="&amp;CG11&amp;"&amp;text=1"</f>
        <v>http://mkweb.bcgsc.ca/color-summarizer/?url=https://upload.wikimedia.org/wikipedia/commons/thumb/8/8d/Flag_of_the_Metropolitan_Region%2C_Chile.svg/640px-Flag_of_the_Metropolitan_Region%2C_Chile.svg.png&amp;precision=low&amp;num_clusters=4&amp;text=1</v>
      </c>
      <c r="IO11" s="48" t="str">
        <f>IF(HP11&lt;&gt;"",CHAR(34)&amp;"black"&amp;CHAR(34),"")</f>
        <v>"black"</v>
      </c>
      <c r="IP11" s="48" t="str">
        <f>IF(HQ11&lt;&gt;"",CHAR(34)&amp;"blue"&amp;CHAR(34),"")</f>
        <v>"blue"</v>
      </c>
      <c r="IQ11" s="48" t="str">
        <f>IF(HR11&lt;&gt;"",CHAR(34)&amp;"green"&amp;CHAR(34),"")</f>
        <v/>
      </c>
      <c r="IR11" s="48" t="str">
        <f>IF(HS11&lt;&gt;"",CHAR(34)&amp;"red"&amp;CHAR(34),"")</f>
        <v>"red"</v>
      </c>
      <c r="IS11" s="48" t="str">
        <f>IF(HT11&lt;&gt;"",CHAR(34)&amp;"yellow"&amp;CHAR(34),"")</f>
        <v/>
      </c>
      <c r="IT11" s="48" t="str">
        <f>IF(HU11&lt;&gt;"",CHAR(34)&amp;"orange"&amp;CHAR(34),"")</f>
        <v/>
      </c>
      <c r="IU11" s="48" t="str">
        <f>IF(HV11&lt;&gt;"",CHAR(34)&amp;"brown"&amp;CHAR(34),"")</f>
        <v/>
      </c>
      <c r="IV11" s="48" t="str">
        <f>IF(HW11&lt;&gt;"",CHAR(34)&amp;"purple"&amp;CHAR(34),"")</f>
        <v/>
      </c>
      <c r="IW11" s="48" t="str">
        <f>IF(HX11&lt;&gt;"",CHAR(34)&amp;"white"&amp;CHAR(34),"")</f>
        <v>"white"</v>
      </c>
      <c r="IX11" s="48" t="str">
        <f>"{"&amp;CHAR(34)&amp;"url"&amp;CHAR(34)&amp;":"&amp;CHAR(34)&amp;IN11&amp;CHAR(34)&amp;","&amp;CHAR(34)&amp;"name"&amp;CHAR(34)&amp;":"&amp;CHAR(34)&amp;A11&amp;CHAR(34)&amp;"},"</f>
        <v>{"url":"http://mkweb.bcgsc.ca/color-summarizer/?url=https://upload.wikimedia.org/wikipedia/commons/thumb/8/8d/Flag_of_the_Metropolitan_Region%2C_Chile.svg/640px-Flag_of_the_Metropolitan_Region%2C_Chile.svg.png&amp;precision=low&amp;num_clusters=4&amp;text=1","name":"[CHL] Santiago Metropolitan Region"},</v>
      </c>
      <c r="IY11" s="48">
        <v>1053</v>
      </c>
    </row>
    <row r="12" spans="1:259" s="48" customFormat="1" ht="38.4" customHeight="1" thickBot="1" x14ac:dyDescent="0.35">
      <c r="A12" s="79" t="s">
        <v>593</v>
      </c>
      <c r="B12" s="40" t="e" vm="66">
        <v>#VALUE!</v>
      </c>
      <c r="C12" s="41">
        <v>2</v>
      </c>
      <c r="D12" s="42" t="s">
        <v>594</v>
      </c>
      <c r="E12" s="43" t="s">
        <v>594</v>
      </c>
      <c r="F12" s="44" t="s">
        <v>166</v>
      </c>
      <c r="G12" s="45">
        <f>COUNTIF($A$1:$A$8294,A12)</f>
        <v>1</v>
      </c>
      <c r="H12" s="46"/>
      <c r="I12" s="47" t="s">
        <v>595</v>
      </c>
      <c r="J12" s="48" t="str">
        <f>""</f>
        <v/>
      </c>
      <c r="K12" s="49"/>
      <c r="L12" s="50"/>
      <c r="M12" s="50"/>
      <c r="N12" s="51" t="s">
        <v>169</v>
      </c>
      <c r="O12" s="52" t="s">
        <v>557</v>
      </c>
      <c r="P12" s="53" t="s">
        <v>596</v>
      </c>
      <c r="Q12" s="54">
        <v>2</v>
      </c>
      <c r="R12" s="55" t="s">
        <v>169</v>
      </c>
      <c r="S12" s="56">
        <v>0</v>
      </c>
      <c r="T12" s="57" t="s">
        <v>172</v>
      </c>
      <c r="U12" s="58" t="s">
        <v>172</v>
      </c>
      <c r="V12" s="58" t="s">
        <v>173</v>
      </c>
      <c r="W12" s="58" t="s">
        <v>173</v>
      </c>
      <c r="X12" s="58" t="s">
        <v>173</v>
      </c>
      <c r="Y12" s="58" t="s">
        <v>173</v>
      </c>
      <c r="Z12" s="58" t="s">
        <v>172</v>
      </c>
      <c r="AA12" s="58" t="s">
        <v>173</v>
      </c>
      <c r="AB12" s="58" t="s">
        <v>173</v>
      </c>
      <c r="AC12" s="58" t="s">
        <v>172</v>
      </c>
      <c r="AD12" s="58" t="s">
        <v>172</v>
      </c>
      <c r="AE12" s="58" t="s">
        <v>172</v>
      </c>
      <c r="AF12" s="59" t="s">
        <v>172</v>
      </c>
      <c r="AG12" s="59" t="s">
        <v>172</v>
      </c>
      <c r="AH12" s="59" t="s">
        <v>173</v>
      </c>
      <c r="AI12" s="59" t="s">
        <v>172</v>
      </c>
      <c r="AJ12" s="59" t="s">
        <v>172</v>
      </c>
      <c r="AK12" s="59" t="s">
        <v>172</v>
      </c>
      <c r="AL12" s="59" t="s">
        <v>172</v>
      </c>
      <c r="AM12" s="59" t="s">
        <v>173</v>
      </c>
      <c r="AN12" s="59" t="s">
        <v>173</v>
      </c>
      <c r="AO12" s="59" t="s">
        <v>173</v>
      </c>
      <c r="AP12" s="59" t="s">
        <v>172</v>
      </c>
      <c r="AQ12" s="59" t="s">
        <v>172</v>
      </c>
      <c r="AR12" s="59" t="s">
        <v>172</v>
      </c>
      <c r="AS12" s="59" t="s">
        <v>172</v>
      </c>
      <c r="AT12" s="60">
        <v>2</v>
      </c>
      <c r="AU12" s="59" t="s">
        <v>553</v>
      </c>
      <c r="AV12" s="59" t="str">
        <f>IF(LEFT(A12,1)="[",LEFT(A12,5)&amp;AU12&amp;A12,"")</f>
        <v>[CHL]Region[CHL] Tarapacá Region</v>
      </c>
      <c r="AW12" s="59" t="str">
        <f>C12&amp;A12</f>
        <v>2[CHL] Tarapacá Region</v>
      </c>
      <c r="AX12" s="61"/>
      <c r="AY12" s="61"/>
      <c r="AZ12" s="62" t="s">
        <v>159</v>
      </c>
      <c r="BA12" s="62" t="s">
        <v>174</v>
      </c>
      <c r="BB12" s="62"/>
      <c r="BC12" s="63"/>
      <c r="BD12" s="64" t="s">
        <v>217</v>
      </c>
      <c r="BE12" s="47"/>
      <c r="BF12" s="64" t="s">
        <v>151</v>
      </c>
      <c r="BG12" s="64" t="s">
        <v>153</v>
      </c>
      <c r="BH12" s="64" t="s">
        <v>154</v>
      </c>
      <c r="BI12" s="64"/>
      <c r="BJ12" s="64"/>
      <c r="BK12" s="47"/>
      <c r="BL12" s="64" t="s">
        <v>151</v>
      </c>
      <c r="BM12" s="64" t="s">
        <v>174</v>
      </c>
      <c r="BN12" s="64" t="s">
        <v>153</v>
      </c>
      <c r="BO12" s="64" t="s">
        <v>154</v>
      </c>
      <c r="BP12" s="64" t="s">
        <v>155</v>
      </c>
      <c r="BQ12" s="64" t="s">
        <v>174</v>
      </c>
      <c r="BR12" s="64" t="s">
        <v>174</v>
      </c>
      <c r="BS12" s="64" t="s">
        <v>174</v>
      </c>
      <c r="BT12" s="64" t="s">
        <v>159</v>
      </c>
      <c r="BU12" s="65"/>
      <c r="BV12" s="66"/>
      <c r="BW12" s="66">
        <v>0</v>
      </c>
      <c r="BX12" s="47"/>
      <c r="BY12" s="48" t="s">
        <v>173</v>
      </c>
      <c r="CB12" s="6"/>
      <c r="CC12" s="6"/>
      <c r="CD12" s="67">
        <v>1</v>
      </c>
      <c r="CE12" s="67">
        <v>0</v>
      </c>
      <c r="CF12" s="67" t="e">
        <v>#REF!</v>
      </c>
      <c r="CG12" s="68" cm="1">
        <f t="array" ref="CG12">SUMPRODUCT(--(LEN(TRIM(BL12:BT12))&gt;0))</f>
        <v>5</v>
      </c>
      <c r="CH12" s="59" t="str">
        <f>IF(CG12=2,"y","n")</f>
        <v>n</v>
      </c>
      <c r="CI12" s="59" t="str">
        <f>IF(CG12=3,"y","n")</f>
        <v>n</v>
      </c>
      <c r="CJ12" s="59" t="str">
        <f>IF(CG12=4,"y","n")</f>
        <v>n</v>
      </c>
      <c r="CK12" s="59" t="str">
        <f>IF(CG12&gt;4,"y","n")</f>
        <v>y</v>
      </c>
      <c r="CL12" s="59" t="str">
        <f>IF(S12=0,"y","n")</f>
        <v>y</v>
      </c>
      <c r="CM12" s="59" t="str">
        <f>IF(S12=2,"y","n")</f>
        <v>n</v>
      </c>
      <c r="CN12" s="59" t="str">
        <f>IF(S12=3,"y","n")</f>
        <v>n</v>
      </c>
      <c r="CO12" s="59" t="str">
        <f>IF(S12&gt;=4,"y","n")</f>
        <v>n</v>
      </c>
      <c r="CP12" s="59" t="str">
        <f>IF(AT12=0,"y","n")</f>
        <v>n</v>
      </c>
      <c r="CQ12" s="59" t="str">
        <f>IF(AT12=1,"y","n")</f>
        <v>n</v>
      </c>
      <c r="CR12" s="59" t="str">
        <f>IF(AT12=2,"y","n")</f>
        <v>y</v>
      </c>
      <c r="CS12" s="59" t="str">
        <f>IF(AT12&gt;=3,"y","n")</f>
        <v>n</v>
      </c>
      <c r="CT12" s="69" t="str">
        <f>CHAR(34)&amp;A12&amp;CHAR(34)</f>
        <v>"[CHL] Tarapacá Region"</v>
      </c>
      <c r="CU12" s="70" t="str">
        <f>CHAR(34)&amp;"rgn_"&amp;R12&amp;CHAR(34)</f>
        <v>"rgn_South America"</v>
      </c>
      <c r="CV12" s="48" t="str">
        <f>CHAR(34)&amp;D12&amp;CHAR(34)</f>
        <v>"https://www.crwflags.com/fotw/images/c/cl-01.gif"</v>
      </c>
      <c r="CW12" s="48" t="str">
        <f t="shared" si="15"/>
        <v/>
      </c>
      <c r="CX12" s="48" t="str">
        <f t="shared" si="15"/>
        <v/>
      </c>
      <c r="CY12" s="48" t="str">
        <f t="shared" si="15"/>
        <v/>
      </c>
      <c r="CZ12" s="48" t="str">
        <f t="shared" si="15"/>
        <v>"5+Colo",</v>
      </c>
      <c r="DA12" s="48" t="str">
        <f>IF(Q12&gt;1,CHAR(34)&amp;"words2"&amp;CHAR(34)&amp;",","")</f>
        <v>"words2",</v>
      </c>
      <c r="DB12" s="48" t="str">
        <f>IF(Q12&gt;2,CHAR(34)&amp;"words3"&amp;CHAR(34)&amp;",","")</f>
        <v/>
      </c>
      <c r="DD12" s="48" t="str">
        <f>IF(LEN(CHAR(34)&amp;"lets"&amp;LEN(SUBSTITUTE(SUBSTITUTE(IFERROR(TRIM(SUBSTITUTE(A12,MID(A12,FIND("[",A12),FIND("]",A12)-FIND("[",A12)+1),"")),A12)," ",""),"-",""))&amp;CHAR(34)&amp;",")=9,CHAR(34)&amp;"lets"&amp;LEN(SUBSTITUTE(SUBSTITUTE(IFERROR(TRIM(SUBSTITUTE(A12,MID(A12,FIND("[",A12),FIND("]",A12)-FIND("[",A12)+1),"")),A12)," ",""),"-",""))&amp;CHAR(34)&amp;",",CHAR(34)&amp;"lets0"&amp;LEN(SUBSTITUTE(SUBSTITUTE(IFERROR(TRIM(SUBSTITUTE(A12,MID(A12,FIND("[",A12),FIND("]",A12)-FIND("[",A12)+1),"")),A12)," ",""),"-",""))&amp;CHAR(34)&amp;",")</f>
        <v>"lets14",</v>
      </c>
      <c r="DE12" s="48" t="str">
        <f>CHAR(34)&amp;"start"&amp;IFERROR(LEFT(SUBSTITUTE(A12,"["&amp;MID(A12,FIND("[",A12)+1,FIND("]",A12)-FIND("[",A12)-1)&amp;"] ",""),1),LEFT(A12,1))&amp;CHAR(34)&amp;","</f>
        <v>"startT",</v>
      </c>
      <c r="DF12" s="48" t="str">
        <f>IFERROR(IF(SEARCH("tan",A12)&gt;0,CHAR(34)&amp;"withtn"&amp;CHAR(34)&amp;",",""),"")</f>
        <v/>
      </c>
      <c r="DG12" s="48" t="str">
        <f>IFERROR(IF(SEARCH("q",A12)&gt;0,CHAR(34)&amp;"with_q"&amp;CHAR(34)&amp;",",""),"")</f>
        <v/>
      </c>
      <c r="DH12" s="48" t="str">
        <f>IFERROR(IF(SEARCH("v",A12)&gt;0,CHAR(34)&amp;"with_v"&amp;CHAR(34)&amp;",",""),"")</f>
        <v/>
      </c>
      <c r="DI12" s="48" t="str">
        <f>IFERROR(IF(SEARCH("w",A12)&gt;0,CHAR(34)&amp;"with_w"&amp;CHAR(34)&amp;",",""),"")</f>
        <v/>
      </c>
      <c r="DJ12" s="48" t="str">
        <f>IFERROR(IF(SEARCH("y",A12)&gt;0,CHAR(34)&amp;"with_y"&amp;CHAR(34)&amp;",",""),"")</f>
        <v/>
      </c>
      <c r="DK12" s="48" t="str">
        <f>IFERROR(IF(SEARCH("z",A12)&gt;0,CHAR(34)&amp;"with_z"&amp;CHAR(34)&amp;",",""),"")</f>
        <v/>
      </c>
      <c r="DL12" s="48" t="str">
        <f>IF(CG12=2, CHAR(34) &amp; _xlfn.TEXTJOIN("", TRUE, _xlfn._xlws.SORT(HP12:HX12)) &amp; CHAR(34) &amp; ",", "")</f>
        <v/>
      </c>
      <c r="DM12" s="48" t="str" cm="1">
        <f t="array" ref="DM12">IF(CG12=3,CHAR(34) &amp; _xlfn.TEXTJOIN("", TRUE, RIGHT(HP12:HX12, 2)) &amp; CHAR(34) &amp; ",", "")</f>
        <v/>
      </c>
      <c r="DN12" s="48" t="str">
        <f>IF(AND(ISNUMBER(SEARCH("18", O12)), ISERROR(SEARCH("1918", O12)), ISERROR(SEARCH("2018", O12))), CHAR(34) &amp; "year18" &amp; CHAR(34) &amp; ",", "")</f>
        <v/>
      </c>
      <c r="DO12" s="48" t="str">
        <f>IF(AND(ISNUMBER(SEARCH("19", O12)), ISERROR(SEARCH("1819", O12)),  ISERROR(SEARCH("1219", O12)),ISERROR(SEARCH("1119", O12)),ISERROR(SEARCH("1190", O12)),ISERROR(SEARCH("2019", O12))), CHAR(34) &amp; "year19" &amp; CHAR(34) &amp; ",", "")</f>
        <v/>
      </c>
      <c r="DP12" s="6" t="str">
        <f>IF(AND(ISNUMBER(SEARCH("20", O12)), ISERROR(SEARCH("1920", O12))), CHAR(34)&amp;"year00"&amp;CHAR(34)&amp;",", "")</f>
        <v/>
      </c>
      <c r="DQ12" s="6" t="str">
        <f>IF(CC12="y",CHAR(34)&amp;"soviet"&amp;CHAR(34)&amp;",","")</f>
        <v/>
      </c>
      <c r="DR12" s="6" t="str">
        <f>IF(BY12="y",CHAR(34)&amp;"dgband"&amp;CHAR(34)&amp;",","")</f>
        <v>"dgband",</v>
      </c>
      <c r="DS12" s="6" t="str">
        <f>IF(W12="y",IF(AND(V12="n",BY12&lt;&gt;"y"),CHAR(34)&amp;"allver"&amp;CHAR(34)&amp;",",""),"")</f>
        <v/>
      </c>
      <c r="DT12" s="6" t="str">
        <f>IF(V12="y",IF(AND(W12="n",BY12&lt;&gt;"y"),CHAR(34)&amp;"allhor"&amp;CHAR(34)&amp;",",""),"")</f>
        <v/>
      </c>
      <c r="DU12" s="6" t="str">
        <f>IF(BY12="y",IF(AND(W12="n",V12="n"),CHAR(34)&amp;"alldia"&amp;CHAR(34)&amp;",",""),"")</f>
        <v/>
      </c>
      <c r="DW12" s="48" t="str">
        <f t="shared" si="37"/>
        <v>"NoBand",</v>
      </c>
      <c r="DX12" s="48" t="str">
        <f t="shared" si="37"/>
        <v/>
      </c>
      <c r="DY12" s="48" t="str">
        <f t="shared" si="37"/>
        <v/>
      </c>
      <c r="DZ12" s="48" t="str">
        <f t="shared" si="37"/>
        <v/>
      </c>
      <c r="EA12" s="48" t="str">
        <f t="shared" si="38"/>
        <v/>
      </c>
      <c r="EB12" s="48" t="str">
        <f t="shared" si="38"/>
        <v/>
      </c>
      <c r="EC12" s="48" t="str">
        <f t="shared" si="38"/>
        <v>"Horizo",</v>
      </c>
      <c r="ED12" s="48" t="str">
        <f t="shared" si="38"/>
        <v>"Vertic",</v>
      </c>
      <c r="EE12" s="48" t="str">
        <f t="shared" si="38"/>
        <v>"Circle",</v>
      </c>
      <c r="EF12" s="48" t="str">
        <f>IF(AND(Y12&lt;&gt;"n",Y12&lt;&gt;""),CHAR(34)&amp;Y$1&amp;CHAR(34)&amp;",","")</f>
        <v>"Animal",</v>
      </c>
      <c r="EG12" s="48" t="str">
        <f t="shared" si="40"/>
        <v/>
      </c>
      <c r="EH12" s="48" t="str">
        <f t="shared" si="40"/>
        <v>"Plants",</v>
      </c>
      <c r="EI12" s="48" t="str">
        <f t="shared" si="40"/>
        <v>"Texted",</v>
      </c>
      <c r="EJ12" s="48" t="str">
        <f t="shared" si="40"/>
        <v/>
      </c>
      <c r="EK12" s="48" t="str">
        <f t="shared" si="40"/>
        <v/>
      </c>
      <c r="EL12" s="48" t="str">
        <f t="shared" si="40"/>
        <v/>
      </c>
      <c r="EM12" s="48" t="str">
        <f t="shared" si="40"/>
        <v/>
      </c>
      <c r="EN12" s="48" t="str">
        <f t="shared" si="40"/>
        <v/>
      </c>
      <c r="EO12" s="48" t="str">
        <f t="shared" si="40"/>
        <v>"Center",</v>
      </c>
      <c r="EP12" s="48" t="str">
        <f t="shared" si="40"/>
        <v/>
      </c>
      <c r="EQ12" s="48" t="str">
        <f t="shared" si="40"/>
        <v/>
      </c>
      <c r="ER12" s="48" t="str">
        <f t="shared" si="40"/>
        <v/>
      </c>
      <c r="ES12" s="48" t="str">
        <f t="shared" si="40"/>
        <v/>
      </c>
      <c r="ET12" s="48" t="str">
        <f t="shared" si="40"/>
        <v>"Geogrh",</v>
      </c>
      <c r="EU12" s="48" t="str">
        <f t="shared" si="40"/>
        <v>"Humans",</v>
      </c>
      <c r="EV12" s="48" t="str">
        <f t="shared" si="40"/>
        <v>"Builds",</v>
      </c>
      <c r="EW12" s="48" t="str">
        <f t="shared" si="40"/>
        <v/>
      </c>
      <c r="EX12" s="48" t="str">
        <f t="shared" si="40"/>
        <v/>
      </c>
      <c r="EY12" s="48" t="str">
        <f t="shared" si="40"/>
        <v/>
      </c>
      <c r="EZ12" s="48" t="str">
        <f t="shared" si="40"/>
        <v/>
      </c>
      <c r="FA12" s="48" t="str">
        <f>IF(AT12&gt;0,CHAR(34)&amp;"sta"&amp;AZ12&amp;CHAR(34)&amp;",","")</f>
        <v>"staWHI",</v>
      </c>
      <c r="FB12" s="48" t="str">
        <f>IF(AND(AT12&gt;0,BA12&lt;&gt;""),CHAR(34)&amp;"sta"&amp;BA12&amp;CHAR(34)&amp;",","")</f>
        <v/>
      </c>
      <c r="FD12" s="48" t="str">
        <f>IF(BV12="n",CHAR(34)&amp;"tcWHYE"&amp;CHAR(34)&amp;",",IF(BV12="y",CHAR(34)&amp;FD$1&amp;CHAR(34)&amp;",",""))</f>
        <v/>
      </c>
      <c r="FE12" s="48" t="str">
        <f>IF(COUNTIF(BL12:BT12,"BLU")=0,CHAR(34)&amp;"NO_BLU"&amp;CHAR(34)&amp;",", "")</f>
        <v>"NO_BLU",</v>
      </c>
      <c r="FF12" s="48" t="str">
        <f>IF(COUNTIF(BL12:BT12,"WHI")=0,CHAR(34)&amp;"NO_WHI"&amp;CHAR(34)&amp;",", "")</f>
        <v/>
      </c>
      <c r="FG12" s="48" t="str">
        <f>IF(COUNTIF(BL12:BT12,"RED")=0,CHAR(34)&amp;"NO_RED"&amp;CHAR(34)&amp;",", "")</f>
        <v/>
      </c>
      <c r="FH12" s="48" t="str">
        <f>IF(COUNTIF(BL12:BS12,"GRE")=0,CHAR(34)&amp;"NO_GRE"&amp;CHAR(34)&amp;",", "")</f>
        <v/>
      </c>
      <c r="FI12" s="48" t="str">
        <f>IF(COUNTIF(BL12:BT12,"YEL")=0,CHAR(34)&amp;"NO_YEL"&amp;CHAR(34)&amp;",", "")</f>
        <v/>
      </c>
      <c r="FJ12" s="48" t="str">
        <f>IF(COUNTIF(BL12:BT12,"BLA")=0,CHAR(34)&amp;"NO_BLA"&amp;CHAR(34)&amp;",", "")</f>
        <v/>
      </c>
      <c r="FK12" s="48" t="str">
        <f>IF(AND(FH12&lt;&gt;"",FF12&lt;&gt;""),CHAR(34)&amp;"WHGRNO"&amp;CHAR(34)&amp;",","")</f>
        <v/>
      </c>
      <c r="FL12" s="48" t="str">
        <f>IF(AND(FI12&lt;&gt;"",FF12&lt;&gt;""),CHAR(34)&amp;"WHYENO"&amp;CHAR(34)&amp;",","")</f>
        <v/>
      </c>
      <c r="FM12" s="48" t="str">
        <f>IF(AND(FJ12&lt;&gt;"",FF12&lt;&gt;""),CHAR(34)&amp;"BAWHNO"&amp;CHAR(34)&amp;",","")</f>
        <v/>
      </c>
      <c r="FN12" s="48" t="str">
        <f>IF(AND(FE12&lt;&gt;"",FF12&lt;&gt;""),CHAR(34)&amp;"BLWHNO"&amp;CHAR(34)&amp;",","")</f>
        <v/>
      </c>
      <c r="FO12" s="48" t="str">
        <f>IF(AND(FE12&lt;&gt;"",FG12&lt;&gt;""),CHAR(34)&amp;"BLRENO"&amp;CHAR(34)&amp;",","")</f>
        <v/>
      </c>
      <c r="FP12" s="48" t="str">
        <f>IF(AND(FF12&lt;&gt;"",FF12&lt;&gt;""),CHAR(34)&amp;"WHRENO"&amp;CHAR(34)&amp;",","")</f>
        <v/>
      </c>
      <c r="FQ12" s="48" t="str">
        <f>IF(LEN(BF12)=3,CHAR(34)&amp;"001"&amp;BF12&amp;CHAR(34)&amp;",","")</f>
        <v>"001BLA",</v>
      </c>
      <c r="FR12" s="48" t="str">
        <f>IF(LEN(BG12)=3,CHAR(34)&amp;"002"&amp;BG12&amp;CHAR(34)&amp;",","")</f>
        <v>"002GRE",</v>
      </c>
      <c r="FS12" s="48" t="str">
        <f>IF(LEN(BH12)=3,CHAR(34)&amp;"003"&amp;BH12&amp;CHAR(34)&amp;",","")</f>
        <v>"003RED",</v>
      </c>
      <c r="FT12" s="48" t="str">
        <f>CHAR(34)&amp;"myr"&amp;BD12&amp;CHAR(34)&amp;","</f>
        <v>"myrEQ",</v>
      </c>
      <c r="FU12" s="48" t="str">
        <f>IF(AY12="y",CHAR(34)&amp;"island"&amp;CHAR(34)&amp;",","")</f>
        <v/>
      </c>
      <c r="FV12" s="48" t="str">
        <f>IF(BZ12="y",CHAR(34)&amp;"landlo"&amp;CHAR(34)&amp;",","")</f>
        <v/>
      </c>
      <c r="FW12" s="48" t="str">
        <f>IF(CA12="y",CHAR(34)&amp;"eunion"&amp;CHAR(34)&amp;",","")</f>
        <v/>
      </c>
      <c r="FY12" s="48" t="str">
        <f>IFERROR(IF(SEARCH("Arabic",CB12)&gt;0,CHAR(34)&amp;"arabic"&amp;CHAR(34)&amp;",",""),"")</f>
        <v/>
      </c>
      <c r="FZ12" s="48" t="str">
        <f>IFERROR(IF(SEARCH("English",CB12)&gt;0,CHAR(34)&amp;"englis"&amp;CHAR(34)&amp;",",""),"")</f>
        <v/>
      </c>
      <c r="GA12" s="48" t="str">
        <f>IFERROR(IF(SEARCH("French",CB12)&gt;0,CHAR(34)&amp;"french"&amp;CHAR(34)&amp;",",""),"")</f>
        <v/>
      </c>
      <c r="GB12" s="48" t="str">
        <f>IFERROR(IF(SEARCH("Spanish",CB12)&gt;0,CHAR(34)&amp;"spanis"&amp;CHAR(34)&amp;",",""),"")</f>
        <v/>
      </c>
      <c r="GE12" s="48" t="str">
        <f>IFERROR(IF(SEARCH("Dutch",CB12)&gt;0,CHAR(34)&amp;"dutchs"&amp;CHAR(34)&amp;",",""),"")</f>
        <v/>
      </c>
      <c r="GF12" s="48" t="str">
        <f>IFERROR(IF(SEARCH("Historical",AU12)&gt;0,CHAR(34)&amp;"histor"&amp;CHAR(34)&amp;",",""),"")</f>
        <v/>
      </c>
      <c r="GG12" s="48" t="str">
        <f>IF(BU12="y",CHAR(34)&amp;"unjack"&amp;CHAR(34)&amp;",","")</f>
        <v/>
      </c>
      <c r="GH12" s="48" t="str">
        <f>IF(CD12=1,CHAR(34)&amp;"southc"&amp;CHAR(34)&amp;",","")</f>
        <v>"southc",</v>
      </c>
      <c r="GI12" s="48" t="str">
        <f>IF(CE12=1,CHAR(34)&amp;"hasmap"&amp;CHAR(34)&amp;",","")</f>
        <v/>
      </c>
      <c r="GJ12" s="48" t="str">
        <f>IF(CP12="y",CHAR(34)&amp;CP$1&amp;CHAR(34)&amp;",","")</f>
        <v/>
      </c>
      <c r="GK12" s="48" t="str">
        <f>IF(GJ12="",CHAR(34)&amp;"HasSta"&amp;CHAR(34)&amp;",","")</f>
        <v>"HasSta",</v>
      </c>
      <c r="GL12" s="48" t="str">
        <f t="shared" si="78"/>
        <v/>
      </c>
      <c r="GM12" s="48" t="str">
        <f t="shared" si="78"/>
        <v>"2Stars",</v>
      </c>
      <c r="GN12" s="48" t="str">
        <f t="shared" si="78"/>
        <v/>
      </c>
      <c r="GP12" s="48" t="str">
        <f>CHAR(34)&amp;AU12&amp;CHAR(34)</f>
        <v>"Region"</v>
      </c>
      <c r="GS12" s="48" t="str">
        <f>SUBSTITUTE("["&amp;_xlfn.CONCAT(CW12:GN12)&amp;"]",",]","]")</f>
        <v>["5+Colo","words2","lets14","startT","dgband","NoBand","Horizo","Vertic","Circle","Animal","Plants","Texted","Center","Geogrh","Humans","Builds","staWHI","NO_BLU","001BLA","002GRE","003RED","myrEQ","southc","HasSta","2Stars"]</v>
      </c>
      <c r="GT12" s="48" t="str">
        <f t="shared" si="81"/>
        <v>"cl_BLA",</v>
      </c>
      <c r="GU12" s="48" t="str">
        <f t="shared" si="81"/>
        <v/>
      </c>
      <c r="GV12" s="48" t="str">
        <f t="shared" si="81"/>
        <v>"cl_GRE",</v>
      </c>
      <c r="GW12" s="48" t="str">
        <f t="shared" si="81"/>
        <v>"cl_RED",</v>
      </c>
      <c r="GX12" s="48" t="str">
        <f t="shared" si="81"/>
        <v>"cl_YEL",</v>
      </c>
      <c r="GY12" s="48" t="str">
        <f t="shared" si="81"/>
        <v/>
      </c>
      <c r="GZ12" s="48" t="str">
        <f t="shared" si="81"/>
        <v/>
      </c>
      <c r="HA12" s="48" t="str">
        <f t="shared" si="81"/>
        <v/>
      </c>
      <c r="HB12" s="48" t="str">
        <f t="shared" si="81"/>
        <v>"cl_WHI",</v>
      </c>
      <c r="HC12" s="48" t="str">
        <f>SUBSTITUTE("["&amp;_xlfn.CONCAT(GT12:HB12)&amp;"]",",]","]")</f>
        <v>["cl_BLA","cl_GRE","cl_RED","cl_YEL","cl_WHI"]</v>
      </c>
      <c r="HE12" s="71"/>
      <c r="HF12" s="72" t="str">
        <f>"{couname:"&amp;CT12&amp;(IF(HK12&lt;&gt;"",",subtype:"&amp;CHAR(34)&amp;HK12&amp;CHAR(34),""))&amp;",year:"&amp;HJ12&amp;",region:"&amp;CU12&amp;",Colors:"&amp;HC12&amp;",Items:"&amp;GS12&amp;",Flag:"&amp;CV12&amp;",HDFlag:"&amp;CHAR(34)&amp;E12&amp;CHAR(34)&amp;",type:"&amp;GP12&amp;", describe: "&amp;HH12&amp;", isnew:"&amp;CHAR(34)&amp;F12&amp;CHAR(34)&amp;", links: "&amp;HL12&amp;"},"</f>
        <v>{couname:"[CHL] Tarapacá Region",year:"???",region:"rgn_South America",Colors:["cl_BLA","cl_GRE","cl_RED","cl_YEL","cl_WHI"],Items:["5+Colo","words2","lets14","startT","dgband","NoBand","Horizo","Vertic","Circle","Animal","Plants","Texted","Center","Geogrh","Humans","Builds","staWHI","NO_BLU","001BLA","002GRE","003RED","myrEQ","southc","HasSta","2Stars"],Flag:"https://www.crwflags.com/fotw/images/c/cl-01.gif",HDFlag:"https://www.crwflags.com/fotw/images/c/cl-01.gif",type:"Region", describe: "\nThe flag of Tarapacá region is the coat of arms on a white field.", isnew:".", links: "https://www.crwflags.com/fotw/flags/cl-01.html "},</v>
      </c>
      <c r="HG12" s="73" t="str">
        <f>"{couname:"&amp;CT12&amp;(IF(HK12&lt;&gt;"",",subtype:"&amp;CHAR(34)&amp;HK12&amp;CHAR(34),""))&amp;",year:"&amp;HJ12&amp;",region:"&amp;CU12&amp;",Colors:"&amp;HC12&amp;",Items:"&amp;GS12&amp;",Flag:"&amp;CV12&amp;",HDFlag:"&amp;CHAR(34)&amp;E12&amp;CHAR(34)&amp;",type:"&amp;GP12&amp;", describe: "&amp;HI12&amp;", links: "&amp;HL12&amp;"},"</f>
        <v>{couname:"[CHL] Tarapacá Region",year:"???",region:"rgn_South America",Colors:["cl_BLA","cl_GRE","cl_RED","cl_YEL","cl_WHI"],Items:["5+Colo","words2","lets14","startT","dgband","NoBand","Horizo","Vertic","Circle","Animal","Plants","Texted","Center","Geogrh","Humans","Builds","staWHI","NO_BLU","001BLA","002GRE","003RED","myrEQ","southc","HasSta","2Stars"],Flag:"https://www.crwflags.com/fotw/images/c/cl-01.gif",HDFlag:"https://www.crwflags.com/fotw/images/c/cl-01.gif",type:"Region", describe: "\nThe flag of Tarapacá region is the coat of arms on a white field.", links: "https://www.crwflags.com/fotw/flags/cl-01.html "},</v>
      </c>
      <c r="HH12" s="48" t="str">
        <f>IF(P12&lt;&gt;"",CHAR(34)&amp;"\n"&amp;P12&amp;CHAR(34),CHAR(34)&amp;CHAR(34))</f>
        <v>"\nThe flag of Tarapacá region is the coat of arms on a white field."</v>
      </c>
      <c r="HI12" s="48" t="str">
        <f>IF(J12=0,CHAR(34)&amp;CHAR(34),HH12)</f>
        <v>"\nThe flag of Tarapacá region is the coat of arms on a white field."</v>
      </c>
      <c r="HJ12" s="48" t="str">
        <f>CHAR(34)&amp;O12&amp;CHAR(34)</f>
        <v>"???"</v>
      </c>
      <c r="HL12" s="48" t="str">
        <f>CHAR(34)&amp;I12&amp;CHAR(34)</f>
        <v>"https://www.crwflags.com/fotw/flags/cl-01.html "</v>
      </c>
      <c r="HM12" s="72"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"&amp;HH12&amp;", "&amp;CHAR(34)&amp;"isnew"&amp;CHAR(34)&amp;": "&amp;CHAR(34)&amp;F12&amp;CHAR(34)&amp;", "&amp;CHAR(34)&amp;"links"&amp;CHAR(34)&amp;": "&amp;HL12&amp;"},"</f>
        <v>{"couname":"[CHL] Tarapacá Region","year":"???","region":"rgn_South America","Colors":["cl_BLA","cl_GRE","cl_RED","cl_YEL","cl_WHI"],"Items":["5+Colo","words2","lets14","startT","dgband","NoBand","Horizo","Vertic","Circle","Animal","Plants","Texted","Center","Geogrh","Humans","Builds","staWHI","NO_BLU","001BLA","002GRE","003RED","myrEQ","southc","HasSta","2Stars"],"Flag":"https://www.crwflags.com/fotw/images/c/cl-01.gif","HDFlag":"https://www.crwflags.com/fotw/images/c/cl-01.gif","type":"Region", "describe": "\nThe flag of Tarapacá region is the coat of arms on a white field.", "isnew": ".", "links": "https://www.crwflags.com/fotw/flags/cl-01.html "},</v>
      </c>
      <c r="HN12" s="74"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"&amp;HI12&amp;", "&amp;CHAR(34)&amp;"isnew"&amp;CHAR(34)&amp;": "&amp;CHAR(34)&amp;F12&amp;CHAR(34)&amp;", "&amp;CHAR(34)&amp;"links"&amp;CHAR(34)&amp;": "&amp;HL12&amp;"},"</f>
        <v>{"couname":"[CHL] Tarapacá Region","year":"???","region":"rgn_South America","Colors":["cl_BLA","cl_GRE","cl_RED","cl_YEL","cl_WHI"],"Items":["5+Colo","words2","lets14","startT","dgband","NoBand","Horizo","Vertic","Circle","Animal","Plants","Texted","Center","Geogrh","Humans","Builds","staWHI","NO_BLU","001BLA","002GRE","003RED","myrEQ","southc","HasSta","2Stars"],"Flag":"https://www.crwflags.com/fotw/images/c/cl-01.gif","HDFlag":"https://www.crwflags.com/fotw/images/c/cl-01.gif","type":"Region", "describe": "\nThe flag of Tarapacá region is the coat of arms on a white field.", "isnew": ".", "links": "https://www.crwflags.com/fotw/flags/cl-01.html "},</v>
      </c>
      <c r="HO12" s="75">
        <v>45618</v>
      </c>
      <c r="HP12" s="48" t="str" cm="1">
        <f t="array" ref="HP12">IF(_xlfn.TEXTJOIN(", ", TRUE, IF(ISNUMBER(SEARCH("BLA", BL12:BT12)), COLUMN(BL12:BT12) - COLUMN(BL12) + 1, ""))&lt;&gt;"","BLA","")</f>
        <v>BLA</v>
      </c>
      <c r="HQ12" s="48" t="str" cm="1">
        <f t="array" ref="HQ12">IF(_xlfn.TEXTJOIN(", ", TRUE, IF(ISNUMBER(SEARCH("BLU", BL12:BT12)), COLUMN(BL12:BT12) - COLUMN(BL12) + 1, ""))&lt;&gt;"","BLU","")</f>
        <v/>
      </c>
      <c r="HR12" s="48" t="str" cm="1">
        <f t="array" ref="HR12">IF(_xlfn.TEXTJOIN(", ", TRUE, IF(ISNUMBER(SEARCH("GRE", BL12:BT12)), COLUMN(BL12:BT12) - COLUMN(BL12) + 1, ""))&lt;&gt;"","GRE","")</f>
        <v>GRE</v>
      </c>
      <c r="HS12" s="48" t="str" cm="1">
        <f t="array" ref="HS12">IF(_xlfn.TEXTJOIN(", ", TRUE, IF(ISNUMBER(SEARCH("RED", BL12:BT12)), COLUMN(BL12:BT12) - COLUMN(BL12) + 1, ""))&lt;&gt;"","RED","")</f>
        <v>RED</v>
      </c>
      <c r="HT12" s="48" t="str" cm="1">
        <f t="array" ref="HT12">IF(_xlfn.TEXTJOIN(", ", TRUE, IF(ISNUMBER(SEARCH("YEL", BL12:BT12)), COLUMN(BL12:BT12) - COLUMN(BL12) + 1, ""))&lt;&gt;"","YEL","")</f>
        <v>YEL</v>
      </c>
      <c r="HU12" s="48" t="str" cm="1">
        <f t="array" ref="HU12">IF(_xlfn.TEXTJOIN(", ", TRUE, IF(ISNUMBER(SEARCH("ORA", BL12:BT12)), COLUMN(BL12:BT12) - COLUMN(BL12) + 1, ""))&lt;&gt;"","ORA","")</f>
        <v/>
      </c>
      <c r="HV12" s="48" t="str" cm="1">
        <f t="array" ref="HV12">IF(_xlfn.TEXTJOIN(", ", TRUE, IF(ISNUMBER(SEARCH("BRO", BL12:BT12)), COLUMN(BL12:BT12) - COLUMN(BL12) + 1, ""))&lt;&gt;"","BRO","")</f>
        <v/>
      </c>
      <c r="HW12" s="48" t="str" cm="1">
        <f t="array" ref="HW12">IF(_xlfn.TEXTJOIN(", ", TRUE, IF(ISNUMBER(SEARCH("PUR", BL12:BT12)), COLUMN(BL12:BT12) - COLUMN(BL12) + 1, ""))&lt;&gt;"","PUR","")</f>
        <v/>
      </c>
      <c r="HX12" s="48" t="str" cm="1">
        <f t="array" ref="HX12">IF(_xlfn.TEXTJOIN(", ", TRUE, IF(ISNUMBER(SEARCH("WHI", BL12:BT12)), COLUMN(BL12:BT12) - COLUMN(BL12) + 1, ""))&lt;&gt;"","WHI","")</f>
        <v>WHI</v>
      </c>
      <c r="HY12" s="76"/>
      <c r="HZ12" s="76"/>
      <c r="IA12" s="6"/>
      <c r="IB12" s="6"/>
      <c r="IC12" s="77"/>
      <c r="ID12" s="77"/>
      <c r="IE12" s="77"/>
      <c r="IF12" s="77"/>
      <c r="IG12" s="77"/>
      <c r="IH12" s="77"/>
      <c r="II12" s="77"/>
      <c r="IJ12" s="77"/>
      <c r="IK12" s="77"/>
      <c r="IM12" s="45">
        <f>COUNTIF(IC12:IK12,"&gt;0")-CG12</f>
        <v>-5</v>
      </c>
      <c r="IN12" s="78" t="str">
        <f>"http://mkweb.bcgsc.ca/color-summarizer/?url="&amp;D12&amp;"&amp;precision=low&amp;num_clusters="&amp;CG12&amp;"&amp;text=1"</f>
        <v>http://mkweb.bcgsc.ca/color-summarizer/?url=https://www.crwflags.com/fotw/images/c/cl-01.gif&amp;precision=low&amp;num_clusters=5&amp;text=1</v>
      </c>
      <c r="IO12" s="48" t="str">
        <f>IF(HP12&lt;&gt;"",CHAR(34)&amp;"black"&amp;CHAR(34),"")</f>
        <v>"black"</v>
      </c>
      <c r="IP12" s="48" t="str">
        <f>IF(HQ12&lt;&gt;"",CHAR(34)&amp;"blue"&amp;CHAR(34),"")</f>
        <v/>
      </c>
      <c r="IQ12" s="48" t="str">
        <f>IF(HR12&lt;&gt;"",CHAR(34)&amp;"green"&amp;CHAR(34),"")</f>
        <v>"green"</v>
      </c>
      <c r="IR12" s="48" t="str">
        <f>IF(HS12&lt;&gt;"",CHAR(34)&amp;"red"&amp;CHAR(34),"")</f>
        <v>"red"</v>
      </c>
      <c r="IS12" s="48" t="str">
        <f>IF(HT12&lt;&gt;"",CHAR(34)&amp;"yellow"&amp;CHAR(34),"")</f>
        <v>"yellow"</v>
      </c>
      <c r="IT12" s="48" t="str">
        <f>IF(HU12&lt;&gt;"",CHAR(34)&amp;"orange"&amp;CHAR(34),"")</f>
        <v/>
      </c>
      <c r="IU12" s="48" t="str">
        <f>IF(HV12&lt;&gt;"",CHAR(34)&amp;"brown"&amp;CHAR(34),"")</f>
        <v/>
      </c>
      <c r="IV12" s="48" t="str">
        <f>IF(HW12&lt;&gt;"",CHAR(34)&amp;"purple"&amp;CHAR(34),"")</f>
        <v/>
      </c>
      <c r="IW12" s="48" t="str">
        <f>IF(HX12&lt;&gt;"",CHAR(34)&amp;"white"&amp;CHAR(34),"")</f>
        <v>"white"</v>
      </c>
      <c r="IX12" s="48" t="str">
        <f>"{"&amp;CHAR(34)&amp;"url"&amp;CHAR(34)&amp;":"&amp;CHAR(34)&amp;IN12&amp;CHAR(34)&amp;","&amp;CHAR(34)&amp;"name"&amp;CHAR(34)&amp;":"&amp;CHAR(34)&amp;A12&amp;CHAR(34)&amp;"},"</f>
        <v>{"url":"http://mkweb.bcgsc.ca/color-summarizer/?url=https://www.crwflags.com/fotw/images/c/cl-01.gif&amp;precision=low&amp;num_clusters=5&amp;text=1","name":"[CHL] Tarapacá Region"},</v>
      </c>
      <c r="IY12" s="48">
        <v>1054</v>
      </c>
    </row>
    <row r="13" spans="1:259" s="48" customFormat="1" ht="38.4" customHeight="1" thickBot="1" x14ac:dyDescent="0.35">
      <c r="A13" s="79" t="s">
        <v>597</v>
      </c>
      <c r="B13" s="40" t="e" vm="67">
        <v>#VALUE!</v>
      </c>
      <c r="C13" s="41">
        <v>2</v>
      </c>
      <c r="D13" s="42" t="s">
        <v>598</v>
      </c>
      <c r="E13" s="43" t="s">
        <v>598</v>
      </c>
      <c r="F13" s="44" t="s">
        <v>166</v>
      </c>
      <c r="G13" s="45">
        <f>COUNTIF($A$1:$A$8294,A13)</f>
        <v>1</v>
      </c>
      <c r="H13" s="46"/>
      <c r="I13" s="47" t="s">
        <v>599</v>
      </c>
      <c r="J13" s="48" t="str">
        <f>""</f>
        <v/>
      </c>
      <c r="K13" s="49"/>
      <c r="L13" s="50"/>
      <c r="M13" s="50"/>
      <c r="N13" s="51" t="s">
        <v>169</v>
      </c>
      <c r="O13" s="52" t="s">
        <v>557</v>
      </c>
      <c r="P13" s="53" t="s">
        <v>600</v>
      </c>
      <c r="Q13" s="54">
        <v>2</v>
      </c>
      <c r="R13" s="55" t="s">
        <v>169</v>
      </c>
      <c r="S13" s="56">
        <v>0</v>
      </c>
      <c r="T13" s="57" t="s">
        <v>173</v>
      </c>
      <c r="U13" s="58" t="s">
        <v>172</v>
      </c>
      <c r="V13" s="58" t="s">
        <v>173</v>
      </c>
      <c r="W13" s="58" t="s">
        <v>173</v>
      </c>
      <c r="X13" s="58" t="s">
        <v>172</v>
      </c>
      <c r="Y13" s="58" t="s">
        <v>172</v>
      </c>
      <c r="Z13" s="58" t="s">
        <v>173</v>
      </c>
      <c r="AA13" s="58" t="s">
        <v>172</v>
      </c>
      <c r="AB13" s="58" t="s">
        <v>173</v>
      </c>
      <c r="AC13" s="58" t="s">
        <v>172</v>
      </c>
      <c r="AD13" s="58" t="s">
        <v>172</v>
      </c>
      <c r="AE13" s="58" t="s">
        <v>172</v>
      </c>
      <c r="AF13" s="59" t="s">
        <v>172</v>
      </c>
      <c r="AG13" s="59" t="s">
        <v>172</v>
      </c>
      <c r="AH13" s="59" t="s">
        <v>173</v>
      </c>
      <c r="AI13" s="59" t="s">
        <v>172</v>
      </c>
      <c r="AJ13" s="59" t="s">
        <v>172</v>
      </c>
      <c r="AK13" s="59" t="s">
        <v>172</v>
      </c>
      <c r="AL13" s="59" t="s">
        <v>172</v>
      </c>
      <c r="AM13" s="59" t="s">
        <v>173</v>
      </c>
      <c r="AN13" s="59" t="s">
        <v>172</v>
      </c>
      <c r="AO13" s="59" t="s">
        <v>173</v>
      </c>
      <c r="AP13" s="59" t="s">
        <v>173</v>
      </c>
      <c r="AQ13" s="59" t="s">
        <v>173</v>
      </c>
      <c r="AR13" s="59" t="s">
        <v>172</v>
      </c>
      <c r="AS13" s="59" t="s">
        <v>172</v>
      </c>
      <c r="AT13" s="60">
        <v>7</v>
      </c>
      <c r="AU13" s="59" t="s">
        <v>553</v>
      </c>
      <c r="AV13" s="59" t="str">
        <f>IF(LEFT(A13,1)="[",LEFT(A13,5)&amp;AU13&amp;A13,"")</f>
        <v>[CHL]Region[CHL] Valparaíso Region</v>
      </c>
      <c r="AW13" s="59" t="str">
        <f>C13&amp;A13</f>
        <v>2[CHL] Valparaíso Region</v>
      </c>
      <c r="AX13" s="61" t="str">
        <f>_xlfn.TEXTJOIN(";",TRUE,AU13:AW13)</f>
        <v>Region;[CHL]Region[CHL] Valparaíso Region;2[CHL] Valparaíso Region</v>
      </c>
      <c r="AY13" s="61" t="s">
        <v>173</v>
      </c>
      <c r="AZ13" s="62" t="s">
        <v>159</v>
      </c>
      <c r="BA13" s="62"/>
      <c r="BB13" s="62"/>
      <c r="BC13" s="63"/>
      <c r="BD13" s="64" t="s">
        <v>153</v>
      </c>
      <c r="BE13" s="47"/>
      <c r="BF13" s="64" t="s">
        <v>152</v>
      </c>
      <c r="BG13" s="64" t="s">
        <v>155</v>
      </c>
      <c r="BH13" s="64" t="s">
        <v>153</v>
      </c>
      <c r="BI13" s="64"/>
      <c r="BJ13" s="64"/>
      <c r="BK13" s="47"/>
      <c r="BL13" s="64" t="s">
        <v>152</v>
      </c>
      <c r="BM13" s="64" t="s">
        <v>155</v>
      </c>
      <c r="BN13" s="64" t="s">
        <v>153</v>
      </c>
      <c r="BO13" s="64" t="s">
        <v>159</v>
      </c>
      <c r="BP13" s="64"/>
      <c r="BQ13" s="64"/>
      <c r="BR13" s="64"/>
      <c r="BS13" s="64"/>
      <c r="BT13" s="64"/>
      <c r="BU13" s="65"/>
      <c r="BV13" s="66" t="s">
        <v>173</v>
      </c>
      <c r="BW13" s="66">
        <v>0</v>
      </c>
      <c r="BX13" s="47"/>
      <c r="BY13" s="48" t="s">
        <v>173</v>
      </c>
      <c r="CB13" s="6" t="s">
        <v>601</v>
      </c>
      <c r="CC13" s="6"/>
      <c r="CD13" s="67">
        <v>0</v>
      </c>
      <c r="CE13" s="67">
        <v>0</v>
      </c>
      <c r="CF13" s="67" t="e">
        <v>#REF!</v>
      </c>
      <c r="CG13" s="68" cm="1">
        <f t="array" ref="CG13">SUMPRODUCT(--(LEN(TRIM(BL13:BT13))&gt;0))</f>
        <v>4</v>
      </c>
      <c r="CH13" s="59" t="str">
        <f>IF(CG13=2,"y","n")</f>
        <v>n</v>
      </c>
      <c r="CI13" s="59" t="str">
        <f>IF(CG13=3,"y","n")</f>
        <v>n</v>
      </c>
      <c r="CJ13" s="59" t="str">
        <f>IF(CG13=4,"y","n")</f>
        <v>y</v>
      </c>
      <c r="CK13" s="59" t="str">
        <f>IF(CG13&gt;4,"y","n")</f>
        <v>n</v>
      </c>
      <c r="CL13" s="59" t="str">
        <f>IF(S13=0,"y","n")</f>
        <v>y</v>
      </c>
      <c r="CM13" s="59" t="str">
        <f>IF(S13=2,"y","n")</f>
        <v>n</v>
      </c>
      <c r="CN13" s="59" t="str">
        <f>IF(S13=3,"y","n")</f>
        <v>n</v>
      </c>
      <c r="CO13" s="59" t="str">
        <f>IF(S13&gt;=4,"y","n")</f>
        <v>n</v>
      </c>
      <c r="CP13" s="59" t="str">
        <f>IF(AT13=0,"y","n")</f>
        <v>n</v>
      </c>
      <c r="CQ13" s="59" t="str">
        <f>IF(AT13=1,"y","n")</f>
        <v>n</v>
      </c>
      <c r="CR13" s="59" t="str">
        <f>IF(AT13=2,"y","n")</f>
        <v>n</v>
      </c>
      <c r="CS13" s="59" t="str">
        <f>IF(AT13&gt;=3,"y","n")</f>
        <v>y</v>
      </c>
      <c r="CT13" s="69" t="str">
        <f>CHAR(34)&amp;A13&amp;CHAR(34)</f>
        <v>"[CHL] Valparaíso Region"</v>
      </c>
      <c r="CU13" s="70" t="str">
        <f>CHAR(34)&amp;"rgn_"&amp;R13&amp;CHAR(34)</f>
        <v>"rgn_South America"</v>
      </c>
      <c r="CV13" s="48" t="str">
        <f>CHAR(34)&amp;D13&amp;CHAR(34)</f>
        <v>"https://www.crwflags.com/fotw/images/c/cl-05.gif"</v>
      </c>
      <c r="CW13" s="48" t="str">
        <f t="shared" si="15"/>
        <v/>
      </c>
      <c r="CX13" s="48" t="str">
        <f t="shared" si="15"/>
        <v/>
      </c>
      <c r="CY13" s="48" t="str">
        <f t="shared" si="15"/>
        <v>"4Color",</v>
      </c>
      <c r="CZ13" s="48" t="str">
        <f t="shared" si="15"/>
        <v/>
      </c>
      <c r="DA13" s="48" t="str">
        <f>IF(Q13&gt;1,CHAR(34)&amp;"words2"&amp;CHAR(34)&amp;",","")</f>
        <v>"words2",</v>
      </c>
      <c r="DB13" s="48" t="str">
        <f>IF(Q13&gt;2,CHAR(34)&amp;"words3"&amp;CHAR(34)&amp;",","")</f>
        <v/>
      </c>
      <c r="DC13" s="48" t="str">
        <f>IF(Q13=2,CHAR(34)&amp;"exact2"&amp;CHAR(34)&amp;",","")</f>
        <v>"exact2",</v>
      </c>
      <c r="DD13" s="48" t="str">
        <f>IF(LEN(CHAR(34)&amp;"lets"&amp;LEN(SUBSTITUTE(SUBSTITUTE(IFERROR(TRIM(SUBSTITUTE(SUBSTITUTE(SUBSTITUTE(IFERROR(TRIM(SUBSTITUTE(A13,MID(A13,FIND("(",A13),FIND(")",A13)-FIND("(",A13)+1),"")),A13),"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",""),"-",""))&amp;CHAR(34)&amp;",")=9,CHAR(34)&amp;"lets"&amp;LEN(SUBSTITUTE(SUBSTITUTE(IFERROR(TRIM(SUBSTITUTE(SUBSTITUTE(SUBSTITUTE(IFERROR(TRIM(SUBSTITUTE(A13,MID(A13,FIND("(",A13),FIND(")",A13)-FIND("(",A13)+1),"")),A13),"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",""),"-",""))&amp;CHAR(34)&amp;",",CHAR(34)&amp;"lets0"&amp;LEN(SUBSTITUTE(SUBSTITUTE(IFERROR(TRIM(SUBSTITUTE(SUBSTITUTE(SUBSTITUTE(IFERROR(TRIM(SUBSTITUTE(A13,MID(A13,FIND("(",A13),FIND(")",A13)-FIND("(",A13)+1),"")),A13),"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f>
        <v>"lets16",</v>
      </c>
      <c r="DE13" s="48" t="str">
        <f>IFERROR(CHAR(34)&amp;"start"&amp;LEFT(TRIM(SUBSTITUTE(SUBSTITUTE(TRIM(SUBSTITUTE(SUBSTITUTE(A13, MID(A13, FIND("[", A13), FIND("]", A13) - FIND("[", A13) + 1), ""), "  ", " ")), MID(TRIM(SUBSTITUTE(SUBSTITUTE(A13, MID(A13, FIND("[", A13), FIND("]", A13) - FIND("[", A13) + 1), ""), "  ", " ")), FIND("[", TRIM(SUBSTITUTE(SUBSTITUTE(A13, MID(A13, FIND("[", A13), FIND("]", A13) - FIND("[", A13) + 1), ""), "  ", " "))), FIND("]", TRIM(SUBSTITUTE(SUBSTITUTE(A13, MID(A13, FIND("[", A13), FIND("]", A13) - FIND("[", A13) + 1), ""), "  ", " "))) - FIND("[", TRIM(SUBSTITUTE(SUBSTITUTE(A13, MID(A13, FIND("[", A13), FIND("]", A13) - FIND("[", A13) + 1), ""), "  ", " "))) + 1), ""), "  ", " ")),1)&amp;CHAR(34)&amp;",",CHAR(34)&amp;"start"&amp;IFERROR(LEFT(SUBSTITUTE(A13,"["&amp;MID(A13,FIND("[",A13)+1,FIND("]",A13)-FIND("[",A13)-1)&amp;"] ",""),1),LEFT(A13,1))&amp;CHAR(34)&amp;",")</f>
        <v>"startV",</v>
      </c>
      <c r="DF13" s="48" t="str">
        <f>IFERROR(IF(SEARCH("tan",A13)&gt;0,CHAR(34)&amp;"withtn"&amp;CHAR(34)&amp;",",""),"")</f>
        <v/>
      </c>
      <c r="DG13" s="48" t="str">
        <f>IFERROR(IF(SEARCH("q",A13)&gt;0,CHAR(34)&amp;"with_q"&amp;CHAR(34)&amp;",",""),"")</f>
        <v/>
      </c>
      <c r="DH13" s="48" t="str">
        <f>IFERROR(IF(SEARCH("v",A13)&gt;0,CHAR(34)&amp;"with_v"&amp;CHAR(34)&amp;",",""),"")</f>
        <v>"with_v",</v>
      </c>
      <c r="DI13" s="48" t="str">
        <f>IFERROR(IF(SEARCH("w",A13)&gt;0,CHAR(34)&amp;"with_w"&amp;CHAR(34)&amp;",",""),"")</f>
        <v/>
      </c>
      <c r="DJ13" s="48" t="str">
        <f>IFERROR(IF(SEARCH("y",A13)&gt;0,CHAR(34)&amp;"with_y"&amp;CHAR(34)&amp;",",""),"")</f>
        <v/>
      </c>
      <c r="DK13" s="48" t="str">
        <f>IFERROR(IF(SEARCH("z",A13)&gt;0,CHAR(34)&amp;"with_z"&amp;CHAR(34)&amp;",",""),"")</f>
        <v/>
      </c>
      <c r="DL13" s="48" t="str">
        <f>IF(CG13=2, CHAR(34) &amp; _xlfn.TEXTJOIN("", TRUE, _xlfn._xlws.SORT(HP13:HX13)) &amp; CHAR(34) &amp; ",", "")</f>
        <v/>
      </c>
      <c r="DM13" s="48" t="str" cm="1">
        <f t="array" ref="DM13">IF(CG13=3,CHAR(34) &amp; _xlfn.TEXTJOIN("", TRUE, RIGHT(HP13:HX13, 2)) &amp; CHAR(34) &amp; ",", "")</f>
        <v/>
      </c>
      <c r="DN13" s="48" t="str">
        <f>IF(AND(ISNUMBER(SEARCH("18", O13)), ISERROR(SEARCH("1918", O13)), ISERROR(SEARCH("2018", O13))), CHAR(34) &amp; "year18" &amp; CHAR(34) &amp; ",", "")</f>
        <v/>
      </c>
      <c r="DO13" s="48" t="str">
        <f>IF(AND(ISNUMBER(SEARCH("19", O13)), ISERROR(SEARCH("1819", O13)),  ISERROR(SEARCH("1219", O13)),ISERROR(SEARCH("1119", O13)),ISERROR(SEARCH("1190", O13)),ISERROR(SEARCH("2019", O13))), CHAR(34) &amp; "year19" &amp; CHAR(34) &amp; ",", "")</f>
        <v/>
      </c>
      <c r="DP13" s="6" t="str">
        <f>IF(AND(ISNUMBER(SEARCH("20", O13)), ISERROR(SEARCH("1920", O13))), CHAR(34)&amp;"year00"&amp;CHAR(34)&amp;",", "")</f>
        <v/>
      </c>
      <c r="DQ13" s="6" t="str">
        <f>IF(CC13="y",CHAR(34)&amp;"soviet"&amp;CHAR(34)&amp;",","")</f>
        <v/>
      </c>
      <c r="DR13" s="6" t="str">
        <f>IF(BY13="y",CHAR(34)&amp;"dgband"&amp;CHAR(34)&amp;",","")</f>
        <v>"dgband",</v>
      </c>
      <c r="DS13" s="6" t="str">
        <f>IF(W13="y",IF(AND(V13="n",BY13&lt;&gt;"y"),CHAR(34)&amp;"allver"&amp;CHAR(34)&amp;",",""),"")</f>
        <v/>
      </c>
      <c r="DT13" s="6" t="str">
        <f>IF(V13="y",IF(AND(W13="n",BY13&lt;&gt;"y"),CHAR(34)&amp;"allhor"&amp;CHAR(34)&amp;",",""),"")</f>
        <v/>
      </c>
      <c r="DU13" s="6" t="str">
        <f>IF(BY13="y",IF(AND(W13="n",V13="n"),CHAR(34)&amp;"alldia"&amp;CHAR(34)&amp;",",""),"")</f>
        <v/>
      </c>
      <c r="DV13" s="48" t="str">
        <f>IF(IA13&lt;&gt;"",(IF(IA13="y",CHAR(34)&amp;"largec"&amp;CHAR(34)&amp;",",CHAR(34)&amp;"smallc"&amp;CHAR(34)&amp;",")),"")</f>
        <v/>
      </c>
      <c r="DW13" s="48" t="str">
        <f t="shared" si="37"/>
        <v>"NoBand",</v>
      </c>
      <c r="DX13" s="48" t="str">
        <f t="shared" si="37"/>
        <v/>
      </c>
      <c r="DY13" s="48" t="str">
        <f t="shared" si="37"/>
        <v/>
      </c>
      <c r="DZ13" s="48" t="str">
        <f t="shared" si="37"/>
        <v/>
      </c>
      <c r="EA13" s="48" t="str">
        <f t="shared" si="38"/>
        <v>"Diagon",</v>
      </c>
      <c r="EB13" s="48" t="str">
        <f t="shared" si="38"/>
        <v/>
      </c>
      <c r="EC13" s="48" t="str">
        <f t="shared" si="38"/>
        <v>"Horizo",</v>
      </c>
      <c r="ED13" s="48" t="str">
        <f t="shared" si="38"/>
        <v>"Vertic",</v>
      </c>
      <c r="EE13" s="48" t="str">
        <f t="shared" si="38"/>
        <v/>
      </c>
      <c r="EF13" s="48" t="str">
        <f>IF(AND(Y13&lt;&gt;"n",Y13&lt;&gt;""),CHAR(34)&amp;Y$1&amp;CHAR(34)&amp;",","")</f>
        <v/>
      </c>
      <c r="EG13" s="48" t="str">
        <f t="shared" si="40"/>
        <v>"Bird",</v>
      </c>
      <c r="EH13" s="48" t="str">
        <f t="shared" si="40"/>
        <v/>
      </c>
      <c r="EI13" s="48" t="str">
        <f t="shared" si="40"/>
        <v>"Texted",</v>
      </c>
      <c r="EJ13" s="48" t="str">
        <f t="shared" si="40"/>
        <v/>
      </c>
      <c r="EK13" s="48" t="str">
        <f t="shared" si="40"/>
        <v/>
      </c>
      <c r="EL13" s="48" t="str">
        <f t="shared" si="40"/>
        <v/>
      </c>
      <c r="EM13" s="48" t="str">
        <f t="shared" si="40"/>
        <v/>
      </c>
      <c r="EN13" s="48" t="str">
        <f t="shared" si="40"/>
        <v/>
      </c>
      <c r="EO13" s="48" t="str">
        <f t="shared" si="40"/>
        <v>"Center",</v>
      </c>
      <c r="EP13" s="48" t="str">
        <f t="shared" si="40"/>
        <v/>
      </c>
      <c r="EQ13" s="48" t="str">
        <f t="shared" si="40"/>
        <v/>
      </c>
      <c r="ER13" s="48" t="str">
        <f t="shared" si="40"/>
        <v/>
      </c>
      <c r="ES13" s="48" t="str">
        <f t="shared" si="40"/>
        <v/>
      </c>
      <c r="ET13" s="48" t="str">
        <f t="shared" si="40"/>
        <v>"Geogrh",</v>
      </c>
      <c r="EU13" s="48" t="str">
        <f t="shared" si="40"/>
        <v/>
      </c>
      <c r="EV13" s="48" t="str">
        <f t="shared" si="40"/>
        <v>"Builds",</v>
      </c>
      <c r="EW13" s="48" t="str">
        <f t="shared" si="40"/>
        <v>"Ships!",</v>
      </c>
      <c r="EX13" s="48" t="str">
        <f t="shared" si="40"/>
        <v>"Crowns",</v>
      </c>
      <c r="EY13" s="48" t="str">
        <f t="shared" si="40"/>
        <v/>
      </c>
      <c r="EZ13" s="48" t="str">
        <f t="shared" si="40"/>
        <v/>
      </c>
      <c r="FA13" s="48" t="str">
        <f>IF(AT13&gt;0,CHAR(34)&amp;"sta"&amp;AZ13&amp;CHAR(34)&amp;",","")</f>
        <v>"staWHI",</v>
      </c>
      <c r="FB13" s="48" t="str">
        <f>IF(AND(AT13&gt;0,BA13&lt;&gt;""),CHAR(34)&amp;"sta"&amp;BA13&amp;CHAR(34)&amp;",","")</f>
        <v/>
      </c>
      <c r="FC13" s="48" t="str">
        <f>IF(AND(AT13&gt;0,BB13&lt;&gt;""),CHAR(34)&amp;"sta"&amp;BB13&amp;CHAR(34)&amp;",","")</f>
        <v/>
      </c>
      <c r="FD13" s="48" t="str">
        <f>IF(BV13="n",CHAR(34)&amp;"tcWHYE"&amp;CHAR(34)&amp;",",IF(BV13="y",CHAR(34)&amp;FD$1&amp;CHAR(34)&amp;",",""))</f>
        <v>"ntWHYE",</v>
      </c>
      <c r="FE13" s="48" t="str">
        <f>IF(COUNTIF(BL13:BT13,"BLU")=0,CHAR(34)&amp;"NO_BLU"&amp;CHAR(34)&amp;",", "")</f>
        <v/>
      </c>
      <c r="FF13" s="48" t="str">
        <f>IF(COUNTIF(BL13:BT13,"WHI")=0,CHAR(34)&amp;"NO_WHI"&amp;CHAR(34)&amp;",", "")</f>
        <v/>
      </c>
      <c r="FG13" s="48" t="str">
        <f>IF(COUNTIF(BL13:BT13,"RED")=0,CHAR(34)&amp;"NO_RED"&amp;CHAR(34)&amp;",", "")</f>
        <v>"NO_RED",</v>
      </c>
      <c r="FH13" s="48" t="str">
        <f>IF(COUNTIF(BL13:BS13,"GRE")=0,CHAR(34)&amp;"NO_GRE"&amp;CHAR(34)&amp;",", "")</f>
        <v/>
      </c>
      <c r="FI13" s="48" t="str">
        <f>IF(COUNTIF(BL13:BT13,"YEL")=0,CHAR(34)&amp;"NO_YEL"&amp;CHAR(34)&amp;",", "")</f>
        <v/>
      </c>
      <c r="FJ13" s="48" t="str">
        <f>IF(COUNTIF(BL13:BT13,"BLA")=0,CHAR(34)&amp;"NO_BLA"&amp;CHAR(34)&amp;",", "")</f>
        <v>"NO_BLA",</v>
      </c>
      <c r="FK13" s="48" t="str">
        <f>IF(AND(FH13&lt;&gt;"",FF13&lt;&gt;""),CHAR(34)&amp;"WHGRNO"&amp;CHAR(34)&amp;",","")</f>
        <v/>
      </c>
      <c r="FL13" s="48" t="str">
        <f>IF(AND(FI13&lt;&gt;"",FF13&lt;&gt;""),CHAR(34)&amp;"WHYENO"&amp;CHAR(34)&amp;",","")</f>
        <v/>
      </c>
      <c r="FM13" s="48" t="str">
        <f>IF(AND(FJ13&lt;&gt;"",FF13&lt;&gt;""),CHAR(34)&amp;"BAWHNO"&amp;CHAR(34)&amp;",","")</f>
        <v/>
      </c>
      <c r="FN13" s="48" t="str">
        <f>IF(AND(FE13&lt;&gt;"",FF13&lt;&gt;""),CHAR(34)&amp;"BLWHNO"&amp;CHAR(34)&amp;",","")</f>
        <v/>
      </c>
      <c r="FO13" s="48" t="str">
        <f>IF(AND(FE13&lt;&gt;"",FG13&lt;&gt;""),CHAR(34)&amp;"BLRENO"&amp;CHAR(34)&amp;",","")</f>
        <v/>
      </c>
      <c r="FP13" s="48" t="str">
        <f>IF(AND(FF13&lt;&gt;"",FF13&lt;&gt;""),CHAR(34)&amp;"WHRENO"&amp;CHAR(34)&amp;",","")</f>
        <v/>
      </c>
      <c r="FQ13" s="48" t="str">
        <f>IF(LEN(BF13)=3,CHAR(34)&amp;"001"&amp;BF13&amp;CHAR(34)&amp;",","")</f>
        <v>"001BLU",</v>
      </c>
      <c r="FR13" s="48" t="str">
        <f>IF(LEN(BG13)=3,CHAR(34)&amp;"002"&amp;BG13&amp;CHAR(34)&amp;",","")</f>
        <v>"002YEL",</v>
      </c>
      <c r="FS13" s="48" t="str">
        <f>IF(LEN(BH13)=3,CHAR(34)&amp;"003"&amp;BH13&amp;CHAR(34)&amp;",","")</f>
        <v>"003GRE",</v>
      </c>
      <c r="FT13" s="48" t="str">
        <f>CHAR(34)&amp;"myr"&amp;BD13&amp;CHAR(34)&amp;","</f>
        <v>"myrGRE",</v>
      </c>
      <c r="FU13" s="48" t="str">
        <f>IF(AY13="y",CHAR(34)&amp;"island"&amp;CHAR(34)&amp;",","")</f>
        <v>"island",</v>
      </c>
      <c r="FV13" s="48" t="str">
        <f>IF(BZ13="y",CHAR(34)&amp;"landlo"&amp;CHAR(34)&amp;",","")</f>
        <v/>
      </c>
      <c r="FW13" s="48" t="str">
        <f>IF(CA13="y",CHAR(34)&amp;"eunion"&amp;CHAR(34)&amp;",","")</f>
        <v/>
      </c>
      <c r="FX13" s="48" t="str">
        <f>SUBSTITUTE(IFERROR(SEARCH("[",A13),IFERROR(IF(AND(CA13&lt;&gt;"y",SEARCH("Europe",R13)&gt;0),CHAR(34)&amp;"noeuni"&amp;CHAR(34)&amp;",",""),"")),"1","")</f>
        <v/>
      </c>
      <c r="FY13" s="48" t="str">
        <f>IFERROR(IF(SEARCH("Arabic",CB13)&gt;0,CHAR(34)&amp;"arabic"&amp;CHAR(34)&amp;",",""),"")</f>
        <v/>
      </c>
      <c r="FZ13" s="48" t="str">
        <f>IFERROR(IF(SEARCH("English",CB13)&gt;0,CHAR(34)&amp;"englis"&amp;CHAR(34)&amp;",",""),"")</f>
        <v>"englis",</v>
      </c>
      <c r="GA13" s="48" t="str">
        <f>IFERROR(IF(SEARCH("French",CB13)&gt;0,CHAR(34)&amp;"french"&amp;CHAR(34)&amp;",",""),"")</f>
        <v/>
      </c>
      <c r="GB13" s="48" t="str">
        <f>IFERROR(IF(SEARCH("Spanish",CB13)&gt;0,CHAR(34)&amp;"spanis"&amp;CHAR(34)&amp;",",""),"")</f>
        <v/>
      </c>
      <c r="GC13" s="48" t="str">
        <f>IFERROR(IF(SEARCH("Portuguese",CB13)&gt;0,CHAR(34)&amp;"portug"&amp;CHAR(34)&amp;",",""),"")</f>
        <v/>
      </c>
      <c r="GD13" s="48" t="str">
        <f>IFERROR(IF(SEARCH("German",CB13)&gt;0,CHAR(34)&amp;"german"&amp;CHAR(34)&amp;",",""),"")</f>
        <v/>
      </c>
      <c r="GE13" s="48" t="str">
        <f t="shared" ref="GE13:GE15" si="104">IFERROR(IF(SEARCH("Dutch",CB13)&gt;0,CHAR(34)&amp;"dutchs"&amp;CHAR(34)&amp;",",""),"")</f>
        <v/>
      </c>
      <c r="GF13" s="48" t="str">
        <f>IFERROR(IF(SEARCH("Histor",AU13)&gt;0,CHAR(34)&amp;"histor"&amp;CHAR(34)&amp;",",""),"")</f>
        <v/>
      </c>
      <c r="GG13" s="48" t="str">
        <f t="shared" ref="GG13:GG15" si="105">IF(BU13="y",CHAR(34)&amp;"unjack"&amp;CHAR(34)&amp;",","")</f>
        <v/>
      </c>
      <c r="GH13" s="48" t="str">
        <f t="shared" ref="GH13:GH15" si="106">IF(CD13=1,CHAR(34)&amp;"southc"&amp;CHAR(34)&amp;",","")</f>
        <v/>
      </c>
      <c r="GI13" s="48" t="str">
        <f t="shared" ref="GI13:GI15" si="107">IF(CE13=1,CHAR(34)&amp;"hasmap"&amp;CHAR(34)&amp;",","")</f>
        <v/>
      </c>
      <c r="GJ13" s="48" t="str">
        <f>IF(CP13="y",CHAR(34)&amp;CP$1&amp;CHAR(34)&amp;",","")</f>
        <v/>
      </c>
      <c r="GK13" s="48" t="str">
        <f>IF(GJ13="",CHAR(34)&amp;"HasSta"&amp;CHAR(34)&amp;",","")</f>
        <v>"HasSta",</v>
      </c>
      <c r="GL13" s="48" t="str">
        <f t="shared" si="78"/>
        <v/>
      </c>
      <c r="GM13" s="48" t="str">
        <f t="shared" si="78"/>
        <v/>
      </c>
      <c r="GN13" s="48" t="str">
        <f t="shared" si="78"/>
        <v>"3+Star",</v>
      </c>
      <c r="GP13" s="48" t="str">
        <f>CHAR(34)&amp;AU13&amp;CHAR(34)</f>
        <v>"Region"</v>
      </c>
      <c r="GS13" s="48" t="str">
        <f>SUBSTITUTE("["&amp;_xlfn.CONCAT(CW13:GN13)&amp;"]",",]","]")</f>
        <v>["4Color","words2","exact2","lets16","startV","with_v","dgband","NoBand","Diagon","Horizo","Vertic","Bird","Texted","Center","Geogrh","Builds","Ships!","Crowns","staWHI","ntWHYE","NO_RED","NO_BLA","001BLU","002YEL","003GRE","myrGRE","island","englis","HasSta","3+Star"]</v>
      </c>
      <c r="GT13" s="48" t="str">
        <f t="shared" si="81"/>
        <v>"cl_BLU",</v>
      </c>
      <c r="GU13" s="48" t="str">
        <f t="shared" si="81"/>
        <v>"cl_YEL",</v>
      </c>
      <c r="GV13" s="48" t="str">
        <f t="shared" si="81"/>
        <v>"cl_GRE",</v>
      </c>
      <c r="GW13" s="48" t="str">
        <f t="shared" si="81"/>
        <v>"cl_WHI",</v>
      </c>
      <c r="GX13" s="48" t="str">
        <f t="shared" si="81"/>
        <v/>
      </c>
      <c r="GY13" s="48" t="str">
        <f t="shared" si="81"/>
        <v/>
      </c>
      <c r="GZ13" s="48" t="str">
        <f t="shared" si="81"/>
        <v/>
      </c>
      <c r="HA13" s="48" t="str">
        <f t="shared" si="81"/>
        <v/>
      </c>
      <c r="HB13" s="48" t="str">
        <f t="shared" si="81"/>
        <v/>
      </c>
      <c r="HC13" s="48" t="str">
        <f>SUBSTITUTE("["&amp;_xlfn.CONCAT(GT13:HB13)&amp;"]",",]","]")</f>
        <v>["cl_BLU","cl_YEL","cl_GRE","cl_WHI"]</v>
      </c>
      <c r="HE13" s="71"/>
      <c r="HF13" s="72" t="str">
        <f>"{couname:"&amp;CT13&amp;(IF(HK13&lt;&gt;"",",subtype:"&amp;CHAR(34)&amp;HK13&amp;CHAR(34),""))&amp;",year:"&amp;HJ13&amp;",region:"&amp;CU13&amp;",Colors:"&amp;HC13&amp;",Items:"&amp;GS13&amp;",Flag:"&amp;CV13&amp;",HDFlag:"&amp;CHAR(34)&amp;E13&amp;CHAR(34)&amp;",type:"&amp;GP13&amp;", describe: "&amp;HH13&amp;", isnew:"&amp;CHAR(34)&amp;F13&amp;CHAR(34)&amp;", links: "&amp;HL13&amp;"},"</f>
        <v>{couname:"[CHL] Valparaíso Region",year:"???",region:"rgn_South America",Colors:["cl_BLU","cl_YEL","cl_GRE","cl_WHI"],Items:["4Color","words2","exact2","lets16","startV","with_v","dgband","NoBand","Diagon","Horizo","Vertic","Bird","Texted","Center","Geogrh","Builds","Ships!","Crowns","staWHI","ntWHYE","NO_RED","NO_BLA","001BLU","002YEL","003GRE","myrGRE","island","englis","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isnew:".", links: "https://www.crwflags.com/fotw/flags/cl-05.html"},</v>
      </c>
      <c r="HG13" s="73" t="str">
        <f>"{couname:"&amp;CT13&amp;(IF(HK13&lt;&gt;"",",subtype:"&amp;CHAR(34)&amp;HK13&amp;CHAR(34),""))&amp;",year:"&amp;HJ13&amp;",region:"&amp;CU13&amp;",Colors:"&amp;HC13&amp;",Items:"&amp;GS13&amp;",Flag:"&amp;CV13&amp;",HDFlag:"&amp;CHAR(34)&amp;E13&amp;CHAR(34)&amp;",type:"&amp;GP13&amp;", describe: "&amp;HI13&amp;", links: "&amp;HL13&amp;"},"</f>
        <v>{couname:"[CHL] Valparaíso Region",year:"???",region:"rgn_South America",Colors:["cl_BLU","cl_YEL","cl_GRE","cl_WHI"],Items:["4Color","words2","exact2","lets16","startV","with_v","dgband","NoBand","Diagon","Horizo","Vertic","Bird","Texted","Center","Geogrh","Builds","Ships!","Crowns","staWHI","ntWHYE","NO_RED","NO_BLA","001BLU","002YEL","003GRE","myrGRE","island","englis","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links: "https://www.crwflags.com/fotw/flags/cl-05.html"},</v>
      </c>
      <c r="HH13" s="48" t="str">
        <f>IF(P13&lt;&gt;"",CHAR(34)&amp;"\n"&amp;P13&amp;CHAR(34),CHAR(34)&amp;CHAR(34))</f>
        <v>"\nThe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v>
      </c>
      <c r="HI13" s="48" t="str">
        <f>IF(J13=0,CHAR(34)&amp;CHAR(34),HH13)</f>
        <v>"\nThe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v>
      </c>
      <c r="HJ13" s="48" t="str">
        <f>CHAR(34)&amp;O13&amp;CHAR(34)</f>
        <v>"???"</v>
      </c>
      <c r="HL13" s="48" t="str">
        <f>CHAR(34)&amp;I13&amp;CHAR(34)</f>
        <v>"https://www.crwflags.com/fotw/flags/cl-05.html"</v>
      </c>
      <c r="HM13" s="72"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"&amp;HH13&amp;", "&amp;CHAR(34)&amp;"isnew"&amp;CHAR(34)&amp;": "&amp;CHAR(34)&amp;F13&amp;CHAR(34)&amp;", "&amp;CHAR(34)&amp;"links"&amp;CHAR(34)&amp;": "&amp;HL13&amp;"},"</f>
        <v>{"couname":"[CHL] Valparaíso Region","year":"???","region":"rgn_South America","Colors":["cl_BLU","cl_YEL","cl_GRE","cl_WHI"],"Items":["4Color","words2","exact2","lets16","startV","with_v","dgband","NoBand","Diagon","Horizo","Vertic","Bird","Texted","Center","Geogrh","Builds","Ships!","Crowns","staWHI","ntWHYE","NO_RED","NO_BLA","001BLU","002YEL","003GRE","myrGRE","island","englis","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"isnew": ".", "links": "https://www.crwflags.com/fotw/flags/cl-05.html"},</v>
      </c>
      <c r="HN13" s="74"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"&amp;HI13&amp;", "&amp;CHAR(34)&amp;"isnew"&amp;CHAR(34)&amp;": "&amp;CHAR(34)&amp;F13&amp;CHAR(34)&amp;", "&amp;CHAR(34)&amp;"links"&amp;CHAR(34)&amp;": "&amp;HL13&amp;"},"</f>
        <v>{"couname":"[CHL] Valparaíso Region","year":"???","region":"rgn_South America","Colors":["cl_BLU","cl_YEL","cl_GRE","cl_WHI"],"Items":["4Color","words2","exact2","lets16","startV","with_v","dgband","NoBand","Diagon","Horizo","Vertic","Bird","Texted","Center","Geogrh","Builds","Ships!","Crowns","staWHI","ntWHYE","NO_RED","NO_BLA","001BLU","002YEL","003GRE","myrGRE","island","englis","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"isnew": ".", "links": "https://www.crwflags.com/fotw/flags/cl-05.html"},</v>
      </c>
      <c r="HO13" s="75"/>
      <c r="HP13" s="48" t="str" cm="1">
        <f t="array" ref="HP13">IF(_xlfn.TEXTJOIN(", ", TRUE, IF(ISNUMBER(SEARCH("BLA", BL13:BT13)), COLUMN(BL13:BT13) - COLUMN(BL13) + 1, ""))&lt;&gt;"","BLA","")</f>
        <v/>
      </c>
      <c r="HQ13" s="48" t="str" cm="1">
        <f t="array" ref="HQ13">IF(_xlfn.TEXTJOIN(", ", TRUE, IF(ISNUMBER(SEARCH("BLU", BL13:BT13)), COLUMN(BL13:BT13) - COLUMN(BL13) + 1, ""))&lt;&gt;"","BLU","")</f>
        <v>BLU</v>
      </c>
      <c r="HR13" s="48" t="str" cm="1">
        <f t="array" ref="HR13">IF(_xlfn.TEXTJOIN(", ", TRUE, IF(ISNUMBER(SEARCH("GRE", BL13:BT13)), COLUMN(BL13:BT13) - COLUMN(BL13) + 1, ""))&lt;&gt;"","GRE","")</f>
        <v>GRE</v>
      </c>
      <c r="HS13" s="48" t="str" cm="1">
        <f t="array" ref="HS13">IF(_xlfn.TEXTJOIN(", ", TRUE, IF(ISNUMBER(SEARCH("RED", BL13:BT13)), COLUMN(BL13:BT13) - COLUMN(BL13) + 1, ""))&lt;&gt;"","RED","")</f>
        <v/>
      </c>
      <c r="HT13" s="48" t="str" cm="1">
        <f t="array" ref="HT13">IF(_xlfn.TEXTJOIN(", ", TRUE, IF(ISNUMBER(SEARCH("YEL", BL13:BT13)), COLUMN(BL13:BT13) - COLUMN(BL13) + 1, ""))&lt;&gt;"","YEL","")</f>
        <v>YEL</v>
      </c>
      <c r="HU13" s="48" t="str" cm="1">
        <f t="array" ref="HU13">IF(_xlfn.TEXTJOIN(", ", TRUE, IF(ISNUMBER(SEARCH("ORA", BL13:BT13)), COLUMN(BL13:BT13) - COLUMN(BL13) + 1, ""))&lt;&gt;"","ORA","")</f>
        <v/>
      </c>
      <c r="HV13" s="48" t="str" cm="1">
        <f t="array" ref="HV13">IF(_xlfn.TEXTJOIN(", ", TRUE, IF(ISNUMBER(SEARCH("BRO", BL13:BT13)), COLUMN(BL13:BT13) - COLUMN(BL13) + 1, ""))&lt;&gt;"","BRO","")</f>
        <v/>
      </c>
      <c r="HW13" s="48" t="str" cm="1">
        <f t="array" ref="HW13">IF(_xlfn.TEXTJOIN(", ", TRUE, IF(ISNUMBER(SEARCH("PUR", BL13:BT13)), COLUMN(BL13:BT13) - COLUMN(BL13) + 1, ""))&lt;&gt;"","PUR","")</f>
        <v/>
      </c>
      <c r="HX13" s="48" t="str" cm="1">
        <f t="array" ref="HX13">IF(_xlfn.TEXTJOIN(", ", TRUE, IF(ISNUMBER(SEARCH("WHI", BL13:BT13)), COLUMN(BL13:BT13) - COLUMN(BL13) + 1, ""))&lt;&gt;"","WHI","")</f>
        <v>WHI</v>
      </c>
      <c r="HY13" s="76"/>
      <c r="HZ13" s="76"/>
      <c r="IA13" s="6"/>
      <c r="IB13" s="6"/>
      <c r="IC13" s="77"/>
      <c r="ID13" s="77"/>
      <c r="IE13" s="77"/>
      <c r="IF13" s="77"/>
      <c r="IG13" s="77"/>
      <c r="IH13" s="77"/>
      <c r="II13" s="77"/>
      <c r="IJ13" s="77"/>
      <c r="IK13" s="77"/>
      <c r="IL13" s="48">
        <f>SUM(IC13:IK13)</f>
        <v>0</v>
      </c>
      <c r="IM13" s="45">
        <f>COUNTIF(IC13:IK13,"&gt;0")-CG13</f>
        <v>-4</v>
      </c>
      <c r="IN13" s="78" t="str">
        <f>"http://mkweb.bcgsc.ca/color-summarizer/?url="&amp;D13&amp;"&amp;precision=low&amp;num_clusters="&amp;CG13&amp;"&amp;text=1"</f>
        <v>http://mkweb.bcgsc.ca/color-summarizer/?url=https://www.crwflags.com/fotw/images/c/cl-05.gif&amp;precision=low&amp;num_clusters=4&amp;text=1</v>
      </c>
      <c r="IO13" s="48" t="str">
        <f>IF(HP13&lt;&gt;"",CHAR(34)&amp;"black"&amp;CHAR(34),"")</f>
        <v/>
      </c>
      <c r="IP13" s="48" t="str">
        <f>IF(HQ13&lt;&gt;"",CHAR(34)&amp;"blue"&amp;CHAR(34),"")</f>
        <v>"blue"</v>
      </c>
      <c r="IQ13" s="48" t="str">
        <f>IF(HR13&lt;&gt;"",CHAR(34)&amp;"green"&amp;CHAR(34),"")</f>
        <v>"green"</v>
      </c>
      <c r="IR13" s="48" t="str">
        <f>IF(HS13&lt;&gt;"",CHAR(34)&amp;"red"&amp;CHAR(34),"")</f>
        <v/>
      </c>
      <c r="IS13" s="48" t="str">
        <f>IF(HT13&lt;&gt;"",CHAR(34)&amp;"yellow"&amp;CHAR(34),"")</f>
        <v>"yellow"</v>
      </c>
      <c r="IT13" s="48" t="str">
        <f>IF(HU13&lt;&gt;"",CHAR(34)&amp;"orange"&amp;CHAR(34),"")</f>
        <v/>
      </c>
      <c r="IU13" s="48" t="str">
        <f>IF(HV13&lt;&gt;"",CHAR(34)&amp;"brown"&amp;CHAR(34),"")</f>
        <v/>
      </c>
      <c r="IV13" s="48" t="str">
        <f>IF(HW13&lt;&gt;"",CHAR(34)&amp;"purple"&amp;CHAR(34),"")</f>
        <v/>
      </c>
      <c r="IW13" s="48" t="str">
        <f>IF(HX13&lt;&gt;"",CHAR(34)&amp;"white"&amp;CHAR(34),"")</f>
        <v>"white"</v>
      </c>
      <c r="IX13" s="48" t="str">
        <f>"{"&amp;CHAR(34)&amp;"url"&amp;CHAR(34)&amp;":"&amp;CHAR(34)&amp;IN13&amp;CHAR(34)&amp;","&amp;CHAR(34)&amp;"name"&amp;CHAR(34)&amp;":"&amp;CHAR(34)&amp;A13&amp;CHAR(34)&amp;"},"</f>
        <v>{"url":"http://mkweb.bcgsc.ca/color-summarizer/?url=https://www.crwflags.com/fotw/images/c/cl-05.gif&amp;precision=low&amp;num_clusters=4&amp;text=1","name":"[CHL] Valparaíso Region"},</v>
      </c>
      <c r="IY13" s="48">
        <v>201</v>
      </c>
    </row>
    <row r="14" spans="1:259" s="48" customFormat="1" ht="38.4" customHeight="1" thickBot="1" x14ac:dyDescent="0.35">
      <c r="A14" s="81" t="s">
        <v>851</v>
      </c>
      <c r="B14" s="40" t="e" vm="68">
        <v>#VALUE!</v>
      </c>
      <c r="C14" s="41">
        <v>3</v>
      </c>
      <c r="D14" s="42" t="s">
        <v>852</v>
      </c>
      <c r="E14" s="43" t="s">
        <v>852</v>
      </c>
      <c r="F14" s="44" t="s">
        <v>166</v>
      </c>
      <c r="G14" s="45">
        <f>COUNTIF($A$1:$A$8294,A14)</f>
        <v>1</v>
      </c>
      <c r="H14" s="46" t="s">
        <v>853</v>
      </c>
      <c r="I14" s="47" t="s">
        <v>854</v>
      </c>
      <c r="J14" s="48" t="str">
        <f>""</f>
        <v/>
      </c>
      <c r="K14" s="49"/>
      <c r="L14" s="50"/>
      <c r="M14" s="50"/>
      <c r="N14" s="51" t="s">
        <v>169</v>
      </c>
      <c r="O14" s="52">
        <v>1812</v>
      </c>
      <c r="P14" s="53" t="s">
        <v>855</v>
      </c>
      <c r="Q14" s="54">
        <v>2</v>
      </c>
      <c r="R14" s="55" t="s">
        <v>169</v>
      </c>
      <c r="S14" s="56">
        <v>3</v>
      </c>
      <c r="T14" s="57" t="s">
        <v>172</v>
      </c>
      <c r="U14" s="58" t="s">
        <v>172</v>
      </c>
      <c r="V14" s="58" t="s">
        <v>173</v>
      </c>
      <c r="W14" s="58" t="s">
        <v>172</v>
      </c>
      <c r="X14" s="58" t="s">
        <v>172</v>
      </c>
      <c r="Y14" s="58" t="s">
        <v>172</v>
      </c>
      <c r="Z14" s="58" t="s">
        <v>172</v>
      </c>
      <c r="AA14" s="58" t="s">
        <v>172</v>
      </c>
      <c r="AB14" s="58" t="s">
        <v>172</v>
      </c>
      <c r="AC14" s="58" t="s">
        <v>172</v>
      </c>
      <c r="AD14" s="58" t="s">
        <v>172</v>
      </c>
      <c r="AE14" s="58" t="s">
        <v>172</v>
      </c>
      <c r="AF14" s="59" t="s">
        <v>172</v>
      </c>
      <c r="AG14" s="59" t="s">
        <v>173</v>
      </c>
      <c r="AH14" s="59" t="s">
        <v>172</v>
      </c>
      <c r="AI14" s="59" t="s">
        <v>172</v>
      </c>
      <c r="AJ14" s="59" t="s">
        <v>172</v>
      </c>
      <c r="AK14" s="59" t="s">
        <v>173</v>
      </c>
      <c r="AL14" s="59" t="s">
        <v>172</v>
      </c>
      <c r="AM14" s="59" t="s">
        <v>172</v>
      </c>
      <c r="AN14" s="59" t="s">
        <v>172</v>
      </c>
      <c r="AO14" s="59" t="s">
        <v>172</v>
      </c>
      <c r="AP14" s="59" t="s">
        <v>172</v>
      </c>
      <c r="AQ14" s="59" t="s">
        <v>172</v>
      </c>
      <c r="AR14" s="59" t="s">
        <v>172</v>
      </c>
      <c r="AS14" s="59" t="s">
        <v>172</v>
      </c>
      <c r="AT14" s="60">
        <v>0</v>
      </c>
      <c r="AU14" s="59" t="s">
        <v>834</v>
      </c>
      <c r="AV14" s="59" t="str">
        <f>IF(LEFT(A14,1)="[",LEFT(A14,5)&amp;AU14&amp;A14,"")</f>
        <v>[CHL]Historical[CHL] Chile (1812-1814)</v>
      </c>
      <c r="AW14" s="59" t="str">
        <f>C14&amp;A14</f>
        <v>3[CHL] Chile (1812-1814)</v>
      </c>
      <c r="AX14" s="61"/>
      <c r="AY14" s="61"/>
      <c r="AZ14" s="62" t="s">
        <v>155</v>
      </c>
      <c r="BA14" s="62"/>
      <c r="BB14" s="62"/>
      <c r="BC14" s="63"/>
      <c r="BD14" s="64" t="s">
        <v>152</v>
      </c>
      <c r="BE14" s="47"/>
      <c r="BF14" s="64" t="s">
        <v>174</v>
      </c>
      <c r="BG14" s="64" t="s">
        <v>174</v>
      </c>
      <c r="BH14" s="64" t="s">
        <v>174</v>
      </c>
      <c r="BI14" s="64"/>
      <c r="BJ14" s="64"/>
      <c r="BK14" s="47"/>
      <c r="BL14" s="64" t="s">
        <v>174</v>
      </c>
      <c r="BM14" s="64" t="s">
        <v>152</v>
      </c>
      <c r="BN14" s="64" t="s">
        <v>174</v>
      </c>
      <c r="BO14" s="64" t="s">
        <v>174</v>
      </c>
      <c r="BP14" s="64" t="s">
        <v>155</v>
      </c>
      <c r="BQ14" s="64" t="s">
        <v>174</v>
      </c>
      <c r="BR14" s="64" t="s">
        <v>174</v>
      </c>
      <c r="BS14" s="64" t="s">
        <v>174</v>
      </c>
      <c r="BT14" s="64" t="s">
        <v>174</v>
      </c>
      <c r="BU14" s="65"/>
      <c r="BV14" s="66"/>
      <c r="BW14" s="66">
        <v>0</v>
      </c>
      <c r="BX14" s="47"/>
      <c r="CB14" s="6"/>
      <c r="CC14" s="6"/>
      <c r="CD14" s="67">
        <v>0</v>
      </c>
      <c r="CE14" s="67">
        <v>0</v>
      </c>
      <c r="CF14" s="67" t="e">
        <v>#REF!</v>
      </c>
      <c r="CG14" s="68" cm="1">
        <f t="array" ref="CG14">SUMPRODUCT(--(LEN(TRIM(BL14:BT14))&gt;0))</f>
        <v>2</v>
      </c>
      <c r="CH14" s="59" t="str">
        <f t="shared" ref="CH14:CH15" si="108">IF(CG14=2,"y","n")</f>
        <v>y</v>
      </c>
      <c r="CI14" s="59" t="str">
        <f t="shared" ref="CI14:CI15" si="109">IF(CG14=3,"y","n")</f>
        <v>n</v>
      </c>
      <c r="CJ14" s="59" t="str">
        <f t="shared" ref="CJ14:CJ15" si="110">IF(CG14=4,"y","n")</f>
        <v>n</v>
      </c>
      <c r="CK14" s="59" t="str">
        <f t="shared" ref="CK14:CK15" si="111">IF(CG14&gt;4,"y","n")</f>
        <v>n</v>
      </c>
      <c r="CL14" s="59" t="str">
        <f t="shared" ref="CL14:CL15" si="112">IF(S14=0,"y","n")</f>
        <v>n</v>
      </c>
      <c r="CM14" s="59" t="str">
        <f t="shared" ref="CM14:CM15" si="113">IF(S14=2,"y","n")</f>
        <v>n</v>
      </c>
      <c r="CN14" s="59" t="str">
        <f t="shared" ref="CN14:CN15" si="114">IF(S14=3,"y","n")</f>
        <v>y</v>
      </c>
      <c r="CO14" s="59" t="str">
        <f t="shared" ref="CO14:CO15" si="115">IF(S14&gt;=4,"y","n")</f>
        <v>n</v>
      </c>
      <c r="CP14" s="59" t="str">
        <f t="shared" ref="CP14:CP15" si="116">IF(AT14=0,"y","n")</f>
        <v>y</v>
      </c>
      <c r="CQ14" s="59" t="str">
        <f t="shared" ref="CQ14:CQ15" si="117">IF(AT14=1,"y","n")</f>
        <v>n</v>
      </c>
      <c r="CR14" s="59" t="str">
        <f t="shared" ref="CR14:CR15" si="118">IF(AT14=2,"y","n")</f>
        <v>n</v>
      </c>
      <c r="CS14" s="59" t="str">
        <f t="shared" ref="CS14:CS15" si="119">IF(AT14&gt;=3,"y","n")</f>
        <v>n</v>
      </c>
      <c r="CT14" s="69" t="str">
        <f t="shared" ref="CT14:CT15" si="120">CHAR(34)&amp;A14&amp;CHAR(34)</f>
        <v>"[CHL] Chile (1812-1814)"</v>
      </c>
      <c r="CU14" s="70" t="str">
        <f t="shared" ref="CU14:CU15" si="121">CHAR(34)&amp;"rgn_"&amp;R14&amp;CHAR(34)</f>
        <v>"rgn_South America"</v>
      </c>
      <c r="CV14" s="48" t="str">
        <f t="shared" ref="CV14:CV15" si="122">CHAR(34)&amp;D14&amp;CHAR(34)</f>
        <v>"https://upload.wikimedia.org/wikipedia/commons/thumb/3/35/Flag_of_Chile_%281812-1814%29.svg/1024px-Flag_of_Chile_%281812-1814%29.svg.png"</v>
      </c>
      <c r="CW14" s="48" t="str">
        <f t="shared" si="15"/>
        <v>"2Color",</v>
      </c>
      <c r="CX14" s="48" t="str">
        <f t="shared" si="15"/>
        <v/>
      </c>
      <c r="CY14" s="48" t="str">
        <f t="shared" si="15"/>
        <v/>
      </c>
      <c r="CZ14" s="48" t="str">
        <f t="shared" si="15"/>
        <v/>
      </c>
      <c r="DA14" s="48" t="str">
        <f t="shared" ref="DA14:DA15" si="123">IF(Q14&gt;1,CHAR(34)&amp;"words2"&amp;CHAR(34)&amp;",","")</f>
        <v>"words2",</v>
      </c>
      <c r="DB14" s="48" t="str">
        <f t="shared" ref="DB14:DB15" si="124">IF(Q14&gt;2,CHAR(34)&amp;"words3"&amp;CHAR(34)&amp;",","")</f>
        <v/>
      </c>
      <c r="DC14" s="48" t="str">
        <f t="shared" ref="DC14:DC15" si="125">IF(Q14=2,CHAR(34)&amp;"exact2"&amp;CHAR(34)&amp;",","")</f>
        <v>"exact2",</v>
      </c>
      <c r="DD14" s="48" t="str">
        <f t="shared" ref="DD14:DD15" si="126">IF(LEN(CHAR(34)&amp;"lets"&amp;LEN(SUBSTITUTE(SUBSTITUTE(IFERROR(TRIM(SUBSTITUTE(SUBSTITUTE(SUBSTITUTE(IFERROR(TRIM(SUBSTITUTE(A14,MID(A14,FIND("(",A14),FIND(")",A14)-FIND("(",A14)+1),"")),A14),"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",""),"-",""))&amp;CHAR(34)&amp;",")=9,CHAR(34)&amp;"lets"&amp;LEN(SUBSTITUTE(SUBSTITUTE(IFERROR(TRIM(SUBSTITUTE(SUBSTITUTE(SUBSTITUTE(IFERROR(TRIM(SUBSTITUTE(A14,MID(A14,FIND("(",A14),FIND(")",A14)-FIND("(",A14)+1),"")),A14),"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",""),"-",""))&amp;CHAR(34)&amp;",",CHAR(34)&amp;"lets0"&amp;LEN(SUBSTITUTE(SUBSTITUTE(IFERROR(TRIM(SUBSTITUTE(SUBSTITUTE(SUBSTITUTE(IFERROR(TRIM(SUBSTITUTE(A14,MID(A14,FIND("(",A14),FIND(")",A14)-FIND("(",A14)+1),"")),A14),"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f>
        <v>"lets05",</v>
      </c>
      <c r="DE14" s="48" t="str">
        <f t="shared" ref="DE14:DE15" si="127">IFERROR(CHAR(34)&amp;"start"&amp;LEFT(TRIM(SUBSTITUTE(SUBSTITUTE(TRIM(SUBSTITUTE(SUBSTITUTE(A14, MID(A14, FIND("[", A14), FIND("]", A14) - FIND("[", A14) + 1), ""), "  ", " ")), MID(TRIM(SUBSTITUTE(SUBSTITUTE(A14, MID(A14, FIND("[", A14), FIND("]", A14) - FIND("[", A14) + 1), ""), "  ", " ")), FIND("[", TRIM(SUBSTITUTE(SUBSTITUTE(A14, MID(A14, FIND("[", A14), FIND("]", A14) - FIND("[", A14) + 1), ""), "  ", " "))), FIND("]", TRIM(SUBSTITUTE(SUBSTITUTE(A14, MID(A14, FIND("[", A14), FIND("]", A14) - FIND("[", A14) + 1), ""), "  ", " "))) - FIND("[", TRIM(SUBSTITUTE(SUBSTITUTE(A14, MID(A14, FIND("[", A14), FIND("]", A14) - FIND("[", A14) + 1), ""), "  ", " "))) + 1), ""), "  ", " ")),1)&amp;CHAR(34)&amp;",",CHAR(34)&amp;"start"&amp;IFERROR(LEFT(SUBSTITUTE(A14,"["&amp;MID(A14,FIND("[",A14)+1,FIND("]",A14)-FIND("[",A14)-1)&amp;"] ",""),1),LEFT(A14,1))&amp;CHAR(34)&amp;",")</f>
        <v>"startC",</v>
      </c>
      <c r="DF14" s="48" t="str">
        <f t="shared" ref="DF14:DF15" si="128">IFERROR(IF(SEARCH("tan",A14)&gt;0,CHAR(34)&amp;"withtn"&amp;CHAR(34)&amp;",",""),"")</f>
        <v/>
      </c>
      <c r="DG14" s="48" t="str">
        <f t="shared" ref="DG14:DG15" si="129">IFERROR(IF(SEARCH("q",A14)&gt;0,CHAR(34)&amp;"with_q"&amp;CHAR(34)&amp;",",""),"")</f>
        <v/>
      </c>
      <c r="DH14" s="48" t="str">
        <f t="shared" ref="DH14:DH15" si="130">IFERROR(IF(SEARCH("v",A14)&gt;0,CHAR(34)&amp;"with_v"&amp;CHAR(34)&amp;",",""),"")</f>
        <v/>
      </c>
      <c r="DI14" s="48" t="str">
        <f t="shared" ref="DI14:DI15" si="131">IFERROR(IF(SEARCH("w",A14)&gt;0,CHAR(34)&amp;"with_w"&amp;CHAR(34)&amp;",",""),"")</f>
        <v/>
      </c>
      <c r="DJ14" s="48" t="str">
        <f t="shared" ref="DJ14:DJ15" si="132">IFERROR(IF(SEARCH("y",A14)&gt;0,CHAR(34)&amp;"with_y"&amp;CHAR(34)&amp;",",""),"")</f>
        <v/>
      </c>
      <c r="DK14" s="48" t="str">
        <f t="shared" ref="DK14:DK15" si="133">IFERROR(IF(SEARCH("z",A14)&gt;0,CHAR(34)&amp;"with_z"&amp;CHAR(34)&amp;",",""),"")</f>
        <v/>
      </c>
      <c r="DL14" s="48" t="str">
        <f t="shared" ref="DL14:DL15" si="134">IF(CG14=2, CHAR(34) &amp; _xlfn.TEXTJOIN("", TRUE, _xlfn._xlws.SORT(HP14:HX14)) &amp; CHAR(34) &amp; ",", "")</f>
        <v>"BLUYEL",</v>
      </c>
      <c r="DM14" s="48" t="str" cm="1">
        <f t="array" ref="DM14">IF(CG14=3,CHAR(34) &amp; _xlfn.TEXTJOIN("", TRUE, RIGHT(HP14:HX14, 2)) &amp; CHAR(34) &amp; ",", "")</f>
        <v/>
      </c>
      <c r="DN14" s="48" t="str">
        <f t="shared" ref="DN14:DN15" si="135">IF(AND(ISNUMBER(SEARCH("18", O14)), ISERROR(SEARCH("1918", O14)), ISERROR(SEARCH("2018", O14))), CHAR(34) &amp; "year18" &amp; CHAR(34) &amp; ",", "")</f>
        <v>"year18",</v>
      </c>
      <c r="DO14" s="48" t="str">
        <f t="shared" ref="DO14:DO15" si="136">IF(AND(ISNUMBER(SEARCH("19", O14)), ISERROR(SEARCH("1819", O14)),  ISERROR(SEARCH("1219", O14)),ISERROR(SEARCH("1119", O14)),ISERROR(SEARCH("1190", O14)),ISERROR(SEARCH("2019", O14))), CHAR(34) &amp; "year19" &amp; CHAR(34) &amp; ",", "")</f>
        <v/>
      </c>
      <c r="DP14" s="6" t="str">
        <f t="shared" ref="DP14:DP15" si="137">IF(AND(ISNUMBER(SEARCH("20", O14)), ISERROR(SEARCH("1920", O14))), CHAR(34)&amp;"year00"&amp;CHAR(34)&amp;",", "")</f>
        <v/>
      </c>
      <c r="DQ14" s="6" t="str">
        <f t="shared" ref="DQ14:DQ15" si="138">IF(CC14="y",CHAR(34)&amp;"soviet"&amp;CHAR(34)&amp;",","")</f>
        <v/>
      </c>
      <c r="DR14" s="6" t="str">
        <f t="shared" ref="DR14:DR15" si="139">IF(BY14="y",CHAR(34)&amp;"dgband"&amp;CHAR(34)&amp;",","")</f>
        <v/>
      </c>
      <c r="DS14" s="6" t="str">
        <f t="shared" ref="DS14:DS15" si="140">IF(W14="y",IF(AND(V14="n",BY14&lt;&gt;"y"),CHAR(34)&amp;"allver"&amp;CHAR(34)&amp;",",""),"")</f>
        <v/>
      </c>
      <c r="DT14" s="6" t="str">
        <f t="shared" ref="DT14:DT15" si="141">IF(V14="y",IF(AND(W14="n",BY14&lt;&gt;"y"),CHAR(34)&amp;"allhor"&amp;CHAR(34)&amp;",",""),"")</f>
        <v>"allhor",</v>
      </c>
      <c r="DU14" s="6" t="str">
        <f t="shared" ref="DU14:DU15" si="142">IF(BY14="y",IF(AND(W14="n",V14="n"),CHAR(34)&amp;"alldia"&amp;CHAR(34)&amp;",",""),"")</f>
        <v/>
      </c>
      <c r="DV14" s="48" t="str">
        <f t="shared" ref="DV14:DV15" si="143">IF(IA14&lt;&gt;"",(IF(IA14="y",CHAR(34)&amp;"largec"&amp;CHAR(34)&amp;",",CHAR(34)&amp;"smallc"&amp;CHAR(34)&amp;",")),"")</f>
        <v/>
      </c>
      <c r="DW14" s="48" t="str">
        <f t="shared" si="37"/>
        <v/>
      </c>
      <c r="DX14" s="48" t="str">
        <f t="shared" si="37"/>
        <v/>
      </c>
      <c r="DY14" s="48" t="str">
        <f t="shared" si="37"/>
        <v>"3Bands",</v>
      </c>
      <c r="DZ14" s="48" t="str">
        <f t="shared" si="37"/>
        <v/>
      </c>
      <c r="EA14" s="48" t="str">
        <f t="shared" si="38"/>
        <v/>
      </c>
      <c r="EB14" s="48" t="str">
        <f t="shared" si="38"/>
        <v/>
      </c>
      <c r="EC14" s="48" t="str">
        <f t="shared" si="38"/>
        <v>"Horizo",</v>
      </c>
      <c r="ED14" s="48" t="str">
        <f t="shared" si="38"/>
        <v/>
      </c>
      <c r="EE14" s="48" t="str">
        <f t="shared" si="38"/>
        <v/>
      </c>
      <c r="EF14" s="48" t="str">
        <f t="shared" ref="EF14:EF15" si="144">IF(AND(Y14&lt;&gt;"n",Y14&lt;&gt;""),CHAR(34)&amp;Y$1&amp;CHAR(34)&amp;",","")</f>
        <v/>
      </c>
      <c r="EG14" s="48" t="str">
        <f t="shared" si="40"/>
        <v/>
      </c>
      <c r="EH14" s="48" t="str">
        <f t="shared" si="40"/>
        <v/>
      </c>
      <c r="EI14" s="48" t="str">
        <f t="shared" si="40"/>
        <v/>
      </c>
      <c r="EJ14" s="48" t="str">
        <f t="shared" si="40"/>
        <v/>
      </c>
      <c r="EK14" s="48" t="str">
        <f t="shared" si="40"/>
        <v/>
      </c>
      <c r="EL14" s="48" t="str">
        <f t="shared" si="40"/>
        <v/>
      </c>
      <c r="EM14" s="48" t="str">
        <f t="shared" si="40"/>
        <v/>
      </c>
      <c r="EN14" s="48" t="str">
        <f t="shared" si="40"/>
        <v>"Unequa",</v>
      </c>
      <c r="EO14" s="48" t="str">
        <f t="shared" si="40"/>
        <v/>
      </c>
      <c r="EP14" s="48" t="str">
        <f t="shared" si="40"/>
        <v/>
      </c>
      <c r="EQ14" s="48" t="str">
        <f t="shared" si="40"/>
        <v/>
      </c>
      <c r="ER14" s="48" t="str">
        <f t="shared" si="40"/>
        <v>"OnlyBa",</v>
      </c>
      <c r="ES14" s="48" t="str">
        <f t="shared" si="40"/>
        <v/>
      </c>
      <c r="ET14" s="48" t="str">
        <f t="shared" si="40"/>
        <v/>
      </c>
      <c r="EU14" s="48" t="str">
        <f t="shared" si="40"/>
        <v/>
      </c>
      <c r="EV14" s="48" t="str">
        <f t="shared" ref="EV14:EZ15" si="145">IF(AO14="y",CHAR(34)&amp;AO$1&amp;CHAR(34)&amp;",","")</f>
        <v/>
      </c>
      <c r="EW14" s="48" t="str">
        <f t="shared" si="145"/>
        <v/>
      </c>
      <c r="EX14" s="48" t="str">
        <f t="shared" si="145"/>
        <v/>
      </c>
      <c r="EY14" s="48" t="str">
        <f t="shared" si="145"/>
        <v/>
      </c>
      <c r="EZ14" s="48" t="str">
        <f t="shared" si="145"/>
        <v/>
      </c>
      <c r="FA14" s="48" t="str">
        <f t="shared" ref="FA14:FA15" si="146">IF(AT14&gt;0,CHAR(34)&amp;"sta"&amp;AZ14&amp;CHAR(34)&amp;",","")</f>
        <v/>
      </c>
      <c r="FB14" s="48" t="str">
        <f t="shared" ref="FB14:FB15" si="147">IF(AND(AT14&gt;0,BA14&lt;&gt;""),CHAR(34)&amp;"sta"&amp;BA14&amp;CHAR(34)&amp;",","")</f>
        <v/>
      </c>
      <c r="FC14" s="48" t="str">
        <f t="shared" ref="FC14:FC15" si="148">IF(AND(AT14&gt;0,BB14&lt;&gt;""),CHAR(34)&amp;"sta"&amp;BB14&amp;CHAR(34)&amp;",","")</f>
        <v/>
      </c>
      <c r="FD14" s="48" t="str">
        <f t="shared" ref="FD14:FD15" si="149">IF(BV14="n",CHAR(34)&amp;"tcWHYE"&amp;CHAR(34)&amp;",",IF(BV14="y",CHAR(34)&amp;FD$1&amp;CHAR(34)&amp;",",""))</f>
        <v/>
      </c>
      <c r="FE14" s="48" t="str">
        <f t="shared" ref="FE14:FE15" si="150">IF(COUNTIF(BL14:BT14,"BLU")=0,CHAR(34)&amp;"NO_BLU"&amp;CHAR(34)&amp;",", "")</f>
        <v/>
      </c>
      <c r="FF14" s="48" t="str">
        <f t="shared" ref="FF14:FF15" si="151">IF(COUNTIF(BL14:BT14,"WHI")=0,CHAR(34)&amp;"NO_WHI"&amp;CHAR(34)&amp;",", "")</f>
        <v>"NO_WHI",</v>
      </c>
      <c r="FG14" s="48" t="str">
        <f t="shared" ref="FG14:FG15" si="152">IF(COUNTIF(BL14:BT14,"RED")=0,CHAR(34)&amp;"NO_RED"&amp;CHAR(34)&amp;",", "")</f>
        <v>"NO_RED",</v>
      </c>
      <c r="FH14" s="48" t="str">
        <f t="shared" ref="FH14:FH15" si="153">IF(COUNTIF(BL14:BS14,"GRE")=0,CHAR(34)&amp;"NO_GRE"&amp;CHAR(34)&amp;",", "")</f>
        <v>"NO_GRE",</v>
      </c>
      <c r="FI14" s="48" t="str">
        <f t="shared" ref="FI14:FI15" si="154">IF(COUNTIF(BL14:BT14,"YEL")=0,CHAR(34)&amp;"NO_YEL"&amp;CHAR(34)&amp;",", "")</f>
        <v/>
      </c>
      <c r="FJ14" s="48" t="str">
        <f t="shared" ref="FJ14:FJ15" si="155">IF(COUNTIF(BL14:BT14,"BLA")=0,CHAR(34)&amp;"NO_BLA"&amp;CHAR(34)&amp;",", "")</f>
        <v>"NO_BLA",</v>
      </c>
      <c r="FK14" s="48" t="str">
        <f t="shared" ref="FK14:FK15" si="156">IF(AND(FH14&lt;&gt;"",FF14&lt;&gt;""),CHAR(34)&amp;"WHGRNO"&amp;CHAR(34)&amp;",","")</f>
        <v>"WHGRNO",</v>
      </c>
      <c r="FL14" s="48" t="str">
        <f t="shared" ref="FL14:FL15" si="157">IF(AND(FI14&lt;&gt;"",FF14&lt;&gt;""),CHAR(34)&amp;"WHYENO"&amp;CHAR(34)&amp;",","")</f>
        <v/>
      </c>
      <c r="FM14" s="48" t="str">
        <f t="shared" ref="FM14:FM15" si="158">IF(AND(FJ14&lt;&gt;"",FF14&lt;&gt;""),CHAR(34)&amp;"BAWHNO"&amp;CHAR(34)&amp;",","")</f>
        <v>"BAWHNO",</v>
      </c>
      <c r="FN14" s="48" t="str">
        <f t="shared" ref="FN14:FN15" si="159">IF(AND(FE14&lt;&gt;"",FF14&lt;&gt;""),CHAR(34)&amp;"BLWHNO"&amp;CHAR(34)&amp;",","")</f>
        <v/>
      </c>
      <c r="FO14" s="48" t="str">
        <f t="shared" ref="FO14:FO15" si="160">IF(AND(FE14&lt;&gt;"",FG14&lt;&gt;""),CHAR(34)&amp;"BLRENO"&amp;CHAR(34)&amp;",","")</f>
        <v/>
      </c>
      <c r="FP14" s="48" t="str">
        <f t="shared" ref="FP14:FP15" si="161">IF(AND(FF14&lt;&gt;"",FF14&lt;&gt;""),CHAR(34)&amp;"WHRENO"&amp;CHAR(34)&amp;",","")</f>
        <v>"WHRENO",</v>
      </c>
      <c r="FQ14" s="48" t="str">
        <f t="shared" ref="FQ14:FQ15" si="162">IF(LEN(BF14)=3,CHAR(34)&amp;"001"&amp;BF14&amp;CHAR(34)&amp;",","")</f>
        <v/>
      </c>
      <c r="FR14" s="48" t="str">
        <f t="shared" ref="FR14:FR15" si="163">IF(LEN(BG14)=3,CHAR(34)&amp;"002"&amp;BG14&amp;CHAR(34)&amp;",","")</f>
        <v/>
      </c>
      <c r="FS14" s="48" t="str">
        <f t="shared" ref="FS14:FS15" si="164">IF(LEN(BH14)=3,CHAR(34)&amp;"003"&amp;BH14&amp;CHAR(34)&amp;",","")</f>
        <v/>
      </c>
      <c r="FT14" s="48" t="str">
        <f t="shared" ref="FT14:FT15" si="165">CHAR(34)&amp;"myr"&amp;BD14&amp;CHAR(34)&amp;","</f>
        <v>"myrBLU",</v>
      </c>
      <c r="FU14" s="48" t="str">
        <f t="shared" ref="FU14:FU15" si="166">IF(AY14="y",CHAR(34)&amp;"island"&amp;CHAR(34)&amp;",","")</f>
        <v/>
      </c>
      <c r="FV14" s="48" t="str">
        <f t="shared" ref="FV14:FV15" si="167">IF(BZ14="y",CHAR(34)&amp;"landlo"&amp;CHAR(34)&amp;",","")</f>
        <v/>
      </c>
      <c r="FW14" s="48" t="str">
        <f t="shared" ref="FW14:FW15" si="168">IF(CA14="y",CHAR(34)&amp;"eunion"&amp;CHAR(34)&amp;",","")</f>
        <v/>
      </c>
      <c r="FX14" s="48" t="str">
        <f t="shared" ref="FX14:FX15" si="169">SUBSTITUTE(IFERROR(SEARCH("[",A14),IFERROR(IF(AND(CA14&lt;&gt;"y",SEARCH("Europe",R14)&gt;0),CHAR(34)&amp;"noeuni"&amp;CHAR(34)&amp;",",""),"")),"1","")</f>
        <v/>
      </c>
      <c r="FY14" s="48" t="str">
        <f t="shared" ref="FY14:FY15" si="170">IFERROR(IF(SEARCH("Arabic",CB14)&gt;0,CHAR(34)&amp;"arabic"&amp;CHAR(34)&amp;",",""),"")</f>
        <v/>
      </c>
      <c r="FZ14" s="48" t="str">
        <f t="shared" ref="FZ14:FZ15" si="171">IFERROR(IF(SEARCH("English",CB14)&gt;0,CHAR(34)&amp;"englis"&amp;CHAR(34)&amp;",",""),"")</f>
        <v/>
      </c>
      <c r="GA14" s="48" t="str">
        <f t="shared" ref="GA14:GA15" si="172">IFERROR(IF(SEARCH("French",CB14)&gt;0,CHAR(34)&amp;"french"&amp;CHAR(34)&amp;",",""),"")</f>
        <v/>
      </c>
      <c r="GB14" s="48" t="str">
        <f t="shared" ref="GB14:GB15" si="173">IFERROR(IF(SEARCH("Spanish",CB14)&gt;0,CHAR(34)&amp;"spanis"&amp;CHAR(34)&amp;",",""),"")</f>
        <v/>
      </c>
      <c r="GC14" s="48" t="str">
        <f t="shared" ref="GC14:GC15" si="174">IFERROR(IF(SEARCH("Portuguese",CB14)&gt;0,CHAR(34)&amp;"portug"&amp;CHAR(34)&amp;",",""),"")</f>
        <v/>
      </c>
      <c r="GD14" s="48" t="str">
        <f t="shared" ref="GD14:GD15" si="175">IFERROR(IF(SEARCH("German",CB14)&gt;0,CHAR(34)&amp;"german"&amp;CHAR(34)&amp;",",""),"")</f>
        <v/>
      </c>
      <c r="GE14" s="48" t="str">
        <f t="shared" si="104"/>
        <v/>
      </c>
      <c r="GF14" s="48" t="str">
        <f t="shared" ref="GF14:GF15" si="176">IFERROR(IF(SEARCH("Historical",AU14)&gt;0,CHAR(34)&amp;"histor"&amp;CHAR(34)&amp;",",""),"")</f>
        <v>"histor",</v>
      </c>
      <c r="GG14" s="48" t="str">
        <f t="shared" si="105"/>
        <v/>
      </c>
      <c r="GH14" s="48" t="str">
        <f t="shared" si="106"/>
        <v/>
      </c>
      <c r="GI14" s="48" t="str">
        <f t="shared" si="107"/>
        <v/>
      </c>
      <c r="GJ14" s="48" t="str">
        <f t="shared" ref="GJ14:GJ15" si="177">IF(CP14="y",CHAR(34)&amp;CP$1&amp;CHAR(34)&amp;",","")</f>
        <v>"NoStar",</v>
      </c>
      <c r="GK14" s="48" t="str">
        <f t="shared" ref="GK14:GK15" si="178">IF(GJ14="",CHAR(34)&amp;"HasSta"&amp;CHAR(34)&amp;",","")</f>
        <v/>
      </c>
      <c r="GL14" s="48" t="str">
        <f t="shared" si="78"/>
        <v/>
      </c>
      <c r="GM14" s="48" t="str">
        <f t="shared" si="78"/>
        <v/>
      </c>
      <c r="GN14" s="48" t="str">
        <f t="shared" si="78"/>
        <v/>
      </c>
      <c r="GP14" s="48" t="str">
        <f t="shared" ref="GP14:GP15" si="179">CHAR(34)&amp;AU14&amp;CHAR(34)</f>
        <v>"Historical"</v>
      </c>
      <c r="GS14" s="48" t="str">
        <f t="shared" ref="GS14:GS15" si="180">SUBSTITUTE("["&amp;_xlfn.CONCAT(CW14:GN14)&amp;"]",",]","]")</f>
        <v>["2Color","words2","exact2","lets05","startC","BLUYEL","year18","allhor","3Bands","Horizo","Unequa","OnlyBa","NO_WHI","NO_RED","NO_GRE","NO_BLA","WHGRNO","BAWHNO","WHRENO","myrBLU","histor","NoStar"]</v>
      </c>
      <c r="GT14" s="48" t="str">
        <f t="shared" si="81"/>
        <v/>
      </c>
      <c r="GU14" s="48" t="str">
        <f t="shared" si="81"/>
        <v>"cl_BLU",</v>
      </c>
      <c r="GV14" s="48" t="str">
        <f t="shared" si="81"/>
        <v/>
      </c>
      <c r="GW14" s="48" t="str">
        <f t="shared" si="81"/>
        <v/>
      </c>
      <c r="GX14" s="48" t="str">
        <f t="shared" si="81"/>
        <v>"cl_YEL",</v>
      </c>
      <c r="GY14" s="48" t="str">
        <f t="shared" si="81"/>
        <v/>
      </c>
      <c r="GZ14" s="48" t="str">
        <f t="shared" si="81"/>
        <v/>
      </c>
      <c r="HA14" s="48" t="str">
        <f t="shared" si="81"/>
        <v/>
      </c>
      <c r="HB14" s="48" t="str">
        <f t="shared" si="81"/>
        <v/>
      </c>
      <c r="HC14" s="48" t="str">
        <f t="shared" ref="HC14:HC15" si="181">SUBSTITUTE("["&amp;_xlfn.CONCAT(GT14:HB14)&amp;"]",",]","]")</f>
        <v>["cl_BLU","cl_YEL"]</v>
      </c>
      <c r="HE14" s="71"/>
      <c r="HF14" s="72" t="str">
        <f t="shared" ref="HF14:HF15" si="182">"{couname:"&amp;CT14&amp;(IF(HK14&lt;&gt;"",",subtype:"&amp;CHAR(34)&amp;HK14&amp;CHAR(34),""))&amp;",year:"&amp;HJ14&amp;",region:"&amp;CU14&amp;",Colors:"&amp;HC14&amp;",Items:"&amp;GS14&amp;",Flag:"&amp;CV14&amp;",HDFlag:"&amp;CHAR(34)&amp;E14&amp;CHAR(34)&amp;",type:"&amp;GP14&amp;", describe: "&amp;HH14&amp;", isnew:"&amp;CHAR(34)&amp;F14&amp;CHAR(34)&amp;", links: "&amp;HL14&amp;"},"</f>
        <v>{couname:"[CHL] Chile (1812-1814)",year:"1812",region:"rgn_South America",Colors:["cl_BLU","cl_YEL"],Items:["2Color","words2","exact2","lets05","startC","BLUYEL","year18","allhor","3Bands","Horizo","Unequa","OnlyBa","NO_WHI","NO_RED","NO_GRE","NO_BLA","WHGRNO","BAWHNO","WHRENO","myrBLU","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isnew:".", links: "https://www.crwflags.com/fotw/flags/cl_hist.html"},</v>
      </c>
      <c r="HG14" s="73" t="str">
        <f t="shared" ref="HG14:HG15" si="183">"{couname:"&amp;CT14&amp;(IF(HK14&lt;&gt;"",",subtype:"&amp;CHAR(34)&amp;HK14&amp;CHAR(34),""))&amp;",year:"&amp;HJ14&amp;",region:"&amp;CU14&amp;",Colors:"&amp;HC14&amp;",Items:"&amp;GS14&amp;",Flag:"&amp;CV14&amp;",HDFlag:"&amp;CHAR(34)&amp;E14&amp;CHAR(34)&amp;",type:"&amp;GP14&amp;", describe: "&amp;HI14&amp;", links: "&amp;HL14&amp;"},"</f>
        <v>{couname:"[CHL] Chile (1812-1814)",year:"1812",region:"rgn_South America",Colors:["cl_BLU","cl_YEL"],Items:["2Color","words2","exact2","lets05","startC","BLUYEL","year18","allhor","3Bands","Horizo","Unequa","OnlyBa","NO_WHI","NO_RED","NO_GRE","NO_BLA","WHGRNO","BAWHNO","WHRENO","myrBLU","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links: "https://www.crwflags.com/fotw/flags/cl_hist.html"},</v>
      </c>
      <c r="HH14" s="48" t="str">
        <f t="shared" ref="HH14:HH15" si="184">IF(P14&lt;&gt;"",CHAR(34)&amp;"\n"&amp;P14&amp;CHAR(34),CHAR(34)&amp;CHAR(34))</f>
        <v>"\nChile’s first national flag was a tricolor of blue, white and yellow. According to Camilo Henríquez, who is considered the founding father of the Republic of Chile, the flag “represented the three values of the State: majesty, law and force.'"</v>
      </c>
      <c r="HI14" s="48" t="str">
        <f t="shared" ref="HI14:HI15" si="185">IF(J14=0,CHAR(34)&amp;CHAR(34),HH14)</f>
        <v>"\nChile’s first national flag was a tricolor of blue, white and yellow. According to Camilo Henríquez, who is considered the founding father of the Republic of Chile, the flag “represented the three values of the State: majesty, law and force.'"</v>
      </c>
      <c r="HJ14" s="48" t="str">
        <f t="shared" ref="HJ14:HJ15" si="186">CHAR(34)&amp;O14&amp;CHAR(34)</f>
        <v>"1812"</v>
      </c>
      <c r="HL14" s="48" t="str">
        <f t="shared" ref="HL14:HL15" si="187">CHAR(34)&amp;I14&amp;CHAR(34)</f>
        <v>"https://www.crwflags.com/fotw/flags/cl_hist.html"</v>
      </c>
      <c r="HM14" s="72" t="str">
        <f t="shared" ref="HM14:HM15" si="188">"{"&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"&amp;HH14&amp;", "&amp;CHAR(34)&amp;"isnew"&amp;CHAR(34)&amp;": "&amp;CHAR(34)&amp;F14&amp;CHAR(34)&amp;", "&amp;CHAR(34)&amp;"links"&amp;CHAR(34)&amp;": "&amp;HL14&amp;"},"</f>
        <v>{"couname":"[CHL] Chile (1812-1814)","subtype":"[CHL] Other","year":"1812","region":"rgn_South America","Colors":["cl_BLU","cl_YEL"],"Items":["2Color","words2","exact2","lets05","startC","BLUYEL","year18","allhor","3Bands","Horizo","Unequa","OnlyBa","NO_WHI","NO_RED","NO_GRE","NO_BLA","WHGRNO","BAWHNO","WHRENO","myrBLU","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"isnew": ".", "links": "https://www.crwflags.com/fotw/flags/cl_hist.html"},</v>
      </c>
      <c r="HN14" s="74" t="str">
        <f t="shared" ref="HN14:HN15" si="189">"{"&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"&amp;HI14&amp;", "&amp;CHAR(34)&amp;"isnew"&amp;CHAR(34)&amp;": "&amp;CHAR(34)&amp;F14&amp;CHAR(34)&amp;", "&amp;CHAR(34)&amp;"links"&amp;CHAR(34)&amp;": "&amp;HL14&amp;"},"</f>
        <v>{"couname":"[CHL] Chile (1812-1814)","subtype":"[CHL] Other","year":"1812","region":"rgn_South America","Colors":["cl_BLU","cl_YEL"],"Items":["2Color","words2","exact2","lets05","startC","BLUYEL","year18","allhor","3Bands","Horizo","Unequa","OnlyBa","NO_WHI","NO_RED","NO_GRE","NO_BLA","WHGRNO","BAWHNO","WHRENO","myrBLU","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"isnew": ".", "links": "https://www.crwflags.com/fotw/flags/cl_hist.html"},</v>
      </c>
      <c r="HO14" s="75">
        <v>45576</v>
      </c>
      <c r="HP14" s="48" t="str" cm="1">
        <f t="array" ref="HP14">IF(_xlfn.TEXTJOIN(", ", TRUE, IF(ISNUMBER(SEARCH("BLA", BL14:BT14)), COLUMN(BL14:BT14) - COLUMN(BL14) + 1, ""))&lt;&gt;"","BLA","")</f>
        <v/>
      </c>
      <c r="HQ14" s="48" t="str" cm="1">
        <f t="array" ref="HQ14">IF(_xlfn.TEXTJOIN(", ", TRUE, IF(ISNUMBER(SEARCH("BLU", BL14:BT14)), COLUMN(BL14:BT14) - COLUMN(BL14) + 1, ""))&lt;&gt;"","BLU","")</f>
        <v>BLU</v>
      </c>
      <c r="HR14" s="48" t="str" cm="1">
        <f t="array" ref="HR14">IF(_xlfn.TEXTJOIN(", ", TRUE, IF(ISNUMBER(SEARCH("GRE", BL14:BT14)), COLUMN(BL14:BT14) - COLUMN(BL14) + 1, ""))&lt;&gt;"","GRE","")</f>
        <v/>
      </c>
      <c r="HS14" s="48" t="str" cm="1">
        <f t="array" ref="HS14">IF(_xlfn.TEXTJOIN(", ", TRUE, IF(ISNUMBER(SEARCH("RED", BL14:BT14)), COLUMN(BL14:BT14) - COLUMN(BL14) + 1, ""))&lt;&gt;"","RED","")</f>
        <v/>
      </c>
      <c r="HT14" s="48" t="str" cm="1">
        <f t="array" ref="HT14">IF(_xlfn.TEXTJOIN(", ", TRUE, IF(ISNUMBER(SEARCH("YEL", BL14:BT14)), COLUMN(BL14:BT14) - COLUMN(BL14) + 1, ""))&lt;&gt;"","YEL","")</f>
        <v>YEL</v>
      </c>
      <c r="HU14" s="48" t="str" cm="1">
        <f t="array" ref="HU14">IF(_xlfn.TEXTJOIN(", ", TRUE, IF(ISNUMBER(SEARCH("ORA", BL14:BT14)), COLUMN(BL14:BT14) - COLUMN(BL14) + 1, ""))&lt;&gt;"","ORA","")</f>
        <v/>
      </c>
      <c r="HV14" s="48" t="str" cm="1">
        <f t="array" ref="HV14">IF(_xlfn.TEXTJOIN(", ", TRUE, IF(ISNUMBER(SEARCH("BRO", BL14:BT14)), COLUMN(BL14:BT14) - COLUMN(BL14) + 1, ""))&lt;&gt;"","BRO","")</f>
        <v/>
      </c>
      <c r="HW14" s="48" t="str" cm="1">
        <f t="array" ref="HW14">IF(_xlfn.TEXTJOIN(", ", TRUE, IF(ISNUMBER(SEARCH("PUR", BL14:BT14)), COLUMN(BL14:BT14) - COLUMN(BL14) + 1, ""))&lt;&gt;"","PUR","")</f>
        <v/>
      </c>
      <c r="HX14" s="48" t="str" cm="1">
        <f t="array" ref="HX14">IF(_xlfn.TEXTJOIN(", ", TRUE, IF(ISNUMBER(SEARCH("WHI", BL14:BT14)), COLUMN(BL14:BT14) - COLUMN(BL14) + 1, ""))&lt;&gt;"","WHI","")</f>
        <v/>
      </c>
      <c r="HY14" s="76"/>
      <c r="HZ14" s="76"/>
      <c r="IA14" s="6"/>
      <c r="IB14" s="6"/>
      <c r="IC14" s="77"/>
      <c r="ID14" s="77"/>
      <c r="IE14" s="77"/>
      <c r="IF14" s="77"/>
      <c r="IG14" s="77"/>
      <c r="IH14" s="77"/>
      <c r="II14" s="77"/>
      <c r="IJ14" s="77"/>
      <c r="IK14" s="77"/>
      <c r="IL14" s="48">
        <f t="shared" ref="IL14:IL15" si="190">SUM(IC14:IK14)</f>
        <v>0</v>
      </c>
      <c r="IM14" s="45">
        <f t="shared" ref="IM14:IM15" si="191">COUNTIF(IC14:IK14,"&gt;0")-CG14</f>
        <v>-2</v>
      </c>
      <c r="IN14" s="78" t="str">
        <f t="shared" ref="IN14:IN15" si="192">"http://mkweb.bcgsc.ca/color-summarizer/?url="&amp;D14&amp;"&amp;precision=low&amp;num_clusters="&amp;CG14&amp;"&amp;text=1"</f>
        <v>http://mkweb.bcgsc.ca/color-summarizer/?url=https://upload.wikimedia.org/wikipedia/commons/thumb/3/35/Flag_of_Chile_%281812-1814%29.svg/1024px-Flag_of_Chile_%281812-1814%29.svg.png&amp;precision=low&amp;num_clusters=2&amp;text=1</v>
      </c>
      <c r="IO14" s="48" t="str">
        <f t="shared" ref="IO14:IO15" si="193">IF(HP14&lt;&gt;"",CHAR(34)&amp;"black"&amp;CHAR(34),"")</f>
        <v/>
      </c>
      <c r="IP14" s="48" t="str">
        <f t="shared" ref="IP14:IP15" si="194">IF(HQ14&lt;&gt;"",CHAR(34)&amp;"blue"&amp;CHAR(34),"")</f>
        <v>"blue"</v>
      </c>
      <c r="IQ14" s="48" t="str">
        <f t="shared" ref="IQ14:IQ15" si="195">IF(HR14&lt;&gt;"",CHAR(34)&amp;"green"&amp;CHAR(34),"")</f>
        <v/>
      </c>
      <c r="IR14" s="48" t="str">
        <f t="shared" ref="IR14:IR15" si="196">IF(HS14&lt;&gt;"",CHAR(34)&amp;"red"&amp;CHAR(34),"")</f>
        <v/>
      </c>
      <c r="IS14" s="48" t="str">
        <f t="shared" ref="IS14:IS15" si="197">IF(HT14&lt;&gt;"",CHAR(34)&amp;"yellow"&amp;CHAR(34),"")</f>
        <v>"yellow"</v>
      </c>
      <c r="IT14" s="48" t="str">
        <f t="shared" ref="IT14:IT15" si="198">IF(HU14&lt;&gt;"",CHAR(34)&amp;"orange"&amp;CHAR(34),"")</f>
        <v/>
      </c>
      <c r="IU14" s="48" t="str">
        <f t="shared" ref="IU14:IU15" si="199">IF(HV14&lt;&gt;"",CHAR(34)&amp;"brown"&amp;CHAR(34),"")</f>
        <v/>
      </c>
      <c r="IV14" s="48" t="str">
        <f t="shared" ref="IV14:IV15" si="200">IF(HW14&lt;&gt;"",CHAR(34)&amp;"purple"&amp;CHAR(34),"")</f>
        <v/>
      </c>
      <c r="IW14" s="48" t="str">
        <f t="shared" ref="IW14:IW15" si="201">IF(HX14&lt;&gt;"",CHAR(34)&amp;"white"&amp;CHAR(34),"")</f>
        <v/>
      </c>
      <c r="IX14" s="48" t="str">
        <f t="shared" ref="IX14:IX15" si="202">"{"&amp;CHAR(34)&amp;"url"&amp;CHAR(34)&amp;":"&amp;CHAR(34)&amp;IN14&amp;CHAR(34)&amp;","&amp;CHAR(34)&amp;"name"&amp;CHAR(34)&amp;":"&amp;CHAR(34)&amp;A14&amp;CHAR(34)&amp;"},"</f>
        <v>{"url":"http://mkweb.bcgsc.ca/color-summarizer/?url=https://upload.wikimedia.org/wikipedia/commons/thumb/3/35/Flag_of_Chile_%281812-1814%29.svg/1024px-Flag_of_Chile_%281812-1814%29.svg.png&amp;precision=low&amp;num_clusters=2&amp;text=1","name":"[CHL] Chile (1812-1814)"},</v>
      </c>
      <c r="IY14" s="48">
        <v>841</v>
      </c>
    </row>
    <row r="15" spans="1:259" s="48" customFormat="1" ht="38.4" customHeight="1" thickBot="1" x14ac:dyDescent="0.35">
      <c r="A15" s="81" t="s">
        <v>856</v>
      </c>
      <c r="B15" s="40" t="e" vm="69">
        <v>#VALUE!</v>
      </c>
      <c r="C15" s="41">
        <v>3</v>
      </c>
      <c r="D15" s="42" t="s">
        <v>857</v>
      </c>
      <c r="E15" s="43" t="s">
        <v>858</v>
      </c>
      <c r="F15" s="44" t="s">
        <v>166</v>
      </c>
      <c r="G15" s="45">
        <f>COUNTIF($A$1:$A$8294,A15)</f>
        <v>1</v>
      </c>
      <c r="H15" s="46" t="s">
        <v>853</v>
      </c>
      <c r="I15" s="47" t="s">
        <v>859</v>
      </c>
      <c r="J15" s="48" t="str">
        <f>""</f>
        <v/>
      </c>
      <c r="K15" s="49"/>
      <c r="L15" s="50"/>
      <c r="M15" s="50"/>
      <c r="N15" s="51" t="s">
        <v>169</v>
      </c>
      <c r="O15" s="52">
        <v>1991</v>
      </c>
      <c r="P15" s="53" t="s">
        <v>860</v>
      </c>
      <c r="Q15" s="54">
        <v>1</v>
      </c>
      <c r="R15" s="55" t="s">
        <v>169</v>
      </c>
      <c r="S15" s="56">
        <v>5</v>
      </c>
      <c r="T15" s="57" t="s">
        <v>173</v>
      </c>
      <c r="U15" s="58" t="s">
        <v>173</v>
      </c>
      <c r="V15" s="58" t="s">
        <v>173</v>
      </c>
      <c r="W15" s="58" t="s">
        <v>173</v>
      </c>
      <c r="X15" s="58" t="s">
        <v>173</v>
      </c>
      <c r="Y15" s="58" t="s">
        <v>172</v>
      </c>
      <c r="Z15" s="58" t="s">
        <v>172</v>
      </c>
      <c r="AA15" s="58" t="s">
        <v>172</v>
      </c>
      <c r="AB15" s="58" t="s">
        <v>172</v>
      </c>
      <c r="AC15" s="58" t="s">
        <v>172</v>
      </c>
      <c r="AD15" s="58" t="s">
        <v>173</v>
      </c>
      <c r="AE15" s="58" t="s">
        <v>173</v>
      </c>
      <c r="AF15" s="59" t="s">
        <v>172</v>
      </c>
      <c r="AG15" s="59" t="s">
        <v>172</v>
      </c>
      <c r="AH15" s="59" t="s">
        <v>173</v>
      </c>
      <c r="AI15" s="59" t="s">
        <v>172</v>
      </c>
      <c r="AJ15" s="59" t="s">
        <v>172</v>
      </c>
      <c r="AK15" s="59" t="s">
        <v>172</v>
      </c>
      <c r="AL15" s="59" t="s">
        <v>172</v>
      </c>
      <c r="AM15" s="59" t="s">
        <v>172</v>
      </c>
      <c r="AN15" s="59" t="s">
        <v>172</v>
      </c>
      <c r="AO15" s="59" t="s">
        <v>172</v>
      </c>
      <c r="AP15" s="59" t="s">
        <v>172</v>
      </c>
      <c r="AQ15" s="59" t="s">
        <v>172</v>
      </c>
      <c r="AR15" s="59" t="s">
        <v>172</v>
      </c>
      <c r="AS15" s="59" t="s">
        <v>172</v>
      </c>
      <c r="AT15" s="60">
        <v>1</v>
      </c>
      <c r="AU15" s="59" t="s">
        <v>822</v>
      </c>
      <c r="AV15" s="59" t="str">
        <f>IF(LEFT(A15,1)="[",LEFT(A15,5)&amp;AU15&amp;A15,"")</f>
        <v>[CHL]People[CHL] Wenufoye</v>
      </c>
      <c r="AW15" s="59" t="str">
        <f>C15&amp;A15</f>
        <v>3[CHL] Wenufoye</v>
      </c>
      <c r="AX15" s="61"/>
      <c r="AY15" s="61"/>
      <c r="AZ15" s="62" t="s">
        <v>174</v>
      </c>
      <c r="BA15" s="62" t="s">
        <v>174</v>
      </c>
      <c r="BB15" s="62"/>
      <c r="BC15" s="63"/>
      <c r="BD15" s="64" t="s">
        <v>159</v>
      </c>
      <c r="BE15" s="47"/>
      <c r="BF15" s="64" t="s">
        <v>174</v>
      </c>
      <c r="BG15" s="64" t="s">
        <v>174</v>
      </c>
      <c r="BH15" s="64" t="s">
        <v>174</v>
      </c>
      <c r="BI15" s="64"/>
      <c r="BJ15" s="64"/>
      <c r="BK15" s="47"/>
      <c r="BL15" s="64" t="s">
        <v>151</v>
      </c>
      <c r="BM15" s="64" t="s">
        <v>152</v>
      </c>
      <c r="BN15" s="64" t="s">
        <v>153</v>
      </c>
      <c r="BO15" s="64" t="s">
        <v>174</v>
      </c>
      <c r="BP15" s="64" t="s">
        <v>155</v>
      </c>
      <c r="BQ15" s="64" t="s">
        <v>156</v>
      </c>
      <c r="BR15" s="64" t="s">
        <v>157</v>
      </c>
      <c r="BS15" s="64"/>
      <c r="BT15" s="64" t="s">
        <v>159</v>
      </c>
      <c r="BU15" s="65"/>
      <c r="BV15" s="66"/>
      <c r="BW15" s="66">
        <v>0</v>
      </c>
      <c r="BX15" s="47"/>
      <c r="CB15" s="6"/>
      <c r="CC15" s="6"/>
      <c r="CD15" s="67">
        <v>0</v>
      </c>
      <c r="CE15" s="67">
        <v>0</v>
      </c>
      <c r="CF15" s="67" t="e">
        <v>#REF!</v>
      </c>
      <c r="CG15" s="68" cm="1">
        <f t="array" ref="CG15">SUMPRODUCT(--(LEN(TRIM(BL15:BT15))&gt;0))</f>
        <v>7</v>
      </c>
      <c r="CH15" s="59" t="str">
        <f t="shared" si="108"/>
        <v>n</v>
      </c>
      <c r="CI15" s="59" t="str">
        <f t="shared" si="109"/>
        <v>n</v>
      </c>
      <c r="CJ15" s="59" t="str">
        <f t="shared" si="110"/>
        <v>n</v>
      </c>
      <c r="CK15" s="59" t="str">
        <f t="shared" si="111"/>
        <v>y</v>
      </c>
      <c r="CL15" s="59" t="str">
        <f t="shared" si="112"/>
        <v>n</v>
      </c>
      <c r="CM15" s="59" t="str">
        <f t="shared" si="113"/>
        <v>n</v>
      </c>
      <c r="CN15" s="59" t="str">
        <f t="shared" si="114"/>
        <v>n</v>
      </c>
      <c r="CO15" s="59" t="str">
        <f t="shared" si="115"/>
        <v>y</v>
      </c>
      <c r="CP15" s="59" t="str">
        <f t="shared" si="116"/>
        <v>n</v>
      </c>
      <c r="CQ15" s="59" t="str">
        <f t="shared" si="117"/>
        <v>y</v>
      </c>
      <c r="CR15" s="59" t="str">
        <f t="shared" si="118"/>
        <v>n</v>
      </c>
      <c r="CS15" s="59" t="str">
        <f t="shared" si="119"/>
        <v>n</v>
      </c>
      <c r="CT15" s="69" t="str">
        <f t="shared" si="120"/>
        <v>"[CHL] Wenufoye"</v>
      </c>
      <c r="CU15" s="70" t="str">
        <f t="shared" si="121"/>
        <v>"rgn_South America"</v>
      </c>
      <c r="CV15" s="48" t="str">
        <f t="shared" si="122"/>
        <v>"https://upload.wikimedia.org/wikipedia/commons/thumb/2/20/Flag_of_the_Mapuches_%281992%29.svg/320px-Flag_of_the_Mapuches_%281992%29.svg.png"</v>
      </c>
      <c r="CW15" s="48" t="str">
        <f t="shared" si="15"/>
        <v/>
      </c>
      <c r="CX15" s="48" t="str">
        <f t="shared" si="15"/>
        <v/>
      </c>
      <c r="CY15" s="48" t="str">
        <f t="shared" si="15"/>
        <v/>
      </c>
      <c r="CZ15" s="48" t="str">
        <f t="shared" si="15"/>
        <v>"5+Colo",</v>
      </c>
      <c r="DA15" s="48" t="str">
        <f t="shared" si="123"/>
        <v/>
      </c>
      <c r="DB15" s="48" t="str">
        <f t="shared" si="124"/>
        <v/>
      </c>
      <c r="DC15" s="48" t="str">
        <f t="shared" si="125"/>
        <v/>
      </c>
      <c r="DD15" s="48" t="str">
        <f t="shared" si="126"/>
        <v>"lets08",</v>
      </c>
      <c r="DE15" s="48" t="str">
        <f t="shared" si="127"/>
        <v>"startW",</v>
      </c>
      <c r="DF15" s="48" t="str">
        <f t="shared" si="128"/>
        <v/>
      </c>
      <c r="DG15" s="48" t="str">
        <f t="shared" si="129"/>
        <v/>
      </c>
      <c r="DH15" s="48" t="str">
        <f t="shared" si="130"/>
        <v/>
      </c>
      <c r="DI15" s="48" t="str">
        <f t="shared" si="131"/>
        <v>"with_w",</v>
      </c>
      <c r="DJ15" s="48" t="str">
        <f t="shared" si="132"/>
        <v>"with_y",</v>
      </c>
      <c r="DK15" s="48" t="str">
        <f t="shared" si="133"/>
        <v/>
      </c>
      <c r="DL15" s="48" t="str">
        <f t="shared" si="134"/>
        <v/>
      </c>
      <c r="DM15" s="48" t="str" cm="1">
        <f t="array" ref="DM15">IF(CG15=3,CHAR(34) &amp; _xlfn.TEXTJOIN("", TRUE, RIGHT(HP15:HX15, 2)) &amp; CHAR(34) &amp; ",", "")</f>
        <v/>
      </c>
      <c r="DN15" s="48" t="str">
        <f t="shared" si="135"/>
        <v/>
      </c>
      <c r="DO15" s="48" t="str">
        <f t="shared" si="136"/>
        <v>"year19",</v>
      </c>
      <c r="DP15" s="6" t="str">
        <f t="shared" si="137"/>
        <v/>
      </c>
      <c r="DQ15" s="6" t="str">
        <f t="shared" si="138"/>
        <v/>
      </c>
      <c r="DR15" s="6" t="str">
        <f t="shared" si="139"/>
        <v/>
      </c>
      <c r="DS15" s="6" t="str">
        <f t="shared" si="140"/>
        <v/>
      </c>
      <c r="DT15" s="6" t="str">
        <f t="shared" si="141"/>
        <v/>
      </c>
      <c r="DU15" s="6" t="str">
        <f t="shared" si="142"/>
        <v/>
      </c>
      <c r="DV15" s="48" t="str">
        <f t="shared" si="143"/>
        <v/>
      </c>
      <c r="DW15" s="48" t="str">
        <f t="shared" si="37"/>
        <v/>
      </c>
      <c r="DX15" s="48" t="str">
        <f t="shared" si="37"/>
        <v/>
      </c>
      <c r="DY15" s="48" t="str">
        <f t="shared" si="37"/>
        <v/>
      </c>
      <c r="DZ15" s="48" t="str">
        <f t="shared" si="37"/>
        <v>"4+Band",</v>
      </c>
      <c r="EA15" s="48" t="str">
        <f t="shared" si="38"/>
        <v>"Diagon",</v>
      </c>
      <c r="EB15" s="48" t="str">
        <f t="shared" si="38"/>
        <v>"Crosse",</v>
      </c>
      <c r="EC15" s="48" t="str">
        <f t="shared" si="38"/>
        <v>"Horizo",</v>
      </c>
      <c r="ED15" s="48" t="str">
        <f t="shared" si="38"/>
        <v>"Vertic",</v>
      </c>
      <c r="EE15" s="48" t="str">
        <f t="shared" si="38"/>
        <v>"Circle",</v>
      </c>
      <c r="EF15" s="48" t="str">
        <f t="shared" si="144"/>
        <v/>
      </c>
      <c r="EG15" s="48" t="str">
        <f t="shared" ref="EG15:EV15" si="203">IF(Z15="y",CHAR(34)&amp;Z$1&amp;CHAR(34)&amp;",","")</f>
        <v/>
      </c>
      <c r="EH15" s="48" t="str">
        <f t="shared" si="203"/>
        <v/>
      </c>
      <c r="EI15" s="48" t="str">
        <f t="shared" si="203"/>
        <v/>
      </c>
      <c r="EJ15" s="48" t="str">
        <f t="shared" si="203"/>
        <v/>
      </c>
      <c r="EK15" s="48" t="str">
        <f t="shared" si="203"/>
        <v>"HasSun",</v>
      </c>
      <c r="EL15" s="48" t="str">
        <f t="shared" si="203"/>
        <v>"IsMoon",</v>
      </c>
      <c r="EM15" s="48" t="str">
        <f t="shared" si="203"/>
        <v/>
      </c>
      <c r="EN15" s="48" t="str">
        <f t="shared" si="203"/>
        <v/>
      </c>
      <c r="EO15" s="48" t="str">
        <f t="shared" si="203"/>
        <v>"Center",</v>
      </c>
      <c r="EP15" s="48" t="str">
        <f t="shared" si="203"/>
        <v/>
      </c>
      <c r="EQ15" s="48" t="str">
        <f t="shared" si="203"/>
        <v/>
      </c>
      <c r="ER15" s="48" t="str">
        <f t="shared" si="203"/>
        <v/>
      </c>
      <c r="ES15" s="48" t="str">
        <f t="shared" si="203"/>
        <v/>
      </c>
      <c r="ET15" s="48" t="str">
        <f t="shared" si="203"/>
        <v/>
      </c>
      <c r="EU15" s="48" t="str">
        <f t="shared" si="203"/>
        <v/>
      </c>
      <c r="EV15" s="48" t="str">
        <f t="shared" si="203"/>
        <v/>
      </c>
      <c r="EW15" s="48" t="str">
        <f t="shared" si="145"/>
        <v/>
      </c>
      <c r="EX15" s="48" t="str">
        <f t="shared" si="145"/>
        <v/>
      </c>
      <c r="EY15" s="48" t="str">
        <f t="shared" si="145"/>
        <v/>
      </c>
      <c r="EZ15" s="48" t="str">
        <f t="shared" si="145"/>
        <v/>
      </c>
      <c r="FA15" s="48" t="str">
        <f t="shared" si="146"/>
        <v>"sta",</v>
      </c>
      <c r="FB15" s="48" t="str">
        <f t="shared" si="147"/>
        <v/>
      </c>
      <c r="FC15" s="48" t="str">
        <f t="shared" si="148"/>
        <v/>
      </c>
      <c r="FD15" s="48" t="str">
        <f t="shared" si="149"/>
        <v/>
      </c>
      <c r="FE15" s="48" t="str">
        <f t="shared" si="150"/>
        <v/>
      </c>
      <c r="FF15" s="48" t="str">
        <f t="shared" si="151"/>
        <v/>
      </c>
      <c r="FG15" s="48" t="str">
        <f t="shared" si="152"/>
        <v>"NO_RED",</v>
      </c>
      <c r="FH15" s="48" t="str">
        <f t="shared" si="153"/>
        <v/>
      </c>
      <c r="FI15" s="48" t="str">
        <f t="shared" si="154"/>
        <v/>
      </c>
      <c r="FJ15" s="48" t="str">
        <f t="shared" si="155"/>
        <v/>
      </c>
      <c r="FK15" s="48" t="str">
        <f t="shared" si="156"/>
        <v/>
      </c>
      <c r="FL15" s="48" t="str">
        <f t="shared" si="157"/>
        <v/>
      </c>
      <c r="FM15" s="48" t="str">
        <f t="shared" si="158"/>
        <v/>
      </c>
      <c r="FN15" s="48" t="str">
        <f t="shared" si="159"/>
        <v/>
      </c>
      <c r="FO15" s="48" t="str">
        <f t="shared" si="160"/>
        <v/>
      </c>
      <c r="FP15" s="48" t="str">
        <f t="shared" si="161"/>
        <v/>
      </c>
      <c r="FQ15" s="48" t="str">
        <f t="shared" si="162"/>
        <v/>
      </c>
      <c r="FR15" s="48" t="str">
        <f t="shared" si="163"/>
        <v/>
      </c>
      <c r="FS15" s="48" t="str">
        <f t="shared" si="164"/>
        <v/>
      </c>
      <c r="FT15" s="48" t="str">
        <f t="shared" si="165"/>
        <v>"myrWHI",</v>
      </c>
      <c r="FU15" s="48" t="str">
        <f t="shared" si="166"/>
        <v/>
      </c>
      <c r="FV15" s="48" t="str">
        <f t="shared" si="167"/>
        <v/>
      </c>
      <c r="FW15" s="48" t="str">
        <f t="shared" si="168"/>
        <v/>
      </c>
      <c r="FX15" s="48" t="str">
        <f t="shared" si="169"/>
        <v/>
      </c>
      <c r="FY15" s="48" t="str">
        <f t="shared" si="170"/>
        <v/>
      </c>
      <c r="FZ15" s="48" t="str">
        <f t="shared" si="171"/>
        <v/>
      </c>
      <c r="GA15" s="48" t="str">
        <f t="shared" si="172"/>
        <v/>
      </c>
      <c r="GB15" s="48" t="str">
        <f t="shared" si="173"/>
        <v/>
      </c>
      <c r="GC15" s="48" t="str">
        <f t="shared" si="174"/>
        <v/>
      </c>
      <c r="GD15" s="48" t="str">
        <f t="shared" si="175"/>
        <v/>
      </c>
      <c r="GE15" s="48" t="str">
        <f t="shared" si="104"/>
        <v/>
      </c>
      <c r="GF15" s="48" t="str">
        <f t="shared" si="176"/>
        <v/>
      </c>
      <c r="GG15" s="48" t="str">
        <f t="shared" si="105"/>
        <v/>
      </c>
      <c r="GH15" s="48" t="str">
        <f t="shared" si="106"/>
        <v/>
      </c>
      <c r="GI15" s="48" t="str">
        <f t="shared" si="107"/>
        <v/>
      </c>
      <c r="GJ15" s="48" t="str">
        <f t="shared" si="177"/>
        <v/>
      </c>
      <c r="GK15" s="48" t="str">
        <f t="shared" si="178"/>
        <v>"HasSta",</v>
      </c>
      <c r="GL15" s="48" t="str">
        <f t="shared" si="78"/>
        <v>"1Stars",</v>
      </c>
      <c r="GM15" s="48" t="str">
        <f t="shared" si="78"/>
        <v/>
      </c>
      <c r="GN15" s="48" t="str">
        <f t="shared" si="78"/>
        <v/>
      </c>
      <c r="GP15" s="48" t="str">
        <f t="shared" si="179"/>
        <v>"People"</v>
      </c>
      <c r="GS15" s="48" t="str">
        <f t="shared" si="180"/>
        <v>["5+Colo","lets08","startW","with_w","with_y","year19","4+Band","Diagon","Crosse","Horizo","Vertic","Circle","HasSun","IsMoon","Center","sta","NO_RED","myrWHI","HasSta","1Stars"]</v>
      </c>
      <c r="GT15" s="48" t="str">
        <f t="shared" si="81"/>
        <v>"cl_BLA",</v>
      </c>
      <c r="GU15" s="48" t="str">
        <f t="shared" si="81"/>
        <v>"cl_BLU",</v>
      </c>
      <c r="GV15" s="48" t="str">
        <f t="shared" si="81"/>
        <v>"cl_GRE",</v>
      </c>
      <c r="GW15" s="48" t="str">
        <f t="shared" si="81"/>
        <v/>
      </c>
      <c r="GX15" s="48" t="str">
        <f t="shared" si="81"/>
        <v>"cl_YEL",</v>
      </c>
      <c r="GY15" s="48" t="str">
        <f t="shared" si="81"/>
        <v>"cl_ORA",</v>
      </c>
      <c r="GZ15" s="48" t="str">
        <f t="shared" si="81"/>
        <v>"cl_BRO",</v>
      </c>
      <c r="HA15" s="48" t="str">
        <f t="shared" si="81"/>
        <v/>
      </c>
      <c r="HB15" s="48" t="str">
        <f t="shared" si="81"/>
        <v>"cl_WHI",</v>
      </c>
      <c r="HC15" s="48" t="str">
        <f t="shared" si="181"/>
        <v>["cl_BLA","cl_BLU","cl_GRE","cl_YEL","cl_ORA","cl_BRO","cl_WHI"]</v>
      </c>
      <c r="HE15" s="71"/>
      <c r="HF15" s="72" t="str">
        <f t="shared" si="182"/>
        <v>{couname:"[CHL] Wenufoye",year:"1991",region:"rgn_South America",Colors:["cl_BLA","cl_BLU","cl_GRE","cl_YEL","cl_ORA","cl_BRO","cl_WHI"],Items:["5+Colo","lets08","startW","with_w","with_y","year19","4+Band","Diagon","Crosse","Horizo","Vertic","Circle","HasSun","IsMoon","Center","sta","NO_RED","myrWHI","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isnew:".", links: "https://en.wikipedia.org/wiki/Flag_of_the_Mapuches"},</v>
      </c>
      <c r="HG15" s="73" t="str">
        <f t="shared" si="183"/>
        <v>{couname:"[CHL] Wenufoye",year:"1991",region:"rgn_South America",Colors:["cl_BLA","cl_BLU","cl_GRE","cl_YEL","cl_ORA","cl_BRO","cl_WHI"],Items:["5+Colo","lets08","startW","with_w","with_y","year19","4+Band","Diagon","Crosse","Horizo","Vertic","Circle","HasSun","IsMoon","Center","sta","NO_RED","myrWHI","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links: "https://en.wikipedia.org/wiki/Flag_of_the_Mapuches"},</v>
      </c>
      <c r="HH15" s="48" t="str">
        <f t="shared" si="184"/>
        <v>"\nThe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v>
      </c>
      <c r="HI15" s="48" t="str">
        <f t="shared" si="185"/>
        <v>"\nThe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v>
      </c>
      <c r="HJ15" s="48" t="str">
        <f t="shared" si="186"/>
        <v>"1991"</v>
      </c>
      <c r="HL15" s="48" t="str">
        <f t="shared" si="187"/>
        <v>"https://en.wikipedia.org/wiki/Flag_of_the_Mapuches"</v>
      </c>
      <c r="HM15" s="72" t="str">
        <f t="shared" si="188"/>
        <v>{"couname":"[CHL] Wenufoye","subtype":"[CHL] Other","year":"1991","region":"rgn_South America","Colors":["cl_BLA","cl_BLU","cl_GRE","cl_YEL","cl_ORA","cl_BRO","cl_WHI"],"Items":["5+Colo","lets08","startW","with_w","with_y","year19","4+Band","Diagon","Crosse","Horizo","Vertic","Circle","HasSun","IsMoon","Center","sta","NO_RED","myrWHI","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"isnew": ".", "links": "https://en.wikipedia.org/wiki/Flag_of_the_Mapuches"},</v>
      </c>
      <c r="HN15" s="74" t="str">
        <f t="shared" si="189"/>
        <v>{"couname":"[CHL] Wenufoye","subtype":"[CHL] Other","year":"1991","region":"rgn_South America","Colors":["cl_BLA","cl_BLU","cl_GRE","cl_YEL","cl_ORA","cl_BRO","cl_WHI"],"Items":["5+Colo","lets08","startW","with_w","with_y","year19","4+Band","Diagon","Crosse","Horizo","Vertic","Circle","HasSun","IsMoon","Center","sta","NO_RED","myrWHI","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"isnew": ".", "links": "https://en.wikipedia.org/wiki/Flag_of_the_Mapuches"},</v>
      </c>
      <c r="HO15" s="75">
        <v>45583</v>
      </c>
      <c r="HP15" s="48" t="str" cm="1">
        <f t="array" ref="HP15">IF(_xlfn.TEXTJOIN(", ", TRUE, IF(ISNUMBER(SEARCH("BLA", BL15:BT15)), COLUMN(BL15:BT15) - COLUMN(BL15) + 1, ""))&lt;&gt;"","BLA","")</f>
        <v>BLA</v>
      </c>
      <c r="HQ15" s="48" t="str" cm="1">
        <f t="array" ref="HQ15">IF(_xlfn.TEXTJOIN(", ", TRUE, IF(ISNUMBER(SEARCH("BLU", BL15:BT15)), COLUMN(BL15:BT15) - COLUMN(BL15) + 1, ""))&lt;&gt;"","BLU","")</f>
        <v>BLU</v>
      </c>
      <c r="HR15" s="48" t="str" cm="1">
        <f t="array" ref="HR15">IF(_xlfn.TEXTJOIN(", ", TRUE, IF(ISNUMBER(SEARCH("GRE", BL15:BT15)), COLUMN(BL15:BT15) - COLUMN(BL15) + 1, ""))&lt;&gt;"","GRE","")</f>
        <v>GRE</v>
      </c>
      <c r="HS15" s="48" t="str" cm="1">
        <f t="array" ref="HS15">IF(_xlfn.TEXTJOIN(", ", TRUE, IF(ISNUMBER(SEARCH("RED", BL15:BT15)), COLUMN(BL15:BT15) - COLUMN(BL15) + 1, ""))&lt;&gt;"","RED","")</f>
        <v/>
      </c>
      <c r="HT15" s="48" t="str" cm="1">
        <f t="array" ref="HT15">IF(_xlfn.TEXTJOIN(", ", TRUE, IF(ISNUMBER(SEARCH("YEL", BL15:BT15)), COLUMN(BL15:BT15) - COLUMN(BL15) + 1, ""))&lt;&gt;"","YEL","")</f>
        <v>YEL</v>
      </c>
      <c r="HU15" s="48" t="str" cm="1">
        <f t="array" ref="HU15">IF(_xlfn.TEXTJOIN(", ", TRUE, IF(ISNUMBER(SEARCH("ORA", BL15:BT15)), COLUMN(BL15:BT15) - COLUMN(BL15) + 1, ""))&lt;&gt;"","ORA","")</f>
        <v>ORA</v>
      </c>
      <c r="HV15" s="48" t="str" cm="1">
        <f t="array" ref="HV15">IF(_xlfn.TEXTJOIN(", ", TRUE, IF(ISNUMBER(SEARCH("BRO", BL15:BT15)), COLUMN(BL15:BT15) - COLUMN(BL15) + 1, ""))&lt;&gt;"","BRO","")</f>
        <v>BRO</v>
      </c>
      <c r="HW15" s="48" t="str" cm="1">
        <f t="array" ref="HW15">IF(_xlfn.TEXTJOIN(", ", TRUE, IF(ISNUMBER(SEARCH("PUR", BL15:BT15)), COLUMN(BL15:BT15) - COLUMN(BL15) + 1, ""))&lt;&gt;"","PUR","")</f>
        <v/>
      </c>
      <c r="HX15" s="48" t="str" cm="1">
        <f t="array" ref="HX15">IF(_xlfn.TEXTJOIN(", ", TRUE, IF(ISNUMBER(SEARCH("WHI", BL15:BT15)), COLUMN(BL15:BT15) - COLUMN(BL15) + 1, ""))&lt;&gt;"","WHI","")</f>
        <v>WHI</v>
      </c>
      <c r="HY15" s="76"/>
      <c r="HZ15" s="76"/>
      <c r="IA15" s="6"/>
      <c r="IB15" s="6"/>
      <c r="IC15" s="77"/>
      <c r="ID15" s="77"/>
      <c r="IE15" s="77"/>
      <c r="IF15" s="77"/>
      <c r="IG15" s="77"/>
      <c r="IH15" s="77"/>
      <c r="II15" s="77"/>
      <c r="IJ15" s="77"/>
      <c r="IK15" s="77"/>
      <c r="IL15" s="48">
        <f t="shared" si="190"/>
        <v>0</v>
      </c>
      <c r="IM15" s="45">
        <f t="shared" si="191"/>
        <v>-7</v>
      </c>
      <c r="IN15" s="78" t="str">
        <f t="shared" si="192"/>
        <v>http://mkweb.bcgsc.ca/color-summarizer/?url=https://upload.wikimedia.org/wikipedia/commons/thumb/2/20/Flag_of_the_Mapuches_%281992%29.svg/320px-Flag_of_the_Mapuches_%281992%29.svg.png&amp;precision=low&amp;num_clusters=7&amp;text=1</v>
      </c>
      <c r="IO15" s="48" t="str">
        <f t="shared" si="193"/>
        <v>"black"</v>
      </c>
      <c r="IP15" s="48" t="str">
        <f t="shared" si="194"/>
        <v>"blue"</v>
      </c>
      <c r="IQ15" s="48" t="str">
        <f t="shared" si="195"/>
        <v>"green"</v>
      </c>
      <c r="IR15" s="48" t="str">
        <f t="shared" si="196"/>
        <v/>
      </c>
      <c r="IS15" s="48" t="str">
        <f t="shared" si="197"/>
        <v>"yellow"</v>
      </c>
      <c r="IT15" s="48" t="str">
        <f t="shared" si="198"/>
        <v>"orange"</v>
      </c>
      <c r="IU15" s="48" t="str">
        <f t="shared" si="199"/>
        <v>"brown"</v>
      </c>
      <c r="IV15" s="48" t="str">
        <f t="shared" si="200"/>
        <v/>
      </c>
      <c r="IW15" s="48" t="str">
        <f t="shared" si="201"/>
        <v>"white"</v>
      </c>
      <c r="IX15" s="48" t="str">
        <f t="shared" si="202"/>
        <v>{"url":"http://mkweb.bcgsc.ca/color-summarizer/?url=https://upload.wikimedia.org/wikipedia/commons/thumb/2/20/Flag_of_the_Mapuches_%281992%29.svg/320px-Flag_of_the_Mapuches_%281992%29.svg.png&amp;precision=low&amp;num_clusters=7&amp;text=1","name":"[CHL] Wenufoye"},</v>
      </c>
      <c r="IY15" s="48">
        <v>842</v>
      </c>
    </row>
  </sheetData>
  <conditionalFormatting sqref="H1 CW1:GS1 IA1:IB1">
    <cfRule type="cellIs" dxfId="4364" priority="539" operator="greaterThan">
      <formula>0</formula>
    </cfRule>
  </conditionalFormatting>
  <conditionalFormatting sqref="H1">
    <cfRule type="cellIs" dxfId="4363" priority="505" stopIfTrue="1" operator="notEqual">
      <formula>""</formula>
    </cfRule>
  </conditionalFormatting>
  <conditionalFormatting sqref="T1:BK1">
    <cfRule type="cellIs" dxfId="4362" priority="542" operator="greaterThan">
      <formula>0</formula>
    </cfRule>
  </conditionalFormatting>
  <conditionalFormatting sqref="BV1:BW1">
    <cfRule type="cellIs" dxfId="4361" priority="541" operator="equal">
      <formula>"nc"</formula>
    </cfRule>
  </conditionalFormatting>
  <conditionalFormatting sqref="HF1:HG1">
    <cfRule type="cellIs" dxfId="4360" priority="543" operator="greaterThan">
      <formula>0</formula>
    </cfRule>
  </conditionalFormatting>
  <conditionalFormatting sqref="HK1">
    <cfRule type="cellIs" dxfId="4359" priority="540" operator="greaterThan">
      <formula>0</formula>
    </cfRule>
  </conditionalFormatting>
  <conditionalFormatting sqref="HP1:HX1">
    <cfRule type="cellIs" dxfId="4358" priority="517" operator="equal">
      <formula>"PIN"</formula>
    </cfRule>
    <cfRule type="cellIs" dxfId="4357" priority="518" operator="equal">
      <formula>"ORA"</formula>
    </cfRule>
    <cfRule type="cellIs" dxfId="4356" priority="519" operator="equal">
      <formula>"GRA"</formula>
    </cfRule>
    <cfRule type="cellIs" dxfId="4355" priority="520" operator="equal">
      <formula>"PUR"</formula>
    </cfRule>
    <cfRule type="cellIs" dxfId="4354" priority="521" operator="equal">
      <formula>"BRO"</formula>
    </cfRule>
    <cfRule type="cellIs" dxfId="4353" priority="522" operator="equal">
      <formula>"YEL"</formula>
    </cfRule>
    <cfRule type="cellIs" dxfId="4352" priority="523" operator="equal">
      <formula>"BLU"</formula>
    </cfRule>
    <cfRule type="cellIs" dxfId="4351" priority="524" operator="equal">
      <formula>"WHI"</formula>
    </cfRule>
    <cfRule type="cellIs" dxfId="4350" priority="525" operator="equal">
      <formula>"GRE"</formula>
    </cfRule>
    <cfRule type="cellIs" dxfId="4349" priority="526" operator="equal">
      <formula>"RED"</formula>
    </cfRule>
    <cfRule type="cellIs" dxfId="4348" priority="527" operator="equal">
      <formula>"BLA"</formula>
    </cfRule>
  </conditionalFormatting>
  <conditionalFormatting sqref="IC1:IK1">
    <cfRule type="cellIs" dxfId="4347" priority="528" operator="equal">
      <formula>"PIN"</formula>
    </cfRule>
    <cfRule type="cellIs" dxfId="4346" priority="529" operator="equal">
      <formula>"ORA"</formula>
    </cfRule>
    <cfRule type="cellIs" dxfId="4345" priority="530" operator="equal">
      <formula>"GRA"</formula>
    </cfRule>
    <cfRule type="cellIs" dxfId="4344" priority="531" operator="equal">
      <formula>"PUR"</formula>
    </cfRule>
    <cfRule type="cellIs" dxfId="4343" priority="532" operator="equal">
      <formula>"BRO"</formula>
    </cfRule>
    <cfRule type="cellIs" dxfId="4342" priority="533" operator="equal">
      <formula>"YEL"</formula>
    </cfRule>
    <cfRule type="cellIs" dxfId="4341" priority="534" operator="equal">
      <formula>"BLU"</formula>
    </cfRule>
    <cfRule type="cellIs" dxfId="4340" priority="535" operator="equal">
      <formula>"WHI"</formula>
    </cfRule>
    <cfRule type="cellIs" dxfId="4339" priority="536" operator="equal">
      <formula>"GRE"</formula>
    </cfRule>
    <cfRule type="cellIs" dxfId="4338" priority="537" operator="equal">
      <formula>"RED"</formula>
    </cfRule>
    <cfRule type="cellIs" dxfId="4337" priority="538" operator="equal">
      <formula>"BLA"</formula>
    </cfRule>
  </conditionalFormatting>
  <conditionalFormatting sqref="IO1:IW1">
    <cfRule type="cellIs" dxfId="4336" priority="506" operator="equal">
      <formula>"PIN"</formula>
    </cfRule>
    <cfRule type="cellIs" dxfId="4335" priority="507" operator="equal">
      <formula>"ORA"</formula>
    </cfRule>
    <cfRule type="cellIs" dxfId="4334" priority="508" operator="equal">
      <formula>"GRA"</formula>
    </cfRule>
    <cfRule type="cellIs" dxfId="4333" priority="509" operator="equal">
      <formula>"PUR"</formula>
    </cfRule>
    <cfRule type="cellIs" dxfId="4332" priority="510" operator="equal">
      <formula>"BRO"</formula>
    </cfRule>
    <cfRule type="cellIs" dxfId="4331" priority="511" operator="equal">
      <formula>"YEL"</formula>
    </cfRule>
    <cfRule type="cellIs" dxfId="4330" priority="512" operator="equal">
      <formula>"BLU"</formula>
    </cfRule>
    <cfRule type="cellIs" dxfId="4329" priority="513" operator="equal">
      <formula>"WHI"</formula>
    </cfRule>
    <cfRule type="cellIs" dxfId="4328" priority="514" operator="equal">
      <formula>"GRE"</formula>
    </cfRule>
    <cfRule type="cellIs" dxfId="4327" priority="515" operator="equal">
      <formula>"RED"</formula>
    </cfRule>
    <cfRule type="cellIs" dxfId="4326" priority="516" operator="equal">
      <formula>"BLA"</formula>
    </cfRule>
  </conditionalFormatting>
  <conditionalFormatting sqref="H2">
    <cfRule type="cellIs" dxfId="4325" priority="474" stopIfTrue="1" operator="notEqual">
      <formula>""</formula>
    </cfRule>
  </conditionalFormatting>
  <conditionalFormatting sqref="R2 CU2">
    <cfRule type="cellIs" dxfId="4324" priority="476" operator="greaterThan">
      <formula>0</formula>
    </cfRule>
  </conditionalFormatting>
  <conditionalFormatting sqref="T2:AS2 CH2:CS2">
    <cfRule type="cellIs" dxfId="4323" priority="471" stopIfTrue="1" operator="equal">
      <formula>"n"</formula>
    </cfRule>
    <cfRule type="cellIs" dxfId="4322" priority="472" stopIfTrue="1" operator="equal">
      <formula>"y"</formula>
    </cfRule>
    <cfRule type="cellIs" dxfId="4321" priority="473" operator="greaterThan">
      <formula>0</formula>
    </cfRule>
  </conditionalFormatting>
  <conditionalFormatting sqref="AZ2:BB2">
    <cfRule type="expression" dxfId="4320" priority="470">
      <formula>$AT2=0</formula>
    </cfRule>
  </conditionalFormatting>
  <conditionalFormatting sqref="AZ2:BU2">
    <cfRule type="cellIs" dxfId="4319" priority="479" operator="equal">
      <formula>"PIN"</formula>
    </cfRule>
    <cfRule type="cellIs" dxfId="4318" priority="480" operator="equal">
      <formula>"ORA"</formula>
    </cfRule>
    <cfRule type="cellIs" dxfId="4317" priority="481" operator="equal">
      <formula>"GRA"</formula>
    </cfRule>
    <cfRule type="cellIs" dxfId="4316" priority="482" operator="equal">
      <formula>"PUR"</formula>
    </cfRule>
    <cfRule type="cellIs" dxfId="4315" priority="483" operator="equal">
      <formula>"BRO"</formula>
    </cfRule>
    <cfRule type="cellIs" dxfId="4314" priority="484" operator="equal">
      <formula>"YEL"</formula>
    </cfRule>
    <cfRule type="cellIs" dxfId="4313" priority="485" operator="equal">
      <formula>"BLU"</formula>
    </cfRule>
    <cfRule type="cellIs" dxfId="4312" priority="486" operator="equal">
      <formula>"WHI"</formula>
    </cfRule>
    <cfRule type="cellIs" dxfId="4311" priority="487" operator="equal">
      <formula>"GRE"</formula>
    </cfRule>
    <cfRule type="cellIs" dxfId="4310" priority="488" operator="equal">
      <formula>"RED"</formula>
    </cfRule>
    <cfRule type="cellIs" dxfId="4309" priority="489" operator="equal">
      <formula>"BLA"</formula>
    </cfRule>
  </conditionalFormatting>
  <conditionalFormatting sqref="BV2">
    <cfRule type="cellIs" dxfId="4308" priority="501" operator="equal">
      <formula>"nc"</formula>
    </cfRule>
  </conditionalFormatting>
  <conditionalFormatting sqref="BX2:CA2 CD2:CF2">
    <cfRule type="cellIs" dxfId="4307" priority="475" operator="equal">
      <formula>"y"</formula>
    </cfRule>
    <cfRule type="cellIs" dxfId="4306" priority="490" operator="equal">
      <formula>"PIN"</formula>
    </cfRule>
    <cfRule type="cellIs" dxfId="4305" priority="491" operator="equal">
      <formula>"ORA"</formula>
    </cfRule>
    <cfRule type="cellIs" dxfId="4304" priority="492" operator="equal">
      <formula>"GRA"</formula>
    </cfRule>
    <cfRule type="cellIs" dxfId="4303" priority="493" operator="equal">
      <formula>"PUR"</formula>
    </cfRule>
    <cfRule type="cellIs" dxfId="4302" priority="494" operator="equal">
      <formula>"BRO"</formula>
    </cfRule>
    <cfRule type="cellIs" dxfId="4301" priority="495" operator="equal">
      <formula>"YEL"</formula>
    </cfRule>
    <cfRule type="cellIs" dxfId="4300" priority="496" operator="equal">
      <formula>"BLU"</formula>
    </cfRule>
    <cfRule type="cellIs" dxfId="4299" priority="497" operator="equal">
      <formula>"WHI"</formula>
    </cfRule>
    <cfRule type="cellIs" dxfId="4298" priority="498" operator="equal">
      <formula>"GRE"</formula>
    </cfRule>
    <cfRule type="cellIs" dxfId="4297" priority="499" operator="equal">
      <formula>"RED"</formula>
    </cfRule>
    <cfRule type="cellIs" dxfId="4296" priority="500" operator="equal">
      <formula>"BLA"</formula>
    </cfRule>
  </conditionalFormatting>
  <conditionalFormatting sqref="BZ2:CA2 CD2:CF2">
    <cfRule type="cellIs" dxfId="4295" priority="477" operator="greaterThan">
      <formula>0</formula>
    </cfRule>
  </conditionalFormatting>
  <conditionalFormatting sqref="IC2:IK2">
    <cfRule type="expression" dxfId="4294" priority="478">
      <formula>$IL2&gt;0</formula>
    </cfRule>
  </conditionalFormatting>
  <conditionalFormatting sqref="S2">
    <cfRule type="colorScale" priority="502">
      <colorScale>
        <cfvo type="min"/>
        <cfvo type="max"/>
        <color rgb="FFFCFCFF"/>
        <color rgb="FF754BFB"/>
      </colorScale>
    </cfRule>
  </conditionalFormatting>
  <conditionalFormatting sqref="AT2">
    <cfRule type="colorScale" priority="503">
      <colorScale>
        <cfvo type="min"/>
        <cfvo type="max"/>
        <color rgb="FFFCFCFF"/>
        <color theme="8" tint="0.39997558519241921"/>
      </colorScale>
    </cfRule>
  </conditionalFormatting>
  <conditionalFormatting sqref="CG2">
    <cfRule type="colorScale" priority="504">
      <colorScale>
        <cfvo type="min"/>
        <cfvo type="max"/>
        <color rgb="FFFCFCFF"/>
        <color rgb="FF63BE7B"/>
      </colorScale>
    </cfRule>
  </conditionalFormatting>
  <conditionalFormatting sqref="J2">
    <cfRule type="colorScale" priority="469">
      <colorScale>
        <cfvo type="min"/>
        <cfvo type="percentile" val="50"/>
        <cfvo type="max"/>
        <color rgb="FFF8696B"/>
        <color rgb="FFFFEB84"/>
        <color rgb="FF63BE7B"/>
      </colorScale>
    </cfRule>
  </conditionalFormatting>
  <conditionalFormatting sqref="H3">
    <cfRule type="cellIs" dxfId="2079" priority="438" stopIfTrue="1" operator="notEqual">
      <formula>""</formula>
    </cfRule>
  </conditionalFormatting>
  <conditionalFormatting sqref="R3 CU3">
    <cfRule type="cellIs" dxfId="2078" priority="440" operator="greaterThan">
      <formula>0</formula>
    </cfRule>
  </conditionalFormatting>
  <conditionalFormatting sqref="T3:AS3 CH3:CS3">
    <cfRule type="cellIs" dxfId="2077" priority="435" stopIfTrue="1" operator="equal">
      <formula>"n"</formula>
    </cfRule>
    <cfRule type="cellIs" dxfId="2076" priority="436" stopIfTrue="1" operator="equal">
      <formula>"y"</formula>
    </cfRule>
    <cfRule type="cellIs" dxfId="2075" priority="437" operator="greaterThan">
      <formula>0</formula>
    </cfRule>
  </conditionalFormatting>
  <conditionalFormatting sqref="AZ3:BB3">
    <cfRule type="expression" dxfId="2074" priority="434">
      <formula>$AT3=0</formula>
    </cfRule>
  </conditionalFormatting>
  <conditionalFormatting sqref="AZ3:BU3">
    <cfRule type="cellIs" dxfId="2073" priority="443" operator="equal">
      <formula>"PIN"</formula>
    </cfRule>
    <cfRule type="cellIs" dxfId="2072" priority="444" operator="equal">
      <formula>"ORA"</formula>
    </cfRule>
    <cfRule type="cellIs" dxfId="2071" priority="445" operator="equal">
      <formula>"GRA"</formula>
    </cfRule>
    <cfRule type="cellIs" dxfId="2070" priority="446" operator="equal">
      <formula>"PUR"</formula>
    </cfRule>
    <cfRule type="cellIs" dxfId="2069" priority="447" operator="equal">
      <formula>"BRO"</formula>
    </cfRule>
    <cfRule type="cellIs" dxfId="2068" priority="448" operator="equal">
      <formula>"YEL"</formula>
    </cfRule>
    <cfRule type="cellIs" dxfId="2067" priority="449" operator="equal">
      <formula>"BLU"</formula>
    </cfRule>
    <cfRule type="cellIs" dxfId="2066" priority="450" operator="equal">
      <formula>"WHI"</formula>
    </cfRule>
    <cfRule type="cellIs" dxfId="2065" priority="451" operator="equal">
      <formula>"GRE"</formula>
    </cfRule>
    <cfRule type="cellIs" dxfId="2064" priority="452" operator="equal">
      <formula>"RED"</formula>
    </cfRule>
    <cfRule type="cellIs" dxfId="2063" priority="453" operator="equal">
      <formula>"BLA"</formula>
    </cfRule>
  </conditionalFormatting>
  <conditionalFormatting sqref="BV3:BW3">
    <cfRule type="cellIs" dxfId="2062" priority="465" operator="equal">
      <formula>"nc"</formula>
    </cfRule>
  </conditionalFormatting>
  <conditionalFormatting sqref="BX3:CA3 CD3:CF3">
    <cfRule type="cellIs" dxfId="2061" priority="439" operator="equal">
      <formula>"y"</formula>
    </cfRule>
    <cfRule type="cellIs" dxfId="2060" priority="454" operator="equal">
      <formula>"PIN"</formula>
    </cfRule>
    <cfRule type="cellIs" dxfId="2059" priority="455" operator="equal">
      <formula>"ORA"</formula>
    </cfRule>
    <cfRule type="cellIs" dxfId="2058" priority="456" operator="equal">
      <formula>"GRA"</formula>
    </cfRule>
    <cfRule type="cellIs" dxfId="2057" priority="457" operator="equal">
      <formula>"PUR"</formula>
    </cfRule>
    <cfRule type="cellIs" dxfId="2056" priority="458" operator="equal">
      <formula>"BRO"</formula>
    </cfRule>
    <cfRule type="cellIs" dxfId="2055" priority="459" operator="equal">
      <formula>"YEL"</formula>
    </cfRule>
    <cfRule type="cellIs" dxfId="2054" priority="460" operator="equal">
      <formula>"BLU"</formula>
    </cfRule>
    <cfRule type="cellIs" dxfId="2053" priority="461" operator="equal">
      <formula>"WHI"</formula>
    </cfRule>
    <cfRule type="cellIs" dxfId="2052" priority="462" operator="equal">
      <formula>"GRE"</formula>
    </cfRule>
    <cfRule type="cellIs" dxfId="2051" priority="463" operator="equal">
      <formula>"RED"</formula>
    </cfRule>
    <cfRule type="cellIs" dxfId="2050" priority="464" operator="equal">
      <formula>"BLA"</formula>
    </cfRule>
  </conditionalFormatting>
  <conditionalFormatting sqref="BZ3:CA3 CD3:CF3">
    <cfRule type="cellIs" dxfId="2049" priority="441" operator="greaterThan">
      <formula>0</formula>
    </cfRule>
  </conditionalFormatting>
  <conditionalFormatting sqref="IC3:IK3">
    <cfRule type="expression" dxfId="2048" priority="442">
      <formula>$IL3&gt;0</formula>
    </cfRule>
  </conditionalFormatting>
  <conditionalFormatting sqref="S3">
    <cfRule type="colorScale" priority="466">
      <colorScale>
        <cfvo type="min"/>
        <cfvo type="max"/>
        <color rgb="FFFCFCFF"/>
        <color rgb="FF754BFB"/>
      </colorScale>
    </cfRule>
  </conditionalFormatting>
  <conditionalFormatting sqref="AT3">
    <cfRule type="colorScale" priority="467">
      <colorScale>
        <cfvo type="min"/>
        <cfvo type="max"/>
        <color rgb="FFFCFCFF"/>
        <color theme="8" tint="0.39997558519241921"/>
      </colorScale>
    </cfRule>
  </conditionalFormatting>
  <conditionalFormatting sqref="CG3">
    <cfRule type="colorScale" priority="468">
      <colorScale>
        <cfvo type="min"/>
        <cfvo type="max"/>
        <color rgb="FFFCFCFF"/>
        <color rgb="FF63BE7B"/>
      </colorScale>
    </cfRule>
  </conditionalFormatting>
  <conditionalFormatting sqref="J3">
    <cfRule type="colorScale" priority="433">
      <colorScale>
        <cfvo type="min"/>
        <cfvo type="percentile" val="50"/>
        <cfvo type="max"/>
        <color rgb="FFF8696B"/>
        <color rgb="FFFFEB84"/>
        <color rgb="FF63BE7B"/>
      </colorScale>
    </cfRule>
  </conditionalFormatting>
  <conditionalFormatting sqref="H4">
    <cfRule type="cellIs" dxfId="2047" priority="402" stopIfTrue="1" operator="notEqual">
      <formula>""</formula>
    </cfRule>
  </conditionalFormatting>
  <conditionalFormatting sqref="R4 CU4">
    <cfRule type="cellIs" dxfId="2046" priority="404" operator="greaterThan">
      <formula>0</formula>
    </cfRule>
  </conditionalFormatting>
  <conditionalFormatting sqref="T4:AS4 CH4:CS4">
    <cfRule type="cellIs" dxfId="2045" priority="399" stopIfTrue="1" operator="equal">
      <formula>"n"</formula>
    </cfRule>
    <cfRule type="cellIs" dxfId="2044" priority="400" stopIfTrue="1" operator="equal">
      <formula>"y"</formula>
    </cfRule>
    <cfRule type="cellIs" dxfId="2043" priority="401" operator="greaterThan">
      <formula>0</formula>
    </cfRule>
  </conditionalFormatting>
  <conditionalFormatting sqref="AZ4:BB4">
    <cfRule type="expression" dxfId="2042" priority="398">
      <formula>$AT4=0</formula>
    </cfRule>
  </conditionalFormatting>
  <conditionalFormatting sqref="AZ4:BU4">
    <cfRule type="cellIs" dxfId="2041" priority="407" operator="equal">
      <formula>"PIN"</formula>
    </cfRule>
    <cfRule type="cellIs" dxfId="2040" priority="408" operator="equal">
      <formula>"ORA"</formula>
    </cfRule>
    <cfRule type="cellIs" dxfId="2039" priority="409" operator="equal">
      <formula>"GRA"</formula>
    </cfRule>
    <cfRule type="cellIs" dxfId="2038" priority="410" operator="equal">
      <formula>"PUR"</formula>
    </cfRule>
    <cfRule type="cellIs" dxfId="2037" priority="411" operator="equal">
      <formula>"BRO"</formula>
    </cfRule>
    <cfRule type="cellIs" dxfId="2036" priority="412" operator="equal">
      <formula>"YEL"</formula>
    </cfRule>
    <cfRule type="cellIs" dxfId="2035" priority="413" operator="equal">
      <formula>"BLU"</formula>
    </cfRule>
    <cfRule type="cellIs" dxfId="2034" priority="414" operator="equal">
      <formula>"WHI"</formula>
    </cfRule>
    <cfRule type="cellIs" dxfId="2033" priority="415" operator="equal">
      <formula>"GRE"</formula>
    </cfRule>
    <cfRule type="cellIs" dxfId="2032" priority="416" operator="equal">
      <formula>"RED"</formula>
    </cfRule>
    <cfRule type="cellIs" dxfId="2031" priority="417" operator="equal">
      <formula>"BLA"</formula>
    </cfRule>
  </conditionalFormatting>
  <conditionalFormatting sqref="BV4:BW4">
    <cfRule type="cellIs" dxfId="2030" priority="429" operator="equal">
      <formula>"nc"</formula>
    </cfRule>
  </conditionalFormatting>
  <conditionalFormatting sqref="BX4:CA4 CD4:CF4">
    <cfRule type="cellIs" dxfId="2029" priority="403" operator="equal">
      <formula>"y"</formula>
    </cfRule>
    <cfRule type="cellIs" dxfId="2028" priority="418" operator="equal">
      <formula>"PIN"</formula>
    </cfRule>
    <cfRule type="cellIs" dxfId="2027" priority="419" operator="equal">
      <formula>"ORA"</formula>
    </cfRule>
    <cfRule type="cellIs" dxfId="2026" priority="420" operator="equal">
      <formula>"GRA"</formula>
    </cfRule>
    <cfRule type="cellIs" dxfId="2025" priority="421" operator="equal">
      <formula>"PUR"</formula>
    </cfRule>
    <cfRule type="cellIs" dxfId="2024" priority="422" operator="equal">
      <formula>"BRO"</formula>
    </cfRule>
    <cfRule type="cellIs" dxfId="2023" priority="423" operator="equal">
      <formula>"YEL"</formula>
    </cfRule>
    <cfRule type="cellIs" dxfId="2022" priority="424" operator="equal">
      <formula>"BLU"</formula>
    </cfRule>
    <cfRule type="cellIs" dxfId="2021" priority="425" operator="equal">
      <formula>"WHI"</formula>
    </cfRule>
    <cfRule type="cellIs" dxfId="2020" priority="426" operator="equal">
      <formula>"GRE"</formula>
    </cfRule>
    <cfRule type="cellIs" dxfId="2019" priority="427" operator="equal">
      <formula>"RED"</formula>
    </cfRule>
    <cfRule type="cellIs" dxfId="2018" priority="428" operator="equal">
      <formula>"BLA"</formula>
    </cfRule>
  </conditionalFormatting>
  <conditionalFormatting sqref="BZ4:CA4 CD4:CF4">
    <cfRule type="cellIs" dxfId="2017" priority="405" operator="greaterThan">
      <formula>0</formula>
    </cfRule>
  </conditionalFormatting>
  <conditionalFormatting sqref="IC4:IK4">
    <cfRule type="expression" dxfId="2016" priority="406">
      <formula>$IL4&gt;0</formula>
    </cfRule>
  </conditionalFormatting>
  <conditionalFormatting sqref="S4">
    <cfRule type="colorScale" priority="430">
      <colorScale>
        <cfvo type="min"/>
        <cfvo type="max"/>
        <color rgb="FFFCFCFF"/>
        <color rgb="FF754BFB"/>
      </colorScale>
    </cfRule>
  </conditionalFormatting>
  <conditionalFormatting sqref="AT4">
    <cfRule type="colorScale" priority="431">
      <colorScale>
        <cfvo type="min"/>
        <cfvo type="max"/>
        <color rgb="FFFCFCFF"/>
        <color theme="8" tint="0.39997558519241921"/>
      </colorScale>
    </cfRule>
  </conditionalFormatting>
  <conditionalFormatting sqref="CG4">
    <cfRule type="colorScale" priority="432">
      <colorScale>
        <cfvo type="min"/>
        <cfvo type="max"/>
        <color rgb="FFFCFCFF"/>
        <color rgb="FF63BE7B"/>
      </colorScale>
    </cfRule>
  </conditionalFormatting>
  <conditionalFormatting sqref="J4">
    <cfRule type="colorScale" priority="397">
      <colorScale>
        <cfvo type="min"/>
        <cfvo type="percentile" val="50"/>
        <cfvo type="max"/>
        <color rgb="FFF8696B"/>
        <color rgb="FFFFEB84"/>
        <color rgb="FF63BE7B"/>
      </colorScale>
    </cfRule>
  </conditionalFormatting>
  <conditionalFormatting sqref="H5">
    <cfRule type="cellIs" dxfId="2015" priority="366" stopIfTrue="1" operator="notEqual">
      <formula>""</formula>
    </cfRule>
  </conditionalFormatting>
  <conditionalFormatting sqref="R5 CU5">
    <cfRule type="cellIs" dxfId="2014" priority="368" operator="greaterThan">
      <formula>0</formula>
    </cfRule>
  </conditionalFormatting>
  <conditionalFormatting sqref="T5:AS5 CH5:CS5">
    <cfRule type="cellIs" dxfId="2013" priority="363" stopIfTrue="1" operator="equal">
      <formula>"n"</formula>
    </cfRule>
    <cfRule type="cellIs" dxfId="2012" priority="364" stopIfTrue="1" operator="equal">
      <formula>"y"</formula>
    </cfRule>
    <cfRule type="cellIs" dxfId="2011" priority="365" operator="greaterThan">
      <formula>0</formula>
    </cfRule>
  </conditionalFormatting>
  <conditionalFormatting sqref="AZ5:BB5">
    <cfRule type="expression" dxfId="2010" priority="362">
      <formula>$AT5=0</formula>
    </cfRule>
  </conditionalFormatting>
  <conditionalFormatting sqref="AZ5:BU5">
    <cfRule type="cellIs" dxfId="2009" priority="371" operator="equal">
      <formula>"PIN"</formula>
    </cfRule>
    <cfRule type="cellIs" dxfId="2008" priority="372" operator="equal">
      <formula>"ORA"</formula>
    </cfRule>
    <cfRule type="cellIs" dxfId="2007" priority="373" operator="equal">
      <formula>"GRA"</formula>
    </cfRule>
    <cfRule type="cellIs" dxfId="2006" priority="374" operator="equal">
      <formula>"PUR"</formula>
    </cfRule>
    <cfRule type="cellIs" dxfId="2005" priority="375" operator="equal">
      <formula>"BRO"</formula>
    </cfRule>
    <cfRule type="cellIs" dxfId="2004" priority="376" operator="equal">
      <formula>"YEL"</formula>
    </cfRule>
    <cfRule type="cellIs" dxfId="2003" priority="377" operator="equal">
      <formula>"BLU"</formula>
    </cfRule>
    <cfRule type="cellIs" dxfId="2002" priority="378" operator="equal">
      <formula>"WHI"</formula>
    </cfRule>
    <cfRule type="cellIs" dxfId="2001" priority="379" operator="equal">
      <formula>"GRE"</formula>
    </cfRule>
    <cfRule type="cellIs" dxfId="2000" priority="380" operator="equal">
      <formula>"RED"</formula>
    </cfRule>
    <cfRule type="cellIs" dxfId="1999" priority="381" operator="equal">
      <formula>"BLA"</formula>
    </cfRule>
  </conditionalFormatting>
  <conditionalFormatting sqref="BV5:BW5">
    <cfRule type="cellIs" dxfId="1998" priority="393" operator="equal">
      <formula>"nc"</formula>
    </cfRule>
  </conditionalFormatting>
  <conditionalFormatting sqref="BX5:CA5 CD5:CF5">
    <cfRule type="cellIs" dxfId="1997" priority="367" operator="equal">
      <formula>"y"</formula>
    </cfRule>
    <cfRule type="cellIs" dxfId="1996" priority="382" operator="equal">
      <formula>"PIN"</formula>
    </cfRule>
    <cfRule type="cellIs" dxfId="1995" priority="383" operator="equal">
      <formula>"ORA"</formula>
    </cfRule>
    <cfRule type="cellIs" dxfId="1994" priority="384" operator="equal">
      <formula>"GRA"</formula>
    </cfRule>
    <cfRule type="cellIs" dxfId="1993" priority="385" operator="equal">
      <formula>"PUR"</formula>
    </cfRule>
    <cfRule type="cellIs" dxfId="1992" priority="386" operator="equal">
      <formula>"BRO"</formula>
    </cfRule>
    <cfRule type="cellIs" dxfId="1991" priority="387" operator="equal">
      <formula>"YEL"</formula>
    </cfRule>
    <cfRule type="cellIs" dxfId="1990" priority="388" operator="equal">
      <formula>"BLU"</formula>
    </cfRule>
    <cfRule type="cellIs" dxfId="1989" priority="389" operator="equal">
      <formula>"WHI"</formula>
    </cfRule>
    <cfRule type="cellIs" dxfId="1988" priority="390" operator="equal">
      <formula>"GRE"</formula>
    </cfRule>
    <cfRule type="cellIs" dxfId="1987" priority="391" operator="equal">
      <formula>"RED"</formula>
    </cfRule>
    <cfRule type="cellIs" dxfId="1986" priority="392" operator="equal">
      <formula>"BLA"</formula>
    </cfRule>
  </conditionalFormatting>
  <conditionalFormatting sqref="BZ5:CA5 CD5:CF5">
    <cfRule type="cellIs" dxfId="1985" priority="369" operator="greaterThan">
      <formula>0</formula>
    </cfRule>
  </conditionalFormatting>
  <conditionalFormatting sqref="IC5:IK5">
    <cfRule type="expression" dxfId="1984" priority="370">
      <formula>$IL5&gt;0</formula>
    </cfRule>
  </conditionalFormatting>
  <conditionalFormatting sqref="S5">
    <cfRule type="colorScale" priority="394">
      <colorScale>
        <cfvo type="min"/>
        <cfvo type="max"/>
        <color rgb="FFFCFCFF"/>
        <color rgb="FF754BFB"/>
      </colorScale>
    </cfRule>
  </conditionalFormatting>
  <conditionalFormatting sqref="AT5">
    <cfRule type="colorScale" priority="395">
      <colorScale>
        <cfvo type="min"/>
        <cfvo type="max"/>
        <color rgb="FFFCFCFF"/>
        <color theme="8" tint="0.39997558519241921"/>
      </colorScale>
    </cfRule>
  </conditionalFormatting>
  <conditionalFormatting sqref="CG5">
    <cfRule type="colorScale" priority="396">
      <colorScale>
        <cfvo type="min"/>
        <cfvo type="max"/>
        <color rgb="FFFCFCFF"/>
        <color rgb="FF63BE7B"/>
      </colorScale>
    </cfRule>
  </conditionalFormatting>
  <conditionalFormatting sqref="J5">
    <cfRule type="colorScale" priority="361">
      <colorScale>
        <cfvo type="min"/>
        <cfvo type="percentile" val="50"/>
        <cfvo type="max"/>
        <color rgb="FFF8696B"/>
        <color rgb="FFFFEB84"/>
        <color rgb="FF63BE7B"/>
      </colorScale>
    </cfRule>
  </conditionalFormatting>
  <conditionalFormatting sqref="H6">
    <cfRule type="cellIs" dxfId="1983" priority="330" stopIfTrue="1" operator="notEqual">
      <formula>""</formula>
    </cfRule>
  </conditionalFormatting>
  <conditionalFormatting sqref="R6 CU6">
    <cfRule type="cellIs" dxfId="1982" priority="332" operator="greaterThan">
      <formula>0</formula>
    </cfRule>
  </conditionalFormatting>
  <conditionalFormatting sqref="T6:AS6 CH6:CS6">
    <cfRule type="cellIs" dxfId="1981" priority="327" stopIfTrue="1" operator="equal">
      <formula>"n"</formula>
    </cfRule>
    <cfRule type="cellIs" dxfId="1980" priority="328" stopIfTrue="1" operator="equal">
      <formula>"y"</formula>
    </cfRule>
    <cfRule type="cellIs" dxfId="1979" priority="329" operator="greaterThan">
      <formula>0</formula>
    </cfRule>
  </conditionalFormatting>
  <conditionalFormatting sqref="AZ6:BB6">
    <cfRule type="expression" dxfId="1978" priority="326">
      <formula>$AT6=0</formula>
    </cfRule>
  </conditionalFormatting>
  <conditionalFormatting sqref="AZ6:BU6">
    <cfRule type="cellIs" dxfId="1977" priority="335" operator="equal">
      <formula>"PIN"</formula>
    </cfRule>
    <cfRule type="cellIs" dxfId="1976" priority="336" operator="equal">
      <formula>"ORA"</formula>
    </cfRule>
    <cfRule type="cellIs" dxfId="1975" priority="337" operator="equal">
      <formula>"GRA"</formula>
    </cfRule>
    <cfRule type="cellIs" dxfId="1974" priority="338" operator="equal">
      <formula>"PUR"</formula>
    </cfRule>
    <cfRule type="cellIs" dxfId="1973" priority="339" operator="equal">
      <formula>"BRO"</formula>
    </cfRule>
    <cfRule type="cellIs" dxfId="1972" priority="340" operator="equal">
      <formula>"YEL"</formula>
    </cfRule>
    <cfRule type="cellIs" dxfId="1971" priority="341" operator="equal">
      <formula>"BLU"</formula>
    </cfRule>
    <cfRule type="cellIs" dxfId="1970" priority="342" operator="equal">
      <formula>"WHI"</formula>
    </cfRule>
    <cfRule type="cellIs" dxfId="1969" priority="343" operator="equal">
      <formula>"GRE"</formula>
    </cfRule>
    <cfRule type="cellIs" dxfId="1968" priority="344" operator="equal">
      <formula>"RED"</formula>
    </cfRule>
    <cfRule type="cellIs" dxfId="1967" priority="345" operator="equal">
      <formula>"BLA"</formula>
    </cfRule>
  </conditionalFormatting>
  <conditionalFormatting sqref="BV6:BW6">
    <cfRule type="cellIs" dxfId="1966" priority="357" operator="equal">
      <formula>"nc"</formula>
    </cfRule>
  </conditionalFormatting>
  <conditionalFormatting sqref="BX6:CA6 CD6:CF6">
    <cfRule type="cellIs" dxfId="1965" priority="331" operator="equal">
      <formula>"y"</formula>
    </cfRule>
    <cfRule type="cellIs" dxfId="1964" priority="346" operator="equal">
      <formula>"PIN"</formula>
    </cfRule>
    <cfRule type="cellIs" dxfId="1963" priority="347" operator="equal">
      <formula>"ORA"</formula>
    </cfRule>
    <cfRule type="cellIs" dxfId="1962" priority="348" operator="equal">
      <formula>"GRA"</formula>
    </cfRule>
    <cfRule type="cellIs" dxfId="1961" priority="349" operator="equal">
      <formula>"PUR"</formula>
    </cfRule>
    <cfRule type="cellIs" dxfId="1960" priority="350" operator="equal">
      <formula>"BRO"</formula>
    </cfRule>
    <cfRule type="cellIs" dxfId="1959" priority="351" operator="equal">
      <formula>"YEL"</formula>
    </cfRule>
    <cfRule type="cellIs" dxfId="1958" priority="352" operator="equal">
      <formula>"BLU"</formula>
    </cfRule>
    <cfRule type="cellIs" dxfId="1957" priority="353" operator="equal">
      <formula>"WHI"</formula>
    </cfRule>
    <cfRule type="cellIs" dxfId="1956" priority="354" operator="equal">
      <formula>"GRE"</formula>
    </cfRule>
    <cfRule type="cellIs" dxfId="1955" priority="355" operator="equal">
      <formula>"RED"</formula>
    </cfRule>
    <cfRule type="cellIs" dxfId="1954" priority="356" operator="equal">
      <formula>"BLA"</formula>
    </cfRule>
  </conditionalFormatting>
  <conditionalFormatting sqref="BZ6:CA6 CD6:CF6">
    <cfRule type="cellIs" dxfId="1953" priority="333" operator="greaterThan">
      <formula>0</formula>
    </cfRule>
  </conditionalFormatting>
  <conditionalFormatting sqref="IC6:IK6">
    <cfRule type="expression" dxfId="1952" priority="334">
      <formula>$IL6&gt;0</formula>
    </cfRule>
  </conditionalFormatting>
  <conditionalFormatting sqref="S6">
    <cfRule type="colorScale" priority="358">
      <colorScale>
        <cfvo type="min"/>
        <cfvo type="max"/>
        <color rgb="FFFCFCFF"/>
        <color rgb="FF754BFB"/>
      </colorScale>
    </cfRule>
  </conditionalFormatting>
  <conditionalFormatting sqref="AT6">
    <cfRule type="colorScale" priority="359">
      <colorScale>
        <cfvo type="min"/>
        <cfvo type="max"/>
        <color rgb="FFFCFCFF"/>
        <color theme="8" tint="0.39997558519241921"/>
      </colorScale>
    </cfRule>
  </conditionalFormatting>
  <conditionalFormatting sqref="CG6">
    <cfRule type="colorScale" priority="360">
      <colorScale>
        <cfvo type="min"/>
        <cfvo type="max"/>
        <color rgb="FFFCFCFF"/>
        <color rgb="FF63BE7B"/>
      </colorScale>
    </cfRule>
  </conditionalFormatting>
  <conditionalFormatting sqref="J6">
    <cfRule type="colorScale" priority="325">
      <colorScale>
        <cfvo type="min"/>
        <cfvo type="percentile" val="50"/>
        <cfvo type="max"/>
        <color rgb="FFF8696B"/>
        <color rgb="FFFFEB84"/>
        <color rgb="FF63BE7B"/>
      </colorScale>
    </cfRule>
  </conditionalFormatting>
  <conditionalFormatting sqref="H7">
    <cfRule type="cellIs" dxfId="1951" priority="294" stopIfTrue="1" operator="notEqual">
      <formula>""</formula>
    </cfRule>
  </conditionalFormatting>
  <conditionalFormatting sqref="R7 CU7">
    <cfRule type="cellIs" dxfId="1950" priority="296" operator="greaterThan">
      <formula>0</formula>
    </cfRule>
  </conditionalFormatting>
  <conditionalFormatting sqref="T7:AS7 CH7:CS7">
    <cfRule type="cellIs" dxfId="1949" priority="291" stopIfTrue="1" operator="equal">
      <formula>"n"</formula>
    </cfRule>
    <cfRule type="cellIs" dxfId="1948" priority="292" stopIfTrue="1" operator="equal">
      <formula>"y"</formula>
    </cfRule>
    <cfRule type="cellIs" dxfId="1947" priority="293" operator="greaterThan">
      <formula>0</formula>
    </cfRule>
  </conditionalFormatting>
  <conditionalFormatting sqref="AZ7:BB7">
    <cfRule type="expression" dxfId="1946" priority="290">
      <formula>$AT7=0</formula>
    </cfRule>
  </conditionalFormatting>
  <conditionalFormatting sqref="AZ7:BU7">
    <cfRule type="cellIs" dxfId="1945" priority="299" operator="equal">
      <formula>"PIN"</formula>
    </cfRule>
    <cfRule type="cellIs" dxfId="1944" priority="300" operator="equal">
      <formula>"ORA"</formula>
    </cfRule>
    <cfRule type="cellIs" dxfId="1943" priority="301" operator="equal">
      <formula>"GRA"</formula>
    </cfRule>
    <cfRule type="cellIs" dxfId="1942" priority="302" operator="equal">
      <formula>"PUR"</formula>
    </cfRule>
    <cfRule type="cellIs" dxfId="1941" priority="303" operator="equal">
      <formula>"BRO"</formula>
    </cfRule>
    <cfRule type="cellIs" dxfId="1940" priority="304" operator="equal">
      <formula>"YEL"</formula>
    </cfRule>
    <cfRule type="cellIs" dxfId="1939" priority="305" operator="equal">
      <formula>"BLU"</formula>
    </cfRule>
    <cfRule type="cellIs" dxfId="1938" priority="306" operator="equal">
      <formula>"WHI"</formula>
    </cfRule>
    <cfRule type="cellIs" dxfId="1937" priority="307" operator="equal">
      <formula>"GRE"</formula>
    </cfRule>
    <cfRule type="cellIs" dxfId="1936" priority="308" operator="equal">
      <formula>"RED"</formula>
    </cfRule>
    <cfRule type="cellIs" dxfId="1935" priority="309" operator="equal">
      <formula>"BLA"</formula>
    </cfRule>
  </conditionalFormatting>
  <conditionalFormatting sqref="BV7:BW7">
    <cfRule type="cellIs" dxfId="1934" priority="321" operator="equal">
      <formula>"nc"</formula>
    </cfRule>
  </conditionalFormatting>
  <conditionalFormatting sqref="BX7:CA7 CD7:CF7">
    <cfRule type="cellIs" dxfId="1933" priority="295" operator="equal">
      <formula>"y"</formula>
    </cfRule>
    <cfRule type="cellIs" dxfId="1932" priority="310" operator="equal">
      <formula>"PIN"</formula>
    </cfRule>
    <cfRule type="cellIs" dxfId="1931" priority="311" operator="equal">
      <formula>"ORA"</formula>
    </cfRule>
    <cfRule type="cellIs" dxfId="1930" priority="312" operator="equal">
      <formula>"GRA"</formula>
    </cfRule>
    <cfRule type="cellIs" dxfId="1929" priority="313" operator="equal">
      <formula>"PUR"</formula>
    </cfRule>
    <cfRule type="cellIs" dxfId="1928" priority="314" operator="equal">
      <formula>"BRO"</formula>
    </cfRule>
    <cfRule type="cellIs" dxfId="1927" priority="315" operator="equal">
      <formula>"YEL"</formula>
    </cfRule>
    <cfRule type="cellIs" dxfId="1926" priority="316" operator="equal">
      <formula>"BLU"</formula>
    </cfRule>
    <cfRule type="cellIs" dxfId="1925" priority="317" operator="equal">
      <formula>"WHI"</formula>
    </cfRule>
    <cfRule type="cellIs" dxfId="1924" priority="318" operator="equal">
      <formula>"GRE"</formula>
    </cfRule>
    <cfRule type="cellIs" dxfId="1923" priority="319" operator="equal">
      <formula>"RED"</formula>
    </cfRule>
    <cfRule type="cellIs" dxfId="1922" priority="320" operator="equal">
      <formula>"BLA"</formula>
    </cfRule>
  </conditionalFormatting>
  <conditionalFormatting sqref="BZ7:CA7 CD7:CF7">
    <cfRule type="cellIs" dxfId="1921" priority="297" operator="greaterThan">
      <formula>0</formula>
    </cfRule>
  </conditionalFormatting>
  <conditionalFormatting sqref="IC7:IK7">
    <cfRule type="expression" dxfId="1920" priority="298">
      <formula>$IL7&gt;0</formula>
    </cfRule>
  </conditionalFormatting>
  <conditionalFormatting sqref="S7">
    <cfRule type="colorScale" priority="322">
      <colorScale>
        <cfvo type="min"/>
        <cfvo type="max"/>
        <color rgb="FFFCFCFF"/>
        <color rgb="FF754BFB"/>
      </colorScale>
    </cfRule>
  </conditionalFormatting>
  <conditionalFormatting sqref="AT7">
    <cfRule type="colorScale" priority="323">
      <colorScale>
        <cfvo type="min"/>
        <cfvo type="max"/>
        <color rgb="FFFCFCFF"/>
        <color theme="8" tint="0.39997558519241921"/>
      </colorScale>
    </cfRule>
  </conditionalFormatting>
  <conditionalFormatting sqref="CG7">
    <cfRule type="colorScale" priority="324">
      <colorScale>
        <cfvo type="min"/>
        <cfvo type="max"/>
        <color rgb="FFFCFCFF"/>
        <color rgb="FF63BE7B"/>
      </colorScale>
    </cfRule>
  </conditionalFormatting>
  <conditionalFormatting sqref="J7">
    <cfRule type="colorScale" priority="289">
      <colorScale>
        <cfvo type="min"/>
        <cfvo type="percentile" val="50"/>
        <cfvo type="max"/>
        <color rgb="FFF8696B"/>
        <color rgb="FFFFEB84"/>
        <color rgb="FF63BE7B"/>
      </colorScale>
    </cfRule>
  </conditionalFormatting>
  <conditionalFormatting sqref="H8">
    <cfRule type="cellIs" dxfId="1919" priority="258" stopIfTrue="1" operator="notEqual">
      <formula>""</formula>
    </cfRule>
  </conditionalFormatting>
  <conditionalFormatting sqref="R8 CU8">
    <cfRule type="cellIs" dxfId="1918" priority="260" operator="greaterThan">
      <formula>0</formula>
    </cfRule>
  </conditionalFormatting>
  <conditionalFormatting sqref="T8:AS8 CH8:CS8">
    <cfRule type="cellIs" dxfId="1917" priority="255" stopIfTrue="1" operator="equal">
      <formula>"n"</formula>
    </cfRule>
    <cfRule type="cellIs" dxfId="1916" priority="256" stopIfTrue="1" operator="equal">
      <formula>"y"</formula>
    </cfRule>
    <cfRule type="cellIs" dxfId="1915" priority="257" operator="greaterThan">
      <formula>0</formula>
    </cfRule>
  </conditionalFormatting>
  <conditionalFormatting sqref="AZ8:BB8">
    <cfRule type="expression" dxfId="1914" priority="254">
      <formula>$AT8=0</formula>
    </cfRule>
  </conditionalFormatting>
  <conditionalFormatting sqref="AZ8:BU8">
    <cfRule type="cellIs" dxfId="1913" priority="263" operator="equal">
      <formula>"PIN"</formula>
    </cfRule>
    <cfRule type="cellIs" dxfId="1912" priority="264" operator="equal">
      <formula>"ORA"</formula>
    </cfRule>
    <cfRule type="cellIs" dxfId="1911" priority="265" operator="equal">
      <formula>"GRA"</formula>
    </cfRule>
    <cfRule type="cellIs" dxfId="1910" priority="266" operator="equal">
      <formula>"PUR"</formula>
    </cfRule>
    <cfRule type="cellIs" dxfId="1909" priority="267" operator="equal">
      <formula>"BRO"</formula>
    </cfRule>
    <cfRule type="cellIs" dxfId="1908" priority="268" operator="equal">
      <formula>"YEL"</formula>
    </cfRule>
    <cfRule type="cellIs" dxfId="1907" priority="269" operator="equal">
      <formula>"BLU"</formula>
    </cfRule>
    <cfRule type="cellIs" dxfId="1906" priority="270" operator="equal">
      <formula>"WHI"</formula>
    </cfRule>
    <cfRule type="cellIs" dxfId="1905" priority="271" operator="equal">
      <formula>"GRE"</formula>
    </cfRule>
    <cfRule type="cellIs" dxfId="1904" priority="272" operator="equal">
      <formula>"RED"</formula>
    </cfRule>
    <cfRule type="cellIs" dxfId="1903" priority="273" operator="equal">
      <formula>"BLA"</formula>
    </cfRule>
  </conditionalFormatting>
  <conditionalFormatting sqref="BV8:BW8">
    <cfRule type="cellIs" dxfId="1902" priority="285" operator="equal">
      <formula>"nc"</formula>
    </cfRule>
  </conditionalFormatting>
  <conditionalFormatting sqref="BX8:CA8 CD8:CF8">
    <cfRule type="cellIs" dxfId="1901" priority="259" operator="equal">
      <formula>"y"</formula>
    </cfRule>
    <cfRule type="cellIs" dxfId="1900" priority="274" operator="equal">
      <formula>"PIN"</formula>
    </cfRule>
    <cfRule type="cellIs" dxfId="1899" priority="275" operator="equal">
      <formula>"ORA"</formula>
    </cfRule>
    <cfRule type="cellIs" dxfId="1898" priority="276" operator="equal">
      <formula>"GRA"</formula>
    </cfRule>
    <cfRule type="cellIs" dxfId="1897" priority="277" operator="equal">
      <formula>"PUR"</formula>
    </cfRule>
    <cfRule type="cellIs" dxfId="1896" priority="278" operator="equal">
      <formula>"BRO"</formula>
    </cfRule>
    <cfRule type="cellIs" dxfId="1895" priority="279" operator="equal">
      <formula>"YEL"</formula>
    </cfRule>
    <cfRule type="cellIs" dxfId="1894" priority="280" operator="equal">
      <formula>"BLU"</formula>
    </cfRule>
    <cfRule type="cellIs" dxfId="1893" priority="281" operator="equal">
      <formula>"WHI"</formula>
    </cfRule>
    <cfRule type="cellIs" dxfId="1892" priority="282" operator="equal">
      <formula>"GRE"</formula>
    </cfRule>
    <cfRule type="cellIs" dxfId="1891" priority="283" operator="equal">
      <formula>"RED"</formula>
    </cfRule>
    <cfRule type="cellIs" dxfId="1890" priority="284" operator="equal">
      <formula>"BLA"</formula>
    </cfRule>
  </conditionalFormatting>
  <conditionalFormatting sqref="BZ8:CA8 CD8:CF8">
    <cfRule type="cellIs" dxfId="1889" priority="261" operator="greaterThan">
      <formula>0</formula>
    </cfRule>
  </conditionalFormatting>
  <conditionalFormatting sqref="IC8:IK8">
    <cfRule type="expression" dxfId="1888" priority="262">
      <formula>$IL8&gt;0</formula>
    </cfRule>
  </conditionalFormatting>
  <conditionalFormatting sqref="S8">
    <cfRule type="colorScale" priority="286">
      <colorScale>
        <cfvo type="min"/>
        <cfvo type="max"/>
        <color rgb="FFFCFCFF"/>
        <color rgb="FF754BFB"/>
      </colorScale>
    </cfRule>
  </conditionalFormatting>
  <conditionalFormatting sqref="AT8">
    <cfRule type="colorScale" priority="287">
      <colorScale>
        <cfvo type="min"/>
        <cfvo type="max"/>
        <color rgb="FFFCFCFF"/>
        <color theme="8" tint="0.39997558519241921"/>
      </colorScale>
    </cfRule>
  </conditionalFormatting>
  <conditionalFormatting sqref="CG8">
    <cfRule type="colorScale" priority="288">
      <colorScale>
        <cfvo type="min"/>
        <cfvo type="max"/>
        <color rgb="FFFCFCFF"/>
        <color rgb="FF63BE7B"/>
      </colorScale>
    </cfRule>
  </conditionalFormatting>
  <conditionalFormatting sqref="J8">
    <cfRule type="colorScale" priority="253">
      <colorScale>
        <cfvo type="min"/>
        <cfvo type="percentile" val="50"/>
        <cfvo type="max"/>
        <color rgb="FFF8696B"/>
        <color rgb="FFFFEB84"/>
        <color rgb="FF63BE7B"/>
      </colorScale>
    </cfRule>
  </conditionalFormatting>
  <conditionalFormatting sqref="H9">
    <cfRule type="cellIs" dxfId="1887" priority="222" stopIfTrue="1" operator="notEqual">
      <formula>""</formula>
    </cfRule>
  </conditionalFormatting>
  <conditionalFormatting sqref="R9 CU9">
    <cfRule type="cellIs" dxfId="1886" priority="224" operator="greaterThan">
      <formula>0</formula>
    </cfRule>
  </conditionalFormatting>
  <conditionalFormatting sqref="T9:AS9 CH9:CS9">
    <cfRule type="cellIs" dxfId="1885" priority="219" stopIfTrue="1" operator="equal">
      <formula>"n"</formula>
    </cfRule>
    <cfRule type="cellIs" dxfId="1884" priority="220" stopIfTrue="1" operator="equal">
      <formula>"y"</formula>
    </cfRule>
    <cfRule type="cellIs" dxfId="1883" priority="221" operator="greaterThan">
      <formula>0</formula>
    </cfRule>
  </conditionalFormatting>
  <conditionalFormatting sqref="AZ9:BB9">
    <cfRule type="expression" dxfId="1882" priority="218">
      <formula>$AT9=0</formula>
    </cfRule>
  </conditionalFormatting>
  <conditionalFormatting sqref="AZ9:BU9">
    <cfRule type="cellIs" dxfId="1881" priority="227" operator="equal">
      <formula>"PIN"</formula>
    </cfRule>
    <cfRule type="cellIs" dxfId="1880" priority="228" operator="equal">
      <formula>"ORA"</formula>
    </cfRule>
    <cfRule type="cellIs" dxfId="1879" priority="229" operator="equal">
      <formula>"GRA"</formula>
    </cfRule>
    <cfRule type="cellIs" dxfId="1878" priority="230" operator="equal">
      <formula>"PUR"</formula>
    </cfRule>
    <cfRule type="cellIs" dxfId="1877" priority="231" operator="equal">
      <formula>"BRO"</formula>
    </cfRule>
    <cfRule type="cellIs" dxfId="1876" priority="232" operator="equal">
      <formula>"YEL"</formula>
    </cfRule>
    <cfRule type="cellIs" dxfId="1875" priority="233" operator="equal">
      <formula>"BLU"</formula>
    </cfRule>
    <cfRule type="cellIs" dxfId="1874" priority="234" operator="equal">
      <formula>"WHI"</formula>
    </cfRule>
    <cfRule type="cellIs" dxfId="1873" priority="235" operator="equal">
      <formula>"GRE"</formula>
    </cfRule>
    <cfRule type="cellIs" dxfId="1872" priority="236" operator="equal">
      <formula>"RED"</formula>
    </cfRule>
    <cfRule type="cellIs" dxfId="1871" priority="237" operator="equal">
      <formula>"BLA"</formula>
    </cfRule>
  </conditionalFormatting>
  <conditionalFormatting sqref="BV9:BW9">
    <cfRule type="cellIs" dxfId="1870" priority="249" operator="equal">
      <formula>"nc"</formula>
    </cfRule>
  </conditionalFormatting>
  <conditionalFormatting sqref="BX9:CA9 CD9:CF9">
    <cfRule type="cellIs" dxfId="1869" priority="223" operator="equal">
      <formula>"y"</formula>
    </cfRule>
    <cfRule type="cellIs" dxfId="1868" priority="238" operator="equal">
      <formula>"PIN"</formula>
    </cfRule>
    <cfRule type="cellIs" dxfId="1867" priority="239" operator="equal">
      <formula>"ORA"</formula>
    </cfRule>
    <cfRule type="cellIs" dxfId="1866" priority="240" operator="equal">
      <formula>"GRA"</formula>
    </cfRule>
    <cfRule type="cellIs" dxfId="1865" priority="241" operator="equal">
      <formula>"PUR"</formula>
    </cfRule>
    <cfRule type="cellIs" dxfId="1864" priority="242" operator="equal">
      <formula>"BRO"</formula>
    </cfRule>
    <cfRule type="cellIs" dxfId="1863" priority="243" operator="equal">
      <formula>"YEL"</formula>
    </cfRule>
    <cfRule type="cellIs" dxfId="1862" priority="244" operator="equal">
      <formula>"BLU"</formula>
    </cfRule>
    <cfRule type="cellIs" dxfId="1861" priority="245" operator="equal">
      <formula>"WHI"</formula>
    </cfRule>
    <cfRule type="cellIs" dxfId="1860" priority="246" operator="equal">
      <formula>"GRE"</formula>
    </cfRule>
    <cfRule type="cellIs" dxfId="1859" priority="247" operator="equal">
      <formula>"RED"</formula>
    </cfRule>
    <cfRule type="cellIs" dxfId="1858" priority="248" operator="equal">
      <formula>"BLA"</formula>
    </cfRule>
  </conditionalFormatting>
  <conditionalFormatting sqref="BZ9:CA9 CD9:CF9">
    <cfRule type="cellIs" dxfId="1857" priority="225" operator="greaterThan">
      <formula>0</formula>
    </cfRule>
  </conditionalFormatting>
  <conditionalFormatting sqref="IC9:IK9">
    <cfRule type="expression" dxfId="1856" priority="226">
      <formula>$IL9&gt;0</formula>
    </cfRule>
  </conditionalFormatting>
  <conditionalFormatting sqref="S9">
    <cfRule type="colorScale" priority="250">
      <colorScale>
        <cfvo type="min"/>
        <cfvo type="max"/>
        <color rgb="FFFCFCFF"/>
        <color rgb="FF754BFB"/>
      </colorScale>
    </cfRule>
  </conditionalFormatting>
  <conditionalFormatting sqref="AT9">
    <cfRule type="colorScale" priority="251">
      <colorScale>
        <cfvo type="min"/>
        <cfvo type="max"/>
        <color rgb="FFFCFCFF"/>
        <color theme="8" tint="0.39997558519241921"/>
      </colorScale>
    </cfRule>
  </conditionalFormatting>
  <conditionalFormatting sqref="CG9">
    <cfRule type="colorScale" priority="252">
      <colorScale>
        <cfvo type="min"/>
        <cfvo type="max"/>
        <color rgb="FFFCFCFF"/>
        <color rgb="FF63BE7B"/>
      </colorScale>
    </cfRule>
  </conditionalFormatting>
  <conditionalFormatting sqref="J9">
    <cfRule type="colorScale" priority="217">
      <colorScale>
        <cfvo type="min"/>
        <cfvo type="percentile" val="50"/>
        <cfvo type="max"/>
        <color rgb="FFF8696B"/>
        <color rgb="FFFFEB84"/>
        <color rgb="FF63BE7B"/>
      </colorScale>
    </cfRule>
  </conditionalFormatting>
  <conditionalFormatting sqref="H10">
    <cfRule type="cellIs" dxfId="1855" priority="186" stopIfTrue="1" operator="notEqual">
      <formula>""</formula>
    </cfRule>
  </conditionalFormatting>
  <conditionalFormatting sqref="R10 CU10">
    <cfRule type="cellIs" dxfId="1854" priority="188" operator="greaterThan">
      <formula>0</formula>
    </cfRule>
  </conditionalFormatting>
  <conditionalFormatting sqref="T10:AS10 CH10:CS10">
    <cfRule type="cellIs" dxfId="1853" priority="183" stopIfTrue="1" operator="equal">
      <formula>"n"</formula>
    </cfRule>
    <cfRule type="cellIs" dxfId="1852" priority="184" stopIfTrue="1" operator="equal">
      <formula>"y"</formula>
    </cfRule>
    <cfRule type="cellIs" dxfId="1851" priority="185" operator="greaterThan">
      <formula>0</formula>
    </cfRule>
  </conditionalFormatting>
  <conditionalFormatting sqref="AZ10:BB10">
    <cfRule type="expression" dxfId="1850" priority="182">
      <formula>$AT10=0</formula>
    </cfRule>
  </conditionalFormatting>
  <conditionalFormatting sqref="AZ10:BU10">
    <cfRule type="cellIs" dxfId="1849" priority="191" operator="equal">
      <formula>"PIN"</formula>
    </cfRule>
    <cfRule type="cellIs" dxfId="1848" priority="192" operator="equal">
      <formula>"ORA"</formula>
    </cfRule>
    <cfRule type="cellIs" dxfId="1847" priority="193" operator="equal">
      <formula>"GRA"</formula>
    </cfRule>
    <cfRule type="cellIs" dxfId="1846" priority="194" operator="equal">
      <formula>"PUR"</formula>
    </cfRule>
    <cfRule type="cellIs" dxfId="1845" priority="195" operator="equal">
      <formula>"BRO"</formula>
    </cfRule>
    <cfRule type="cellIs" dxfId="1844" priority="196" operator="equal">
      <formula>"YEL"</formula>
    </cfRule>
    <cfRule type="cellIs" dxfId="1843" priority="197" operator="equal">
      <formula>"BLU"</formula>
    </cfRule>
    <cfRule type="cellIs" dxfId="1842" priority="198" operator="equal">
      <formula>"WHI"</formula>
    </cfRule>
    <cfRule type="cellIs" dxfId="1841" priority="199" operator="equal">
      <formula>"GRE"</formula>
    </cfRule>
    <cfRule type="cellIs" dxfId="1840" priority="200" operator="equal">
      <formula>"RED"</formula>
    </cfRule>
    <cfRule type="cellIs" dxfId="1839" priority="201" operator="equal">
      <formula>"BLA"</formula>
    </cfRule>
  </conditionalFormatting>
  <conditionalFormatting sqref="BV10:BW10">
    <cfRule type="cellIs" dxfId="1838" priority="213" operator="equal">
      <formula>"nc"</formula>
    </cfRule>
  </conditionalFormatting>
  <conditionalFormatting sqref="BX10:CA10 CD10:CF10">
    <cfRule type="cellIs" dxfId="1837" priority="187" operator="equal">
      <formula>"y"</formula>
    </cfRule>
    <cfRule type="cellIs" dxfId="1836" priority="202" operator="equal">
      <formula>"PIN"</formula>
    </cfRule>
    <cfRule type="cellIs" dxfId="1835" priority="203" operator="equal">
      <formula>"ORA"</formula>
    </cfRule>
    <cfRule type="cellIs" dxfId="1834" priority="204" operator="equal">
      <formula>"GRA"</formula>
    </cfRule>
    <cfRule type="cellIs" dxfId="1833" priority="205" operator="equal">
      <formula>"PUR"</formula>
    </cfRule>
    <cfRule type="cellIs" dxfId="1832" priority="206" operator="equal">
      <formula>"BRO"</formula>
    </cfRule>
    <cfRule type="cellIs" dxfId="1831" priority="207" operator="equal">
      <formula>"YEL"</formula>
    </cfRule>
    <cfRule type="cellIs" dxfId="1830" priority="208" operator="equal">
      <formula>"BLU"</formula>
    </cfRule>
    <cfRule type="cellIs" dxfId="1829" priority="209" operator="equal">
      <formula>"WHI"</formula>
    </cfRule>
    <cfRule type="cellIs" dxfId="1828" priority="210" operator="equal">
      <formula>"GRE"</formula>
    </cfRule>
    <cfRule type="cellIs" dxfId="1827" priority="211" operator="equal">
      <formula>"RED"</formula>
    </cfRule>
    <cfRule type="cellIs" dxfId="1826" priority="212" operator="equal">
      <formula>"BLA"</formula>
    </cfRule>
  </conditionalFormatting>
  <conditionalFormatting sqref="BZ10:CA10 CD10:CF10">
    <cfRule type="cellIs" dxfId="1825" priority="189" operator="greaterThan">
      <formula>0</formula>
    </cfRule>
  </conditionalFormatting>
  <conditionalFormatting sqref="IC10:IK10">
    <cfRule type="expression" dxfId="1824" priority="190">
      <formula>$IL10&gt;0</formula>
    </cfRule>
  </conditionalFormatting>
  <conditionalFormatting sqref="S10">
    <cfRule type="colorScale" priority="214">
      <colorScale>
        <cfvo type="min"/>
        <cfvo type="max"/>
        <color rgb="FFFCFCFF"/>
        <color rgb="FF754BFB"/>
      </colorScale>
    </cfRule>
  </conditionalFormatting>
  <conditionalFormatting sqref="AT10">
    <cfRule type="colorScale" priority="215">
      <colorScale>
        <cfvo type="min"/>
        <cfvo type="max"/>
        <color rgb="FFFCFCFF"/>
        <color theme="8" tint="0.39997558519241921"/>
      </colorScale>
    </cfRule>
  </conditionalFormatting>
  <conditionalFormatting sqref="CG10">
    <cfRule type="colorScale" priority="216">
      <colorScale>
        <cfvo type="min"/>
        <cfvo type="max"/>
        <color rgb="FFFCFCFF"/>
        <color rgb="FF63BE7B"/>
      </colorScale>
    </cfRule>
  </conditionalFormatting>
  <conditionalFormatting sqref="J10">
    <cfRule type="colorScale" priority="181">
      <colorScale>
        <cfvo type="min"/>
        <cfvo type="percentile" val="50"/>
        <cfvo type="max"/>
        <color rgb="FFF8696B"/>
        <color rgb="FFFFEB84"/>
        <color rgb="FF63BE7B"/>
      </colorScale>
    </cfRule>
  </conditionalFormatting>
  <conditionalFormatting sqref="H11">
    <cfRule type="cellIs" dxfId="1823" priority="150" stopIfTrue="1" operator="notEqual">
      <formula>""</formula>
    </cfRule>
  </conditionalFormatting>
  <conditionalFormatting sqref="R11 CU11">
    <cfRule type="cellIs" dxfId="1822" priority="152" operator="greaterThan">
      <formula>0</formula>
    </cfRule>
  </conditionalFormatting>
  <conditionalFormatting sqref="T11:AS11 CH11:CS11">
    <cfRule type="cellIs" dxfId="1821" priority="147" stopIfTrue="1" operator="equal">
      <formula>"n"</formula>
    </cfRule>
    <cfRule type="cellIs" dxfId="1820" priority="148" stopIfTrue="1" operator="equal">
      <formula>"y"</formula>
    </cfRule>
    <cfRule type="cellIs" dxfId="1819" priority="149" operator="greaterThan">
      <formula>0</formula>
    </cfRule>
  </conditionalFormatting>
  <conditionalFormatting sqref="AZ11:BB11">
    <cfRule type="expression" dxfId="1818" priority="146">
      <formula>$AT11=0</formula>
    </cfRule>
  </conditionalFormatting>
  <conditionalFormatting sqref="AZ11:BU11">
    <cfRule type="cellIs" dxfId="1817" priority="155" operator="equal">
      <formula>"PIN"</formula>
    </cfRule>
    <cfRule type="cellIs" dxfId="1816" priority="156" operator="equal">
      <formula>"ORA"</formula>
    </cfRule>
    <cfRule type="cellIs" dxfId="1815" priority="157" operator="equal">
      <formula>"GRA"</formula>
    </cfRule>
    <cfRule type="cellIs" dxfId="1814" priority="158" operator="equal">
      <formula>"PUR"</formula>
    </cfRule>
    <cfRule type="cellIs" dxfId="1813" priority="159" operator="equal">
      <formula>"BRO"</formula>
    </cfRule>
    <cfRule type="cellIs" dxfId="1812" priority="160" operator="equal">
      <formula>"YEL"</formula>
    </cfRule>
    <cfRule type="cellIs" dxfId="1811" priority="161" operator="equal">
      <formula>"BLU"</formula>
    </cfRule>
    <cfRule type="cellIs" dxfId="1810" priority="162" operator="equal">
      <formula>"WHI"</formula>
    </cfRule>
    <cfRule type="cellIs" dxfId="1809" priority="163" operator="equal">
      <formula>"GRE"</formula>
    </cfRule>
    <cfRule type="cellIs" dxfId="1808" priority="164" operator="equal">
      <formula>"RED"</formula>
    </cfRule>
    <cfRule type="cellIs" dxfId="1807" priority="165" operator="equal">
      <formula>"BLA"</formula>
    </cfRule>
  </conditionalFormatting>
  <conditionalFormatting sqref="BV11:BW11">
    <cfRule type="cellIs" dxfId="1806" priority="177" operator="equal">
      <formula>"nc"</formula>
    </cfRule>
  </conditionalFormatting>
  <conditionalFormatting sqref="BX11:CA11 CD11:CF11">
    <cfRule type="cellIs" dxfId="1805" priority="151" operator="equal">
      <formula>"y"</formula>
    </cfRule>
    <cfRule type="cellIs" dxfId="1804" priority="166" operator="equal">
      <formula>"PIN"</formula>
    </cfRule>
    <cfRule type="cellIs" dxfId="1803" priority="167" operator="equal">
      <formula>"ORA"</formula>
    </cfRule>
    <cfRule type="cellIs" dxfId="1802" priority="168" operator="equal">
      <formula>"GRA"</formula>
    </cfRule>
    <cfRule type="cellIs" dxfId="1801" priority="169" operator="equal">
      <formula>"PUR"</formula>
    </cfRule>
    <cfRule type="cellIs" dxfId="1800" priority="170" operator="equal">
      <formula>"BRO"</formula>
    </cfRule>
    <cfRule type="cellIs" dxfId="1799" priority="171" operator="equal">
      <formula>"YEL"</formula>
    </cfRule>
    <cfRule type="cellIs" dxfId="1798" priority="172" operator="equal">
      <formula>"BLU"</formula>
    </cfRule>
    <cfRule type="cellIs" dxfId="1797" priority="173" operator="equal">
      <formula>"WHI"</formula>
    </cfRule>
    <cfRule type="cellIs" dxfId="1796" priority="174" operator="equal">
      <formula>"GRE"</formula>
    </cfRule>
    <cfRule type="cellIs" dxfId="1795" priority="175" operator="equal">
      <formula>"RED"</formula>
    </cfRule>
    <cfRule type="cellIs" dxfId="1794" priority="176" operator="equal">
      <formula>"BLA"</formula>
    </cfRule>
  </conditionalFormatting>
  <conditionalFormatting sqref="BZ11:CA11 CD11:CF11">
    <cfRule type="cellIs" dxfId="1793" priority="153" operator="greaterThan">
      <formula>0</formula>
    </cfRule>
  </conditionalFormatting>
  <conditionalFormatting sqref="IC11:IK11">
    <cfRule type="expression" dxfId="1792" priority="154">
      <formula>$IL11&gt;0</formula>
    </cfRule>
  </conditionalFormatting>
  <conditionalFormatting sqref="S11">
    <cfRule type="colorScale" priority="178">
      <colorScale>
        <cfvo type="min"/>
        <cfvo type="max"/>
        <color rgb="FFFCFCFF"/>
        <color rgb="FF754BFB"/>
      </colorScale>
    </cfRule>
  </conditionalFormatting>
  <conditionalFormatting sqref="AT11">
    <cfRule type="colorScale" priority="179">
      <colorScale>
        <cfvo type="min"/>
        <cfvo type="max"/>
        <color rgb="FFFCFCFF"/>
        <color theme="8" tint="0.39997558519241921"/>
      </colorScale>
    </cfRule>
  </conditionalFormatting>
  <conditionalFormatting sqref="CG11">
    <cfRule type="colorScale" priority="180">
      <colorScale>
        <cfvo type="min"/>
        <cfvo type="max"/>
        <color rgb="FFFCFCFF"/>
        <color rgb="FF63BE7B"/>
      </colorScale>
    </cfRule>
  </conditionalFormatting>
  <conditionalFormatting sqref="J11">
    <cfRule type="colorScale" priority="145">
      <colorScale>
        <cfvo type="min"/>
        <cfvo type="percentile" val="50"/>
        <cfvo type="max"/>
        <color rgb="FFF8696B"/>
        <color rgb="FFFFEB84"/>
        <color rgb="FF63BE7B"/>
      </colorScale>
    </cfRule>
  </conditionalFormatting>
  <conditionalFormatting sqref="H12">
    <cfRule type="cellIs" dxfId="1791" priority="114" stopIfTrue="1" operator="notEqual">
      <formula>""</formula>
    </cfRule>
  </conditionalFormatting>
  <conditionalFormatting sqref="R12 CU12">
    <cfRule type="cellIs" dxfId="1790" priority="116" operator="greaterThan">
      <formula>0</formula>
    </cfRule>
  </conditionalFormatting>
  <conditionalFormatting sqref="T12:AS12 CH12:CS12">
    <cfRule type="cellIs" dxfId="1789" priority="111" stopIfTrue="1" operator="equal">
      <formula>"n"</formula>
    </cfRule>
    <cfRule type="cellIs" dxfId="1788" priority="112" stopIfTrue="1" operator="equal">
      <formula>"y"</formula>
    </cfRule>
    <cfRule type="cellIs" dxfId="1787" priority="113" operator="greaterThan">
      <formula>0</formula>
    </cfRule>
  </conditionalFormatting>
  <conditionalFormatting sqref="AZ12:BB12">
    <cfRule type="expression" dxfId="1786" priority="110">
      <formula>$AT12=0</formula>
    </cfRule>
  </conditionalFormatting>
  <conditionalFormatting sqref="AZ12:BU12">
    <cfRule type="cellIs" dxfId="1785" priority="119" operator="equal">
      <formula>"PIN"</formula>
    </cfRule>
    <cfRule type="cellIs" dxfId="1784" priority="120" operator="equal">
      <formula>"ORA"</formula>
    </cfRule>
    <cfRule type="cellIs" dxfId="1783" priority="121" operator="equal">
      <formula>"GRA"</formula>
    </cfRule>
    <cfRule type="cellIs" dxfId="1782" priority="122" operator="equal">
      <formula>"PUR"</formula>
    </cfRule>
    <cfRule type="cellIs" dxfId="1781" priority="123" operator="equal">
      <formula>"BRO"</formula>
    </cfRule>
    <cfRule type="cellIs" dxfId="1780" priority="124" operator="equal">
      <formula>"YEL"</formula>
    </cfRule>
    <cfRule type="cellIs" dxfId="1779" priority="125" operator="equal">
      <formula>"BLU"</formula>
    </cfRule>
    <cfRule type="cellIs" dxfId="1778" priority="126" operator="equal">
      <formula>"WHI"</formula>
    </cfRule>
    <cfRule type="cellIs" dxfId="1777" priority="127" operator="equal">
      <formula>"GRE"</formula>
    </cfRule>
    <cfRule type="cellIs" dxfId="1776" priority="128" operator="equal">
      <formula>"RED"</formula>
    </cfRule>
    <cfRule type="cellIs" dxfId="1775" priority="129" operator="equal">
      <formula>"BLA"</formula>
    </cfRule>
  </conditionalFormatting>
  <conditionalFormatting sqref="BV12:BW12">
    <cfRule type="cellIs" dxfId="1774" priority="141" operator="equal">
      <formula>"nc"</formula>
    </cfRule>
  </conditionalFormatting>
  <conditionalFormatting sqref="BX12:CA12 CD12:CF12">
    <cfRule type="cellIs" dxfId="1773" priority="115" operator="equal">
      <formula>"y"</formula>
    </cfRule>
    <cfRule type="cellIs" dxfId="1772" priority="130" operator="equal">
      <formula>"PIN"</formula>
    </cfRule>
    <cfRule type="cellIs" dxfId="1771" priority="131" operator="equal">
      <formula>"ORA"</formula>
    </cfRule>
    <cfRule type="cellIs" dxfId="1770" priority="132" operator="equal">
      <formula>"GRA"</formula>
    </cfRule>
    <cfRule type="cellIs" dxfId="1769" priority="133" operator="equal">
      <formula>"PUR"</formula>
    </cfRule>
    <cfRule type="cellIs" dxfId="1768" priority="134" operator="equal">
      <formula>"BRO"</formula>
    </cfRule>
    <cfRule type="cellIs" dxfId="1767" priority="135" operator="equal">
      <formula>"YEL"</formula>
    </cfRule>
    <cfRule type="cellIs" dxfId="1766" priority="136" operator="equal">
      <formula>"BLU"</formula>
    </cfRule>
    <cfRule type="cellIs" dxfId="1765" priority="137" operator="equal">
      <formula>"WHI"</formula>
    </cfRule>
    <cfRule type="cellIs" dxfId="1764" priority="138" operator="equal">
      <formula>"GRE"</formula>
    </cfRule>
    <cfRule type="cellIs" dxfId="1763" priority="139" operator="equal">
      <formula>"RED"</formula>
    </cfRule>
    <cfRule type="cellIs" dxfId="1762" priority="140" operator="equal">
      <formula>"BLA"</formula>
    </cfRule>
  </conditionalFormatting>
  <conditionalFormatting sqref="BZ12:CA12 CD12:CF12">
    <cfRule type="cellIs" dxfId="1761" priority="117" operator="greaterThan">
      <formula>0</formula>
    </cfRule>
  </conditionalFormatting>
  <conditionalFormatting sqref="IC12:IK12">
    <cfRule type="expression" dxfId="1760" priority="118">
      <formula>$IL12&gt;0</formula>
    </cfRule>
  </conditionalFormatting>
  <conditionalFormatting sqref="S12">
    <cfRule type="colorScale" priority="142">
      <colorScale>
        <cfvo type="min"/>
        <cfvo type="max"/>
        <color rgb="FFFCFCFF"/>
        <color rgb="FF754BFB"/>
      </colorScale>
    </cfRule>
  </conditionalFormatting>
  <conditionalFormatting sqref="AT12">
    <cfRule type="colorScale" priority="143">
      <colorScale>
        <cfvo type="min"/>
        <cfvo type="max"/>
        <color rgb="FFFCFCFF"/>
        <color theme="8" tint="0.39997558519241921"/>
      </colorScale>
    </cfRule>
  </conditionalFormatting>
  <conditionalFormatting sqref="CG12">
    <cfRule type="colorScale" priority="144">
      <colorScale>
        <cfvo type="min"/>
        <cfvo type="max"/>
        <color rgb="FFFCFCFF"/>
        <color rgb="FF63BE7B"/>
      </colorScale>
    </cfRule>
  </conditionalFormatting>
  <conditionalFormatting sqref="J12">
    <cfRule type="colorScale" priority="109">
      <colorScale>
        <cfvo type="min"/>
        <cfvo type="percentile" val="50"/>
        <cfvo type="max"/>
        <color rgb="FFF8696B"/>
        <color rgb="FFFFEB84"/>
        <color rgb="FF63BE7B"/>
      </colorScale>
    </cfRule>
  </conditionalFormatting>
  <conditionalFormatting sqref="H13">
    <cfRule type="cellIs" dxfId="1759" priority="78" stopIfTrue="1" operator="notEqual">
      <formula>""</formula>
    </cfRule>
  </conditionalFormatting>
  <conditionalFormatting sqref="R13 CU13">
    <cfRule type="cellIs" dxfId="1758" priority="80" operator="greaterThan">
      <formula>0</formula>
    </cfRule>
  </conditionalFormatting>
  <conditionalFormatting sqref="T13:AS13 CH13:CS13">
    <cfRule type="cellIs" dxfId="1757" priority="75" stopIfTrue="1" operator="equal">
      <formula>"n"</formula>
    </cfRule>
    <cfRule type="cellIs" dxfId="1756" priority="76" stopIfTrue="1" operator="equal">
      <formula>"y"</formula>
    </cfRule>
    <cfRule type="cellIs" dxfId="1755" priority="77" operator="greaterThan">
      <formula>0</formula>
    </cfRule>
  </conditionalFormatting>
  <conditionalFormatting sqref="AZ13:BB13">
    <cfRule type="expression" dxfId="1754" priority="74">
      <formula>$AT13=0</formula>
    </cfRule>
  </conditionalFormatting>
  <conditionalFormatting sqref="AZ13:BU13">
    <cfRule type="cellIs" dxfId="1753" priority="83" operator="equal">
      <formula>"PIN"</formula>
    </cfRule>
    <cfRule type="cellIs" dxfId="1752" priority="84" operator="equal">
      <formula>"ORA"</formula>
    </cfRule>
    <cfRule type="cellIs" dxfId="1751" priority="85" operator="equal">
      <formula>"GRA"</formula>
    </cfRule>
    <cfRule type="cellIs" dxfId="1750" priority="86" operator="equal">
      <formula>"PUR"</formula>
    </cfRule>
    <cfRule type="cellIs" dxfId="1749" priority="87" operator="equal">
      <formula>"BRO"</formula>
    </cfRule>
    <cfRule type="cellIs" dxfId="1748" priority="88" operator="equal">
      <formula>"YEL"</formula>
    </cfRule>
    <cfRule type="cellIs" dxfId="1747" priority="89" operator="equal">
      <formula>"BLU"</formula>
    </cfRule>
    <cfRule type="cellIs" dxfId="1746" priority="90" operator="equal">
      <formula>"WHI"</formula>
    </cfRule>
    <cfRule type="cellIs" dxfId="1745" priority="91" operator="equal">
      <formula>"GRE"</formula>
    </cfRule>
    <cfRule type="cellIs" dxfId="1744" priority="92" operator="equal">
      <formula>"RED"</formula>
    </cfRule>
    <cfRule type="cellIs" dxfId="1743" priority="93" operator="equal">
      <formula>"BLA"</formula>
    </cfRule>
  </conditionalFormatting>
  <conditionalFormatting sqref="BV13:BW13">
    <cfRule type="cellIs" dxfId="1742" priority="105" operator="equal">
      <formula>"nc"</formula>
    </cfRule>
  </conditionalFormatting>
  <conditionalFormatting sqref="BX13:CA13 CD13:CF13">
    <cfRule type="cellIs" dxfId="1741" priority="79" operator="equal">
      <formula>"y"</formula>
    </cfRule>
    <cfRule type="cellIs" dxfId="1740" priority="94" operator="equal">
      <formula>"PIN"</formula>
    </cfRule>
    <cfRule type="cellIs" dxfId="1739" priority="95" operator="equal">
      <formula>"ORA"</formula>
    </cfRule>
    <cfRule type="cellIs" dxfId="1738" priority="96" operator="equal">
      <formula>"GRA"</formula>
    </cfRule>
    <cfRule type="cellIs" dxfId="1737" priority="97" operator="equal">
      <formula>"PUR"</formula>
    </cfRule>
    <cfRule type="cellIs" dxfId="1736" priority="98" operator="equal">
      <formula>"BRO"</formula>
    </cfRule>
    <cfRule type="cellIs" dxfId="1735" priority="99" operator="equal">
      <formula>"YEL"</formula>
    </cfRule>
    <cfRule type="cellIs" dxfId="1734" priority="100" operator="equal">
      <formula>"BLU"</formula>
    </cfRule>
    <cfRule type="cellIs" dxfId="1733" priority="101" operator="equal">
      <formula>"WHI"</formula>
    </cfRule>
    <cfRule type="cellIs" dxfId="1732" priority="102" operator="equal">
      <formula>"GRE"</formula>
    </cfRule>
    <cfRule type="cellIs" dxfId="1731" priority="103" operator="equal">
      <formula>"RED"</formula>
    </cfRule>
    <cfRule type="cellIs" dxfId="1730" priority="104" operator="equal">
      <formula>"BLA"</formula>
    </cfRule>
  </conditionalFormatting>
  <conditionalFormatting sqref="BZ13:CA13 CD13:CF13">
    <cfRule type="cellIs" dxfId="1729" priority="81" operator="greaterThan">
      <formula>0</formula>
    </cfRule>
  </conditionalFormatting>
  <conditionalFormatting sqref="IC13:IK13">
    <cfRule type="expression" dxfId="1728" priority="82">
      <formula>$IL13&gt;0</formula>
    </cfRule>
  </conditionalFormatting>
  <conditionalFormatting sqref="S13">
    <cfRule type="colorScale" priority="106">
      <colorScale>
        <cfvo type="min"/>
        <cfvo type="max"/>
        <color rgb="FFFCFCFF"/>
        <color rgb="FF754BFB"/>
      </colorScale>
    </cfRule>
  </conditionalFormatting>
  <conditionalFormatting sqref="AT13">
    <cfRule type="colorScale" priority="107">
      <colorScale>
        <cfvo type="min"/>
        <cfvo type="max"/>
        <color rgb="FFFCFCFF"/>
        <color theme="8" tint="0.39997558519241921"/>
      </colorScale>
    </cfRule>
  </conditionalFormatting>
  <conditionalFormatting sqref="CG13">
    <cfRule type="colorScale" priority="108">
      <colorScale>
        <cfvo type="min"/>
        <cfvo type="max"/>
        <color rgb="FFFCFCFF"/>
        <color rgb="FF63BE7B"/>
      </colorScale>
    </cfRule>
  </conditionalFormatting>
  <conditionalFormatting sqref="J13">
    <cfRule type="colorScale" priority="73">
      <colorScale>
        <cfvo type="min"/>
        <cfvo type="percentile" val="50"/>
        <cfvo type="max"/>
        <color rgb="FFF8696B"/>
        <color rgb="FFFFEB84"/>
        <color rgb="FF63BE7B"/>
      </colorScale>
    </cfRule>
  </conditionalFormatting>
  <conditionalFormatting sqref="H14">
    <cfRule type="cellIs" dxfId="191" priority="41" stopIfTrue="1" operator="notEqual">
      <formula>""</formula>
    </cfRule>
  </conditionalFormatting>
  <conditionalFormatting sqref="R14 CU14">
    <cfRule type="cellIs" dxfId="190" priority="43" operator="greaterThan">
      <formula>0</formula>
    </cfRule>
  </conditionalFormatting>
  <conditionalFormatting sqref="T14:AS14 CH14:CS14">
    <cfRule type="cellIs" dxfId="189" priority="38" stopIfTrue="1" operator="equal">
      <formula>"n"</formula>
    </cfRule>
    <cfRule type="cellIs" dxfId="188" priority="39" stopIfTrue="1" operator="equal">
      <formula>"y"</formula>
    </cfRule>
    <cfRule type="cellIs" dxfId="187" priority="40" operator="greaterThan">
      <formula>0</formula>
    </cfRule>
  </conditionalFormatting>
  <conditionalFormatting sqref="AZ14:BB14">
    <cfRule type="expression" dxfId="186" priority="37">
      <formula>$AT14=0</formula>
    </cfRule>
  </conditionalFormatting>
  <conditionalFormatting sqref="AZ14:BU14">
    <cfRule type="cellIs" dxfId="185" priority="46" operator="equal">
      <formula>"PIN"</formula>
    </cfRule>
    <cfRule type="cellIs" dxfId="184" priority="47" operator="equal">
      <formula>"ORA"</formula>
    </cfRule>
    <cfRule type="cellIs" dxfId="183" priority="48" operator="equal">
      <formula>"GRA"</formula>
    </cfRule>
    <cfRule type="cellIs" dxfId="182" priority="49" operator="equal">
      <formula>"PUR"</formula>
    </cfRule>
    <cfRule type="cellIs" dxfId="181" priority="50" operator="equal">
      <formula>"BRO"</formula>
    </cfRule>
    <cfRule type="cellIs" dxfId="180" priority="51" operator="equal">
      <formula>"YEL"</formula>
    </cfRule>
    <cfRule type="cellIs" dxfId="179" priority="52" operator="equal">
      <formula>"BLU"</formula>
    </cfRule>
    <cfRule type="cellIs" dxfId="178" priority="53" operator="equal">
      <formula>"WHI"</formula>
    </cfRule>
    <cfRule type="cellIs" dxfId="177" priority="54" operator="equal">
      <formula>"GRE"</formula>
    </cfRule>
    <cfRule type="cellIs" dxfId="176" priority="55" operator="equal">
      <formula>"RED"</formula>
    </cfRule>
    <cfRule type="cellIs" dxfId="175" priority="56" operator="equal">
      <formula>"BLA"</formula>
    </cfRule>
  </conditionalFormatting>
  <conditionalFormatting sqref="BV14">
    <cfRule type="cellIs" dxfId="174" priority="68" operator="equal">
      <formula>"nc"</formula>
    </cfRule>
  </conditionalFormatting>
  <conditionalFormatting sqref="BX14:CA14 CD14:CF14">
    <cfRule type="cellIs" dxfId="173" priority="42" operator="equal">
      <formula>"y"</formula>
    </cfRule>
    <cfRule type="cellIs" dxfId="172" priority="57" operator="equal">
      <formula>"PIN"</formula>
    </cfRule>
    <cfRule type="cellIs" dxfId="171" priority="58" operator="equal">
      <formula>"ORA"</formula>
    </cfRule>
    <cfRule type="cellIs" dxfId="170" priority="59" operator="equal">
      <formula>"GRA"</formula>
    </cfRule>
    <cfRule type="cellIs" dxfId="169" priority="60" operator="equal">
      <formula>"PUR"</formula>
    </cfRule>
    <cfRule type="cellIs" dxfId="168" priority="61" operator="equal">
      <formula>"BRO"</formula>
    </cfRule>
    <cfRule type="cellIs" dxfId="167" priority="62" operator="equal">
      <formula>"YEL"</formula>
    </cfRule>
    <cfRule type="cellIs" dxfId="166" priority="63" operator="equal">
      <formula>"BLU"</formula>
    </cfRule>
    <cfRule type="cellIs" dxfId="165" priority="64" operator="equal">
      <formula>"WHI"</formula>
    </cfRule>
    <cfRule type="cellIs" dxfId="164" priority="65" operator="equal">
      <formula>"GRE"</formula>
    </cfRule>
    <cfRule type="cellIs" dxfId="163" priority="66" operator="equal">
      <formula>"RED"</formula>
    </cfRule>
    <cfRule type="cellIs" dxfId="162" priority="67" operator="equal">
      <formula>"BLA"</formula>
    </cfRule>
  </conditionalFormatting>
  <conditionalFormatting sqref="BZ14:CA14 CD14:CF14">
    <cfRule type="cellIs" dxfId="161" priority="44" operator="greaterThan">
      <formula>0</formula>
    </cfRule>
  </conditionalFormatting>
  <conditionalFormatting sqref="IC14:IK14">
    <cfRule type="expression" dxfId="160" priority="45">
      <formula>$IL14&gt;0</formula>
    </cfRule>
  </conditionalFormatting>
  <conditionalFormatting sqref="J14">
    <cfRule type="colorScale" priority="69">
      <colorScale>
        <cfvo type="min"/>
        <cfvo type="percentile" val="50"/>
        <cfvo type="max"/>
        <color rgb="FFF8696B"/>
        <color rgb="FFFFEB84"/>
        <color rgb="FF63BE7B"/>
      </colorScale>
    </cfRule>
  </conditionalFormatting>
  <conditionalFormatting sqref="S14">
    <cfRule type="colorScale" priority="70">
      <colorScale>
        <cfvo type="min"/>
        <cfvo type="max"/>
        <color rgb="FFFCFCFF"/>
        <color rgb="FF754BFB"/>
      </colorScale>
    </cfRule>
  </conditionalFormatting>
  <conditionalFormatting sqref="AT14">
    <cfRule type="colorScale" priority="71">
      <colorScale>
        <cfvo type="min"/>
        <cfvo type="max"/>
        <color rgb="FFFCFCFF"/>
        <color theme="8" tint="0.39997558519241921"/>
      </colorScale>
    </cfRule>
  </conditionalFormatting>
  <conditionalFormatting sqref="CG14">
    <cfRule type="colorScale" priority="72">
      <colorScale>
        <cfvo type="min"/>
        <cfvo type="max"/>
        <color rgb="FFFCFCFF"/>
        <color rgb="FF63BE7B"/>
      </colorScale>
    </cfRule>
  </conditionalFormatting>
  <conditionalFormatting sqref="H15">
    <cfRule type="cellIs" dxfId="159" priority="5" stopIfTrue="1" operator="notEqual">
      <formula>""</formula>
    </cfRule>
  </conditionalFormatting>
  <conditionalFormatting sqref="R15 CU15">
    <cfRule type="cellIs" dxfId="158" priority="7" operator="greaterThan">
      <formula>0</formula>
    </cfRule>
  </conditionalFormatting>
  <conditionalFormatting sqref="T15:AS15 CH15:CS15">
    <cfRule type="cellIs" dxfId="157" priority="2" stopIfTrue="1" operator="equal">
      <formula>"n"</formula>
    </cfRule>
    <cfRule type="cellIs" dxfId="156" priority="3" stopIfTrue="1" operator="equal">
      <formula>"y"</formula>
    </cfRule>
    <cfRule type="cellIs" dxfId="155" priority="4" operator="greaterThan">
      <formula>0</formula>
    </cfRule>
  </conditionalFormatting>
  <conditionalFormatting sqref="AZ15:BB15">
    <cfRule type="expression" dxfId="154" priority="1">
      <formula>$AT15=0</formula>
    </cfRule>
  </conditionalFormatting>
  <conditionalFormatting sqref="AZ15:BU15">
    <cfRule type="cellIs" dxfId="153" priority="10" operator="equal">
      <formula>"PIN"</formula>
    </cfRule>
    <cfRule type="cellIs" dxfId="152" priority="11" operator="equal">
      <formula>"ORA"</formula>
    </cfRule>
    <cfRule type="cellIs" dxfId="151" priority="12" operator="equal">
      <formula>"GRA"</formula>
    </cfRule>
    <cfRule type="cellIs" dxfId="150" priority="13" operator="equal">
      <formula>"PUR"</formula>
    </cfRule>
    <cfRule type="cellIs" dxfId="149" priority="14" operator="equal">
      <formula>"BRO"</formula>
    </cfRule>
    <cfRule type="cellIs" dxfId="148" priority="15" operator="equal">
      <formula>"YEL"</formula>
    </cfRule>
    <cfRule type="cellIs" dxfId="147" priority="16" operator="equal">
      <formula>"BLU"</formula>
    </cfRule>
    <cfRule type="cellIs" dxfId="146" priority="17" operator="equal">
      <formula>"WHI"</formula>
    </cfRule>
    <cfRule type="cellIs" dxfId="145" priority="18" operator="equal">
      <formula>"GRE"</formula>
    </cfRule>
    <cfRule type="cellIs" dxfId="144" priority="19" operator="equal">
      <formula>"RED"</formula>
    </cfRule>
    <cfRule type="cellIs" dxfId="143" priority="20" operator="equal">
      <formula>"BLA"</formula>
    </cfRule>
  </conditionalFormatting>
  <conditionalFormatting sqref="BV15">
    <cfRule type="cellIs" dxfId="142" priority="32" operator="equal">
      <formula>"nc"</formula>
    </cfRule>
  </conditionalFormatting>
  <conditionalFormatting sqref="BX15:CA15 CD15:CF15">
    <cfRule type="cellIs" dxfId="141" priority="6" operator="equal">
      <formula>"y"</formula>
    </cfRule>
    <cfRule type="cellIs" dxfId="140" priority="21" operator="equal">
      <formula>"PIN"</formula>
    </cfRule>
    <cfRule type="cellIs" dxfId="139" priority="22" operator="equal">
      <formula>"ORA"</formula>
    </cfRule>
    <cfRule type="cellIs" dxfId="138" priority="23" operator="equal">
      <formula>"GRA"</formula>
    </cfRule>
    <cfRule type="cellIs" dxfId="137" priority="24" operator="equal">
      <formula>"PUR"</formula>
    </cfRule>
    <cfRule type="cellIs" dxfId="136" priority="25" operator="equal">
      <formula>"BRO"</formula>
    </cfRule>
    <cfRule type="cellIs" dxfId="135" priority="26" operator="equal">
      <formula>"YEL"</formula>
    </cfRule>
    <cfRule type="cellIs" dxfId="134" priority="27" operator="equal">
      <formula>"BLU"</formula>
    </cfRule>
    <cfRule type="cellIs" dxfId="133" priority="28" operator="equal">
      <formula>"WHI"</formula>
    </cfRule>
    <cfRule type="cellIs" dxfId="132" priority="29" operator="equal">
      <formula>"GRE"</formula>
    </cfRule>
    <cfRule type="cellIs" dxfId="131" priority="30" operator="equal">
      <formula>"RED"</formula>
    </cfRule>
    <cfRule type="cellIs" dxfId="130" priority="31" operator="equal">
      <formula>"BLA"</formula>
    </cfRule>
  </conditionalFormatting>
  <conditionalFormatting sqref="BZ15:CA15 CD15:CF15">
    <cfRule type="cellIs" dxfId="129" priority="8" operator="greaterThan">
      <formula>0</formula>
    </cfRule>
  </conditionalFormatting>
  <conditionalFormatting sqref="IC15:IK15">
    <cfRule type="expression" dxfId="128" priority="9">
      <formula>$IL15&gt;0</formula>
    </cfRule>
  </conditionalFormatting>
  <conditionalFormatting sqref="J15">
    <cfRule type="colorScale" priority="33">
      <colorScale>
        <cfvo type="min"/>
        <cfvo type="percentile" val="50"/>
        <cfvo type="max"/>
        <color rgb="FFF8696B"/>
        <color rgb="FFFFEB84"/>
        <color rgb="FF63BE7B"/>
      </colorScale>
    </cfRule>
  </conditionalFormatting>
  <conditionalFormatting sqref="S15">
    <cfRule type="colorScale" priority="34">
      <colorScale>
        <cfvo type="min"/>
        <cfvo type="max"/>
        <color rgb="FFFCFCFF"/>
        <color rgb="FF754BFB"/>
      </colorScale>
    </cfRule>
  </conditionalFormatting>
  <conditionalFormatting sqref="AT15">
    <cfRule type="colorScale" priority="35">
      <colorScale>
        <cfvo type="min"/>
        <cfvo type="max"/>
        <color rgb="FFFCFCFF"/>
        <color theme="8" tint="0.39997558519241921"/>
      </colorScale>
    </cfRule>
  </conditionalFormatting>
  <conditionalFormatting sqref="CG15">
    <cfRule type="colorScale" priority="36">
      <colorScale>
        <cfvo type="min"/>
        <cfvo type="max"/>
        <color rgb="FFFCFCFF"/>
        <color rgb="FF63BE7B"/>
      </colorScale>
    </cfRule>
  </conditionalFormatting>
  <hyperlinks>
    <hyperlink ref="A2" r:id="rId1" display="https://fbref.com/en/country/CHI/Chile-Football" xr:uid="{97C7D870-1F0B-408C-B1BC-86579686A751}"/>
    <hyperlink ref="I3" r:id="rId2" location="about " xr:uid="{128B740D-9A72-4273-9CDC-25A3456DAD25}"/>
    <hyperlink ref="I4" r:id="rId3" xr:uid="{81EC8CA1-40EC-4F02-A7D0-BC0D36EE8E69}"/>
    <hyperlink ref="D10" r:id="rId4" xr:uid="{7A5C52A8-3C8D-4529-8C27-F9490ACF7BC8}"/>
    <hyperlink ref="I12" r:id="rId5" xr:uid="{7A40969E-08F8-4E94-8E68-0C25EEE376F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6E892-69FF-4486-A725-359DD7022E50}">
  <dimension ref="A1:IY5"/>
  <sheetViews>
    <sheetView zoomScale="70" zoomScaleNormal="70" workbookViewId="0">
      <selection activeCell="A5" sqref="A5:XFD5"/>
    </sheetView>
  </sheetViews>
  <sheetFormatPr defaultRowHeight="14.4" x14ac:dyDescent="0.3"/>
  <cols>
    <col min="1" max="1" width="24.33203125" customWidth="1"/>
    <col min="2" max="2" width="10.109375" customWidth="1"/>
    <col min="3" max="3" width="9" bestFit="1" customWidth="1"/>
    <col min="7" max="7" width="9" bestFit="1" customWidth="1"/>
    <col min="11" max="11" width="9.88671875" bestFit="1" customWidth="1"/>
    <col min="12" max="12" width="9" bestFit="1" customWidth="1"/>
    <col min="17" max="17" width="9" bestFit="1" customWidth="1"/>
    <col min="19" max="19" width="9" bestFit="1"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196</v>
      </c>
      <c r="B2" s="40" t="e" vm="70">
        <v>#VALUE!</v>
      </c>
      <c r="C2" s="41">
        <v>1</v>
      </c>
      <c r="D2" s="42" t="s">
        <v>197</v>
      </c>
      <c r="E2" s="43" t="s">
        <v>198</v>
      </c>
      <c r="F2" s="44" t="s">
        <v>166</v>
      </c>
      <c r="G2" s="45">
        <f>COUNTIF($A$1:$A$8282,A2)</f>
        <v>1</v>
      </c>
      <c r="H2" s="46"/>
      <c r="I2" s="47" t="s">
        <v>199</v>
      </c>
      <c r="J2" s="48" t="str">
        <f>""</f>
        <v/>
      </c>
      <c r="K2" s="49">
        <v>52085168</v>
      </c>
      <c r="L2" s="50">
        <v>5869869</v>
      </c>
      <c r="M2" s="50" t="s">
        <v>200</v>
      </c>
      <c r="N2" s="51" t="s">
        <v>169</v>
      </c>
      <c r="O2" s="52" t="s">
        <v>201</v>
      </c>
      <c r="P2" s="53" t="s">
        <v>202</v>
      </c>
      <c r="Q2" s="54">
        <v>1</v>
      </c>
      <c r="R2" s="55" t="s">
        <v>169</v>
      </c>
      <c r="S2" s="56">
        <v>3</v>
      </c>
      <c r="T2" s="57" t="s">
        <v>172</v>
      </c>
      <c r="U2" s="58" t="s">
        <v>172</v>
      </c>
      <c r="V2" s="58" t="s">
        <v>173</v>
      </c>
      <c r="W2" s="58" t="s">
        <v>172</v>
      </c>
      <c r="X2" s="58" t="s">
        <v>172</v>
      </c>
      <c r="Y2" s="58" t="s">
        <v>172</v>
      </c>
      <c r="Z2" s="58" t="s">
        <v>172</v>
      </c>
      <c r="AA2" s="58" t="s">
        <v>172</v>
      </c>
      <c r="AB2" s="58" t="s">
        <v>172</v>
      </c>
      <c r="AC2" s="58" t="s">
        <v>172</v>
      </c>
      <c r="AD2" s="58" t="s">
        <v>172</v>
      </c>
      <c r="AE2" s="58" t="s">
        <v>172</v>
      </c>
      <c r="AF2" s="59" t="s">
        <v>172</v>
      </c>
      <c r="AG2" s="59" t="s">
        <v>173</v>
      </c>
      <c r="AH2" s="59" t="s">
        <v>172</v>
      </c>
      <c r="AI2" s="59" t="s">
        <v>172</v>
      </c>
      <c r="AJ2" s="59" t="s">
        <v>172</v>
      </c>
      <c r="AK2" s="59" t="s">
        <v>173</v>
      </c>
      <c r="AL2" s="59" t="s">
        <v>172</v>
      </c>
      <c r="AM2" s="59" t="s">
        <v>172</v>
      </c>
      <c r="AN2" s="59" t="s">
        <v>172</v>
      </c>
      <c r="AO2" s="59" t="s">
        <v>172</v>
      </c>
      <c r="AP2" s="59" t="s">
        <v>172</v>
      </c>
      <c r="AQ2" s="59" t="s">
        <v>172</v>
      </c>
      <c r="AR2" s="59" t="s">
        <v>172</v>
      </c>
      <c r="AS2" s="59" t="s">
        <v>172</v>
      </c>
      <c r="AT2" s="60">
        <v>0</v>
      </c>
      <c r="AU2" s="59"/>
      <c r="AV2" s="59" t="str">
        <f>IF(LEFT(A2,1)="[",LEFT(A2,5)&amp;AU2&amp;A2,"")</f>
        <v/>
      </c>
      <c r="AW2" s="59" t="str">
        <f>C2&amp;A2</f>
        <v>1Colombia</v>
      </c>
      <c r="AX2" s="61"/>
      <c r="AY2" s="61"/>
      <c r="AZ2" s="62" t="s">
        <v>174</v>
      </c>
      <c r="BA2" s="62"/>
      <c r="BB2" s="62"/>
      <c r="BC2" s="63"/>
      <c r="BD2" s="64" t="s">
        <v>152</v>
      </c>
      <c r="BE2" s="47"/>
      <c r="BF2" s="64" t="s">
        <v>174</v>
      </c>
      <c r="BG2" s="64" t="s">
        <v>174</v>
      </c>
      <c r="BH2" s="64" t="s">
        <v>174</v>
      </c>
      <c r="BI2" s="64"/>
      <c r="BJ2" s="64"/>
      <c r="BK2" s="47"/>
      <c r="BL2" s="64" t="s">
        <v>151</v>
      </c>
      <c r="BM2" s="64" t="s">
        <v>152</v>
      </c>
      <c r="BN2" s="64" t="s">
        <v>174</v>
      </c>
      <c r="BO2" s="64" t="s">
        <v>154</v>
      </c>
      <c r="BP2" s="64" t="s">
        <v>155</v>
      </c>
      <c r="BQ2" s="64" t="s">
        <v>174</v>
      </c>
      <c r="BR2" s="64" t="s">
        <v>174</v>
      </c>
      <c r="BS2" s="64" t="s">
        <v>174</v>
      </c>
      <c r="BT2" s="64" t="s">
        <v>159</v>
      </c>
      <c r="BU2" s="65" t="s">
        <v>173</v>
      </c>
      <c r="BV2" s="66"/>
      <c r="BW2" s="66">
        <v>0</v>
      </c>
      <c r="BX2" s="47"/>
      <c r="CB2" s="6"/>
      <c r="CC2" s="6"/>
      <c r="CD2" s="67">
        <v>0</v>
      </c>
      <c r="CE2" s="67">
        <v>0</v>
      </c>
      <c r="CF2" s="67" t="e">
        <v>#REF!</v>
      </c>
      <c r="CG2" s="68" cm="1">
        <f t="array" ref="CG2">SUMPRODUCT(--(LEN(TRIM(BL2:BT2))&gt;0))</f>
        <v>5</v>
      </c>
      <c r="CH2" s="59" t="str">
        <f t="shared" ref="CH2" si="0">IF(CG2=2,"y","n")</f>
        <v>n</v>
      </c>
      <c r="CI2" s="59" t="str">
        <f t="shared" ref="CI2" si="1">IF(CG2=3,"y","n")</f>
        <v>n</v>
      </c>
      <c r="CJ2" s="59" t="str">
        <f t="shared" ref="CJ2" si="2">IF(CG2=4,"y","n")</f>
        <v>n</v>
      </c>
      <c r="CK2" s="59" t="str">
        <f t="shared" ref="CK2" si="3">IF(CG2&gt;4,"y","n")</f>
        <v>y</v>
      </c>
      <c r="CL2" s="59" t="str">
        <f t="shared" ref="CL2" si="4">IF(S2=0,"y","n")</f>
        <v>n</v>
      </c>
      <c r="CM2" s="59" t="str">
        <f t="shared" ref="CM2" si="5">IF(S2=2,"y","n")</f>
        <v>n</v>
      </c>
      <c r="CN2" s="59" t="str">
        <f t="shared" ref="CN2" si="6">IF(S2=3,"y","n")</f>
        <v>y</v>
      </c>
      <c r="CO2" s="59" t="str">
        <f t="shared" ref="CO2" si="7">IF(S2&gt;=4,"y","n")</f>
        <v>n</v>
      </c>
      <c r="CP2" s="59" t="str">
        <f t="shared" ref="CP2" si="8">IF(AT2=0,"y","n")</f>
        <v>y</v>
      </c>
      <c r="CQ2" s="59" t="str">
        <f t="shared" ref="CQ2" si="9">IF(AT2=1,"y","n")</f>
        <v>n</v>
      </c>
      <c r="CR2" s="59" t="str">
        <f t="shared" ref="CR2" si="10">IF(AT2=2,"y","n")</f>
        <v>n</v>
      </c>
      <c r="CS2" s="59" t="str">
        <f t="shared" ref="CS2" si="11">IF(AT2&gt;=3,"y","n")</f>
        <v>n</v>
      </c>
      <c r="CT2" s="69" t="str">
        <f t="shared" ref="CT2" si="12">CHAR(34)&amp;A2&amp;CHAR(34)</f>
        <v>"Colombia"</v>
      </c>
      <c r="CU2" s="70" t="str">
        <f t="shared" ref="CU2" si="13">CHAR(34)&amp;"rgn_"&amp;R2&amp;CHAR(34)</f>
        <v>"rgn_South America"</v>
      </c>
      <c r="CV2" s="48" t="str">
        <f t="shared" ref="CV2" si="14">CHAR(34)&amp;D2&amp;CHAR(34)</f>
        <v>"https://i.ibb.co/xj0RpQG/Colombia-Flag.png"</v>
      </c>
      <c r="CW2" s="48" t="str">
        <f t="shared" ref="CW2:CZ5" si="15">IF(CH2="y",CHAR(34)&amp;CH$1&amp;CHAR(34)&amp;",","")</f>
        <v/>
      </c>
      <c r="CX2" s="48" t="str">
        <f t="shared" si="15"/>
        <v/>
      </c>
      <c r="CY2" s="48" t="str">
        <f t="shared" si="15"/>
        <v/>
      </c>
      <c r="CZ2" s="48" t="str">
        <f t="shared" si="15"/>
        <v>"5+Colo",</v>
      </c>
      <c r="DA2" s="48" t="str">
        <f t="shared" ref="DA2" si="16">IF(Q2&gt;1,CHAR(34)&amp;"words2"&amp;CHAR(34)&amp;",","")</f>
        <v/>
      </c>
      <c r="DB2" s="48" t="str">
        <f t="shared" ref="DB2" si="17">IF(Q2&gt;2,CHAR(34)&amp;"words3"&amp;CHAR(34)&amp;",","")</f>
        <v/>
      </c>
      <c r="DC2" s="48" t="str">
        <f t="shared" ref="DC2" si="18">IF(Q2=2,CHAR(34)&amp;"exact2"&amp;CHAR(34)&amp;",","")</f>
        <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 t="shared" ref="DF2" si="21">IFERROR(IF(SEARCH("tan",A2)&gt;0,CHAR(34)&amp;"withtn"&amp;CHAR(34)&amp;",",""),"")</f>
        <v/>
      </c>
      <c r="DG2" s="48" t="str">
        <f t="shared" ref="DG2" si="22">IFERROR(IF(SEARCH("q",A2)&gt;0,CHAR(34)&amp;"with_q"&amp;CHAR(34)&amp;",",""),"")</f>
        <v/>
      </c>
      <c r="DH2" s="48" t="str">
        <f t="shared" ref="DH2" si="23">IFERROR(IF(SEARCH("v",A2)&gt;0,CHAR(34)&amp;"with_v"&amp;CHAR(34)&amp;",",""),"")</f>
        <v/>
      </c>
      <c r="DI2" s="48" t="str">
        <f t="shared" ref="DI2" si="24">IFERROR(IF(SEARCH("w",A2)&gt;0,CHAR(34)&amp;"with_w"&amp;CHAR(34)&amp;",",""),"")</f>
        <v/>
      </c>
      <c r="DJ2" s="48" t="str">
        <f t="shared" ref="DJ2" si="25">IFERROR(IF(SEARCH("y",A2)&gt;0,CHAR(34)&amp;"with_y"&amp;CHAR(34)&amp;",",""),"")</f>
        <v/>
      </c>
      <c r="DK2" s="48" t="str">
        <f t="shared" ref="DK2" si="26">IFERROR(IF(SEARCH("z",A2)&gt;0,CHAR(34)&amp;"with_z"&amp;CHAR(34)&amp;",",""),"")</f>
        <v/>
      </c>
      <c r="DL2" s="48" t="str">
        <f t="shared" ref="DL2" si="27">IF(CG2=2, CHAR(34) &amp; _xlfn.TEXTJOIN("", TRUE, _xlfn._xlws.SORT(HP2:HX2)) &amp; CHAR(34) &amp; ",", "")</f>
        <v/>
      </c>
      <c r="DM2" s="48" t="str" cm="1">
        <f t="array" ref="DM2">IF(CG2=3,CHAR(34) &amp; _xlfn.TEXTJOIN("", TRUE, RIGHT(HP2:HX2, 2)) &amp; CHAR(34) &amp; ",", "")</f>
        <v/>
      </c>
      <c r="DN2" s="48" t="str">
        <f t="shared" ref="DN2" si="28">IF(AND(ISNUMBER(SEARCH("18", O2)), ISERROR(SEARCH("1918", O2)), ISERROR(SEARCH("2018", O2))), CHAR(34) &amp; "year18" &amp; CHAR(34) &amp; ",", "")</f>
        <v>"year18",</v>
      </c>
      <c r="DO2" s="48" t="str">
        <f t="shared" ref="DO2" si="29">IF(AND(ISNUMBER(SEARCH("19", O2)), ISERROR(SEARCH("1819", O2)),  ISERROR(SEARCH("1219", O2)),ISERROR(SEARCH("1119", O2)),ISERROR(SEARCH("1190", O2)),ISERROR(SEARCH("2019", O2))), CHAR(34) &amp; "year19" &amp; CHAR(34) &amp; ",", "")</f>
        <v/>
      </c>
      <c r="DP2" s="6" t="str">
        <f t="shared" ref="DP2" si="30">IF(AND(ISNUMBER(SEARCH("20", O2)), ISERROR(SEARCH("1920", O2))), CHAR(34)&amp;"year00"&amp;CHAR(34)&amp;",", "")</f>
        <v/>
      </c>
      <c r="DQ2" s="6" t="str">
        <f t="shared" ref="DQ2" si="31">IF(CC2="y",CHAR(34)&amp;"soviet"&amp;CHAR(34)&amp;",","")</f>
        <v/>
      </c>
      <c r="DR2" s="6" t="str">
        <f t="shared" ref="DR2" si="32">IF(BY2="y",CHAR(34)&amp;"dgband"&amp;CHAR(34)&amp;",","")</f>
        <v/>
      </c>
      <c r="DS2" s="6" t="str">
        <f t="shared" ref="DS2" si="33">IF(W2="y",IF(AND(V2="n",BY2&lt;&gt;"y"),CHAR(34)&amp;"allver"&amp;CHAR(34)&amp;",",""),"")</f>
        <v/>
      </c>
      <c r="DT2" s="6" t="str">
        <f t="shared" ref="DT2" si="34">IF(V2="y",IF(AND(W2="n",BY2&lt;&gt;"y"),CHAR(34)&amp;"allhor"&amp;CHAR(34)&amp;",",""),"")</f>
        <v>"allhor",</v>
      </c>
      <c r="DU2" s="6" t="str">
        <f t="shared" ref="DU2" si="35">IF(BY2="y",IF(AND(W2="n",V2="n"),CHAR(34)&amp;"alldia"&amp;CHAR(34)&amp;",",""),"")</f>
        <v/>
      </c>
      <c r="DV2" s="48" t="str">
        <f t="shared" ref="DV2" si="36">IF(IA2&lt;&gt;"",(IF(IA2="y",CHAR(34)&amp;"largec"&amp;CHAR(34)&amp;",",CHAR(34)&amp;"smallc"&amp;CHAR(34)&amp;",")),"")</f>
        <v>"smallc",</v>
      </c>
      <c r="DW2" s="48" t="str">
        <f t="shared" ref="DW2:DZ5" si="37">IF(CL2="y",CHAR(34)&amp;CL$1&amp;CHAR(34)&amp;",","")</f>
        <v/>
      </c>
      <c r="DX2" s="48" t="str">
        <f t="shared" si="37"/>
        <v/>
      </c>
      <c r="DY2" s="48" t="str">
        <f t="shared" si="37"/>
        <v>"3Bands",</v>
      </c>
      <c r="DZ2" s="48" t="str">
        <f t="shared" si="37"/>
        <v/>
      </c>
      <c r="EA2" s="48" t="str">
        <f t="shared" ref="EA2:EE5" si="38">IF(T2="y",CHAR(34)&amp;T$1&amp;CHAR(34)&amp;",","")</f>
        <v/>
      </c>
      <c r="EB2" s="48" t="str">
        <f t="shared" si="38"/>
        <v/>
      </c>
      <c r="EC2" s="48" t="str">
        <f t="shared" si="38"/>
        <v>"Horizo",</v>
      </c>
      <c r="ED2" s="48" t="str">
        <f t="shared" si="38"/>
        <v/>
      </c>
      <c r="EE2" s="48" t="str">
        <f t="shared" si="38"/>
        <v/>
      </c>
      <c r="EF2" s="48" t="str">
        <f t="shared" ref="EF2" si="39">IF(AND(Y2&lt;&gt;"n",Y2&lt;&gt;""),CHAR(34)&amp;Y$1&amp;CHAR(34)&amp;",","")</f>
        <v/>
      </c>
      <c r="EG2" s="48" t="str">
        <f t="shared" ref="EG2:EZ5" si="40">IF(Z2="y",CHAR(34)&amp;Z$1&amp;CHAR(34)&amp;",","")</f>
        <v/>
      </c>
      <c r="EH2" s="48" t="str">
        <f t="shared" si="40"/>
        <v/>
      </c>
      <c r="EI2" s="48" t="str">
        <f t="shared" si="40"/>
        <v/>
      </c>
      <c r="EJ2" s="48" t="str">
        <f t="shared" si="40"/>
        <v/>
      </c>
      <c r="EK2" s="48" t="str">
        <f t="shared" si="40"/>
        <v/>
      </c>
      <c r="EL2" s="48" t="str">
        <f t="shared" si="40"/>
        <v/>
      </c>
      <c r="EM2" s="48" t="str">
        <f t="shared" si="40"/>
        <v/>
      </c>
      <c r="EN2" s="48" t="str">
        <f t="shared" si="40"/>
        <v>"Unequa",</v>
      </c>
      <c r="EO2" s="48" t="str">
        <f t="shared" si="40"/>
        <v/>
      </c>
      <c r="EP2" s="48" t="str">
        <f t="shared" si="40"/>
        <v/>
      </c>
      <c r="EQ2" s="48" t="str">
        <f t="shared" si="40"/>
        <v/>
      </c>
      <c r="ER2" s="48" t="str">
        <f t="shared" si="40"/>
        <v>"OnlyBa",</v>
      </c>
      <c r="ES2" s="48" t="str">
        <f t="shared" si="40"/>
        <v/>
      </c>
      <c r="ET2" s="48" t="str">
        <f t="shared" si="40"/>
        <v/>
      </c>
      <c r="EU2" s="48" t="str">
        <f t="shared" si="40"/>
        <v/>
      </c>
      <c r="EV2" s="48" t="str">
        <f t="shared" si="40"/>
        <v/>
      </c>
      <c r="EW2" s="48" t="str">
        <f t="shared" si="40"/>
        <v/>
      </c>
      <c r="EX2" s="48" t="str">
        <f t="shared" si="40"/>
        <v/>
      </c>
      <c r="EY2" s="48" t="str">
        <f t="shared" si="40"/>
        <v/>
      </c>
      <c r="EZ2" s="48" t="str">
        <f t="shared" si="40"/>
        <v/>
      </c>
      <c r="FA2" s="48" t="str">
        <f t="shared" ref="FA2" si="41">IF(AT2&gt;0,CHAR(34)&amp;"sta"&amp;AZ2&amp;CHAR(34)&amp;",","")</f>
        <v/>
      </c>
      <c r="FB2" s="48" t="str">
        <f t="shared" ref="FB2" si="42">IF(AND(AT2&gt;0,BA2&lt;&gt;""),CHAR(34)&amp;"sta"&amp;BA2&amp;CHAR(34)&amp;",","")</f>
        <v/>
      </c>
      <c r="FC2" s="48" t="str">
        <f t="shared" ref="FC2" si="43">IF(AND(AT2&gt;0,BB2&lt;&gt;""),CHAR(34)&amp;"sta"&amp;BB2&amp;CHAR(34)&amp;",","")</f>
        <v/>
      </c>
      <c r="FD2" s="48" t="str">
        <f t="shared" ref="FD2" si="44">IF(BV2="n",CHAR(34)&amp;"tcWHYE"&amp;CHAR(34)&amp;",",IF(BV2="y",CHAR(34)&amp;FD$1&amp;CHAR(34)&amp;",",""))</f>
        <v/>
      </c>
      <c r="FE2" s="48" t="str">
        <f t="shared" ref="FE2" si="45">IF(COUNTIF(BL2:BT2,"BLU")=0,CHAR(34)&amp;"NO_BLU"&amp;CHAR(34)&amp;",", "")</f>
        <v/>
      </c>
      <c r="FF2" s="48" t="str">
        <f t="shared" ref="FF2" si="46">IF(COUNTIF(BL2:BT2,"WHI")=0,CHAR(34)&amp;"NO_WHI"&amp;CHAR(34)&amp;",", "")</f>
        <v/>
      </c>
      <c r="FG2" s="48" t="str">
        <f t="shared" ref="FG2" si="47">IF(COUNTIF(BL2:BT2,"RED")=0,CHAR(34)&amp;"NO_RED"&amp;CHAR(34)&amp;",", "")</f>
        <v/>
      </c>
      <c r="FH2" s="48" t="str">
        <f t="shared" ref="FH2" si="48">IF(COUNTIF(BL2:BS2,"GRE")=0,CHAR(34)&amp;"NO_GRE"&amp;CHAR(34)&amp;",", "")</f>
        <v>"NO_GRE",</v>
      </c>
      <c r="FI2" s="48" t="str">
        <f t="shared" ref="FI2" si="49">IF(COUNTIF(BL2:BT2,"YEL")=0,CHAR(34)&amp;"NO_YEL"&amp;CHAR(34)&amp;",", "")</f>
        <v/>
      </c>
      <c r="FJ2" s="48" t="str">
        <f t="shared" ref="FJ2" si="50">IF(COUNTIF(BL2:BT2,"BLA")=0,CHAR(34)&amp;"NO_BLA"&amp;CHAR(34)&amp;",", "")</f>
        <v/>
      </c>
      <c r="FK2" s="48" t="str">
        <f t="shared" ref="FK2" si="51">IF(AND(FH2&lt;&gt;"",FF2&lt;&gt;""),CHAR(34)&amp;"WHGRNO"&amp;CHAR(34)&amp;",","")</f>
        <v/>
      </c>
      <c r="FL2" s="48" t="str">
        <f t="shared" ref="FL2" si="52">IF(AND(FI2&lt;&gt;"",FF2&lt;&gt;""),CHAR(34)&amp;"WHYENO"&amp;CHAR(34)&amp;",","")</f>
        <v/>
      </c>
      <c r="FM2" s="48" t="str">
        <f t="shared" ref="FM2" si="53">IF(AND(FJ2&lt;&gt;"",FF2&lt;&gt;""),CHAR(34)&amp;"BAWHNO"&amp;CHAR(34)&amp;",","")</f>
        <v/>
      </c>
      <c r="FN2" s="48" t="str">
        <f t="shared" ref="FN2" si="54">IF(AND(FE2&lt;&gt;"",FF2&lt;&gt;""),CHAR(34)&amp;"BLWHNO"&amp;CHAR(34)&amp;",","")</f>
        <v/>
      </c>
      <c r="FO2" s="48" t="str">
        <f t="shared" ref="FO2" si="55">IF(AND(FE2&lt;&gt;"",FG2&lt;&gt;""),CHAR(34)&amp;"BLRENO"&amp;CHAR(34)&amp;",","")</f>
        <v/>
      </c>
      <c r="FP2" s="48" t="str">
        <f t="shared" ref="FP2" si="56">IF(AND(FF2&lt;&gt;"",FF2&lt;&gt;""),CHAR(34)&amp;"WHRENO"&amp;CHAR(34)&amp;",","")</f>
        <v/>
      </c>
      <c r="FQ2" s="48" t="str">
        <f t="shared" ref="FQ2" si="57">IF(LEN(BF2)=3,CHAR(34)&amp;"001"&amp;BF2&amp;CHAR(34)&amp;",","")</f>
        <v/>
      </c>
      <c r="FR2" s="48" t="str">
        <f t="shared" ref="FR2" si="58">IF(LEN(BG2)=3,CHAR(34)&amp;"002"&amp;BG2&amp;CHAR(34)&amp;",","")</f>
        <v/>
      </c>
      <c r="FS2" s="48" t="str">
        <f t="shared" ref="FS2" si="59">IF(LEN(BH2)=3,CHAR(34)&amp;"003"&amp;BH2&amp;CHAR(34)&amp;",","")</f>
        <v/>
      </c>
      <c r="FT2" s="48" t="str">
        <f t="shared" ref="FT2" si="60">CHAR(34)&amp;"myr"&amp;BD2&amp;CHAR(34)&amp;","</f>
        <v>"myrBLU",</v>
      </c>
      <c r="FU2" s="48" t="str">
        <f t="shared" ref="FU2" si="61">IF(AY2="y",CHAR(34)&amp;"island"&amp;CHAR(34)&amp;",","")</f>
        <v/>
      </c>
      <c r="FV2" s="48" t="str">
        <f t="shared" ref="FV2" si="62">IF(BZ2="y",CHAR(34)&amp;"landlo"&amp;CHAR(34)&amp;",","")</f>
        <v/>
      </c>
      <c r="FW2" s="48" t="str">
        <f t="shared" ref="FW2" si="63">IF(CA2="y",CHAR(34)&amp;"eunion"&amp;CHAR(34)&amp;",","")</f>
        <v/>
      </c>
      <c r="FX2" s="48" t="str">
        <f t="shared" ref="FX2" si="64">SUBSTITUTE(IFERROR(SEARCH("[",A2),IFERROR(IF(AND(CA2&lt;&gt;"y",SEARCH("Europe",R2)&gt;0),CHAR(34)&amp;"noeuni"&amp;CHAR(34)&amp;",",""),"")),"1","")</f>
        <v/>
      </c>
      <c r="FY2" s="48" t="str">
        <f t="shared" ref="FY2" si="65">IFERROR(IF(SEARCH("Arabic",CB2)&gt;0,CHAR(34)&amp;"arabic"&amp;CHAR(34)&amp;",",""),"")</f>
        <v/>
      </c>
      <c r="FZ2" s="48" t="str">
        <f t="shared" ref="FZ2" si="66">IFERROR(IF(SEARCH("English",CB2)&gt;0,CHAR(34)&amp;"englis"&amp;CHAR(34)&amp;",",""),"")</f>
        <v/>
      </c>
      <c r="GA2" s="48" t="str">
        <f t="shared" ref="GA2" si="67">IFERROR(IF(SEARCH("French",CB2)&gt;0,CHAR(34)&amp;"french"&amp;CHAR(34)&amp;",",""),"")</f>
        <v/>
      </c>
      <c r="GB2" s="48" t="str">
        <f t="shared" ref="GB2"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GE3" si="71">IFERROR(IF(SEARCH("Dutch",CB2)&gt;0,CHAR(34)&amp;"dutchs"&amp;CHAR(34)&amp;",",""),"")</f>
        <v/>
      </c>
      <c r="GF2" s="48" t="str">
        <f t="shared" ref="GF2" si="72">IFERROR(IF(SEARCH("Historical",AU2)&gt;0,CHAR(34)&amp;"histor"&amp;CHAR(34)&amp;",",""),"")</f>
        <v/>
      </c>
      <c r="GG2" s="48" t="str">
        <f t="shared" ref="GG2:GG3" si="73">IF(BU2="y",CHAR(34)&amp;"unjack"&amp;CHAR(34)&amp;",","")</f>
        <v>"unjack",</v>
      </c>
      <c r="GH2" s="48" t="str">
        <f t="shared" ref="GH2:GH3" si="74">IF(CD2=1,CHAR(34)&amp;"southc"&amp;CHAR(34)&amp;",","")</f>
        <v/>
      </c>
      <c r="GI2" s="48" t="str">
        <f t="shared" ref="GI2:GI3" si="75">IF(CE2=1,CHAR(34)&amp;"hasmap"&amp;CHAR(34)&amp;",","")</f>
        <v/>
      </c>
      <c r="GJ2" s="48" t="str">
        <f t="shared" ref="GJ2" si="76">IF(CP2="y",CHAR(34)&amp;CP$1&amp;CHAR(34)&amp;",","")</f>
        <v>"NoStar",</v>
      </c>
      <c r="GK2" s="48" t="str">
        <f t="shared" ref="GK2" si="77">IF(GJ2="",CHAR(34)&amp;"HasSta"&amp;CHAR(34)&amp;",","")</f>
        <v/>
      </c>
      <c r="GL2" s="48" t="str">
        <f t="shared" ref="GL2:GN5" si="78">IF(CQ2="y",CHAR(34)&amp;CQ$1&amp;CHAR(34)&amp;",","")</f>
        <v/>
      </c>
      <c r="GM2" s="48" t="str">
        <f t="shared" si="78"/>
        <v/>
      </c>
      <c r="GN2" s="48" t="str">
        <f t="shared" si="78"/>
        <v/>
      </c>
      <c r="GP2" s="48" t="str">
        <f t="shared" ref="GP2" si="79">CHAR(34)&amp;AU2&amp;CHAR(34)</f>
        <v>""</v>
      </c>
      <c r="GS2" s="48" t="str">
        <f t="shared" ref="GS2" si="80">SUBSTITUTE("["&amp;_xlfn.CONCAT(CW2:GN2)&amp;"]",",]","]")</f>
        <v>["5+Colo","lets08","startC","year18","allhor","smallc","3Bands","Horizo","Unequa","OnlyBa","NO_GRE","myrBLU","unjack","NoStar"]</v>
      </c>
      <c r="GT2" s="48" t="str">
        <f t="shared" ref="GT2:HB5" si="81">IF(BL2&lt;&gt;"",CHAR(34)&amp;"cl_"&amp;BL2&amp;CHAR(34)&amp;",","")</f>
        <v>"cl_BLA",</v>
      </c>
      <c r="GU2" s="48" t="str">
        <f t="shared" si="81"/>
        <v>"cl_BLU",</v>
      </c>
      <c r="GV2" s="48" t="str">
        <f t="shared" si="81"/>
        <v/>
      </c>
      <c r="GW2" s="48" t="str">
        <f t="shared" si="81"/>
        <v>"cl_RED",</v>
      </c>
      <c r="GX2" s="48" t="str">
        <f t="shared" si="81"/>
        <v>"cl_YEL",</v>
      </c>
      <c r="GY2" s="48" t="str">
        <f t="shared" si="81"/>
        <v/>
      </c>
      <c r="GZ2" s="48" t="str">
        <f t="shared" si="81"/>
        <v/>
      </c>
      <c r="HA2" s="48" t="str">
        <f t="shared" si="81"/>
        <v/>
      </c>
      <c r="HB2" s="48" t="str">
        <f t="shared" si="81"/>
        <v>"cl_WHI",</v>
      </c>
      <c r="HC2" s="48" t="str">
        <f t="shared" ref="HC2" si="82">SUBSTITUTE("["&amp;_xlfn.CONCAT(GT2:HB2)&amp;"]",",]","]")</f>
        <v>["cl_BLA","cl_BLU","cl_RED","cl_YEL","cl_WHI"]</v>
      </c>
      <c r="HE2" s="71"/>
      <c r="HF2" s="72" t="str">
        <f t="shared" ref="HF2" si="83">"{couname:"&amp;CT2&amp;(IF(HK2&lt;&gt;"",",subtype:"&amp;CHAR(34)&amp;HK2&amp;CHAR(34),""))&amp;",year:"&amp;HJ2&amp;",region:"&amp;CU2&amp;",Colors:"&amp;HC2&amp;",Items:"&amp;GS2&amp;",Flag:"&amp;CV2&amp;",HDFlag:"&amp;CHAR(34)&amp;E2&amp;CHAR(34)&amp;",type:"&amp;GP2&amp;", describe: "&amp;HH2&amp;", isnew:"&amp;CHAR(34)&amp;F2&amp;CHAR(34)&amp;", links: "&amp;HL2&amp;"},"</f>
        <v>{couname:"Colombia",year:"1861 ",region:"rgn_South America",Colors:["cl_BLA","cl_BLU","cl_RED","cl_YEL","cl_WHI"],Items:["5+Colo","lets08","startC","year18","allhor","smallc","3Bands","Horizo","Unequa","OnlyBa","NO_GRE","myrBLU","unjack","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links: "https://en.wikipedia.org/wiki/Flag_of_Colombia"},</v>
      </c>
      <c r="HG2" s="73" t="str">
        <f t="shared" ref="HG2" si="84">"{couname:"&amp;CT2&amp;(IF(HK2&lt;&gt;"",",subtype:"&amp;CHAR(34)&amp;HK2&amp;CHAR(34),""))&amp;",year:"&amp;HJ2&amp;",region:"&amp;CU2&amp;",Colors:"&amp;HC2&amp;",Items:"&amp;GS2&amp;",Flag:"&amp;CV2&amp;",HDFlag:"&amp;CHAR(34)&amp;E2&amp;CHAR(34)&amp;",type:"&amp;GP2&amp;", describe: "&amp;HI2&amp;", links: "&amp;HL2&amp;"},"</f>
        <v>{couname:"Colombia",year:"1861 ",region:"rgn_South America",Colors:["cl_BLA","cl_BLU","cl_RED","cl_YEL","cl_WHI"],Items:["5+Colo","lets08","startC","year18","allhor","smallc","3Bands","Horizo","Unequa","OnlyBa","NO_GRE","myrBLU","unjack","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links: "https://en.wikipedia.org/wiki/Flag_of_Colombia"},</v>
      </c>
      <c r="HH2" s="48" t="str">
        <f t="shared" ref="HH2" si="85">IF(P2&lt;&gt;"",CHAR(34)&amp;"\n"&amp;P2&amp;CHAR(34),CHAR(34)&amp;CHAR(34))</f>
        <v>"\nThe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v>
      </c>
      <c r="HI2" s="48" t="str">
        <f t="shared" ref="HI2" si="86">IF(J2=0,CHAR(34)&amp;CHAR(34),HH2)</f>
        <v>"\nThe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v>
      </c>
      <c r="HJ2" s="48" t="str">
        <f t="shared" ref="HJ2" si="87">CHAR(34)&amp;O2&amp;CHAR(34)</f>
        <v>"1861 "</v>
      </c>
      <c r="HL2" s="48" t="str">
        <f t="shared" ref="HL2" si="88">CHAR(34)&amp;I2&amp;CHAR(34)</f>
        <v>"https://en.wikipedia.org/wiki/Flag_of_Colombia"</v>
      </c>
      <c r="HM2" s="72" t="str">
        <f t="shared" ref="HM2"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{"couname":"Colombia","year":"1861 ","region":"rgn_South America","Colors":["cl_BLA","cl_BLU","cl_RED","cl_YEL","cl_WHI"],"Items":["5+Colo","lets08","startC","year18","allhor","smallc","3Bands","Horizo","Unequa","OnlyBa","NO_GRE","myrBLU","unjack","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 "links": "https://en.wikipedia.org/wiki/Flag_of_Colombia"},</v>
      </c>
      <c r="HN2" s="74" t="str">
        <f t="shared" ref="HN2" si="9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{"couname":"Colombia","year":"1861 ","region":"rgn_South America","Colors":["cl_BLA","cl_BLU","cl_RED","cl_YEL","cl_WHI"],"Items":["5+Colo","lets08","startC","year18","allhor","smallc","3Bands","Horizo","Unequa","OnlyBa","NO_GRE","myrBLU","unjack","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 "links": "https://en.wikipedia.org/wiki/Flag_of_Colombia"},</v>
      </c>
      <c r="HO2" s="75">
        <v>45576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172</v>
      </c>
      <c r="IB2" s="6"/>
      <c r="IC2" s="77"/>
      <c r="ID2" s="77"/>
      <c r="IE2" s="77"/>
      <c r="IF2" s="77"/>
      <c r="IG2" s="77"/>
      <c r="IH2" s="77"/>
      <c r="II2" s="77"/>
      <c r="IJ2" s="77"/>
      <c r="IK2" s="77"/>
      <c r="IL2" s="48">
        <f t="shared" ref="IL2" si="91">SUM(IC2:IK2)</f>
        <v>0</v>
      </c>
      <c r="IM2" s="45">
        <f t="shared" ref="IM2" si="92">COUNTIF(IC2:IK2,"&gt;0")-CG2</f>
        <v>-5</v>
      </c>
      <c r="IN2" s="78" t="str">
        <f t="shared" ref="IN2" si="93">"http://mkweb.bcgsc.ca/color-summarizer/?url="&amp;D2&amp;"&amp;precision=low&amp;num_clusters="&amp;CG2&amp;"&amp;text=1"</f>
        <v>http://mkweb.bcgsc.ca/color-summarizer/?url=https://i.ibb.co/xj0RpQG/Colombia-Flag.png&amp;precision=low&amp;num_clusters=5&amp;text=1</v>
      </c>
      <c r="IO2" s="48" t="str">
        <f t="shared" ref="IO2" si="94">IF(HP2&lt;&gt;"",CHAR(34)&amp;"black"&amp;CHAR(34),"")</f>
        <v>"black"</v>
      </c>
      <c r="IP2" s="48" t="str">
        <f t="shared" ref="IP2" si="95">IF(HQ2&lt;&gt;"",CHAR(34)&amp;"blue"&amp;CHAR(34),"")</f>
        <v>"blue"</v>
      </c>
      <c r="IQ2" s="48" t="str">
        <f t="shared" ref="IQ2" si="96">IF(HR2&lt;&gt;"",CHAR(34)&amp;"green"&amp;CHAR(34),"")</f>
        <v/>
      </c>
      <c r="IR2" s="48" t="str">
        <f t="shared" ref="IR2" si="97">IF(HS2&lt;&gt;"",CHAR(34)&amp;"red"&amp;CHAR(34),"")</f>
        <v>"red"</v>
      </c>
      <c r="IS2" s="48" t="str">
        <f t="shared" ref="IS2" si="98">IF(HT2&lt;&gt;"",CHAR(34)&amp;"yellow"&amp;CHAR(34),"")</f>
        <v>"yellow"</v>
      </c>
      <c r="IT2" s="48" t="str">
        <f t="shared" ref="IT2" si="99">IF(HU2&lt;&gt;"",CHAR(34)&amp;"orange"&amp;CHAR(34),"")</f>
        <v/>
      </c>
      <c r="IU2" s="48" t="str">
        <f t="shared" ref="IU2" si="100">IF(HV2&lt;&gt;"",CHAR(34)&amp;"brown"&amp;CHAR(34),"")</f>
        <v/>
      </c>
      <c r="IV2" s="48" t="str">
        <f t="shared" ref="IV2" si="101">IF(HW2&lt;&gt;"",CHAR(34)&amp;"purple"&amp;CHAR(34),"")</f>
        <v/>
      </c>
      <c r="IW2" s="48" t="str">
        <f t="shared" ref="IW2" si="102">IF(HX2&lt;&gt;"",CHAR(34)&amp;"white"&amp;CHAR(34),"")</f>
        <v>"white"</v>
      </c>
      <c r="IX2" s="48" t="str">
        <f t="shared" ref="IX2" si="103">"{"&amp;CHAR(34)&amp;"url"&amp;CHAR(34)&amp;":"&amp;CHAR(34)&amp;IN2&amp;CHAR(34)&amp;","&amp;CHAR(34)&amp;"name"&amp;CHAR(34)&amp;":"&amp;CHAR(34)&amp;A2&amp;CHAR(34)&amp;"},"</f>
        <v>{"url":"http://mkweb.bcgsc.ca/color-summarizer/?url=https://i.ibb.co/xj0RpQG/Colombia-Flag.png&amp;precision=low&amp;num_clusters=5&amp;text=1","name":"Colombia"},</v>
      </c>
      <c r="IY2" s="48">
        <v>301</v>
      </c>
    </row>
    <row r="3" spans="1:259" s="48" customFormat="1" ht="38.4" customHeight="1" thickBot="1" x14ac:dyDescent="0.35">
      <c r="A3" s="79" t="s">
        <v>602</v>
      </c>
      <c r="B3" s="40" t="e" vm="71">
        <v>#VALUE!</v>
      </c>
      <c r="C3" s="41">
        <v>2</v>
      </c>
      <c r="D3" s="42" t="s">
        <v>603</v>
      </c>
      <c r="E3" s="43" t="s">
        <v>604</v>
      </c>
      <c r="F3" s="44" t="s">
        <v>166</v>
      </c>
      <c r="G3" s="45">
        <f>COUNTIF($A$1:$A$8282,A3)</f>
        <v>1</v>
      </c>
      <c r="H3" s="46"/>
      <c r="I3" s="47" t="s">
        <v>605</v>
      </c>
      <c r="J3" s="48" t="str">
        <f>""</f>
        <v/>
      </c>
      <c r="K3" s="49"/>
      <c r="L3" s="50"/>
      <c r="M3" s="50"/>
      <c r="N3" s="51" t="s">
        <v>169</v>
      </c>
      <c r="O3" s="52" t="s">
        <v>557</v>
      </c>
      <c r="P3" s="53" t="s">
        <v>606</v>
      </c>
      <c r="Q3" s="54">
        <v>1</v>
      </c>
      <c r="R3" s="55" t="s">
        <v>169</v>
      </c>
      <c r="S3" s="56">
        <v>3</v>
      </c>
      <c r="T3" s="57" t="s">
        <v>172</v>
      </c>
      <c r="U3" s="58" t="s">
        <v>172</v>
      </c>
      <c r="V3" s="58" t="s">
        <v>172</v>
      </c>
      <c r="W3" s="58" t="s">
        <v>173</v>
      </c>
      <c r="X3" s="58" t="s">
        <v>172</v>
      </c>
      <c r="Y3" s="58" t="s">
        <v>172</v>
      </c>
      <c r="Z3" s="58" t="s">
        <v>172</v>
      </c>
      <c r="AA3" s="58" t="s">
        <v>172</v>
      </c>
      <c r="AB3" s="58" t="s">
        <v>172</v>
      </c>
      <c r="AC3" s="58" t="s">
        <v>172</v>
      </c>
      <c r="AD3" s="58" t="s">
        <v>172</v>
      </c>
      <c r="AE3" s="58" t="s">
        <v>172</v>
      </c>
      <c r="AF3" s="59" t="s">
        <v>172</v>
      </c>
      <c r="AG3" s="59" t="s">
        <v>173</v>
      </c>
      <c r="AH3" s="59" t="s">
        <v>172</v>
      </c>
      <c r="AI3" s="59" t="s">
        <v>172</v>
      </c>
      <c r="AJ3" s="59" t="s">
        <v>172</v>
      </c>
      <c r="AK3" s="59" t="s">
        <v>173</v>
      </c>
      <c r="AL3" s="59" t="s">
        <v>172</v>
      </c>
      <c r="AM3" s="59" t="s">
        <v>172</v>
      </c>
      <c r="AN3" s="59" t="s">
        <v>172</v>
      </c>
      <c r="AO3" s="59" t="s">
        <v>172</v>
      </c>
      <c r="AP3" s="59" t="s">
        <v>172</v>
      </c>
      <c r="AQ3" s="59" t="s">
        <v>172</v>
      </c>
      <c r="AR3" s="59" t="s">
        <v>172</v>
      </c>
      <c r="AS3" s="59" t="s">
        <v>172</v>
      </c>
      <c r="AT3" s="60">
        <v>0</v>
      </c>
      <c r="AU3" s="59" t="s">
        <v>607</v>
      </c>
      <c r="AV3" s="59" t="str">
        <f>IF(LEFT(A3,1)="[",LEFT(A3,5)&amp;AU3&amp;A3,"")</f>
        <v>[COL]Department[COL] Quindío</v>
      </c>
      <c r="AW3" s="59" t="str">
        <f>C3&amp;A3</f>
        <v>2[COL] Quindío</v>
      </c>
      <c r="AX3" s="61"/>
      <c r="AY3" s="61"/>
      <c r="AZ3" s="62" t="s">
        <v>159</v>
      </c>
      <c r="BA3" s="62" t="s">
        <v>174</v>
      </c>
      <c r="BB3" s="62"/>
      <c r="BC3" s="63"/>
      <c r="BD3" s="64" t="s">
        <v>154</v>
      </c>
      <c r="BE3" s="47"/>
      <c r="BF3" s="64" t="s">
        <v>174</v>
      </c>
      <c r="BG3" s="64" t="s">
        <v>174</v>
      </c>
      <c r="BH3" s="64" t="s">
        <v>174</v>
      </c>
      <c r="BI3" s="64"/>
      <c r="BJ3" s="64"/>
      <c r="BK3" s="47"/>
      <c r="BL3" s="64" t="s">
        <v>174</v>
      </c>
      <c r="BM3" s="64" t="s">
        <v>152</v>
      </c>
      <c r="BN3" s="64" t="s">
        <v>153</v>
      </c>
      <c r="BO3" s="64" t="s">
        <v>154</v>
      </c>
      <c r="BP3" s="64" t="s">
        <v>155</v>
      </c>
      <c r="BQ3" s="64" t="s">
        <v>174</v>
      </c>
      <c r="BR3" s="64" t="s">
        <v>174</v>
      </c>
      <c r="BS3" s="64" t="s">
        <v>174</v>
      </c>
      <c r="BT3" s="64" t="s">
        <v>159</v>
      </c>
      <c r="BU3" s="65" t="s">
        <v>172</v>
      </c>
      <c r="BV3" s="66"/>
      <c r="BW3" s="66">
        <v>0</v>
      </c>
      <c r="BX3" s="47"/>
      <c r="BY3" s="48" t="s">
        <v>172</v>
      </c>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"[COL] Quindío"</v>
      </c>
      <c r="CU3" s="70" t="str">
        <f>CHAR(34)&amp;"rgn_"&amp;R3&amp;CHAR(34)</f>
        <v>"rgn_South America"</v>
      </c>
      <c r="CV3" s="48" t="str">
        <f>CHAR(34)&amp;D3&amp;CHAR(34)</f>
        <v>"https://upload.wikimedia.org/wikipedia/commons/thumb/2/29/Flag_of_Quindío.svg/640px-Flag_of_Quindío.svg.png"</v>
      </c>
      <c r="CW3" s="48" t="str">
        <f t="shared" si="15"/>
        <v/>
      </c>
      <c r="CX3" s="48" t="str">
        <f t="shared" si="15"/>
        <v/>
      </c>
      <c r="CY3" s="48" t="str">
        <f t="shared" si="15"/>
        <v/>
      </c>
      <c r="CZ3" s="48" t="str">
        <f t="shared" si="15"/>
        <v>"5+Colo",</v>
      </c>
      <c r="DA3" s="48" t="str">
        <f>IF(Q3&gt;1,CHAR(34)&amp;"words2"&amp;CHAR(34)&amp;",","")</f>
        <v/>
      </c>
      <c r="DB3" s="48" t="str">
        <f>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"lets07",</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"startQ",</v>
      </c>
      <c r="DF3" s="48" t="str">
        <f>IFERROR(IF(SEARCH("tan",A3)&gt;0,CHAR(34)&amp;"withtn"&amp;CHAR(34)&amp;",",""),"")</f>
        <v/>
      </c>
      <c r="DG3" s="48" t="str">
        <f>IFERROR(IF(SEARCH("q",A3)&gt;0,CHAR(34)&amp;"with_q"&amp;CHAR(34)&amp;",",""),"")</f>
        <v>"with_q",</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V3" s="48" t="str">
        <f>IF(IA3&lt;&gt;"",(IF(IA3="y",CHAR(34)&amp;"largec"&amp;CHAR(34)&amp;",",CHAR(34)&amp;"smallc"&amp;CHAR(34)&amp;",")),"")</f>
        <v/>
      </c>
      <c r="DW3" s="48" t="str">
        <f t="shared" si="37"/>
        <v/>
      </c>
      <c r="DX3" s="48" t="str">
        <f t="shared" si="37"/>
        <v/>
      </c>
      <c r="DY3" s="48" t="str">
        <f t="shared" si="37"/>
        <v>"3Bands",</v>
      </c>
      <c r="DZ3" s="48" t="str">
        <f t="shared" si="37"/>
        <v/>
      </c>
      <c r="EA3" s="48" t="str">
        <f t="shared" si="38"/>
        <v/>
      </c>
      <c r="EB3" s="48" t="str">
        <f t="shared" si="38"/>
        <v/>
      </c>
      <c r="EC3" s="48" t="str">
        <f t="shared" si="38"/>
        <v/>
      </c>
      <c r="ED3" s="48" t="str">
        <f t="shared" si="38"/>
        <v>"Vertic",</v>
      </c>
      <c r="EE3" s="48" t="str">
        <f t="shared" si="38"/>
        <v/>
      </c>
      <c r="EF3" s="48" t="str">
        <f>IF(AND(Y3&lt;&gt;"n",Y3&lt;&gt;""),CHAR(34)&amp;Y$1&amp;CHAR(34)&amp;",","")</f>
        <v/>
      </c>
      <c r="EG3" s="48" t="str">
        <f t="shared" si="40"/>
        <v/>
      </c>
      <c r="EH3" s="48" t="str">
        <f t="shared" si="40"/>
        <v/>
      </c>
      <c r="EI3" s="48" t="str">
        <f t="shared" si="40"/>
        <v/>
      </c>
      <c r="EJ3" s="48" t="str">
        <f t="shared" si="40"/>
        <v/>
      </c>
      <c r="EK3" s="48" t="str">
        <f t="shared" si="40"/>
        <v/>
      </c>
      <c r="EL3" s="48" t="str">
        <f t="shared" si="40"/>
        <v/>
      </c>
      <c r="EM3" s="48" t="str">
        <f t="shared" si="40"/>
        <v/>
      </c>
      <c r="EN3" s="48" t="str">
        <f t="shared" si="40"/>
        <v>"Unequa",</v>
      </c>
      <c r="EO3" s="48" t="str">
        <f t="shared" si="40"/>
        <v/>
      </c>
      <c r="EP3" s="48" t="str">
        <f t="shared" si="40"/>
        <v/>
      </c>
      <c r="EQ3" s="48" t="str">
        <f t="shared" si="40"/>
        <v/>
      </c>
      <c r="ER3" s="48" t="str">
        <f t="shared" si="40"/>
        <v>"OnlyBa",</v>
      </c>
      <c r="ES3" s="48" t="str">
        <f t="shared" si="40"/>
        <v/>
      </c>
      <c r="ET3" s="48" t="str">
        <f t="shared" si="40"/>
        <v/>
      </c>
      <c r="EU3" s="48" t="str">
        <f t="shared" si="40"/>
        <v/>
      </c>
      <c r="EV3" s="48" t="str">
        <f t="shared" si="40"/>
        <v/>
      </c>
      <c r="EW3" s="48" t="str">
        <f t="shared" si="40"/>
        <v/>
      </c>
      <c r="EX3" s="48" t="str">
        <f t="shared" si="40"/>
        <v/>
      </c>
      <c r="EY3" s="48" t="str">
        <f t="shared" si="40"/>
        <v/>
      </c>
      <c r="EZ3" s="48" t="str">
        <f t="shared" si="40"/>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"myrRED",</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 t="shared" si="71"/>
        <v/>
      </c>
      <c r="GF3" s="48" t="str">
        <f>IFERROR(IF(SEARCH("Historical",AU3)&gt;0,CHAR(34)&amp;"histor"&amp;CHAR(34)&amp;",",""),"")</f>
        <v/>
      </c>
      <c r="GG3" s="48" t="str">
        <f t="shared" si="73"/>
        <v/>
      </c>
      <c r="GH3" s="48" t="str">
        <f t="shared" si="74"/>
        <v/>
      </c>
      <c r="GI3" s="48" t="str">
        <f t="shared" si="75"/>
        <v/>
      </c>
      <c r="GJ3" s="48" t="str">
        <f>IF(CP3="y",CHAR(34)&amp;CP$1&amp;CHAR(34)&amp;",","")</f>
        <v>"NoStar",</v>
      </c>
      <c r="GK3" s="48" t="str">
        <f>IF(GJ3="",CHAR(34)&amp;"HasSta"&amp;CHAR(34)&amp;",","")</f>
        <v/>
      </c>
      <c r="GL3" s="48" t="str">
        <f t="shared" si="78"/>
        <v/>
      </c>
      <c r="GM3" s="48" t="str">
        <f t="shared" si="78"/>
        <v/>
      </c>
      <c r="GN3" s="48" t="str">
        <f t="shared" si="78"/>
        <v/>
      </c>
      <c r="GP3" s="48" t="str">
        <f>CHAR(34)&amp;AU3&amp;CHAR(34)</f>
        <v>"Department"</v>
      </c>
      <c r="GS3" s="48" t="str">
        <f>SUBSTITUTE("["&amp;_xlfn.CONCAT(CW3:GN3)&amp;"]",",]","]")</f>
        <v>["5+Colo","lets07","startQ","with_q","allver","3Bands","Vertic","Unequa","OnlyBa","NO_BLA","myrRED","NoStar"]</v>
      </c>
      <c r="GT3" s="48" t="str">
        <f t="shared" si="81"/>
        <v/>
      </c>
      <c r="GU3" s="48" t="str">
        <f t="shared" si="81"/>
        <v>"cl_BLU",</v>
      </c>
      <c r="GV3" s="48" t="str">
        <f t="shared" si="81"/>
        <v>"cl_GRE",</v>
      </c>
      <c r="GW3" s="48" t="str">
        <f t="shared" si="81"/>
        <v>"cl_RED",</v>
      </c>
      <c r="GX3" s="48" t="str">
        <f t="shared" si="81"/>
        <v>"cl_YEL",</v>
      </c>
      <c r="GY3" s="48" t="str">
        <f t="shared" si="81"/>
        <v/>
      </c>
      <c r="GZ3" s="48" t="str">
        <f t="shared" si="81"/>
        <v/>
      </c>
      <c r="HA3" s="48" t="str">
        <f t="shared" si="81"/>
        <v/>
      </c>
      <c r="HB3" s="48" t="str">
        <f t="shared" si="81"/>
        <v>"cl_WHI",</v>
      </c>
      <c r="HC3" s="48" t="str">
        <f>SUBSTITUTE("["&amp;_xlfn.CONCAT(GT3:HB3)&amp;"]",",]","]")</f>
        <v>["cl_BLU","cl_GRE","cl_RED","cl_YEL","cl_WHI"]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{couname:"[COL] Quindío",year:"???",region:"rgn_South America",Colors:["cl_BLU","cl_GRE","cl_RED","cl_YEL","cl_WHI"],Items:["5+Colo","lets07","startQ","with_q","allver","3Bands","Vertic","Unequa","OnlyBa","NO_BLA","myrRED","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links: "https://en.wikipedia.org/wiki/Flag_of_Quindío_Department"},</v>
      </c>
      <c r="HG3" s="73" t="str">
        <f>"{couname:"&amp;CT3&amp;(IF(HK3&lt;&gt;"",",subtype:"&amp;CHAR(34)&amp;HK3&amp;CHAR(34),""))&amp;",year:"&amp;HJ3&amp;",region:"&amp;CU3&amp;",Colors:"&amp;HC3&amp;",Items:"&amp;GS3&amp;",Flag:"&amp;CV3&amp;",HDFlag:"&amp;CHAR(34)&amp;E3&amp;CHAR(34)&amp;",type:"&amp;GP3&amp;", describe: "&amp;HI3&amp;", links: "&amp;HL3&amp;"},"</f>
        <v>{couname:"[COL] Quindío",year:"???",region:"rgn_South America",Colors:["cl_BLU","cl_GRE","cl_RED","cl_YEL","cl_WHI"],Items:["5+Colo","lets07","startQ","with_q","allver","3Bands","Vertic","Unequa","OnlyBa","NO_BLA","myrRED","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links: "https://en.wikipedia.org/wiki/Flag_of_Quindío_Department"},</v>
      </c>
      <c r="HH3" s="48" t="str">
        <f>IF(P3&lt;&gt;"",CHAR(34)&amp;"\n"&amp;P3&amp;CHAR(34),CHAR(34)&amp;CHAR(34))</f>
        <v>"\nThe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v>
      </c>
      <c r="HI3" s="48" t="str">
        <f>IF(J3=0,CHAR(34)&amp;CHAR(34),HH3)</f>
        <v>"\nThe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v>
      </c>
      <c r="HJ3" s="48" t="str">
        <f>CHAR(34)&amp;O3&amp;CHAR(34)</f>
        <v>"???"</v>
      </c>
      <c r="HL3" s="48" t="str">
        <f>CHAR(34)&amp;I3&amp;CHAR(34)</f>
        <v>"https://en.wikipedia.org/wiki/Flag_of_Quindío_Department"</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{"couname":"[COL] Quindío","year":"???","region":"rgn_South America","Colors":["cl_BLU","cl_GRE","cl_RED","cl_YEL","cl_WHI"],"Items":["5+Colo","lets07","startQ","with_q","allver","3Bands","Vertic","Unequa","OnlyBa","NO_BLA","myrRED","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 "links": "https://en.wikipedia.org/wiki/Flag_of_Quindío_Department"},</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{"couname":"[COL] Quindío","year":"???","region":"rgn_South America","Colors":["cl_BLU","cl_GRE","cl_RED","cl_YEL","cl_WHI"],"Items":["5+Colo","lets07","startQ","with_q","allver","3Bands","Vertic","Unequa","OnlyBa","NO_BLA","myrRED","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 "links": "https://en.wikipedia.org/wiki/Flag_of_Quindío_Department"},</v>
      </c>
      <c r="HO3" s="75">
        <v>45583</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-5</v>
      </c>
      <c r="IN3" s="78" t="str">
        <f>"http://mkweb.bcgsc.ca/color-summarizer/?url="&amp;D3&amp;"&amp;precision=low&amp;num_clusters="&amp;CG3&amp;"&amp;text=1"</f>
        <v>http://mkweb.bcgsc.ca/color-summarizer/?url=https://upload.wikimedia.org/wikipedia/commons/thumb/2/29/Flag_of_Quindío.svg/640px-Flag_of_Quindío.svg.png&amp;precision=low&amp;num_clusters=5&amp;text=1</v>
      </c>
      <c r="IO3" s="48" t="str">
        <f>IF(HP3&lt;&gt;"",CHAR(34)&amp;"black"&amp;CHAR(34),"")</f>
        <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{"url":"http://mkweb.bcgsc.ca/color-summarizer/?url=https://upload.wikimedia.org/wikipedia/commons/thumb/2/29/Flag_of_Quindío.svg/640px-Flag_of_Quindío.svg.png&amp;precision=low&amp;num_clusters=5&amp;text=1","name":"[COL] Quindío"},</v>
      </c>
      <c r="IY3" s="48">
        <v>777</v>
      </c>
    </row>
    <row r="4" spans="1:259" s="48" customFormat="1" ht="38.4" customHeight="1" thickBot="1" x14ac:dyDescent="0.35">
      <c r="A4" s="79" t="s">
        <v>608</v>
      </c>
      <c r="B4" s="40" t="e" vm="72">
        <v>#VALUE!</v>
      </c>
      <c r="C4" s="41">
        <v>2</v>
      </c>
      <c r="D4" s="42" t="s">
        <v>609</v>
      </c>
      <c r="E4" s="43" t="s">
        <v>610</v>
      </c>
      <c r="F4" s="44" t="s">
        <v>166</v>
      </c>
      <c r="G4" s="45">
        <f>COUNTIF($A$1:$A$8282,A4)</f>
        <v>1</v>
      </c>
      <c r="H4" s="46"/>
      <c r="I4" s="47" t="s">
        <v>611</v>
      </c>
      <c r="J4" s="48" t="str">
        <f>""</f>
        <v/>
      </c>
      <c r="K4" s="49"/>
      <c r="L4" s="50"/>
      <c r="M4" s="50"/>
      <c r="N4" s="51" t="s">
        <v>169</v>
      </c>
      <c r="O4" s="52" t="s">
        <v>557</v>
      </c>
      <c r="P4" s="53" t="s">
        <v>498</v>
      </c>
      <c r="Q4" s="54">
        <v>4</v>
      </c>
      <c r="R4" s="55" t="s">
        <v>169</v>
      </c>
      <c r="S4" s="56">
        <v>2</v>
      </c>
      <c r="T4" s="57" t="s">
        <v>173</v>
      </c>
      <c r="U4" s="58" t="s">
        <v>173</v>
      </c>
      <c r="V4" s="58" t="s">
        <v>172</v>
      </c>
      <c r="W4" s="58" t="s">
        <v>172</v>
      </c>
      <c r="X4" s="58" t="s">
        <v>172</v>
      </c>
      <c r="Y4" s="58" t="s">
        <v>172</v>
      </c>
      <c r="Z4" s="58" t="s">
        <v>172</v>
      </c>
      <c r="AA4" s="58" t="s">
        <v>172</v>
      </c>
      <c r="AB4" s="58" t="s">
        <v>172</v>
      </c>
      <c r="AC4" s="58" t="s">
        <v>172</v>
      </c>
      <c r="AD4" s="58" t="s">
        <v>172</v>
      </c>
      <c r="AE4" s="58" t="s">
        <v>172</v>
      </c>
      <c r="AF4" s="59" t="s">
        <v>173</v>
      </c>
      <c r="AG4" s="59" t="s">
        <v>172</v>
      </c>
      <c r="AH4" s="59" t="s">
        <v>173</v>
      </c>
      <c r="AI4" s="59" t="s">
        <v>172</v>
      </c>
      <c r="AJ4" s="59" t="s">
        <v>172</v>
      </c>
      <c r="AK4" s="59" t="s">
        <v>173</v>
      </c>
      <c r="AL4" s="59" t="s">
        <v>172</v>
      </c>
      <c r="AM4" s="59" t="s">
        <v>172</v>
      </c>
      <c r="AN4" s="59" t="s">
        <v>172</v>
      </c>
      <c r="AO4" s="59" t="s">
        <v>172</v>
      </c>
      <c r="AP4" s="59" t="s">
        <v>172</v>
      </c>
      <c r="AQ4" s="59" t="s">
        <v>172</v>
      </c>
      <c r="AR4" s="59" t="s">
        <v>173</v>
      </c>
      <c r="AS4" s="59" t="s">
        <v>172</v>
      </c>
      <c r="AT4" s="60">
        <v>0</v>
      </c>
      <c r="AU4" s="59" t="s">
        <v>607</v>
      </c>
      <c r="AV4" s="59" t="str">
        <f>IF(LEFT(A4,1)="[",LEFT(A4,5)&amp;AU4&amp;A4,"")</f>
        <v>[COL]Department[COL] San Andres and Providencia</v>
      </c>
      <c r="AW4" s="59" t="str">
        <f>C4&amp;A4</f>
        <v>2[COL] San Andres and Providencia</v>
      </c>
      <c r="AX4" s="61" t="str">
        <f>_xlfn.TEXTJOIN(";",TRUE,AU4:AW4)</f>
        <v>Department;[COL]Department[COL] San Andres and Providencia;2[COL] San Andres and Providencia</v>
      </c>
      <c r="AY4" s="61" t="s">
        <v>173</v>
      </c>
      <c r="AZ4" s="62" t="s">
        <v>159</v>
      </c>
      <c r="BA4" s="62"/>
      <c r="BB4" s="62"/>
      <c r="BC4" s="63"/>
      <c r="BD4" s="64" t="s">
        <v>154</v>
      </c>
      <c r="BE4" s="47"/>
      <c r="BF4" s="64"/>
      <c r="BG4" s="64"/>
      <c r="BH4" s="64"/>
      <c r="BI4" s="64"/>
      <c r="BJ4" s="64"/>
      <c r="BK4" s="47"/>
      <c r="BL4" s="64" t="s">
        <v>154</v>
      </c>
      <c r="BM4" s="64" t="s">
        <v>152</v>
      </c>
      <c r="BN4" s="64" t="s">
        <v>159</v>
      </c>
      <c r="BO4" s="64"/>
      <c r="BP4" s="64"/>
      <c r="BQ4" s="64"/>
      <c r="BR4" s="64"/>
      <c r="BS4" s="64"/>
      <c r="BT4" s="64"/>
      <c r="BU4" s="65" t="s">
        <v>172</v>
      </c>
      <c r="BV4" s="66" t="s">
        <v>278</v>
      </c>
      <c r="BW4" s="66" t="s">
        <v>270</v>
      </c>
      <c r="BX4" s="47"/>
      <c r="CB4" s="6" t="s">
        <v>612</v>
      </c>
      <c r="CC4" s="6"/>
      <c r="CD4" s="67">
        <v>1</v>
      </c>
      <c r="CE4" s="67">
        <v>0</v>
      </c>
      <c r="CF4" s="67" t="e">
        <v>#REF!</v>
      </c>
      <c r="CG4" s="68" cm="1">
        <f t="array" ref="CG4">SUMPRODUCT(--(LEN(TRIM(BL4:BT4))&gt;0))</f>
        <v>3</v>
      </c>
      <c r="CH4" s="59" t="str">
        <f>IF(CG4=2,"y","n")</f>
        <v>n</v>
      </c>
      <c r="CI4" s="59" t="str">
        <f>IF(CG4=3,"y","n")</f>
        <v>y</v>
      </c>
      <c r="CJ4" s="59" t="str">
        <f>IF(CG4=4,"y","n")</f>
        <v>n</v>
      </c>
      <c r="CK4" s="59" t="str">
        <f>IF(CG4&gt;4,"y","n")</f>
        <v>n</v>
      </c>
      <c r="CL4" s="59" t="str">
        <f>IF(S4=0,"y","n")</f>
        <v>n</v>
      </c>
      <c r="CM4" s="59" t="str">
        <f>IF(S4=2,"y","n")</f>
        <v>y</v>
      </c>
      <c r="CN4" s="59" t="str">
        <f>IF(S4=3,"y","n")</f>
        <v>n</v>
      </c>
      <c r="CO4" s="59" t="str">
        <f>IF(S4&gt;=4,"y","n")</f>
        <v>n</v>
      </c>
      <c r="CP4" s="59" t="str">
        <f>IF(AT4=0,"y","n")</f>
        <v>y</v>
      </c>
      <c r="CQ4" s="59" t="str">
        <f>IF(AT4=1,"y","n")</f>
        <v>n</v>
      </c>
      <c r="CR4" s="59" t="str">
        <f>IF(AT4=2,"y","n")</f>
        <v>n</v>
      </c>
      <c r="CS4" s="59" t="str">
        <f>IF(AT4&gt;=3,"y","n")</f>
        <v>n</v>
      </c>
      <c r="CT4" s="69" t="str">
        <f>CHAR(34)&amp;A4&amp;CHAR(34)</f>
        <v>"[COL] San Andres and Providencia"</v>
      </c>
      <c r="CU4" s="70" t="str">
        <f>CHAR(34)&amp;"rgn_"&amp;R4&amp;CHAR(34)</f>
        <v>"rgn_South America"</v>
      </c>
      <c r="CV4" s="48" t="str">
        <f>CHAR(34)&amp;D4&amp;CHAR(34)</f>
        <v>"https://upload.wikimedia.org/wikipedia/commons/thumb/3/36/Flag_of_San_Andr%C3%A9s_y_Providencia.svg/300px-Flag_of_San_Andr%C3%A9s_y_Providencia.svg.png"</v>
      </c>
      <c r="CW4" s="48" t="str">
        <f t="shared" si="15"/>
        <v/>
      </c>
      <c r="CX4" s="48" t="str">
        <f t="shared" si="15"/>
        <v>"3Color",</v>
      </c>
      <c r="CY4" s="48" t="str">
        <f t="shared" si="15"/>
        <v/>
      </c>
      <c r="CZ4" s="48" t="str">
        <f t="shared" si="15"/>
        <v/>
      </c>
      <c r="DA4" s="48" t="str">
        <f>IF(Q4&gt;1,CHAR(34)&amp;"words2"&amp;CHAR(34)&amp;",","")</f>
        <v>"words2",</v>
      </c>
      <c r="DB4" s="48" t="str">
        <f>IF(Q4&gt;2,CHAR(34)&amp;"words3"&amp;CHAR(34)&amp;",","")</f>
        <v>"words3",</v>
      </c>
      <c r="DC4" s="48" t="str">
        <f>IF(Q4=2,CHAR(34)&amp;"exact2"&amp;CHAR(34)&amp;",","")</f>
        <v/>
      </c>
      <c r="DD4" s="48"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"lets23",</v>
      </c>
      <c r="DE4" s="48"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"startS",</v>
      </c>
      <c r="DF4" s="48" t="str">
        <f>IFERROR(IF(SEARCH("tan",A4)&gt;0,CHAR(34)&amp;"withtn"&amp;CHAR(34)&amp;",",""),"")</f>
        <v/>
      </c>
      <c r="DG4" s="48" t="str">
        <f>IFERROR(IF(SEARCH("q",A4)&gt;0,CHAR(34)&amp;"with_q"&amp;CHAR(34)&amp;",",""),"")</f>
        <v/>
      </c>
      <c r="DH4" s="48" t="str">
        <f>IFERROR(IF(SEARCH("v",A4)&gt;0,CHAR(34)&amp;"with_v"&amp;CHAR(34)&amp;",",""),"")</f>
        <v>"with_v",</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"LUEDHI",</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V4" s="48" t="str">
        <f>IF(IA4&lt;&gt;"",(IF(IA4="y",CHAR(34)&amp;"largec"&amp;CHAR(34)&amp;",",CHAR(34)&amp;"smallc"&amp;CHAR(34)&amp;",")),"")</f>
        <v/>
      </c>
      <c r="DW4" s="48" t="str">
        <f t="shared" si="37"/>
        <v/>
      </c>
      <c r="DX4" s="48" t="str">
        <f t="shared" si="37"/>
        <v>"2Bands",</v>
      </c>
      <c r="DY4" s="48" t="str">
        <f t="shared" si="37"/>
        <v/>
      </c>
      <c r="DZ4" s="48" t="str">
        <f t="shared" si="37"/>
        <v/>
      </c>
      <c r="EA4" s="48" t="str">
        <f t="shared" si="38"/>
        <v>"Diagon",</v>
      </c>
      <c r="EB4" s="48" t="str">
        <f t="shared" si="38"/>
        <v>"Crosse",</v>
      </c>
      <c r="EC4" s="48" t="str">
        <f t="shared" si="38"/>
        <v/>
      </c>
      <c r="ED4" s="48" t="str">
        <f t="shared" si="38"/>
        <v/>
      </c>
      <c r="EE4" s="48" t="str">
        <f t="shared" si="38"/>
        <v/>
      </c>
      <c r="EF4" s="48" t="str">
        <f>IF(AND(Y4&lt;&gt;"n",Y4&lt;&gt;""),CHAR(34)&amp;Y$1&amp;CHAR(34)&amp;",","")</f>
        <v/>
      </c>
      <c r="EG4" s="48" t="str">
        <f t="shared" si="40"/>
        <v/>
      </c>
      <c r="EH4" s="48" t="str">
        <f t="shared" si="40"/>
        <v/>
      </c>
      <c r="EI4" s="48" t="str">
        <f t="shared" si="40"/>
        <v/>
      </c>
      <c r="EJ4" s="48" t="str">
        <f t="shared" si="40"/>
        <v/>
      </c>
      <c r="EK4" s="48" t="str">
        <f t="shared" si="40"/>
        <v/>
      </c>
      <c r="EL4" s="48" t="str">
        <f t="shared" si="40"/>
        <v/>
      </c>
      <c r="EM4" s="48" t="str">
        <f t="shared" si="40"/>
        <v>"Trside",</v>
      </c>
      <c r="EN4" s="48" t="str">
        <f t="shared" si="40"/>
        <v/>
      </c>
      <c r="EO4" s="48" t="str">
        <f t="shared" si="40"/>
        <v>"Center",</v>
      </c>
      <c r="EP4" s="48" t="str">
        <f t="shared" si="40"/>
        <v/>
      </c>
      <c r="EQ4" s="48" t="str">
        <f t="shared" si="40"/>
        <v/>
      </c>
      <c r="ER4" s="48" t="str">
        <f t="shared" si="40"/>
        <v>"OnlyBa",</v>
      </c>
      <c r="ES4" s="48" t="str">
        <f t="shared" si="40"/>
        <v/>
      </c>
      <c r="ET4" s="48" t="str">
        <f t="shared" si="40"/>
        <v/>
      </c>
      <c r="EU4" s="48" t="str">
        <f t="shared" si="40"/>
        <v/>
      </c>
      <c r="EV4" s="48" t="str">
        <f t="shared" si="40"/>
        <v/>
      </c>
      <c r="EW4" s="48" t="str">
        <f t="shared" si="40"/>
        <v/>
      </c>
      <c r="EX4" s="48" t="str">
        <f t="shared" si="40"/>
        <v/>
      </c>
      <c r="EY4" s="48" t="str">
        <f t="shared" si="40"/>
        <v>"Rotate",</v>
      </c>
      <c r="EZ4" s="48" t="str">
        <f t="shared" si="40"/>
        <v/>
      </c>
      <c r="FA4" s="48" t="str">
        <f>IF(AT4&gt;0,CHAR(34)&amp;"sta"&amp;AZ4&amp;CHAR(34)&amp;",","")</f>
        <v/>
      </c>
      <c r="FB4" s="48" t="str">
        <f>IF(AND(AT4&gt;0,BA4&lt;&gt;""),CHAR(34)&amp;"sta"&amp;BA4&amp;CHAR(34)&amp;",","")</f>
        <v/>
      </c>
      <c r="FC4" s="48" t="str">
        <f>IF(AND(AT4&gt;0,BB4&lt;&gt;""),CHAR(34)&amp;"sta"&amp;BB4&amp;CHAR(34)&amp;",","")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"NO_GRE",</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"myrRED",</v>
      </c>
      <c r="FU4" s="48" t="str">
        <f>IF(AY4="y",CHAR(34)&amp;"island"&amp;CHAR(34)&amp;",","")</f>
        <v>"island",</v>
      </c>
      <c r="FV4" s="48" t="str">
        <f>IF(BZ4="y",CHAR(34)&amp;"landlo"&amp;CHAR(34)&amp;",","")</f>
        <v/>
      </c>
      <c r="FW4" s="48" t="str">
        <f>IF(CA4="y",CHAR(34)&amp;"eunion"&amp;CHAR(34)&amp;",","")</f>
        <v/>
      </c>
      <c r="FX4" s="48" t="str">
        <f>SUBSTITUTE(IFERROR(SEARCH("[",A4),IFERROR(IF(AND(CA4&lt;&gt;"y",SEARCH("Europe",R4)&gt;0),CHAR(34)&amp;"noeuni"&amp;CHAR(34)&amp;",",""),"")),"1","")</f>
        <v/>
      </c>
      <c r="FY4" s="48" t="str">
        <f>IFERROR(IF(SEARCH("Arabic",CB4)&gt;0,CHAR(34)&amp;"arabic"&amp;CHAR(34)&amp;",",""),"")</f>
        <v/>
      </c>
      <c r="FZ4" s="48" t="str">
        <f>IFERROR(IF(SEARCH("English",CB4)&gt;0,CHAR(34)&amp;"englis"&amp;CHAR(34)&amp;",",""),"")</f>
        <v>"englis",</v>
      </c>
      <c r="GA4" s="48" t="str">
        <f>IFERROR(IF(SEARCH("French",CB4)&gt;0,CHAR(34)&amp;"french"&amp;CHAR(34)&amp;",",""),"")</f>
        <v/>
      </c>
      <c r="GB4" s="48" t="str">
        <f>IFERROR(IF(SEARCH("Spanish",CB4)&gt;0,CHAR(34)&amp;"spanis"&amp;CHAR(34)&amp;",",""),"")</f>
        <v/>
      </c>
      <c r="GC4" s="48" t="str">
        <f>IFERROR(IF(SEARCH("Portuguese",CB4)&gt;0,CHAR(34)&amp;"portug"&amp;CHAR(34)&amp;",",""),"")</f>
        <v/>
      </c>
      <c r="GD4" s="48" t="str">
        <f>IFERROR(IF(SEARCH("German",CB4)&gt;0,CHAR(34)&amp;"german"&amp;CHAR(34)&amp;",",""),"")</f>
        <v/>
      </c>
      <c r="GE4" s="48" t="str">
        <f>IFERROR(IF(SEARCH("Dutch",CB4)&gt;0,CHAR(34)&amp;"dutchs"&amp;CHAR(34)&amp;",",""),"")</f>
        <v/>
      </c>
      <c r="GF4" s="48" t="str">
        <f>IFERROR(IF(SEARCH("Histor",AU4)&gt;0,CHAR(34)&amp;"histor"&amp;CHAR(34)&amp;",",""),"")</f>
        <v/>
      </c>
      <c r="GG4" s="48" t="str">
        <f>IF(BU4="y",CHAR(34)&amp;"unjack"&amp;CHAR(34)&amp;",","")</f>
        <v/>
      </c>
      <c r="GH4" s="48" t="str">
        <f>IF(CD4=1,CHAR(34)&amp;"southc"&amp;CHAR(34)&amp;",","")</f>
        <v>"southc",</v>
      </c>
      <c r="GI4" s="48" t="str">
        <f>IF(CE4=1,CHAR(34)&amp;"hasmap"&amp;CHAR(34)&amp;",","")</f>
        <v/>
      </c>
      <c r="GJ4" s="48" t="str">
        <f>IF(CP4="y",CHAR(34)&amp;CP$1&amp;CHAR(34)&amp;",","")</f>
        <v>"NoStar",</v>
      </c>
      <c r="GK4" s="48" t="str">
        <f>IF(GJ4="",CHAR(34)&amp;"HasSta"&amp;CHAR(34)&amp;",","")</f>
        <v/>
      </c>
      <c r="GL4" s="48" t="str">
        <f t="shared" si="78"/>
        <v/>
      </c>
      <c r="GM4" s="48" t="str">
        <f t="shared" si="78"/>
        <v/>
      </c>
      <c r="GN4" s="48" t="str">
        <f t="shared" si="78"/>
        <v/>
      </c>
      <c r="GP4" s="48" t="str">
        <f>CHAR(34)&amp;AU4&amp;CHAR(34)</f>
        <v>"Department"</v>
      </c>
      <c r="GS4" s="48" t="str">
        <f>SUBSTITUTE("["&amp;_xlfn.CONCAT(CW4:GN4)&amp;"]",",]","]")</f>
        <v>["3Color","words2","words3","lets23","startS","with_v","LUEDHI","2Bands","Diagon","Crosse","Trside","Center","OnlyBa","Rotate","NO_GRE","NO_YEL","NO_BLA","myrRED","island","englis","southc","NoStar"]</v>
      </c>
      <c r="GT4" s="48" t="str">
        <f t="shared" si="81"/>
        <v>"cl_RED",</v>
      </c>
      <c r="GU4" s="48" t="str">
        <f t="shared" si="81"/>
        <v>"cl_BLU",</v>
      </c>
      <c r="GV4" s="48" t="str">
        <f t="shared" si="81"/>
        <v>"cl_WHI",</v>
      </c>
      <c r="GW4" s="48" t="str">
        <f t="shared" si="81"/>
        <v/>
      </c>
      <c r="GX4" s="48" t="str">
        <f t="shared" si="81"/>
        <v/>
      </c>
      <c r="GY4" s="48" t="str">
        <f t="shared" si="81"/>
        <v/>
      </c>
      <c r="GZ4" s="48" t="str">
        <f t="shared" si="81"/>
        <v/>
      </c>
      <c r="HA4" s="48" t="str">
        <f t="shared" si="81"/>
        <v/>
      </c>
      <c r="HB4" s="48" t="str">
        <f t="shared" si="81"/>
        <v/>
      </c>
      <c r="HC4" s="48" t="str">
        <f>SUBSTITUTE("["&amp;_xlfn.CONCAT(GT4:HB4)&amp;"]",",]","]")</f>
        <v>["cl_RED","cl_BLU","cl_WHI"]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{couname:"[COL] San Andres and Providencia",year:"???",region:"rgn_South America",Colors:["cl_RED","cl_BLU","cl_WHI"],Items:["3Color","words2","words3","lets23","startS","with_v","LUEDHI","2Bands","Diagon","Crosse","Trside","Center","OnlyBa","Rotate","NO_GRE","NO_YEL","NO_BLA","myrRED","island","englis","southc","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links: "https://en.wikipedia.org/wiki/Archipelago_of_San_Andrés,_Providencia_and_Santa_Catalina"},</v>
      </c>
      <c r="HG4" s="73" t="str">
        <f>"{couname:"&amp;CT4&amp;(IF(HK4&lt;&gt;"",",subtype:"&amp;CHAR(34)&amp;HK4&amp;CHAR(34),""))&amp;",year:"&amp;HJ4&amp;",region:"&amp;CU4&amp;",Colors:"&amp;HC4&amp;",Items:"&amp;GS4&amp;",Flag:"&amp;CV4&amp;",HDFlag:"&amp;CHAR(34)&amp;E4&amp;CHAR(34)&amp;",type:"&amp;GP4&amp;", describe: "&amp;HI4&amp;", links: "&amp;HL4&amp;"},"</f>
        <v>{couname:"[COL] San Andres and Providencia",year:"???",region:"rgn_South America",Colors:["cl_RED","cl_BLU","cl_WHI"],Items:["3Color","words2","words3","lets23","startS","with_v","LUEDHI","2Bands","Diagon","Crosse","Trside","Center","OnlyBa","Rotate","NO_GRE","NO_YEL","NO_BLA","myrRED","island","englis","southc","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links: "https://en.wikipedia.org/wiki/Archipelago_of_San_Andrés,_Providencia_and_Santa_Catalina"},</v>
      </c>
      <c r="HH4" s="48" t="str">
        <f>IF(P4&lt;&gt;"",CHAR(34)&amp;"\n"&amp;P4&amp;CHAR(34),CHAR(34)&amp;CHAR(34))</f>
        <v>"\nNot available"</v>
      </c>
      <c r="HI4" s="48" t="str">
        <f>IF(J4=0,CHAR(34)&amp;CHAR(34),HH4)</f>
        <v>"\nNot available"</v>
      </c>
      <c r="HJ4" s="48" t="str">
        <f>CHAR(34)&amp;O4&amp;CHAR(34)</f>
        <v>"???"</v>
      </c>
      <c r="HL4" s="48" t="str">
        <f>CHAR(34)&amp;I4&amp;CHAR(34)</f>
        <v>"https://en.wikipedia.org/wiki/Archipelago_of_San_Andrés,_Providencia_and_Santa_Catalina"</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{"couname":"[COL] San Andres and Providencia","year":"???","region":"rgn_South America","Colors":["cl_RED","cl_BLU","cl_WHI"],"Items":["3Color","words2","words3","lets23","startS","with_v","LUEDHI","2Bands","Diagon","Crosse","Trside","Center","OnlyBa","Rotate","NO_GRE","NO_YEL","NO_BLA","myrRED","island","englis","southc","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 "links": "https://en.wikipedia.org/wiki/Archipelago_of_San_Andrés,_Providencia_and_Santa_Catalina"},</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{"couname":"[COL] San Andres and Providencia","year":"???","region":"rgn_South America","Colors":["cl_RED","cl_BLU","cl_WHI"],"Items":["3Color","words2","words3","lets23","startS","with_v","LUEDHI","2Bands","Diagon","Crosse","Trside","Center","OnlyBa","Rotate","NO_GRE","NO_YEL","NO_BLA","myrRED","island","englis","southc","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 "links": "https://en.wikipedia.org/wiki/Archipelago_of_San_Andrés,_Providencia_and_Santa_Catalina"},</v>
      </c>
      <c r="HO4" s="75"/>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L4" s="48">
        <f>SUM(IC4:IK4)</f>
        <v>0</v>
      </c>
      <c r="IM4" s="45">
        <f>COUNTIF(IC4:IK4,"&gt;0")-CG4</f>
        <v>-3</v>
      </c>
      <c r="IN4" s="78" t="str">
        <f>"http://mkweb.bcgsc.ca/color-summarizer/?url="&amp;D4&amp;"&amp;precision=low&amp;num_clusters="&amp;CG4&amp;"&amp;text=1"</f>
        <v>http://mkweb.bcgsc.ca/color-summarizer/?url=https://upload.wikimedia.org/wikipedia/commons/thumb/3/36/Flag_of_San_Andr%C3%A9s_y_Providencia.svg/300px-Flag_of_San_Andr%C3%A9s_y_Providencia.svg.png&amp;precision=low&amp;num_clusters=3&amp;text=1</v>
      </c>
      <c r="IO4" s="48" t="str">
        <f>IF(HP4&lt;&gt;"",CHAR(34)&amp;"black"&amp;CHAR(34),"")</f>
        <v/>
      </c>
      <c r="IP4" s="48" t="str">
        <f>IF(HQ4&lt;&gt;"",CHAR(34)&amp;"blue"&amp;CHAR(34),"")</f>
        <v>"blue"</v>
      </c>
      <c r="IQ4" s="48" t="str">
        <f>IF(HR4&lt;&gt;"",CHAR(34)&amp;"green"&amp;CHAR(34),"")</f>
        <v/>
      </c>
      <c r="IR4" s="48" t="str">
        <f>IF(HS4&lt;&gt;"",CHAR(34)&amp;"red"&amp;CHAR(34),"")</f>
        <v>"red"</v>
      </c>
      <c r="IS4" s="48" t="str">
        <f>IF(HT4&lt;&gt;"",CHAR(34)&amp;"yellow"&amp;CHAR(34),"")</f>
        <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{"url":"http://mkweb.bcgsc.ca/color-summarizer/?url=https://upload.wikimedia.org/wikipedia/commons/thumb/3/36/Flag_of_San_Andr%C3%A9s_y_Providencia.svg/300px-Flag_of_San_Andr%C3%A9s_y_Providencia.svg.png&amp;precision=low&amp;num_clusters=3&amp;text=1","name":"[COL] San Andres and Providencia"},</v>
      </c>
      <c r="IY4" s="48">
        <v>187</v>
      </c>
    </row>
    <row r="5" spans="1:259" s="48" customFormat="1" ht="38.4" customHeight="1" thickBot="1" x14ac:dyDescent="0.35">
      <c r="A5" s="81" t="s">
        <v>861</v>
      </c>
      <c r="B5" s="40" t="e" vm="73">
        <v>#VALUE!</v>
      </c>
      <c r="C5" s="41">
        <v>3</v>
      </c>
      <c r="D5" s="42" t="s">
        <v>862</v>
      </c>
      <c r="E5" s="43" t="s">
        <v>863</v>
      </c>
      <c r="F5" s="44" t="s">
        <v>166</v>
      </c>
      <c r="G5" s="45">
        <f>COUNTIF($A$1:$A$8282,A5)</f>
        <v>1</v>
      </c>
      <c r="H5" s="46" t="s">
        <v>864</v>
      </c>
      <c r="I5" s="47" t="s">
        <v>865</v>
      </c>
      <c r="J5" s="48" t="str">
        <f>""</f>
        <v/>
      </c>
      <c r="K5" s="49"/>
      <c r="L5" s="50"/>
      <c r="M5" s="50"/>
      <c r="N5" s="51" t="s">
        <v>169</v>
      </c>
      <c r="O5" s="52" t="s">
        <v>557</v>
      </c>
      <c r="P5" s="53" t="s">
        <v>498</v>
      </c>
      <c r="Q5" s="54">
        <v>1</v>
      </c>
      <c r="R5" s="55" t="s">
        <v>169</v>
      </c>
      <c r="S5" s="56">
        <v>2</v>
      </c>
      <c r="T5" s="57" t="s">
        <v>172</v>
      </c>
      <c r="U5" s="58" t="s">
        <v>173</v>
      </c>
      <c r="V5" s="58" t="s">
        <v>173</v>
      </c>
      <c r="W5" s="58" t="s">
        <v>173</v>
      </c>
      <c r="X5" s="58" t="s">
        <v>172</v>
      </c>
      <c r="Y5" s="58" t="s">
        <v>172</v>
      </c>
      <c r="Z5" s="58" t="s">
        <v>172</v>
      </c>
      <c r="AA5" s="58" t="s">
        <v>172</v>
      </c>
      <c r="AB5" s="58" t="s">
        <v>172</v>
      </c>
      <c r="AC5" s="58" t="s">
        <v>172</v>
      </c>
      <c r="AD5" s="58" t="s">
        <v>172</v>
      </c>
      <c r="AE5" s="58" t="s">
        <v>172</v>
      </c>
      <c r="AF5" s="59" t="s">
        <v>172</v>
      </c>
      <c r="AG5" s="59" t="s">
        <v>172</v>
      </c>
      <c r="AH5" s="59" t="s">
        <v>172</v>
      </c>
      <c r="AI5" s="59" t="s">
        <v>172</v>
      </c>
      <c r="AJ5" s="59" t="s">
        <v>173</v>
      </c>
      <c r="AK5" s="59" t="s">
        <v>173</v>
      </c>
      <c r="AL5" s="59" t="s">
        <v>172</v>
      </c>
      <c r="AM5" s="59" t="s">
        <v>172</v>
      </c>
      <c r="AN5" s="59" t="s">
        <v>172</v>
      </c>
      <c r="AO5" s="59" t="s">
        <v>172</v>
      </c>
      <c r="AP5" s="59" t="s">
        <v>172</v>
      </c>
      <c r="AQ5" s="59" t="s">
        <v>172</v>
      </c>
      <c r="AR5" s="59" t="s">
        <v>172</v>
      </c>
      <c r="AS5" s="59" t="s">
        <v>172</v>
      </c>
      <c r="AT5" s="60">
        <v>0</v>
      </c>
      <c r="AU5" s="59" t="s">
        <v>866</v>
      </c>
      <c r="AV5" s="59" t="str">
        <f>IF(LEFT(A5,1)="[",LEFT(A5,5)&amp;AU5&amp;A5,"")</f>
        <v>[COL]Municipality[COL] Andalucia</v>
      </c>
      <c r="AW5" s="59" t="str">
        <f>C5&amp;A5</f>
        <v>3[COL] Andalucia</v>
      </c>
      <c r="AX5" s="61"/>
      <c r="AY5" s="61"/>
      <c r="AZ5" s="62" t="s">
        <v>159</v>
      </c>
      <c r="BA5" s="62" t="s">
        <v>174</v>
      </c>
      <c r="BB5" s="62"/>
      <c r="BC5" s="63"/>
      <c r="BD5" s="64" t="s">
        <v>217</v>
      </c>
      <c r="BE5" s="47"/>
      <c r="BF5" s="64" t="s">
        <v>152</v>
      </c>
      <c r="BG5" s="64" t="s">
        <v>153</v>
      </c>
      <c r="BH5" s="64" t="s">
        <v>154</v>
      </c>
      <c r="BI5" s="64"/>
      <c r="BJ5" s="64"/>
      <c r="BK5" s="47"/>
      <c r="BL5" s="64" t="s">
        <v>174</v>
      </c>
      <c r="BM5" s="64" t="s">
        <v>152</v>
      </c>
      <c r="BN5" s="64" t="s">
        <v>153</v>
      </c>
      <c r="BO5" s="64" t="s">
        <v>154</v>
      </c>
      <c r="BP5" s="64" t="s">
        <v>155</v>
      </c>
      <c r="BQ5" s="64" t="s">
        <v>174</v>
      </c>
      <c r="BR5" s="64" t="s">
        <v>157</v>
      </c>
      <c r="BS5" s="64" t="s">
        <v>174</v>
      </c>
      <c r="BT5" s="64" t="s">
        <v>159</v>
      </c>
      <c r="BU5" s="65"/>
      <c r="BV5" s="66"/>
      <c r="BW5" s="66">
        <v>0</v>
      </c>
      <c r="BX5" s="47"/>
      <c r="CB5" s="6"/>
      <c r="CC5" s="6"/>
      <c r="CD5" s="67">
        <v>0</v>
      </c>
      <c r="CE5" s="67">
        <v>1</v>
      </c>
      <c r="CF5" s="67" t="e">
        <v>#REF!</v>
      </c>
      <c r="CG5" s="68" cm="1">
        <f t="array" ref="CG5">SUMPRODUCT(--(LEN(TRIM(BL5:BT5))&gt;0))</f>
        <v>6</v>
      </c>
      <c r="CH5" s="59" t="str">
        <f t="shared" ref="CH5" si="104">IF(CG5=2,"y","n")</f>
        <v>n</v>
      </c>
      <c r="CI5" s="59" t="str">
        <f t="shared" ref="CI5" si="105">IF(CG5=3,"y","n")</f>
        <v>n</v>
      </c>
      <c r="CJ5" s="59" t="str">
        <f t="shared" ref="CJ5" si="106">IF(CG5=4,"y","n")</f>
        <v>n</v>
      </c>
      <c r="CK5" s="59" t="str">
        <f t="shared" ref="CK5" si="107">IF(CG5&gt;4,"y","n")</f>
        <v>y</v>
      </c>
      <c r="CL5" s="59" t="str">
        <f t="shared" ref="CL5" si="108">IF(S5=0,"y","n")</f>
        <v>n</v>
      </c>
      <c r="CM5" s="59" t="str">
        <f t="shared" ref="CM5" si="109">IF(S5=2,"y","n")</f>
        <v>y</v>
      </c>
      <c r="CN5" s="59" t="str">
        <f t="shared" ref="CN5" si="110">IF(S5=3,"y","n")</f>
        <v>n</v>
      </c>
      <c r="CO5" s="59" t="str">
        <f t="shared" ref="CO5" si="111">IF(S5&gt;=4,"y","n")</f>
        <v>n</v>
      </c>
      <c r="CP5" s="59" t="str">
        <f t="shared" ref="CP5" si="112">IF(AT5=0,"y","n")</f>
        <v>y</v>
      </c>
      <c r="CQ5" s="59" t="str">
        <f t="shared" ref="CQ5" si="113">IF(AT5=1,"y","n")</f>
        <v>n</v>
      </c>
      <c r="CR5" s="59" t="str">
        <f t="shared" ref="CR5" si="114">IF(AT5=2,"y","n")</f>
        <v>n</v>
      </c>
      <c r="CS5" s="59" t="str">
        <f t="shared" ref="CS5" si="115">IF(AT5&gt;=3,"y","n")</f>
        <v>n</v>
      </c>
      <c r="CT5" s="69" t="str">
        <f t="shared" ref="CT5" si="116">CHAR(34)&amp;A5&amp;CHAR(34)</f>
        <v>"[COL] Andalucia"</v>
      </c>
      <c r="CU5" s="70" t="str">
        <f t="shared" ref="CU5" si="117">CHAR(34)&amp;"rgn_"&amp;R5&amp;CHAR(34)</f>
        <v>"rgn_South America"</v>
      </c>
      <c r="CV5" s="48" t="str">
        <f t="shared" ref="CV5" si="118">CHAR(34)&amp;D5&amp;CHAR(34)</f>
        <v>"https://upload.wikimedia.org/wikipedia/en/thumb/2/2f/Flag_of_Andaluc%C3%ADa_%28Col%C3%B3mbia%29.svg/640px-Flag_of_Andaluc%C3%ADa_%28Col%C3%B3mbia%29.svg.png"</v>
      </c>
      <c r="CW5" s="48" t="str">
        <f t="shared" si="15"/>
        <v/>
      </c>
      <c r="CX5" s="48" t="str">
        <f t="shared" si="15"/>
        <v/>
      </c>
      <c r="CY5" s="48" t="str">
        <f t="shared" si="15"/>
        <v/>
      </c>
      <c r="CZ5" s="48" t="str">
        <f t="shared" si="15"/>
        <v>"5+Colo",</v>
      </c>
      <c r="DA5" s="48" t="str">
        <f t="shared" ref="DA5" si="119">IF(Q5&gt;1,CHAR(34)&amp;"words2"&amp;CHAR(34)&amp;",","")</f>
        <v/>
      </c>
      <c r="DB5" s="48" t="str">
        <f t="shared" ref="DB5" si="120">IF(Q5&gt;2,CHAR(34)&amp;"words3"&amp;CHAR(34)&amp;",","")</f>
        <v/>
      </c>
      <c r="DD5" s="48" t="str">
        <f t="shared" ref="DD5" si="121">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"lets09",</v>
      </c>
      <c r="DE5" s="48" t="str">
        <f t="shared" ref="DE5" si="122">CHAR(34)&amp;"start"&amp;IFERROR(LEFT(SUBSTITUTE(A5,"["&amp;MID(A5,FIND("[",A5)+1,FIND("]",A5)-FIND("[",A5)-1)&amp;"] ",""),1),LEFT(A5,1))&amp;CHAR(34)&amp;","</f>
        <v>"startA",</v>
      </c>
      <c r="DF5" s="48" t="str">
        <f t="shared" ref="DF5" si="123">IFERROR(IF(SEARCH("tan",A5)&gt;0,CHAR(34)&amp;"withtn"&amp;CHAR(34)&amp;",",""),"")</f>
        <v/>
      </c>
      <c r="DG5" s="48" t="str">
        <f t="shared" ref="DG5" si="124">IFERROR(IF(SEARCH("q",A5)&gt;0,CHAR(34)&amp;"with_q"&amp;CHAR(34)&amp;",",""),"")</f>
        <v/>
      </c>
      <c r="DH5" s="48" t="str">
        <f t="shared" ref="DH5" si="125">IFERROR(IF(SEARCH("v",A5)&gt;0,CHAR(34)&amp;"with_v"&amp;CHAR(34)&amp;",",""),"")</f>
        <v/>
      </c>
      <c r="DI5" s="48" t="str">
        <f t="shared" ref="DI5" si="126">IFERROR(IF(SEARCH("w",A5)&gt;0,CHAR(34)&amp;"with_w"&amp;CHAR(34)&amp;",",""),"")</f>
        <v/>
      </c>
      <c r="DJ5" s="48" t="str">
        <f t="shared" ref="DJ5" si="127">IFERROR(IF(SEARCH("y",A5)&gt;0,CHAR(34)&amp;"with_y"&amp;CHAR(34)&amp;",",""),"")</f>
        <v/>
      </c>
      <c r="DK5" s="48" t="str">
        <f t="shared" ref="DK5" si="128">IFERROR(IF(SEARCH("z",A5)&gt;0,CHAR(34)&amp;"with_z"&amp;CHAR(34)&amp;",",""),"")</f>
        <v/>
      </c>
      <c r="DL5" s="48" t="str">
        <f t="shared" ref="DL5" si="129">IF(CG5=2, CHAR(34) &amp; _xlfn.TEXTJOIN("", TRUE, _xlfn._xlws.SORT(HP5:HX5)) &amp; CHAR(34) &amp; ",", "")</f>
        <v/>
      </c>
      <c r="DM5" s="48" t="str" cm="1">
        <f t="array" ref="DM5">IF(CG5=3,CHAR(34) &amp; _xlfn.TEXTJOIN("", TRUE, RIGHT(HP5:HX5, 2)) &amp; CHAR(34) &amp; ",", "")</f>
        <v/>
      </c>
      <c r="DN5" s="48" t="str">
        <f t="shared" ref="DN5" si="130">IF(AND(ISNUMBER(SEARCH("18", O5)), ISERROR(SEARCH("1918", O5)), ISERROR(SEARCH("2018", O5))), CHAR(34) &amp; "year18" &amp; CHAR(34) &amp; ",", "")</f>
        <v/>
      </c>
      <c r="DO5" s="48" t="str">
        <f t="shared" ref="DO5" si="131">IF(AND(ISNUMBER(SEARCH("19", O5)), ISERROR(SEARCH("1819", O5)),  ISERROR(SEARCH("1219", O5)),ISERROR(SEARCH("1119", O5)),ISERROR(SEARCH("1190", O5)),ISERROR(SEARCH("2019", O5))), CHAR(34) &amp; "year19" &amp; CHAR(34) &amp; ",", "")</f>
        <v/>
      </c>
      <c r="DP5" s="6" t="str">
        <f t="shared" ref="DP5" si="132">IF(AND(ISNUMBER(SEARCH("20", O5)), ISERROR(SEARCH("1920", O5))), CHAR(34)&amp;"year00"&amp;CHAR(34)&amp;",", "")</f>
        <v/>
      </c>
      <c r="DQ5" s="6" t="str">
        <f t="shared" ref="DQ5" si="133">IF(CC5="y",CHAR(34)&amp;"soviet"&amp;CHAR(34)&amp;",","")</f>
        <v/>
      </c>
      <c r="DR5" s="6" t="str">
        <f t="shared" ref="DR5" si="134">IF(BY5="y",CHAR(34)&amp;"dgband"&amp;CHAR(34)&amp;",","")</f>
        <v/>
      </c>
      <c r="DS5" s="6" t="str">
        <f t="shared" ref="DS5" si="135">IF(W5="y",IF(AND(V5="n",BY5&lt;&gt;"y"),CHAR(34)&amp;"allver"&amp;CHAR(34)&amp;",",""),"")</f>
        <v/>
      </c>
      <c r="DT5" s="6" t="str">
        <f t="shared" ref="DT5" si="136">IF(V5="y",IF(AND(W5="n",BY5&lt;&gt;"y"),CHAR(34)&amp;"allhor"&amp;CHAR(34)&amp;",",""),"")</f>
        <v/>
      </c>
      <c r="DU5" s="6" t="str">
        <f t="shared" ref="DU5" si="137">IF(BY5="y",IF(AND(W5="n",V5="n"),CHAR(34)&amp;"alldia"&amp;CHAR(34)&amp;",",""),"")</f>
        <v/>
      </c>
      <c r="DW5" s="48" t="str">
        <f t="shared" si="37"/>
        <v/>
      </c>
      <c r="DX5" s="48" t="str">
        <f t="shared" si="37"/>
        <v>"2Bands",</v>
      </c>
      <c r="DY5" s="48" t="str">
        <f t="shared" si="37"/>
        <v/>
      </c>
      <c r="DZ5" s="48" t="str">
        <f t="shared" si="37"/>
        <v/>
      </c>
      <c r="EA5" s="48" t="str">
        <f t="shared" si="38"/>
        <v/>
      </c>
      <c r="EB5" s="48" t="str">
        <f t="shared" si="38"/>
        <v>"Crosse",</v>
      </c>
      <c r="EC5" s="48" t="str">
        <f t="shared" si="38"/>
        <v>"Horizo",</v>
      </c>
      <c r="ED5" s="48" t="str">
        <f t="shared" si="38"/>
        <v>"Vertic",</v>
      </c>
      <c r="EE5" s="48" t="str">
        <f t="shared" si="38"/>
        <v/>
      </c>
      <c r="EF5" s="48" t="str">
        <f t="shared" ref="EF5" si="138">IF(AND(Y5&lt;&gt;"n",Y5&lt;&gt;""),CHAR(34)&amp;Y$1&amp;CHAR(34)&amp;",","")</f>
        <v/>
      </c>
      <c r="EG5" s="48" t="str">
        <f t="shared" si="40"/>
        <v/>
      </c>
      <c r="EH5" s="48" t="str">
        <f t="shared" si="40"/>
        <v/>
      </c>
      <c r="EI5" s="48" t="str">
        <f t="shared" si="40"/>
        <v/>
      </c>
      <c r="EJ5" s="48" t="str">
        <f t="shared" si="40"/>
        <v/>
      </c>
      <c r="EK5" s="48" t="str">
        <f t="shared" si="40"/>
        <v/>
      </c>
      <c r="EL5" s="48" t="str">
        <f t="shared" si="40"/>
        <v/>
      </c>
      <c r="EM5" s="48" t="str">
        <f t="shared" si="40"/>
        <v/>
      </c>
      <c r="EN5" s="48" t="str">
        <f t="shared" si="40"/>
        <v/>
      </c>
      <c r="EO5" s="48" t="str">
        <f t="shared" si="40"/>
        <v/>
      </c>
      <c r="EP5" s="48" t="str">
        <f t="shared" si="40"/>
        <v/>
      </c>
      <c r="EQ5" s="48" t="str">
        <f t="shared" si="40"/>
        <v>"Nordic",</v>
      </c>
      <c r="ER5" s="48" t="str">
        <f t="shared" si="40"/>
        <v>"OnlyBa",</v>
      </c>
      <c r="ES5" s="48" t="str">
        <f t="shared" si="40"/>
        <v/>
      </c>
      <c r="ET5" s="48" t="str">
        <f t="shared" si="40"/>
        <v/>
      </c>
      <c r="EU5" s="48" t="str">
        <f t="shared" si="40"/>
        <v/>
      </c>
      <c r="EV5" s="48" t="str">
        <f t="shared" si="40"/>
        <v/>
      </c>
      <c r="EW5" s="48" t="str">
        <f t="shared" si="40"/>
        <v/>
      </c>
      <c r="EX5" s="48" t="str">
        <f t="shared" si="40"/>
        <v/>
      </c>
      <c r="EY5" s="48" t="str">
        <f t="shared" si="40"/>
        <v/>
      </c>
      <c r="EZ5" s="48" t="str">
        <f t="shared" si="40"/>
        <v/>
      </c>
      <c r="FA5" s="48" t="str">
        <f t="shared" ref="FA5" si="139">IF(AT5&gt;0,CHAR(34)&amp;"sta"&amp;AZ5&amp;CHAR(34)&amp;",","")</f>
        <v/>
      </c>
      <c r="FB5" s="48" t="str">
        <f t="shared" ref="FB5" si="140">IF(AND(AT5&gt;0,BA5&lt;&gt;""),CHAR(34)&amp;"sta"&amp;BA5&amp;CHAR(34)&amp;",","")</f>
        <v/>
      </c>
      <c r="FD5" s="48" t="str">
        <f t="shared" ref="FD5" si="141">IF(BV5="n",CHAR(34)&amp;"tcWHYE"&amp;CHAR(34)&amp;",",IF(BV5="y",CHAR(34)&amp;FD$1&amp;CHAR(34)&amp;",",""))</f>
        <v/>
      </c>
      <c r="FE5" s="48" t="str">
        <f t="shared" ref="FE5" si="142">IF(COUNTIF(BL5:BT5,"BLU")=0,CHAR(34)&amp;"NO_BLU"&amp;CHAR(34)&amp;",", "")</f>
        <v/>
      </c>
      <c r="FF5" s="48" t="str">
        <f t="shared" ref="FF5" si="143">IF(COUNTIF(BL5:BT5,"WHI")=0,CHAR(34)&amp;"NO_WHI"&amp;CHAR(34)&amp;",", "")</f>
        <v/>
      </c>
      <c r="FG5" s="48" t="str">
        <f t="shared" ref="FG5" si="144">IF(COUNTIF(BL5:BT5,"RED")=0,CHAR(34)&amp;"NO_RED"&amp;CHAR(34)&amp;",", "")</f>
        <v/>
      </c>
      <c r="FH5" s="48" t="str">
        <f t="shared" ref="FH5" si="145">IF(COUNTIF(BL5:BS5,"GRE")=0,CHAR(34)&amp;"NO_GRE"&amp;CHAR(34)&amp;",", "")</f>
        <v/>
      </c>
      <c r="FI5" s="48" t="str">
        <f t="shared" ref="FI5" si="146">IF(COUNTIF(BL5:BT5,"YEL")=0,CHAR(34)&amp;"NO_YEL"&amp;CHAR(34)&amp;",", "")</f>
        <v/>
      </c>
      <c r="FJ5" s="48" t="str">
        <f t="shared" ref="FJ5" si="147">IF(COUNTIF(BL5:BT5,"BLA")=0,CHAR(34)&amp;"NO_BLA"&amp;CHAR(34)&amp;",", "")</f>
        <v>"NO_BLA",</v>
      </c>
      <c r="FK5" s="48" t="str">
        <f t="shared" ref="FK5" si="148">IF(AND(FH5&lt;&gt;"",FF5&lt;&gt;""),CHAR(34)&amp;"WHGRNO"&amp;CHAR(34)&amp;",","")</f>
        <v/>
      </c>
      <c r="FL5" s="48" t="str">
        <f t="shared" ref="FL5" si="149">IF(AND(FI5&lt;&gt;"",FF5&lt;&gt;""),CHAR(34)&amp;"WHYENO"&amp;CHAR(34)&amp;",","")</f>
        <v/>
      </c>
      <c r="FM5" s="48" t="str">
        <f t="shared" ref="FM5" si="150">IF(AND(FJ5&lt;&gt;"",FF5&lt;&gt;""),CHAR(34)&amp;"BAWHNO"&amp;CHAR(34)&amp;",","")</f>
        <v/>
      </c>
      <c r="FN5" s="48" t="str">
        <f t="shared" ref="FN5" si="151">IF(AND(FE5&lt;&gt;"",FF5&lt;&gt;""),CHAR(34)&amp;"BLWHNO"&amp;CHAR(34)&amp;",","")</f>
        <v/>
      </c>
      <c r="FO5" s="48" t="str">
        <f t="shared" ref="FO5" si="152">IF(AND(FE5&lt;&gt;"",FG5&lt;&gt;""),CHAR(34)&amp;"BLRENO"&amp;CHAR(34)&amp;",","")</f>
        <v/>
      </c>
      <c r="FP5" s="48" t="str">
        <f t="shared" ref="FP5" si="153">IF(AND(FF5&lt;&gt;"",FF5&lt;&gt;""),CHAR(34)&amp;"WHRENO"&amp;CHAR(34)&amp;",","")</f>
        <v/>
      </c>
      <c r="FQ5" s="48" t="str">
        <f t="shared" ref="FQ5" si="154">IF(LEN(BF5)=3,CHAR(34)&amp;"001"&amp;BF5&amp;CHAR(34)&amp;",","")</f>
        <v>"001BLU",</v>
      </c>
      <c r="FR5" s="48" t="str">
        <f t="shared" ref="FR5" si="155">IF(LEN(BG5)=3,CHAR(34)&amp;"002"&amp;BG5&amp;CHAR(34)&amp;",","")</f>
        <v>"002GRE",</v>
      </c>
      <c r="FS5" s="48" t="str">
        <f t="shared" ref="FS5" si="156">IF(LEN(BH5)=3,CHAR(34)&amp;"003"&amp;BH5&amp;CHAR(34)&amp;",","")</f>
        <v>"003RED",</v>
      </c>
      <c r="FT5" s="48" t="str">
        <f t="shared" ref="FT5" si="157">CHAR(34)&amp;"myr"&amp;BD5&amp;CHAR(34)&amp;","</f>
        <v>"myrEQ",</v>
      </c>
      <c r="FU5" s="48" t="str">
        <f t="shared" ref="FU5" si="158">IF(AY5="y",CHAR(34)&amp;"island"&amp;CHAR(34)&amp;",","")</f>
        <v/>
      </c>
      <c r="FV5" s="48" t="str">
        <f t="shared" ref="FV5" si="159">IF(BZ5="y",CHAR(34)&amp;"landlo"&amp;CHAR(34)&amp;",","")</f>
        <v/>
      </c>
      <c r="FW5" s="48" t="str">
        <f t="shared" ref="FW5" si="160">IF(CA5="y",CHAR(34)&amp;"eunion"&amp;CHAR(34)&amp;",","")</f>
        <v/>
      </c>
      <c r="FY5" s="48" t="str">
        <f t="shared" ref="FY5" si="161">IFERROR(IF(SEARCH("Arabic",CB5)&gt;0,CHAR(34)&amp;"arabic"&amp;CHAR(34)&amp;",",""),"")</f>
        <v/>
      </c>
      <c r="FZ5" s="48" t="str">
        <f t="shared" ref="FZ5" si="162">IFERROR(IF(SEARCH("English",CB5)&gt;0,CHAR(34)&amp;"englis"&amp;CHAR(34)&amp;",",""),"")</f>
        <v/>
      </c>
      <c r="GA5" s="48" t="str">
        <f t="shared" ref="GA5" si="163">IFERROR(IF(SEARCH("French",CB5)&gt;0,CHAR(34)&amp;"french"&amp;CHAR(34)&amp;",",""),"")</f>
        <v/>
      </c>
      <c r="GB5" s="48" t="str">
        <f t="shared" ref="GB5" si="164">IFERROR(IF(SEARCH("Spanish",CB5)&gt;0,CHAR(34)&amp;"spanis"&amp;CHAR(34)&amp;",",""),"")</f>
        <v/>
      </c>
      <c r="GE5" s="48" t="str">
        <f t="shared" ref="GE5" si="165">IFERROR(IF(SEARCH("Dutch",CB5)&gt;0,CHAR(34)&amp;"dutchs"&amp;CHAR(34)&amp;",",""),"")</f>
        <v/>
      </c>
      <c r="GF5" s="48" t="str">
        <f t="shared" ref="GF5" si="166">IFERROR(IF(SEARCH("Historical",AU5)&gt;0,CHAR(34)&amp;"histor"&amp;CHAR(34)&amp;",",""),"")</f>
        <v/>
      </c>
      <c r="GG5" s="48" t="str">
        <f t="shared" ref="GG5" si="167">IF(BU5="y",CHAR(34)&amp;"unjack"&amp;CHAR(34)&amp;",","")</f>
        <v/>
      </c>
      <c r="GH5" s="48" t="str">
        <f t="shared" ref="GH5" si="168">IF(CD5=1,CHAR(34)&amp;"southc"&amp;CHAR(34)&amp;",","")</f>
        <v/>
      </c>
      <c r="GI5" s="48" t="str">
        <f t="shared" ref="GI5" si="169">IF(CE5=1,CHAR(34)&amp;"hasmap"&amp;CHAR(34)&amp;",","")</f>
        <v>"hasmap",</v>
      </c>
      <c r="GJ5" s="48" t="str">
        <f t="shared" ref="GJ5" si="170">IF(CP5="y",CHAR(34)&amp;CP$1&amp;CHAR(34)&amp;",","")</f>
        <v>"NoStar",</v>
      </c>
      <c r="GK5" s="48" t="str">
        <f t="shared" ref="GK5" si="171">IF(GJ5="",CHAR(34)&amp;"HasSta"&amp;CHAR(34)&amp;",","")</f>
        <v/>
      </c>
      <c r="GL5" s="48" t="str">
        <f t="shared" si="78"/>
        <v/>
      </c>
      <c r="GM5" s="48" t="str">
        <f t="shared" si="78"/>
        <v/>
      </c>
      <c r="GN5" s="48" t="str">
        <f t="shared" si="78"/>
        <v/>
      </c>
      <c r="GP5" s="48" t="str">
        <f t="shared" ref="GP5" si="172">CHAR(34)&amp;AU5&amp;CHAR(34)</f>
        <v>"Municipality"</v>
      </c>
      <c r="GS5" s="48" t="str">
        <f t="shared" ref="GS5" si="173">SUBSTITUTE("["&amp;_xlfn.CONCAT(CW5:GN5)&amp;"]",",]","]")</f>
        <v>["5+Colo","lets09","startA","2Bands","Crosse","Horizo","Vertic","Nordic","OnlyBa","NO_BLA","001BLU","002GRE","003RED","myrEQ","hasmap","NoStar"]</v>
      </c>
      <c r="GT5" s="48" t="str">
        <f t="shared" si="81"/>
        <v/>
      </c>
      <c r="GU5" s="48" t="str">
        <f t="shared" si="81"/>
        <v>"cl_BLU",</v>
      </c>
      <c r="GV5" s="48" t="str">
        <f t="shared" si="81"/>
        <v>"cl_GRE",</v>
      </c>
      <c r="GW5" s="48" t="str">
        <f t="shared" si="81"/>
        <v>"cl_RED",</v>
      </c>
      <c r="GX5" s="48" t="str">
        <f t="shared" si="81"/>
        <v>"cl_YEL",</v>
      </c>
      <c r="GY5" s="48" t="str">
        <f t="shared" si="81"/>
        <v/>
      </c>
      <c r="GZ5" s="48" t="str">
        <f t="shared" si="81"/>
        <v>"cl_BRO",</v>
      </c>
      <c r="HA5" s="48" t="str">
        <f t="shared" si="81"/>
        <v/>
      </c>
      <c r="HB5" s="48" t="str">
        <f t="shared" si="81"/>
        <v>"cl_WHI",</v>
      </c>
      <c r="HC5" s="48" t="str">
        <f t="shared" ref="HC5" si="174">SUBSTITUTE("["&amp;_xlfn.CONCAT(GT5:HB5)&amp;"]",",]","]")</f>
        <v>["cl_BLU","cl_GRE","cl_RED","cl_YEL","cl_BRO","cl_WHI"]</v>
      </c>
      <c r="HE5" s="71"/>
      <c r="HF5" s="72" t="str">
        <f t="shared" ref="HF5" si="175">"{couname:"&amp;CT5&amp;(IF(HK5&lt;&gt;"",",subtype:"&amp;CHAR(34)&amp;HK5&amp;CHAR(34),""))&amp;",year:"&amp;HJ5&amp;",region:"&amp;CU5&amp;",Colors:"&amp;HC5&amp;",Items:"&amp;GS5&amp;",Flag:"&amp;CV5&amp;",HDFlag:"&amp;CHAR(34)&amp;E5&amp;CHAR(34)&amp;",type:"&amp;GP5&amp;", describe: "&amp;HH5&amp;", isnew:"&amp;CHAR(34)&amp;F5&amp;CHAR(34)&amp;", links: "&amp;HL5&amp;"},"</f>
        <v>{couname:"[COL] Andalucia",year:"???",region:"rgn_South America",Colors:["cl_BLU","cl_GRE","cl_RED","cl_YEL","cl_BRO","cl_WHI"],Items:["5+Colo","lets09","startA","2Bands","Crosse","Horizo","Vertic","Nordic","OnlyBa","NO_BLA","001BLU","002GRE","003RED","myrEQ","hasmap","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links: "https://en.wikipedia.org/wiki/Andalucía,_Valle_del_Cauca"},</v>
      </c>
      <c r="HG5" s="73" t="str">
        <f t="shared" ref="HG5" si="176">"{couname:"&amp;CT5&amp;(IF(HK5&lt;&gt;"",",subtype:"&amp;CHAR(34)&amp;HK5&amp;CHAR(34),""))&amp;",year:"&amp;HJ5&amp;",region:"&amp;CU5&amp;",Colors:"&amp;HC5&amp;",Items:"&amp;GS5&amp;",Flag:"&amp;CV5&amp;",HDFlag:"&amp;CHAR(34)&amp;E5&amp;CHAR(34)&amp;",type:"&amp;GP5&amp;", describe: "&amp;HI5&amp;", links: "&amp;HL5&amp;"},"</f>
        <v>{couname:"[COL] Andalucia",year:"???",region:"rgn_South America",Colors:["cl_BLU","cl_GRE","cl_RED","cl_YEL","cl_BRO","cl_WHI"],Items:["5+Colo","lets09","startA","2Bands","Crosse","Horizo","Vertic","Nordic","OnlyBa","NO_BLA","001BLU","002GRE","003RED","myrEQ","hasmap","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links: "https://en.wikipedia.org/wiki/Andalucía,_Valle_del_Cauca"},</v>
      </c>
      <c r="HH5" s="48" t="str">
        <f t="shared" ref="HH5" si="177">IF(P5&lt;&gt;"",CHAR(34)&amp;"\n"&amp;P5&amp;CHAR(34),CHAR(34)&amp;CHAR(34))</f>
        <v>"\nNot available"</v>
      </c>
      <c r="HI5" s="48" t="str">
        <f t="shared" ref="HI5" si="178">IF(J5=0,CHAR(34)&amp;CHAR(34),HH5)</f>
        <v>"\nNot available"</v>
      </c>
      <c r="HJ5" s="48" t="str">
        <f t="shared" ref="HJ5" si="179">CHAR(34)&amp;O5&amp;CHAR(34)</f>
        <v>"???"</v>
      </c>
      <c r="HL5" s="48" t="str">
        <f t="shared" ref="HL5" si="180">CHAR(34)&amp;I5&amp;CHAR(34)</f>
        <v>"https://en.wikipedia.org/wiki/Andalucía,_Valle_del_Cauca"</v>
      </c>
      <c r="HM5" s="72" t="str">
        <f t="shared" ref="HM5" si="181">"{"&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{"couname":"[COL] Andalucia","subtype":"[COL] Valle del Cauca","year":"???","region":"rgn_South America","Colors":["cl_BLU","cl_GRE","cl_RED","cl_YEL","cl_BRO","cl_WHI"],"Items":["5+Colo","lets09","startA","2Bands","Crosse","Horizo","Vertic","Nordic","OnlyBa","NO_BLA","001BLU","002GRE","003RED","myrEQ","hasmap","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 "links": "https://en.wikipedia.org/wiki/Andalucía,_Valle_del_Cauca"},</v>
      </c>
      <c r="HN5" s="74" t="str">
        <f t="shared" ref="HN5" si="182">"{"&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{"couname":"[COL] Andalucia","subtype":"[COL] Valle del Cauca","year":"???","region":"rgn_South America","Colors":["cl_BLU","cl_GRE","cl_RED","cl_YEL","cl_BRO","cl_WHI"],"Items":["5+Colo","lets09","startA","2Bands","Crosse","Horizo","Vertic","Nordic","OnlyBa","NO_BLA","001BLU","002GRE","003RED","myrEQ","hasmap","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 "links": "https://en.wikipedia.org/wiki/Andalucía,_Valle_del_Cauca"},</v>
      </c>
      <c r="HO5" s="75">
        <v>45610</v>
      </c>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BRO</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 t="shared" ref="IM5" si="183">COUNTIF(IC5:IK5,"&gt;0")-CG5</f>
        <v>-6</v>
      </c>
      <c r="IN5" s="78" t="str">
        <f t="shared" ref="IN5" si="184">"http://mkweb.bcgsc.ca/color-summarizer/?url="&amp;D5&amp;"&amp;precision=low&amp;num_clusters="&amp;CG5&amp;"&amp;text=1"</f>
        <v>http://mkweb.bcgsc.ca/color-summarizer/?url=https://upload.wikimedia.org/wikipedia/en/thumb/2/2f/Flag_of_Andaluc%C3%ADa_%28Col%C3%B3mbia%29.svg/640px-Flag_of_Andaluc%C3%ADa_%28Col%C3%B3mbia%29.svg.png&amp;precision=low&amp;num_clusters=6&amp;text=1</v>
      </c>
      <c r="IO5" s="48" t="str">
        <f t="shared" ref="IO5" si="185">IF(HP5&lt;&gt;"",CHAR(34)&amp;"black"&amp;CHAR(34),"")</f>
        <v/>
      </c>
      <c r="IP5" s="48" t="str">
        <f t="shared" ref="IP5" si="186">IF(HQ5&lt;&gt;"",CHAR(34)&amp;"blue"&amp;CHAR(34),"")</f>
        <v>"blue"</v>
      </c>
      <c r="IQ5" s="48" t="str">
        <f t="shared" ref="IQ5" si="187">IF(HR5&lt;&gt;"",CHAR(34)&amp;"green"&amp;CHAR(34),"")</f>
        <v>"green"</v>
      </c>
      <c r="IR5" s="48" t="str">
        <f t="shared" ref="IR5" si="188">IF(HS5&lt;&gt;"",CHAR(34)&amp;"red"&amp;CHAR(34),"")</f>
        <v>"red"</v>
      </c>
      <c r="IS5" s="48" t="str">
        <f t="shared" ref="IS5" si="189">IF(HT5&lt;&gt;"",CHAR(34)&amp;"yellow"&amp;CHAR(34),"")</f>
        <v>"yellow"</v>
      </c>
      <c r="IT5" s="48" t="str">
        <f t="shared" ref="IT5" si="190">IF(HU5&lt;&gt;"",CHAR(34)&amp;"orange"&amp;CHAR(34),"")</f>
        <v/>
      </c>
      <c r="IU5" s="48" t="str">
        <f t="shared" ref="IU5" si="191">IF(HV5&lt;&gt;"",CHAR(34)&amp;"brown"&amp;CHAR(34),"")</f>
        <v>"brown"</v>
      </c>
      <c r="IV5" s="48" t="str">
        <f t="shared" ref="IV5" si="192">IF(HW5&lt;&gt;"",CHAR(34)&amp;"purple"&amp;CHAR(34),"")</f>
        <v/>
      </c>
      <c r="IW5" s="48" t="str">
        <f t="shared" ref="IW5" si="193">IF(HX5&lt;&gt;"",CHAR(34)&amp;"white"&amp;CHAR(34),"")</f>
        <v>"white"</v>
      </c>
      <c r="IX5" s="48" t="str">
        <f t="shared" ref="IX5" si="194">"{"&amp;CHAR(34)&amp;"url"&amp;CHAR(34)&amp;":"&amp;CHAR(34)&amp;IN5&amp;CHAR(34)&amp;","&amp;CHAR(34)&amp;"name"&amp;CHAR(34)&amp;":"&amp;CHAR(34)&amp;A5&amp;CHAR(34)&amp;"},"</f>
        <v>{"url":"http://mkweb.bcgsc.ca/color-summarizer/?url=https://upload.wikimedia.org/wikipedia/en/thumb/2/2f/Flag_of_Andaluc%C3%ADa_%28Col%C3%B3mbia%29.svg/640px-Flag_of_Andaluc%C3%ADa_%28Col%C3%B3mbia%29.svg.png&amp;precision=low&amp;num_clusters=6&amp;text=1","name":"[COL] Andalucia"},</v>
      </c>
      <c r="IY5" s="48">
        <v>1467</v>
      </c>
    </row>
  </sheetData>
  <conditionalFormatting sqref="H1 CW1:GS1 IA1:IB1">
    <cfRule type="cellIs" dxfId="4293" priority="179" operator="greaterThan">
      <formula>0</formula>
    </cfRule>
  </conditionalFormatting>
  <conditionalFormatting sqref="H1">
    <cfRule type="cellIs" dxfId="4292" priority="145" stopIfTrue="1" operator="notEqual">
      <formula>""</formula>
    </cfRule>
  </conditionalFormatting>
  <conditionalFormatting sqref="T1:BK1">
    <cfRule type="cellIs" dxfId="4291" priority="182" operator="greaterThan">
      <formula>0</formula>
    </cfRule>
  </conditionalFormatting>
  <conditionalFormatting sqref="BV1:BW1">
    <cfRule type="cellIs" dxfId="4290" priority="181" operator="equal">
      <formula>"nc"</formula>
    </cfRule>
  </conditionalFormatting>
  <conditionalFormatting sqref="HF1:HG1">
    <cfRule type="cellIs" dxfId="4289" priority="183" operator="greaterThan">
      <formula>0</formula>
    </cfRule>
  </conditionalFormatting>
  <conditionalFormatting sqref="HK1">
    <cfRule type="cellIs" dxfId="4288" priority="180" operator="greaterThan">
      <formula>0</formula>
    </cfRule>
  </conditionalFormatting>
  <conditionalFormatting sqref="HP1:HX1">
    <cfRule type="cellIs" dxfId="4287" priority="157" operator="equal">
      <formula>"PIN"</formula>
    </cfRule>
    <cfRule type="cellIs" dxfId="4286" priority="158" operator="equal">
      <formula>"ORA"</formula>
    </cfRule>
    <cfRule type="cellIs" dxfId="4285" priority="159" operator="equal">
      <formula>"GRA"</formula>
    </cfRule>
    <cfRule type="cellIs" dxfId="4284" priority="160" operator="equal">
      <formula>"PUR"</formula>
    </cfRule>
    <cfRule type="cellIs" dxfId="4283" priority="161" operator="equal">
      <formula>"BRO"</formula>
    </cfRule>
    <cfRule type="cellIs" dxfId="4282" priority="162" operator="equal">
      <formula>"YEL"</formula>
    </cfRule>
    <cfRule type="cellIs" dxfId="4281" priority="163" operator="equal">
      <formula>"BLU"</formula>
    </cfRule>
    <cfRule type="cellIs" dxfId="4280" priority="164" operator="equal">
      <formula>"WHI"</formula>
    </cfRule>
    <cfRule type="cellIs" dxfId="4279" priority="165" operator="equal">
      <formula>"GRE"</formula>
    </cfRule>
    <cfRule type="cellIs" dxfId="4278" priority="166" operator="equal">
      <formula>"RED"</formula>
    </cfRule>
    <cfRule type="cellIs" dxfId="4277" priority="167" operator="equal">
      <formula>"BLA"</formula>
    </cfRule>
  </conditionalFormatting>
  <conditionalFormatting sqref="IC1:IK1">
    <cfRule type="cellIs" dxfId="4276" priority="168" operator="equal">
      <formula>"PIN"</formula>
    </cfRule>
    <cfRule type="cellIs" dxfId="4275" priority="169" operator="equal">
      <formula>"ORA"</formula>
    </cfRule>
    <cfRule type="cellIs" dxfId="4274" priority="170" operator="equal">
      <formula>"GRA"</formula>
    </cfRule>
    <cfRule type="cellIs" dxfId="4273" priority="171" operator="equal">
      <formula>"PUR"</formula>
    </cfRule>
    <cfRule type="cellIs" dxfId="4272" priority="172" operator="equal">
      <formula>"BRO"</formula>
    </cfRule>
    <cfRule type="cellIs" dxfId="4271" priority="173" operator="equal">
      <formula>"YEL"</formula>
    </cfRule>
    <cfRule type="cellIs" dxfId="4270" priority="174" operator="equal">
      <formula>"BLU"</formula>
    </cfRule>
    <cfRule type="cellIs" dxfId="4269" priority="175" operator="equal">
      <formula>"WHI"</formula>
    </cfRule>
    <cfRule type="cellIs" dxfId="4268" priority="176" operator="equal">
      <formula>"GRE"</formula>
    </cfRule>
    <cfRule type="cellIs" dxfId="4267" priority="177" operator="equal">
      <formula>"RED"</formula>
    </cfRule>
    <cfRule type="cellIs" dxfId="4266" priority="178" operator="equal">
      <formula>"BLA"</formula>
    </cfRule>
  </conditionalFormatting>
  <conditionalFormatting sqref="IO1:IW1">
    <cfRule type="cellIs" dxfId="4265" priority="146" operator="equal">
      <formula>"PIN"</formula>
    </cfRule>
    <cfRule type="cellIs" dxfId="4264" priority="147" operator="equal">
      <formula>"ORA"</formula>
    </cfRule>
    <cfRule type="cellIs" dxfId="4263" priority="148" operator="equal">
      <formula>"GRA"</formula>
    </cfRule>
    <cfRule type="cellIs" dxfId="4262" priority="149" operator="equal">
      <formula>"PUR"</formula>
    </cfRule>
    <cfRule type="cellIs" dxfId="4261" priority="150" operator="equal">
      <formula>"BRO"</formula>
    </cfRule>
    <cfRule type="cellIs" dxfId="4260" priority="151" operator="equal">
      <formula>"YEL"</formula>
    </cfRule>
    <cfRule type="cellIs" dxfId="4259" priority="152" operator="equal">
      <formula>"BLU"</formula>
    </cfRule>
    <cfRule type="cellIs" dxfId="4258" priority="153" operator="equal">
      <formula>"WHI"</formula>
    </cfRule>
    <cfRule type="cellIs" dxfId="4257" priority="154" operator="equal">
      <formula>"GRE"</formula>
    </cfRule>
    <cfRule type="cellIs" dxfId="4256" priority="155" operator="equal">
      <formula>"RED"</formula>
    </cfRule>
    <cfRule type="cellIs" dxfId="4255" priority="156" operator="equal">
      <formula>"BLA"</formula>
    </cfRule>
  </conditionalFormatting>
  <conditionalFormatting sqref="H2">
    <cfRule type="cellIs" dxfId="4254" priority="114" stopIfTrue="1" operator="notEqual">
      <formula>""</formula>
    </cfRule>
  </conditionalFormatting>
  <conditionalFormatting sqref="R2 CU2">
    <cfRule type="cellIs" dxfId="4253" priority="116" operator="greaterThan">
      <formula>0</formula>
    </cfRule>
  </conditionalFormatting>
  <conditionalFormatting sqref="T2:AS2 CH2:CS2">
    <cfRule type="cellIs" dxfId="4252" priority="111" stopIfTrue="1" operator="equal">
      <formula>"n"</formula>
    </cfRule>
    <cfRule type="cellIs" dxfId="4251" priority="112" stopIfTrue="1" operator="equal">
      <formula>"y"</formula>
    </cfRule>
    <cfRule type="cellIs" dxfId="4250" priority="113" operator="greaterThan">
      <formula>0</formula>
    </cfRule>
  </conditionalFormatting>
  <conditionalFormatting sqref="AZ2:BB2">
    <cfRule type="expression" dxfId="4249" priority="110">
      <formula>$AT2=0</formula>
    </cfRule>
  </conditionalFormatting>
  <conditionalFormatting sqref="AZ2:BU2">
    <cfRule type="cellIs" dxfId="4248" priority="119" operator="equal">
      <formula>"PIN"</formula>
    </cfRule>
    <cfRule type="cellIs" dxfId="4247" priority="120" operator="equal">
      <formula>"ORA"</formula>
    </cfRule>
    <cfRule type="cellIs" dxfId="4246" priority="121" operator="equal">
      <formula>"GRA"</formula>
    </cfRule>
    <cfRule type="cellIs" dxfId="4245" priority="122" operator="equal">
      <formula>"PUR"</formula>
    </cfRule>
    <cfRule type="cellIs" dxfId="4244" priority="123" operator="equal">
      <formula>"BRO"</formula>
    </cfRule>
    <cfRule type="cellIs" dxfId="4243" priority="124" operator="equal">
      <formula>"YEL"</formula>
    </cfRule>
    <cfRule type="cellIs" dxfId="4242" priority="125" operator="equal">
      <formula>"BLU"</formula>
    </cfRule>
    <cfRule type="cellIs" dxfId="4241" priority="126" operator="equal">
      <formula>"WHI"</formula>
    </cfRule>
    <cfRule type="cellIs" dxfId="4240" priority="127" operator="equal">
      <formula>"GRE"</formula>
    </cfRule>
    <cfRule type="cellIs" dxfId="4239" priority="128" operator="equal">
      <formula>"RED"</formula>
    </cfRule>
    <cfRule type="cellIs" dxfId="4238" priority="129" operator="equal">
      <formula>"BLA"</formula>
    </cfRule>
  </conditionalFormatting>
  <conditionalFormatting sqref="BV2">
    <cfRule type="cellIs" dxfId="4237" priority="141" operator="equal">
      <formula>"nc"</formula>
    </cfRule>
  </conditionalFormatting>
  <conditionalFormatting sqref="BX2:CA2 CD2:CF2">
    <cfRule type="cellIs" dxfId="4236" priority="115" operator="equal">
      <formula>"y"</formula>
    </cfRule>
    <cfRule type="cellIs" dxfId="4235" priority="130" operator="equal">
      <formula>"PIN"</formula>
    </cfRule>
    <cfRule type="cellIs" dxfId="4234" priority="131" operator="equal">
      <formula>"ORA"</formula>
    </cfRule>
    <cfRule type="cellIs" dxfId="4233" priority="132" operator="equal">
      <formula>"GRA"</formula>
    </cfRule>
    <cfRule type="cellIs" dxfId="4232" priority="133" operator="equal">
      <formula>"PUR"</formula>
    </cfRule>
    <cfRule type="cellIs" dxfId="4231" priority="134" operator="equal">
      <formula>"BRO"</formula>
    </cfRule>
    <cfRule type="cellIs" dxfId="4230" priority="135" operator="equal">
      <formula>"YEL"</formula>
    </cfRule>
    <cfRule type="cellIs" dxfId="4229" priority="136" operator="equal">
      <formula>"BLU"</formula>
    </cfRule>
    <cfRule type="cellIs" dxfId="4228" priority="137" operator="equal">
      <formula>"WHI"</formula>
    </cfRule>
    <cfRule type="cellIs" dxfId="4227" priority="138" operator="equal">
      <formula>"GRE"</formula>
    </cfRule>
    <cfRule type="cellIs" dxfId="4226" priority="139" operator="equal">
      <formula>"RED"</formula>
    </cfRule>
    <cfRule type="cellIs" dxfId="4225" priority="140" operator="equal">
      <formula>"BLA"</formula>
    </cfRule>
  </conditionalFormatting>
  <conditionalFormatting sqref="BZ2:CA2 CD2:CF2">
    <cfRule type="cellIs" dxfId="4224" priority="117" operator="greaterThan">
      <formula>0</formula>
    </cfRule>
  </conditionalFormatting>
  <conditionalFormatting sqref="IC2:IK2">
    <cfRule type="expression" dxfId="4223" priority="118">
      <formula>$IL2&gt;0</formula>
    </cfRule>
  </conditionalFormatting>
  <conditionalFormatting sqref="S2">
    <cfRule type="colorScale" priority="142">
      <colorScale>
        <cfvo type="min"/>
        <cfvo type="max"/>
        <color rgb="FFFCFCFF"/>
        <color rgb="FF754BFB"/>
      </colorScale>
    </cfRule>
  </conditionalFormatting>
  <conditionalFormatting sqref="AT2">
    <cfRule type="colorScale" priority="143">
      <colorScale>
        <cfvo type="min"/>
        <cfvo type="max"/>
        <color rgb="FFFCFCFF"/>
        <color theme="8" tint="0.39997558519241921"/>
      </colorScale>
    </cfRule>
  </conditionalFormatting>
  <conditionalFormatting sqref="CG2">
    <cfRule type="colorScale" priority="144">
      <colorScale>
        <cfvo type="min"/>
        <cfvo type="max"/>
        <color rgb="FFFCFCFF"/>
        <color rgb="FF63BE7B"/>
      </colorScale>
    </cfRule>
  </conditionalFormatting>
  <conditionalFormatting sqref="J2">
    <cfRule type="colorScale" priority="109">
      <colorScale>
        <cfvo type="min"/>
        <cfvo type="percentile" val="50"/>
        <cfvo type="max"/>
        <color rgb="FFF8696B"/>
        <color rgb="FFFFEB84"/>
        <color rgb="FF63BE7B"/>
      </colorScale>
    </cfRule>
  </conditionalFormatting>
  <conditionalFormatting sqref="H3">
    <cfRule type="cellIs" dxfId="1727" priority="78" stopIfTrue="1" operator="notEqual">
      <formula>""</formula>
    </cfRule>
  </conditionalFormatting>
  <conditionalFormatting sqref="R3 CU3">
    <cfRule type="cellIs" dxfId="1726" priority="80" operator="greaterThan">
      <formula>0</formula>
    </cfRule>
  </conditionalFormatting>
  <conditionalFormatting sqref="T3:AS3 CH3:CS3">
    <cfRule type="cellIs" dxfId="1725" priority="75" stopIfTrue="1" operator="equal">
      <formula>"n"</formula>
    </cfRule>
    <cfRule type="cellIs" dxfId="1724" priority="76" stopIfTrue="1" operator="equal">
      <formula>"y"</formula>
    </cfRule>
    <cfRule type="cellIs" dxfId="1723" priority="77" operator="greaterThan">
      <formula>0</formula>
    </cfRule>
  </conditionalFormatting>
  <conditionalFormatting sqref="AZ3:BB3">
    <cfRule type="expression" dxfId="1722" priority="74">
      <formula>$AT3=0</formula>
    </cfRule>
  </conditionalFormatting>
  <conditionalFormatting sqref="AZ3:BU3">
    <cfRule type="cellIs" dxfId="1721" priority="83" operator="equal">
      <formula>"PIN"</formula>
    </cfRule>
    <cfRule type="cellIs" dxfId="1720" priority="84" operator="equal">
      <formula>"ORA"</formula>
    </cfRule>
    <cfRule type="cellIs" dxfId="1719" priority="85" operator="equal">
      <formula>"GRA"</formula>
    </cfRule>
    <cfRule type="cellIs" dxfId="1718" priority="86" operator="equal">
      <formula>"PUR"</formula>
    </cfRule>
    <cfRule type="cellIs" dxfId="1717" priority="87" operator="equal">
      <formula>"BRO"</formula>
    </cfRule>
    <cfRule type="cellIs" dxfId="1716" priority="88" operator="equal">
      <formula>"YEL"</formula>
    </cfRule>
    <cfRule type="cellIs" dxfId="1715" priority="89" operator="equal">
      <formula>"BLU"</formula>
    </cfRule>
    <cfRule type="cellIs" dxfId="1714" priority="90" operator="equal">
      <formula>"WHI"</formula>
    </cfRule>
    <cfRule type="cellIs" dxfId="1713" priority="91" operator="equal">
      <formula>"GRE"</formula>
    </cfRule>
    <cfRule type="cellIs" dxfId="1712" priority="92" operator="equal">
      <formula>"RED"</formula>
    </cfRule>
    <cfRule type="cellIs" dxfId="1711" priority="93" operator="equal">
      <formula>"BLA"</formula>
    </cfRule>
  </conditionalFormatting>
  <conditionalFormatting sqref="BV3:BW3">
    <cfRule type="cellIs" dxfId="1710" priority="105" operator="equal">
      <formula>"nc"</formula>
    </cfRule>
  </conditionalFormatting>
  <conditionalFormatting sqref="BX3:CA3 CD3:CF3">
    <cfRule type="cellIs" dxfId="1709" priority="79" operator="equal">
      <formula>"y"</formula>
    </cfRule>
    <cfRule type="cellIs" dxfId="1708" priority="94" operator="equal">
      <formula>"PIN"</formula>
    </cfRule>
    <cfRule type="cellIs" dxfId="1707" priority="95" operator="equal">
      <formula>"ORA"</formula>
    </cfRule>
    <cfRule type="cellIs" dxfId="1706" priority="96" operator="equal">
      <formula>"GRA"</formula>
    </cfRule>
    <cfRule type="cellIs" dxfId="1705" priority="97" operator="equal">
      <formula>"PUR"</formula>
    </cfRule>
    <cfRule type="cellIs" dxfId="1704" priority="98" operator="equal">
      <formula>"BRO"</formula>
    </cfRule>
    <cfRule type="cellIs" dxfId="1703" priority="99" operator="equal">
      <formula>"YEL"</formula>
    </cfRule>
    <cfRule type="cellIs" dxfId="1702" priority="100" operator="equal">
      <formula>"BLU"</formula>
    </cfRule>
    <cfRule type="cellIs" dxfId="1701" priority="101" operator="equal">
      <formula>"WHI"</formula>
    </cfRule>
    <cfRule type="cellIs" dxfId="1700" priority="102" operator="equal">
      <formula>"GRE"</formula>
    </cfRule>
    <cfRule type="cellIs" dxfId="1699" priority="103" operator="equal">
      <formula>"RED"</formula>
    </cfRule>
    <cfRule type="cellIs" dxfId="1698" priority="104" operator="equal">
      <formula>"BLA"</formula>
    </cfRule>
  </conditionalFormatting>
  <conditionalFormatting sqref="BZ3:CA3 CD3:CF3">
    <cfRule type="cellIs" dxfId="1697" priority="81" operator="greaterThan">
      <formula>0</formula>
    </cfRule>
  </conditionalFormatting>
  <conditionalFormatting sqref="IC3:IK3">
    <cfRule type="expression" dxfId="1696" priority="82">
      <formula>$IL3&gt;0</formula>
    </cfRule>
  </conditionalFormatting>
  <conditionalFormatting sqref="S3">
    <cfRule type="colorScale" priority="106">
      <colorScale>
        <cfvo type="min"/>
        <cfvo type="max"/>
        <color rgb="FFFCFCFF"/>
        <color rgb="FF754BFB"/>
      </colorScale>
    </cfRule>
  </conditionalFormatting>
  <conditionalFormatting sqref="AT3">
    <cfRule type="colorScale" priority="107">
      <colorScale>
        <cfvo type="min"/>
        <cfvo type="max"/>
        <color rgb="FFFCFCFF"/>
        <color theme="8" tint="0.39997558519241921"/>
      </colorScale>
    </cfRule>
  </conditionalFormatting>
  <conditionalFormatting sqref="CG3">
    <cfRule type="colorScale" priority="108">
      <colorScale>
        <cfvo type="min"/>
        <cfvo type="max"/>
        <color rgb="FFFCFCFF"/>
        <color rgb="FF63BE7B"/>
      </colorScale>
    </cfRule>
  </conditionalFormatting>
  <conditionalFormatting sqref="J3">
    <cfRule type="colorScale" priority="73">
      <colorScale>
        <cfvo type="min"/>
        <cfvo type="percentile" val="50"/>
        <cfvo type="max"/>
        <color rgb="FFF8696B"/>
        <color rgb="FFFFEB84"/>
        <color rgb="FF63BE7B"/>
      </colorScale>
    </cfRule>
  </conditionalFormatting>
  <conditionalFormatting sqref="H4">
    <cfRule type="cellIs" dxfId="1695" priority="42" stopIfTrue="1" operator="notEqual">
      <formula>""</formula>
    </cfRule>
  </conditionalFormatting>
  <conditionalFormatting sqref="R4 CU4">
    <cfRule type="cellIs" dxfId="1694" priority="44" operator="greaterThan">
      <formula>0</formula>
    </cfRule>
  </conditionalFormatting>
  <conditionalFormatting sqref="T4:AS4 CH4:CS4">
    <cfRule type="cellIs" dxfId="1693" priority="39" stopIfTrue="1" operator="equal">
      <formula>"n"</formula>
    </cfRule>
    <cfRule type="cellIs" dxfId="1692" priority="40" stopIfTrue="1" operator="equal">
      <formula>"y"</formula>
    </cfRule>
    <cfRule type="cellIs" dxfId="1691" priority="41" operator="greaterThan">
      <formula>0</formula>
    </cfRule>
  </conditionalFormatting>
  <conditionalFormatting sqref="AZ4:BB4">
    <cfRule type="expression" dxfId="1690" priority="38">
      <formula>$AT4=0</formula>
    </cfRule>
  </conditionalFormatting>
  <conditionalFormatting sqref="AZ4:BU4">
    <cfRule type="cellIs" dxfId="1689" priority="47" operator="equal">
      <formula>"PIN"</formula>
    </cfRule>
    <cfRule type="cellIs" dxfId="1688" priority="48" operator="equal">
      <formula>"ORA"</formula>
    </cfRule>
    <cfRule type="cellIs" dxfId="1687" priority="49" operator="equal">
      <formula>"GRA"</formula>
    </cfRule>
    <cfRule type="cellIs" dxfId="1686" priority="50" operator="equal">
      <formula>"PUR"</formula>
    </cfRule>
    <cfRule type="cellIs" dxfId="1685" priority="51" operator="equal">
      <formula>"BRO"</formula>
    </cfRule>
    <cfRule type="cellIs" dxfId="1684" priority="52" operator="equal">
      <formula>"YEL"</formula>
    </cfRule>
    <cfRule type="cellIs" dxfId="1683" priority="53" operator="equal">
      <formula>"BLU"</formula>
    </cfRule>
    <cfRule type="cellIs" dxfId="1682" priority="54" operator="equal">
      <formula>"WHI"</formula>
    </cfRule>
    <cfRule type="cellIs" dxfId="1681" priority="55" operator="equal">
      <formula>"GRE"</formula>
    </cfRule>
    <cfRule type="cellIs" dxfId="1680" priority="56" operator="equal">
      <formula>"RED"</formula>
    </cfRule>
    <cfRule type="cellIs" dxfId="1679" priority="57" operator="equal">
      <formula>"BLA"</formula>
    </cfRule>
  </conditionalFormatting>
  <conditionalFormatting sqref="BV4:BW4">
    <cfRule type="cellIs" dxfId="1678" priority="69" operator="equal">
      <formula>"nc"</formula>
    </cfRule>
  </conditionalFormatting>
  <conditionalFormatting sqref="BX4:CA4 CD4:CF4">
    <cfRule type="cellIs" dxfId="1677" priority="43" operator="equal">
      <formula>"y"</formula>
    </cfRule>
    <cfRule type="cellIs" dxfId="1676" priority="58" operator="equal">
      <formula>"PIN"</formula>
    </cfRule>
    <cfRule type="cellIs" dxfId="1675" priority="59" operator="equal">
      <formula>"ORA"</formula>
    </cfRule>
    <cfRule type="cellIs" dxfId="1674" priority="60" operator="equal">
      <formula>"GRA"</formula>
    </cfRule>
    <cfRule type="cellIs" dxfId="1673" priority="61" operator="equal">
      <formula>"PUR"</formula>
    </cfRule>
    <cfRule type="cellIs" dxfId="1672" priority="62" operator="equal">
      <formula>"BRO"</formula>
    </cfRule>
    <cfRule type="cellIs" dxfId="1671" priority="63" operator="equal">
      <formula>"YEL"</formula>
    </cfRule>
    <cfRule type="cellIs" dxfId="1670" priority="64" operator="equal">
      <formula>"BLU"</formula>
    </cfRule>
    <cfRule type="cellIs" dxfId="1669" priority="65" operator="equal">
      <formula>"WHI"</formula>
    </cfRule>
    <cfRule type="cellIs" dxfId="1668" priority="66" operator="equal">
      <formula>"GRE"</formula>
    </cfRule>
    <cfRule type="cellIs" dxfId="1667" priority="67" operator="equal">
      <formula>"RED"</formula>
    </cfRule>
    <cfRule type="cellIs" dxfId="1666" priority="68" operator="equal">
      <formula>"BLA"</formula>
    </cfRule>
  </conditionalFormatting>
  <conditionalFormatting sqref="BZ4:CA4 CD4:CF4">
    <cfRule type="cellIs" dxfId="1665" priority="45" operator="greaterThan">
      <formula>0</formula>
    </cfRule>
  </conditionalFormatting>
  <conditionalFormatting sqref="IC4:IK4">
    <cfRule type="expression" dxfId="1664" priority="46">
      <formula>$IL4&gt;0</formula>
    </cfRule>
  </conditionalFormatting>
  <conditionalFormatting sqref="S4">
    <cfRule type="colorScale" priority="70">
      <colorScale>
        <cfvo type="min"/>
        <cfvo type="max"/>
        <color rgb="FFFCFCFF"/>
        <color rgb="FF754BFB"/>
      </colorScale>
    </cfRule>
  </conditionalFormatting>
  <conditionalFormatting sqref="AT4">
    <cfRule type="colorScale" priority="71">
      <colorScale>
        <cfvo type="min"/>
        <cfvo type="max"/>
        <color rgb="FFFCFCFF"/>
        <color theme="8" tint="0.39997558519241921"/>
      </colorScale>
    </cfRule>
  </conditionalFormatting>
  <conditionalFormatting sqref="CG4">
    <cfRule type="colorScale" priority="72">
      <colorScale>
        <cfvo type="min"/>
        <cfvo type="max"/>
        <color rgb="FFFCFCFF"/>
        <color rgb="FF63BE7B"/>
      </colorScale>
    </cfRule>
  </conditionalFormatting>
  <conditionalFormatting sqref="J4">
    <cfRule type="colorScale" priority="37">
      <colorScale>
        <cfvo type="min"/>
        <cfvo type="percentile" val="50"/>
        <cfvo type="max"/>
        <color rgb="FFF8696B"/>
        <color rgb="FFFFEB84"/>
        <color rgb="FF63BE7B"/>
      </colorScale>
    </cfRule>
  </conditionalFormatting>
  <conditionalFormatting sqref="H5">
    <cfRule type="cellIs" dxfId="127" priority="5" stopIfTrue="1" operator="notEqual">
      <formula>""</formula>
    </cfRule>
  </conditionalFormatting>
  <conditionalFormatting sqref="R5 CU5">
    <cfRule type="cellIs" dxfId="126" priority="7" operator="greaterThan">
      <formula>0</formula>
    </cfRule>
  </conditionalFormatting>
  <conditionalFormatting sqref="T5:AS5 CH5:CS5">
    <cfRule type="cellIs" dxfId="125" priority="2" stopIfTrue="1" operator="equal">
      <formula>"n"</formula>
    </cfRule>
    <cfRule type="cellIs" dxfId="124" priority="3" stopIfTrue="1" operator="equal">
      <formula>"y"</formula>
    </cfRule>
    <cfRule type="cellIs" dxfId="123" priority="4" operator="greaterThan">
      <formula>0</formula>
    </cfRule>
  </conditionalFormatting>
  <conditionalFormatting sqref="AZ5:BB5">
    <cfRule type="expression" dxfId="122" priority="1">
      <formula>$AT5=0</formula>
    </cfRule>
  </conditionalFormatting>
  <conditionalFormatting sqref="AZ5:BU5">
    <cfRule type="cellIs" dxfId="121" priority="10" operator="equal">
      <formula>"PIN"</formula>
    </cfRule>
    <cfRule type="cellIs" dxfId="120" priority="11" operator="equal">
      <formula>"ORA"</formula>
    </cfRule>
    <cfRule type="cellIs" dxfId="119" priority="12" operator="equal">
      <formula>"GRA"</formula>
    </cfRule>
    <cfRule type="cellIs" dxfId="118" priority="13" operator="equal">
      <formula>"PUR"</formula>
    </cfRule>
    <cfRule type="cellIs" dxfId="117" priority="14" operator="equal">
      <formula>"BRO"</formula>
    </cfRule>
    <cfRule type="cellIs" dxfId="116" priority="15" operator="equal">
      <formula>"YEL"</formula>
    </cfRule>
    <cfRule type="cellIs" dxfId="115" priority="16" operator="equal">
      <formula>"BLU"</formula>
    </cfRule>
    <cfRule type="cellIs" dxfId="114" priority="17" operator="equal">
      <formula>"WHI"</formula>
    </cfRule>
    <cfRule type="cellIs" dxfId="113" priority="18" operator="equal">
      <formula>"GRE"</formula>
    </cfRule>
    <cfRule type="cellIs" dxfId="112" priority="19" operator="equal">
      <formula>"RED"</formula>
    </cfRule>
    <cfRule type="cellIs" dxfId="111" priority="20" operator="equal">
      <formula>"BLA"</formula>
    </cfRule>
  </conditionalFormatting>
  <conditionalFormatting sqref="BV5">
    <cfRule type="cellIs" dxfId="110" priority="32" operator="equal">
      <formula>"nc"</formula>
    </cfRule>
  </conditionalFormatting>
  <conditionalFormatting sqref="BX5:CA5 CD5:CF5">
    <cfRule type="cellIs" dxfId="109" priority="6" operator="equal">
      <formula>"y"</formula>
    </cfRule>
    <cfRule type="cellIs" dxfId="108" priority="21" operator="equal">
      <formula>"PIN"</formula>
    </cfRule>
    <cfRule type="cellIs" dxfId="107" priority="22" operator="equal">
      <formula>"ORA"</formula>
    </cfRule>
    <cfRule type="cellIs" dxfId="106" priority="23" operator="equal">
      <formula>"GRA"</formula>
    </cfRule>
    <cfRule type="cellIs" dxfId="105" priority="24" operator="equal">
      <formula>"PUR"</formula>
    </cfRule>
    <cfRule type="cellIs" dxfId="104" priority="25" operator="equal">
      <formula>"BRO"</formula>
    </cfRule>
    <cfRule type="cellIs" dxfId="103" priority="26" operator="equal">
      <formula>"YEL"</formula>
    </cfRule>
    <cfRule type="cellIs" dxfId="102" priority="27" operator="equal">
      <formula>"BLU"</formula>
    </cfRule>
    <cfRule type="cellIs" dxfId="101" priority="28" operator="equal">
      <formula>"WHI"</formula>
    </cfRule>
    <cfRule type="cellIs" dxfId="100" priority="29" operator="equal">
      <formula>"GRE"</formula>
    </cfRule>
    <cfRule type="cellIs" dxfId="99" priority="30" operator="equal">
      <formula>"RED"</formula>
    </cfRule>
    <cfRule type="cellIs" dxfId="98" priority="31" operator="equal">
      <formula>"BLA"</formula>
    </cfRule>
  </conditionalFormatting>
  <conditionalFormatting sqref="BZ5:CA5 CD5:CF5">
    <cfRule type="cellIs" dxfId="97" priority="8" operator="greaterThan">
      <formula>0</formula>
    </cfRule>
  </conditionalFormatting>
  <conditionalFormatting sqref="IC5:IK5">
    <cfRule type="expression" dxfId="96" priority="9">
      <formula>$IL5&gt;0</formula>
    </cfRule>
  </conditionalFormatting>
  <conditionalFormatting sqref="J5">
    <cfRule type="colorScale" priority="33">
      <colorScale>
        <cfvo type="min"/>
        <cfvo type="percentile" val="50"/>
        <cfvo type="max"/>
        <color rgb="FFF8696B"/>
        <color rgb="FFFFEB84"/>
        <color rgb="FF63BE7B"/>
      </colorScale>
    </cfRule>
  </conditionalFormatting>
  <conditionalFormatting sqref="S5">
    <cfRule type="colorScale" priority="34">
      <colorScale>
        <cfvo type="min"/>
        <cfvo type="max"/>
        <color rgb="FFFCFCFF"/>
        <color rgb="FF754BFB"/>
      </colorScale>
    </cfRule>
  </conditionalFormatting>
  <conditionalFormatting sqref="AT5">
    <cfRule type="colorScale" priority="35">
      <colorScale>
        <cfvo type="min"/>
        <cfvo type="max"/>
        <color rgb="FFFCFCFF"/>
        <color theme="8" tint="0.39997558519241921"/>
      </colorScale>
    </cfRule>
  </conditionalFormatting>
  <conditionalFormatting sqref="CG5">
    <cfRule type="colorScale" priority="36">
      <colorScale>
        <cfvo type="min"/>
        <cfvo type="max"/>
        <color rgb="FFFCFCFF"/>
        <color rgb="FF63BE7B"/>
      </colorScale>
    </cfRule>
  </conditionalFormatting>
  <hyperlinks>
    <hyperlink ref="A2" r:id="rId1" display="https://fbref.com/en/country/COL/Colombia-Football" xr:uid="{5A041E17-323A-43E4-A629-CC1AB8CF2D92}"/>
    <hyperlink ref="E2" r:id="rId2" xr:uid="{AAE0CA9A-3FF7-493B-A4AD-DAADE793B3B3}"/>
    <hyperlink ref="A4" r:id="rId3" display="https://fbref.com/en/country/SCO/Scotland-Football" xr:uid="{BBA32F5D-69EB-432A-92BC-AB79C764629B}"/>
    <hyperlink ref="E5" r:id="rId4" xr:uid="{6304B588-34E9-419A-968C-AB144443E347}"/>
    <hyperlink ref="D5" r:id="rId5" xr:uid="{503AA35E-967D-4CAC-ABD9-8AE798113EB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5A137-A272-4E65-B99F-5C4CBCB80406}">
  <dimension ref="A1:IY6"/>
  <sheetViews>
    <sheetView zoomScale="70" zoomScaleNormal="70" workbookViewId="0">
      <selection activeCell="A6" sqref="A6:XFD6"/>
    </sheetView>
  </sheetViews>
  <sheetFormatPr defaultRowHeight="14.4" x14ac:dyDescent="0.3"/>
  <cols>
    <col min="1" max="1" width="24.33203125" customWidth="1"/>
    <col min="2" max="2" width="10.109375" customWidth="1"/>
    <col min="3" max="3" width="9" bestFit="1" customWidth="1"/>
    <col min="7" max="7" width="9" bestFit="1" customWidth="1"/>
    <col min="11" max="11" width="9.88671875" bestFit="1" customWidth="1"/>
    <col min="12" max="12" width="9" bestFit="1" customWidth="1"/>
    <col min="17" max="17" width="9" bestFit="1" customWidth="1"/>
    <col min="19" max="19" width="9" bestFit="1"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203</v>
      </c>
      <c r="B2" s="40" t="e" vm="74">
        <v>#VALUE!</v>
      </c>
      <c r="C2" s="41">
        <v>1</v>
      </c>
      <c r="D2" s="42" t="s">
        <v>204</v>
      </c>
      <c r="E2" s="43" t="s">
        <v>205</v>
      </c>
      <c r="F2" s="44" t="s">
        <v>166</v>
      </c>
      <c r="G2" s="45">
        <f>COUNTIF($A$1:$A$8285,A2)</f>
        <v>1</v>
      </c>
      <c r="H2" s="46"/>
      <c r="I2" s="47" t="s">
        <v>206</v>
      </c>
      <c r="J2" s="48" t="str">
        <f>""</f>
        <v/>
      </c>
      <c r="K2" s="49">
        <v>18100000</v>
      </c>
      <c r="L2" s="50">
        <v>1423320</v>
      </c>
      <c r="M2" s="50" t="s">
        <v>207</v>
      </c>
      <c r="N2" s="51" t="s">
        <v>169</v>
      </c>
      <c r="O2" s="52" t="s">
        <v>208</v>
      </c>
      <c r="P2" s="53" t="s">
        <v>209</v>
      </c>
      <c r="Q2" s="54">
        <v>1</v>
      </c>
      <c r="R2" s="55" t="s">
        <v>169</v>
      </c>
      <c r="S2" s="56">
        <v>3</v>
      </c>
      <c r="T2" s="57" t="s">
        <v>172</v>
      </c>
      <c r="U2" s="58" t="s">
        <v>172</v>
      </c>
      <c r="V2" s="58" t="s">
        <v>173</v>
      </c>
      <c r="W2" s="58" t="s">
        <v>172</v>
      </c>
      <c r="X2" s="58" t="s">
        <v>173</v>
      </c>
      <c r="Y2" s="58" t="s">
        <v>173</v>
      </c>
      <c r="Z2" s="58" t="s">
        <v>173</v>
      </c>
      <c r="AA2" s="58" t="s">
        <v>173</v>
      </c>
      <c r="AB2" s="58" t="s">
        <v>172</v>
      </c>
      <c r="AC2" s="58" t="s">
        <v>173</v>
      </c>
      <c r="AD2" s="58" t="s">
        <v>173</v>
      </c>
      <c r="AE2" s="58" t="s">
        <v>172</v>
      </c>
      <c r="AF2" s="59" t="s">
        <v>172</v>
      </c>
      <c r="AG2" s="59" t="s">
        <v>173</v>
      </c>
      <c r="AH2" s="59" t="s">
        <v>173</v>
      </c>
      <c r="AI2" s="59" t="s">
        <v>172</v>
      </c>
      <c r="AJ2" s="59" t="s">
        <v>172</v>
      </c>
      <c r="AK2" s="59" t="s">
        <v>172</v>
      </c>
      <c r="AL2" s="59" t="s">
        <v>173</v>
      </c>
      <c r="AM2" s="59" t="s">
        <v>173</v>
      </c>
      <c r="AN2" s="59" t="s">
        <v>173</v>
      </c>
      <c r="AO2" s="59" t="s">
        <v>172</v>
      </c>
      <c r="AP2" s="59" t="s">
        <v>173</v>
      </c>
      <c r="AQ2" s="59" t="s">
        <v>172</v>
      </c>
      <c r="AR2" s="59" t="s">
        <v>172</v>
      </c>
      <c r="AS2" s="59" t="s">
        <v>173</v>
      </c>
      <c r="AT2" s="60">
        <v>0</v>
      </c>
      <c r="AU2" s="59"/>
      <c r="AV2" s="59" t="str">
        <f>IF(LEFT(A2,1)="[",LEFT(A2,5)&amp;AU2&amp;A2,"")</f>
        <v/>
      </c>
      <c r="AW2" s="59" t="str">
        <f>C2&amp;A2</f>
        <v>1Ecuador</v>
      </c>
      <c r="AX2" s="61"/>
      <c r="AY2" s="61"/>
      <c r="AZ2" s="62" t="s">
        <v>159</v>
      </c>
      <c r="BA2" s="62"/>
      <c r="BB2" s="62"/>
      <c r="BC2" s="63"/>
      <c r="BD2" s="64" t="s">
        <v>157</v>
      </c>
      <c r="BE2" s="47"/>
      <c r="BF2" s="64" t="s">
        <v>151</v>
      </c>
      <c r="BG2" s="64" t="s">
        <v>174</v>
      </c>
      <c r="BH2" s="64" t="s">
        <v>157</v>
      </c>
      <c r="BI2" s="64"/>
      <c r="BJ2" s="64"/>
      <c r="BK2" s="47"/>
      <c r="BL2" s="64" t="s">
        <v>151</v>
      </c>
      <c r="BM2" s="64" t="s">
        <v>174</v>
      </c>
      <c r="BN2" s="64" t="s">
        <v>174</v>
      </c>
      <c r="BO2" s="64" t="s">
        <v>174</v>
      </c>
      <c r="BP2" s="64" t="s">
        <v>174</v>
      </c>
      <c r="BQ2" s="64" t="s">
        <v>174</v>
      </c>
      <c r="BR2" s="64" t="s">
        <v>157</v>
      </c>
      <c r="BS2" s="64" t="s">
        <v>174</v>
      </c>
      <c r="BT2" s="64" t="s">
        <v>159</v>
      </c>
      <c r="BU2" s="65"/>
      <c r="BV2" s="66"/>
      <c r="BW2" s="66">
        <v>0</v>
      </c>
      <c r="BX2" s="47"/>
      <c r="CB2" s="6"/>
      <c r="CC2" s="6"/>
      <c r="CD2" s="67">
        <v>1</v>
      </c>
      <c r="CE2" s="67">
        <v>0</v>
      </c>
      <c r="CF2" s="67" t="e">
        <v>#REF!</v>
      </c>
      <c r="CG2" s="68" cm="1">
        <f t="array" ref="CG2">SUMPRODUCT(--(LEN(TRIM(BL2:BT2))&gt;0))</f>
        <v>3</v>
      </c>
      <c r="CH2" s="59" t="str">
        <f t="shared" ref="CH2" si="0">IF(CG2=2,"y","n")</f>
        <v>n</v>
      </c>
      <c r="CI2" s="59" t="str">
        <f t="shared" ref="CI2" si="1">IF(CG2=3,"y","n")</f>
        <v>y</v>
      </c>
      <c r="CJ2" s="59" t="str">
        <f t="shared" ref="CJ2" si="2">IF(CG2=4,"y","n")</f>
        <v>n</v>
      </c>
      <c r="CK2" s="59" t="str">
        <f t="shared" ref="CK2" si="3">IF(CG2&gt;4,"y","n")</f>
        <v>n</v>
      </c>
      <c r="CL2" s="59" t="str">
        <f t="shared" ref="CL2" si="4">IF(S2=0,"y","n")</f>
        <v>n</v>
      </c>
      <c r="CM2" s="59" t="str">
        <f t="shared" ref="CM2" si="5">IF(S2=2,"y","n")</f>
        <v>n</v>
      </c>
      <c r="CN2" s="59" t="str">
        <f t="shared" ref="CN2" si="6">IF(S2=3,"y","n")</f>
        <v>y</v>
      </c>
      <c r="CO2" s="59" t="str">
        <f t="shared" ref="CO2" si="7">IF(S2&gt;=4,"y","n")</f>
        <v>n</v>
      </c>
      <c r="CP2" s="59" t="str">
        <f t="shared" ref="CP2" si="8">IF(AT2=0,"y","n")</f>
        <v>y</v>
      </c>
      <c r="CQ2" s="59" t="str">
        <f t="shared" ref="CQ2" si="9">IF(AT2=1,"y","n")</f>
        <v>n</v>
      </c>
      <c r="CR2" s="59" t="str">
        <f t="shared" ref="CR2" si="10">IF(AT2=2,"y","n")</f>
        <v>n</v>
      </c>
      <c r="CS2" s="59" t="str">
        <f t="shared" ref="CS2" si="11">IF(AT2&gt;=3,"y","n")</f>
        <v>n</v>
      </c>
      <c r="CT2" s="69" t="str">
        <f t="shared" ref="CT2" si="12">CHAR(34)&amp;A2&amp;CHAR(34)</f>
        <v>"Ecuador"</v>
      </c>
      <c r="CU2" s="70" t="str">
        <f t="shared" ref="CU2" si="13">CHAR(34)&amp;"rgn_"&amp;R2&amp;CHAR(34)</f>
        <v>"rgn_South America"</v>
      </c>
      <c r="CV2" s="48" t="str">
        <f t="shared" ref="CV2" si="14">CHAR(34)&amp;D2&amp;CHAR(34)</f>
        <v>"https://i.ibb.co/TbYwmWF/Ecuador-Flag.png"</v>
      </c>
      <c r="CW2" s="48" t="str">
        <f t="shared" ref="CW2:CZ6" si="15">IF(CH2="y",CHAR(34)&amp;CH$1&amp;CHAR(34)&amp;",","")</f>
        <v/>
      </c>
      <c r="CX2" s="48" t="str">
        <f t="shared" si="15"/>
        <v>"3Color",</v>
      </c>
      <c r="CY2" s="48" t="str">
        <f t="shared" si="15"/>
        <v/>
      </c>
      <c r="CZ2" s="48" t="str">
        <f t="shared" si="15"/>
        <v/>
      </c>
      <c r="DA2" s="48" t="str">
        <f t="shared" ref="DA2" si="16">IF(Q2&gt;1,CHAR(34)&amp;"words2"&amp;CHAR(34)&amp;",","")</f>
        <v/>
      </c>
      <c r="DB2" s="48" t="str">
        <f t="shared" ref="DB2" si="17">IF(Q2&gt;2,CHAR(34)&amp;"words3"&amp;CHAR(34)&amp;",","")</f>
        <v/>
      </c>
      <c r="DC2" s="48" t="str">
        <f t="shared" ref="DC2" si="18">IF(Q2=2,CHAR(34)&amp;"exact2"&amp;CHAR(34)&amp;",","")</f>
        <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"startE",</v>
      </c>
      <c r="DF2" s="48" t="str">
        <f t="shared" ref="DF2" si="21">IFERROR(IF(SEARCH("tan",A2)&gt;0,CHAR(34)&amp;"withtn"&amp;CHAR(34)&amp;",",""),"")</f>
        <v/>
      </c>
      <c r="DG2" s="48" t="str">
        <f t="shared" ref="DG2" si="22">IFERROR(IF(SEARCH("q",A2)&gt;0,CHAR(34)&amp;"with_q"&amp;CHAR(34)&amp;",",""),"")</f>
        <v/>
      </c>
      <c r="DH2" s="48" t="str">
        <f t="shared" ref="DH2" si="23">IFERROR(IF(SEARCH("v",A2)&gt;0,CHAR(34)&amp;"with_v"&amp;CHAR(34)&amp;",",""),"")</f>
        <v/>
      </c>
      <c r="DI2" s="48" t="str">
        <f t="shared" ref="DI2" si="24">IFERROR(IF(SEARCH("w",A2)&gt;0,CHAR(34)&amp;"with_w"&amp;CHAR(34)&amp;",",""),"")</f>
        <v/>
      </c>
      <c r="DJ2" s="48" t="str">
        <f t="shared" ref="DJ2" si="25">IFERROR(IF(SEARCH("y",A2)&gt;0,CHAR(34)&amp;"with_y"&amp;CHAR(34)&amp;",",""),"")</f>
        <v/>
      </c>
      <c r="DK2" s="48" t="str">
        <f t="shared" ref="DK2" si="26">IFERROR(IF(SEARCH("z",A2)&gt;0,CHAR(34)&amp;"with_z"&amp;CHAR(34)&amp;",",""),"")</f>
        <v/>
      </c>
      <c r="DL2" s="48" t="str">
        <f t="shared" ref="DL2" si="27">IF(CG2=2, CHAR(34) &amp; _xlfn.TEXTJOIN("", TRUE, _xlfn._xlws.SORT(HP2:HX2)) &amp; CHAR(34) &amp; ",", "")</f>
        <v/>
      </c>
      <c r="DM2" s="48" t="str" cm="1">
        <f t="array" ref="DM2">IF(CG2=3,CHAR(34) &amp; _xlfn.TEXTJOIN("", TRUE, RIGHT(HP2:HX2, 2)) &amp; CHAR(34) &amp; ",", "")</f>
        <v>"LAROHI",</v>
      </c>
      <c r="DN2" s="48" t="str">
        <f t="shared" ref="DN2" si="28">IF(AND(ISNUMBER(SEARCH("18", O2)), ISERROR(SEARCH("1918", O2)), ISERROR(SEARCH("2018", O2))), CHAR(34) &amp; "year18" &amp; CHAR(34) &amp; ",", "")</f>
        <v>"year18",</v>
      </c>
      <c r="DO2" s="48" t="str">
        <f t="shared" ref="DO2" si="29">IF(AND(ISNUMBER(SEARCH("19", O2)), ISERROR(SEARCH("1819", O2)),  ISERROR(SEARCH("1219", O2)),ISERROR(SEARCH("1119", O2)),ISERROR(SEARCH("1190", O2)),ISERROR(SEARCH("2019", O2))), CHAR(34) &amp; "year19" &amp; CHAR(34) &amp; ",", "")</f>
        <v>"year19",</v>
      </c>
      <c r="DP2" s="6" t="str">
        <f t="shared" ref="DP2" si="30">IF(AND(ISNUMBER(SEARCH("20", O2)), ISERROR(SEARCH("1920", O2))), CHAR(34)&amp;"year00"&amp;CHAR(34)&amp;",", "")</f>
        <v>"year00",</v>
      </c>
      <c r="DQ2" s="6" t="str">
        <f t="shared" ref="DQ2" si="31">IF(CC2="y",CHAR(34)&amp;"soviet"&amp;CHAR(34)&amp;",","")</f>
        <v/>
      </c>
      <c r="DR2" s="6" t="str">
        <f t="shared" ref="DR2" si="32">IF(BY2="y",CHAR(34)&amp;"dgband"&amp;CHAR(34)&amp;",","")</f>
        <v/>
      </c>
      <c r="DS2" s="6" t="str">
        <f t="shared" ref="DS2" si="33">IF(W2="y",IF(AND(V2="n",BY2&lt;&gt;"y"),CHAR(34)&amp;"allver"&amp;CHAR(34)&amp;",",""),"")</f>
        <v/>
      </c>
      <c r="DT2" s="6" t="str">
        <f t="shared" ref="DT2" si="34">IF(V2="y",IF(AND(W2="n",BY2&lt;&gt;"y"),CHAR(34)&amp;"allhor"&amp;CHAR(34)&amp;",",""),"")</f>
        <v>"allhor",</v>
      </c>
      <c r="DU2" s="6" t="str">
        <f t="shared" ref="DU2" si="35">IF(BY2="y",IF(AND(W2="n",V2="n"),CHAR(34)&amp;"alldia"&amp;CHAR(34)&amp;",",""),"")</f>
        <v/>
      </c>
      <c r="DV2" s="48" t="str">
        <f t="shared" ref="DV2" si="36">IF(IA2&lt;&gt;"",(IF(IA2="y",CHAR(34)&amp;"largec"&amp;CHAR(34)&amp;",",CHAR(34)&amp;"smallc"&amp;CHAR(34)&amp;",")),"")</f>
        <v/>
      </c>
      <c r="DW2" s="48" t="str">
        <f t="shared" ref="DW2:DZ6" si="37">IF(CL2="y",CHAR(34)&amp;CL$1&amp;CHAR(34)&amp;",","")</f>
        <v/>
      </c>
      <c r="DX2" s="48" t="str">
        <f t="shared" si="37"/>
        <v/>
      </c>
      <c r="DY2" s="48" t="str">
        <f t="shared" si="37"/>
        <v>"3Bands",</v>
      </c>
      <c r="DZ2" s="48" t="str">
        <f t="shared" si="37"/>
        <v/>
      </c>
      <c r="EA2" s="48" t="str">
        <f t="shared" ref="EA2:EE6" si="38">IF(T2="y",CHAR(34)&amp;T$1&amp;CHAR(34)&amp;",","")</f>
        <v/>
      </c>
      <c r="EB2" s="48" t="str">
        <f t="shared" si="38"/>
        <v/>
      </c>
      <c r="EC2" s="48" t="str">
        <f t="shared" si="38"/>
        <v>"Horizo",</v>
      </c>
      <c r="ED2" s="48" t="str">
        <f t="shared" si="38"/>
        <v/>
      </c>
      <c r="EE2" s="48" t="str">
        <f t="shared" si="38"/>
        <v>"Circle",</v>
      </c>
      <c r="EF2" s="48" t="str">
        <f t="shared" ref="EF2" si="39">IF(AND(Y2&lt;&gt;"n",Y2&lt;&gt;""),CHAR(34)&amp;Y$1&amp;CHAR(34)&amp;",","")</f>
        <v>"Animal",</v>
      </c>
      <c r="EG2" s="48" t="str">
        <f t="shared" ref="EG2:EZ6" si="40">IF(Z2="y",CHAR(34)&amp;Z$1&amp;CHAR(34)&amp;",","")</f>
        <v>"Bird",</v>
      </c>
      <c r="EH2" s="48" t="str">
        <f t="shared" si="40"/>
        <v>"Plants",</v>
      </c>
      <c r="EI2" s="48" t="str">
        <f t="shared" si="40"/>
        <v/>
      </c>
      <c r="EJ2" s="48" t="str">
        <f t="shared" si="40"/>
        <v>"Weapon",</v>
      </c>
      <c r="EK2" s="48" t="str">
        <f t="shared" si="40"/>
        <v>"HasSun",</v>
      </c>
      <c r="EL2" s="48" t="str">
        <f t="shared" si="40"/>
        <v/>
      </c>
      <c r="EM2" s="48" t="str">
        <f t="shared" si="40"/>
        <v/>
      </c>
      <c r="EN2" s="48" t="str">
        <f t="shared" si="40"/>
        <v>"Unequa",</v>
      </c>
      <c r="EO2" s="48" t="str">
        <f t="shared" si="40"/>
        <v>"Center",</v>
      </c>
      <c r="EP2" s="48" t="str">
        <f t="shared" si="40"/>
        <v/>
      </c>
      <c r="EQ2" s="48" t="str">
        <f t="shared" si="40"/>
        <v/>
      </c>
      <c r="ER2" s="48" t="str">
        <f t="shared" si="40"/>
        <v/>
      </c>
      <c r="ES2" s="48" t="str">
        <f t="shared" si="40"/>
        <v>"Wavess",</v>
      </c>
      <c r="ET2" s="48" t="str">
        <f t="shared" si="40"/>
        <v>"Geogrh",</v>
      </c>
      <c r="EU2" s="48" t="str">
        <f t="shared" si="40"/>
        <v>"Humans",</v>
      </c>
      <c r="EV2" s="48" t="str">
        <f t="shared" si="40"/>
        <v/>
      </c>
      <c r="EW2" s="48" t="str">
        <f t="shared" si="40"/>
        <v>"Ships!",</v>
      </c>
      <c r="EX2" s="48" t="str">
        <f t="shared" si="40"/>
        <v/>
      </c>
      <c r="EY2" s="48" t="str">
        <f t="shared" si="40"/>
        <v/>
      </c>
      <c r="EZ2" s="48" t="str">
        <f t="shared" si="40"/>
        <v>"Waters",</v>
      </c>
      <c r="FA2" s="48" t="str">
        <f t="shared" ref="FA2" si="41">IF(AT2&gt;0,CHAR(34)&amp;"sta"&amp;AZ2&amp;CHAR(34)&amp;",","")</f>
        <v/>
      </c>
      <c r="FB2" s="48" t="str">
        <f t="shared" ref="FB2" si="42">IF(AND(AT2&gt;0,BA2&lt;&gt;""),CHAR(34)&amp;"sta"&amp;BA2&amp;CHAR(34)&amp;",","")</f>
        <v/>
      </c>
      <c r="FC2" s="48" t="str">
        <f t="shared" ref="FC2" si="43">IF(AND(AT2&gt;0,BB2&lt;&gt;""),CHAR(34)&amp;"sta"&amp;BB2&amp;CHAR(34)&amp;",","")</f>
        <v/>
      </c>
      <c r="FD2" s="48" t="str">
        <f t="shared" ref="FD2" si="44">IF(BV2="n",CHAR(34)&amp;"tcWHYE"&amp;CHAR(34)&amp;",",IF(BV2="y",CHAR(34)&amp;FD$1&amp;CHAR(34)&amp;",",""))</f>
        <v/>
      </c>
      <c r="FE2" s="48" t="str">
        <f t="shared" ref="FE2" si="45">IF(COUNTIF(BL2:BT2,"BLU")=0,CHAR(34)&amp;"NO_BLU"&amp;CHAR(34)&amp;",", "")</f>
        <v>"NO_BLU",</v>
      </c>
      <c r="FF2" s="48" t="str">
        <f t="shared" ref="FF2" si="46">IF(COUNTIF(BL2:BT2,"WHI")=0,CHAR(34)&amp;"NO_WHI"&amp;CHAR(34)&amp;",", "")</f>
        <v/>
      </c>
      <c r="FG2" s="48" t="str">
        <f t="shared" ref="FG2" si="47">IF(COUNTIF(BL2:BT2,"RED")=0,CHAR(34)&amp;"NO_RED"&amp;CHAR(34)&amp;",", "")</f>
        <v>"NO_RED",</v>
      </c>
      <c r="FH2" s="48" t="str">
        <f t="shared" ref="FH2" si="48">IF(COUNTIF(BL2:BS2,"GRE")=0,CHAR(34)&amp;"NO_GRE"&amp;CHAR(34)&amp;",", "")</f>
        <v>"NO_GRE",</v>
      </c>
      <c r="FI2" s="48" t="str">
        <f t="shared" ref="FI2" si="49">IF(COUNTIF(BL2:BT2,"YEL")=0,CHAR(34)&amp;"NO_YEL"&amp;CHAR(34)&amp;",", "")</f>
        <v>"NO_YEL",</v>
      </c>
      <c r="FJ2" s="48" t="str">
        <f t="shared" ref="FJ2" si="50">IF(COUNTIF(BL2:BT2,"BLA")=0,CHAR(34)&amp;"NO_BLA"&amp;CHAR(34)&amp;",", "")</f>
        <v/>
      </c>
      <c r="FK2" s="48" t="str">
        <f t="shared" ref="FK2" si="51">IF(AND(FH2&lt;&gt;"",FF2&lt;&gt;""),CHAR(34)&amp;"WHGRNO"&amp;CHAR(34)&amp;",","")</f>
        <v/>
      </c>
      <c r="FL2" s="48" t="str">
        <f t="shared" ref="FL2" si="52">IF(AND(FI2&lt;&gt;"",FF2&lt;&gt;""),CHAR(34)&amp;"WHYENO"&amp;CHAR(34)&amp;",","")</f>
        <v/>
      </c>
      <c r="FM2" s="48" t="str">
        <f t="shared" ref="FM2" si="53">IF(AND(FJ2&lt;&gt;"",FF2&lt;&gt;""),CHAR(34)&amp;"BAWHNO"&amp;CHAR(34)&amp;",","")</f>
        <v/>
      </c>
      <c r="FN2" s="48" t="str">
        <f t="shared" ref="FN2" si="54">IF(AND(FE2&lt;&gt;"",FF2&lt;&gt;""),CHAR(34)&amp;"BLWHNO"&amp;CHAR(34)&amp;",","")</f>
        <v/>
      </c>
      <c r="FO2" s="48" t="str">
        <f t="shared" ref="FO2" si="55">IF(AND(FE2&lt;&gt;"",FG2&lt;&gt;""),CHAR(34)&amp;"BLRENO"&amp;CHAR(34)&amp;",","")</f>
        <v>"BLRENO",</v>
      </c>
      <c r="FP2" s="48" t="str">
        <f t="shared" ref="FP2" si="56">IF(AND(FF2&lt;&gt;"",FF2&lt;&gt;""),CHAR(34)&amp;"WHRENO"&amp;CHAR(34)&amp;",","")</f>
        <v/>
      </c>
      <c r="FQ2" s="48" t="str">
        <f t="shared" ref="FQ2" si="57">IF(LEN(BF2)=3,CHAR(34)&amp;"001"&amp;BF2&amp;CHAR(34)&amp;",","")</f>
        <v>"001BLA",</v>
      </c>
      <c r="FR2" s="48" t="str">
        <f t="shared" ref="FR2" si="58">IF(LEN(BG2)=3,CHAR(34)&amp;"002"&amp;BG2&amp;CHAR(34)&amp;",","")</f>
        <v/>
      </c>
      <c r="FS2" s="48" t="str">
        <f t="shared" ref="FS2" si="59">IF(LEN(BH2)=3,CHAR(34)&amp;"003"&amp;BH2&amp;CHAR(34)&amp;",","")</f>
        <v>"003BRO",</v>
      </c>
      <c r="FT2" s="48" t="str">
        <f t="shared" ref="FT2" si="60">CHAR(34)&amp;"myr"&amp;BD2&amp;CHAR(34)&amp;","</f>
        <v>"myrBRO",</v>
      </c>
      <c r="FU2" s="48" t="str">
        <f t="shared" ref="FU2" si="61">IF(AY2="y",CHAR(34)&amp;"island"&amp;CHAR(34)&amp;",","")</f>
        <v/>
      </c>
      <c r="FV2" s="48" t="str">
        <f t="shared" ref="FV2" si="62">IF(BZ2="y",CHAR(34)&amp;"landlo"&amp;CHAR(34)&amp;",","")</f>
        <v/>
      </c>
      <c r="FW2" s="48" t="str">
        <f t="shared" ref="FW2" si="63">IF(CA2="y",CHAR(34)&amp;"eunion"&amp;CHAR(34)&amp;",","")</f>
        <v/>
      </c>
      <c r="FX2" s="48" t="str">
        <f t="shared" ref="FX2" si="64">SUBSTITUTE(IFERROR(SEARCH("[",A2),IFERROR(IF(AND(CA2&lt;&gt;"y",SEARCH("Europe",R2)&gt;0),CHAR(34)&amp;"noeuni"&amp;CHAR(34)&amp;",",""),"")),"1","")</f>
        <v/>
      </c>
      <c r="FY2" s="48" t="str">
        <f t="shared" ref="FY2" si="65">IFERROR(IF(SEARCH("Arabic",CB2)&gt;0,CHAR(34)&amp;"arabic"&amp;CHAR(34)&amp;",",""),"")</f>
        <v/>
      </c>
      <c r="FZ2" s="48" t="str">
        <f t="shared" ref="FZ2" si="66">IFERROR(IF(SEARCH("English",CB2)&gt;0,CHAR(34)&amp;"englis"&amp;CHAR(34)&amp;",",""),"")</f>
        <v/>
      </c>
      <c r="GA2" s="48" t="str">
        <f t="shared" ref="GA2" si="67">IFERROR(IF(SEARCH("French",CB2)&gt;0,CHAR(34)&amp;"french"&amp;CHAR(34)&amp;",",""),"")</f>
        <v/>
      </c>
      <c r="GB2" s="48" t="str">
        <f t="shared" ref="GB2"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 si="71">IFERROR(IF(SEARCH("Dutch",CB2)&gt;0,CHAR(34)&amp;"dutchs"&amp;CHAR(34)&amp;",",""),"")</f>
        <v/>
      </c>
      <c r="GF2" s="48" t="str">
        <f t="shared" ref="GF2" si="72">IFERROR(IF(SEARCH("Historical",AU2)&gt;0,CHAR(34)&amp;"histor"&amp;CHAR(34)&amp;",",""),"")</f>
        <v/>
      </c>
      <c r="GG2" s="48" t="str">
        <f t="shared" ref="GG2" si="73">IF(BU2="y",CHAR(34)&amp;"unjack"&amp;CHAR(34)&amp;",","")</f>
        <v/>
      </c>
      <c r="GH2" s="48" t="str">
        <f t="shared" ref="GH2" si="74">IF(CD2=1,CHAR(34)&amp;"southc"&amp;CHAR(34)&amp;",","")</f>
        <v>"southc",</v>
      </c>
      <c r="GI2" s="48" t="str">
        <f t="shared" ref="GI2" si="75">IF(CE2=1,CHAR(34)&amp;"hasmap"&amp;CHAR(34)&amp;",","")</f>
        <v/>
      </c>
      <c r="GJ2" s="48" t="str">
        <f t="shared" ref="GJ2" si="76">IF(CP2="y",CHAR(34)&amp;CP$1&amp;CHAR(34)&amp;",","")</f>
        <v>"NoStar",</v>
      </c>
      <c r="GK2" s="48" t="str">
        <f t="shared" ref="GK2" si="77">IF(GJ2="",CHAR(34)&amp;"HasSta"&amp;CHAR(34)&amp;",","")</f>
        <v/>
      </c>
      <c r="GL2" s="48" t="str">
        <f t="shared" ref="GL2:GN6" si="78">IF(CQ2="y",CHAR(34)&amp;CQ$1&amp;CHAR(34)&amp;",","")</f>
        <v/>
      </c>
      <c r="GM2" s="48" t="str">
        <f t="shared" si="78"/>
        <v/>
      </c>
      <c r="GN2" s="48" t="str">
        <f t="shared" si="78"/>
        <v/>
      </c>
      <c r="GP2" s="48" t="str">
        <f t="shared" ref="GP2" si="79">CHAR(34)&amp;AU2&amp;CHAR(34)</f>
        <v>""</v>
      </c>
      <c r="GS2" s="48" t="str">
        <f t="shared" ref="GS2" si="80">SUBSTITUTE("["&amp;_xlfn.CONCAT(CW2:GN2)&amp;"]",",]","]")</f>
        <v>["3Color","lets07","startE","LAROHI","year18","year19","year00","allhor","3Bands","Horizo","Circle","Animal","Bird","Plants","Weapon","HasSun","Unequa","Center","Wavess","Geogrh","Humans","Ships!","Waters","NO_BLU","NO_RED","NO_GRE","NO_YEL","BLRENO","001BLA","003BRO","myrBRO","southc","NoStar"]</v>
      </c>
      <c r="GT2" s="48" t="str">
        <f t="shared" ref="GT2:HB6" si="81">IF(BL2&lt;&gt;"",CHAR(34)&amp;"cl_"&amp;BL2&amp;CHAR(34)&amp;",","")</f>
        <v>"cl_BLA",</v>
      </c>
      <c r="GU2" s="48" t="str">
        <f t="shared" si="81"/>
        <v/>
      </c>
      <c r="GV2" s="48" t="str">
        <f t="shared" si="81"/>
        <v/>
      </c>
      <c r="GW2" s="48" t="str">
        <f t="shared" si="81"/>
        <v/>
      </c>
      <c r="GX2" s="48" t="str">
        <f t="shared" si="81"/>
        <v/>
      </c>
      <c r="GY2" s="48" t="str">
        <f t="shared" si="81"/>
        <v/>
      </c>
      <c r="GZ2" s="48" t="str">
        <f t="shared" si="81"/>
        <v>"cl_BRO",</v>
      </c>
      <c r="HA2" s="48" t="str">
        <f t="shared" si="81"/>
        <v/>
      </c>
      <c r="HB2" s="48" t="str">
        <f t="shared" si="81"/>
        <v>"cl_WHI",</v>
      </c>
      <c r="HC2" s="48" t="str">
        <f t="shared" ref="HC2" si="82">SUBSTITUTE("["&amp;_xlfn.CONCAT(GT2:HB2)&amp;"]",",]","]")</f>
        <v>["cl_BLA","cl_BRO","cl_WHI"]</v>
      </c>
      <c r="HE2" s="71"/>
      <c r="HF2" s="72" t="str">
        <f t="shared" ref="HF2" si="83">"{couname:"&amp;CT2&amp;(IF(HK2&lt;&gt;"",",subtype:"&amp;CHAR(34)&amp;HK2&amp;CHAR(34),""))&amp;",year:"&amp;HJ2&amp;",region:"&amp;CU2&amp;",Colors:"&amp;HC2&amp;",Items:"&amp;GS2&amp;",Flag:"&amp;CV2&amp;",HDFlag:"&amp;CHAR(34)&amp;E2&amp;CHAR(34)&amp;",type:"&amp;GP2&amp;", describe: "&amp;HH2&amp;", isnew:"&amp;CHAR(34)&amp;F2&amp;CHAR(34)&amp;", links: "&amp;HL2&amp;"},"</f>
        <v>{couname:"Ecuador",year:"1860, 1900, 2009 ",region:"rgn_South America",Colors:["cl_BLA","cl_BRO","cl_WHI"],Items:["3Color","lets07","startE","LAROHI","year18","year19","year00","allhor","3Bands","Horizo","Circle","Animal","Bird","Plants","Weapon","HasSun","Unequa","Center","Wavess","Geogrh","Humans","Ships!","Waters","NO_BLU","NO_RED","NO_GRE","NO_YEL","BLRENO","001BLA","003BRO","myrBRO","southc","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links: "https://en.wikipedia.org/wiki/Flag_of_Ecuador"},</v>
      </c>
      <c r="HG2" s="73" t="str">
        <f t="shared" ref="HG2" si="84">"{couname:"&amp;CT2&amp;(IF(HK2&lt;&gt;"",",subtype:"&amp;CHAR(34)&amp;HK2&amp;CHAR(34),""))&amp;",year:"&amp;HJ2&amp;",region:"&amp;CU2&amp;",Colors:"&amp;HC2&amp;",Items:"&amp;GS2&amp;",Flag:"&amp;CV2&amp;",HDFlag:"&amp;CHAR(34)&amp;E2&amp;CHAR(34)&amp;",type:"&amp;GP2&amp;", describe: "&amp;HI2&amp;", links: "&amp;HL2&amp;"},"</f>
        <v>{couname:"Ecuador",year:"1860, 1900, 2009 ",region:"rgn_South America",Colors:["cl_BLA","cl_BRO","cl_WHI"],Items:["3Color","lets07","startE","LAROHI","year18","year19","year00","allhor","3Bands","Horizo","Circle","Animal","Bird","Plants","Weapon","HasSun","Unequa","Center","Wavess","Geogrh","Humans","Ships!","Waters","NO_BLU","NO_RED","NO_GRE","NO_YEL","BLRENO","001BLA","003BRO","myrBRO","southc","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links: "https://en.wikipedia.org/wiki/Flag_of_Ecuador"},</v>
      </c>
      <c r="HH2" s="48" t="str">
        <f t="shared" ref="HH2" si="85">IF(P2&lt;&gt;"",CHAR(34)&amp;"\n"&amp;P2&amp;CHAR(34),CHAR(34)&amp;CHAR(34))</f>
        <v>"\n\n • Yellow: The crops and the fertile soil.\n\n • Blue: The ocean and the clear skies\n\n • Red: The blood spilled by the heroes who died in the name of their countrymen's Fatherland and Freedom."</v>
      </c>
      <c r="HI2" s="48" t="str">
        <f t="shared" ref="HI2" si="86">IF(J2=0,CHAR(34)&amp;CHAR(34),HH2)</f>
        <v>"\n\n • Yellow: The crops and the fertile soil.\n\n • Blue: The ocean and the clear skies\n\n • Red: The blood spilled by the heroes who died in the name of their countrymen's Fatherland and Freedom."</v>
      </c>
      <c r="HJ2" s="48" t="str">
        <f t="shared" ref="HJ2" si="87">CHAR(34)&amp;O2&amp;CHAR(34)</f>
        <v>"1860, 1900, 2009 "</v>
      </c>
      <c r="HL2" s="48" t="str">
        <f t="shared" ref="HL2" si="88">CHAR(34)&amp;I2&amp;CHAR(34)</f>
        <v>"https://en.wikipedia.org/wiki/Flag_of_Ecuador"</v>
      </c>
      <c r="HM2" s="72" t="str">
        <f t="shared" ref="HM2"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{"couname":"Ecuador","year":"1860, 1900, 2009 ","region":"rgn_South America","Colors":["cl_BLA","cl_BRO","cl_WHI"],"Items":["3Color","lets07","startE","LAROHI","year18","year19","year00","allhor","3Bands","Horizo","Circle","Animal","Bird","Plants","Weapon","HasSun","Unequa","Center","Wavess","Geogrh","Humans","Ships!","Waters","NO_BLU","NO_RED","NO_GRE","NO_YEL","BLRENO","001BLA","003BRO","myrBRO","southc","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 "links": "https://en.wikipedia.org/wiki/Flag_of_Ecuador"},</v>
      </c>
      <c r="HN2" s="74" t="str">
        <f t="shared" ref="HN2" si="9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{"couname":"Ecuador","year":"1860, 1900, 2009 ","region":"rgn_South America","Colors":["cl_BLA","cl_BRO","cl_WHI"],"Items":["3Color","lets07","startE","LAROHI","year18","year19","year00","allhor","3Bands","Horizo","Circle","Animal","Bird","Plants","Weapon","HasSun","Unequa","Center","Wavess","Geogrh","Humans","Ships!","Waters","NO_BLU","NO_RED","NO_GRE","NO_YEL","BLRENO","001BLA","003BRO","myrBRO","southc","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 "links": "https://en.wikipedia.org/wiki/Flag_of_Ecuador"},</v>
      </c>
      <c r="HO2" s="75">
        <v>45576</v>
      </c>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 t="shared" ref="IL2" si="91">SUM(IC2:IK2)</f>
        <v>0</v>
      </c>
      <c r="IM2" s="45">
        <f t="shared" ref="IM2" si="92">COUNTIF(IC2:IK2,"&gt;0")-CG2</f>
        <v>-3</v>
      </c>
      <c r="IN2" s="78" t="str">
        <f t="shared" ref="IN2" si="93">"http://mkweb.bcgsc.ca/color-summarizer/?url="&amp;D2&amp;"&amp;precision=low&amp;num_clusters="&amp;CG2&amp;"&amp;text=1"</f>
        <v>http://mkweb.bcgsc.ca/color-summarizer/?url=https://i.ibb.co/TbYwmWF/Ecuador-Flag.png&amp;precision=low&amp;num_clusters=3&amp;text=1</v>
      </c>
      <c r="IO2" s="48" t="str">
        <f t="shared" ref="IO2" si="94">IF(HP2&lt;&gt;"",CHAR(34)&amp;"black"&amp;CHAR(34),"")</f>
        <v>"black"</v>
      </c>
      <c r="IP2" s="48" t="str">
        <f t="shared" ref="IP2" si="95">IF(HQ2&lt;&gt;"",CHAR(34)&amp;"blue"&amp;CHAR(34),"")</f>
        <v/>
      </c>
      <c r="IQ2" s="48" t="str">
        <f t="shared" ref="IQ2" si="96">IF(HR2&lt;&gt;"",CHAR(34)&amp;"green"&amp;CHAR(34),"")</f>
        <v/>
      </c>
      <c r="IR2" s="48" t="str">
        <f t="shared" ref="IR2" si="97">IF(HS2&lt;&gt;"",CHAR(34)&amp;"red"&amp;CHAR(34),"")</f>
        <v/>
      </c>
      <c r="IS2" s="48" t="str">
        <f t="shared" ref="IS2" si="98">IF(HT2&lt;&gt;"",CHAR(34)&amp;"yellow"&amp;CHAR(34),"")</f>
        <v/>
      </c>
      <c r="IT2" s="48" t="str">
        <f t="shared" ref="IT2" si="99">IF(HU2&lt;&gt;"",CHAR(34)&amp;"orange"&amp;CHAR(34),"")</f>
        <v/>
      </c>
      <c r="IU2" s="48" t="str">
        <f t="shared" ref="IU2" si="100">IF(HV2&lt;&gt;"",CHAR(34)&amp;"brown"&amp;CHAR(34),"")</f>
        <v>"brown"</v>
      </c>
      <c r="IV2" s="48" t="str">
        <f t="shared" ref="IV2" si="101">IF(HW2&lt;&gt;"",CHAR(34)&amp;"purple"&amp;CHAR(34),"")</f>
        <v/>
      </c>
      <c r="IW2" s="48" t="str">
        <f t="shared" ref="IW2" si="102">IF(HX2&lt;&gt;"",CHAR(34)&amp;"white"&amp;CHAR(34),"")</f>
        <v>"white"</v>
      </c>
      <c r="IX2" s="48" t="str">
        <f t="shared" ref="IX2" si="103">"{"&amp;CHAR(34)&amp;"url"&amp;CHAR(34)&amp;":"&amp;CHAR(34)&amp;IN2&amp;CHAR(34)&amp;","&amp;CHAR(34)&amp;"name"&amp;CHAR(34)&amp;":"&amp;CHAR(34)&amp;A2&amp;CHAR(34)&amp;"},"</f>
        <v>{"url":"http://mkweb.bcgsc.ca/color-summarizer/?url=https://i.ibb.co/TbYwmWF/Ecuador-Flag.png&amp;precision=low&amp;num_clusters=3&amp;text=1","name":"Ecuador"},</v>
      </c>
      <c r="IY2" s="48">
        <v>295</v>
      </c>
    </row>
    <row r="3" spans="1:259" s="48" customFormat="1" ht="38.4" customHeight="1" thickBot="1" x14ac:dyDescent="0.35">
      <c r="A3" s="79" t="s">
        <v>613</v>
      </c>
      <c r="B3" s="40" t="e" vm="75">
        <v>#VALUE!</v>
      </c>
      <c r="C3" s="41">
        <v>2</v>
      </c>
      <c r="D3" s="42" t="s">
        <v>614</v>
      </c>
      <c r="E3" s="43" t="s">
        <v>615</v>
      </c>
      <c r="F3" s="44" t="s">
        <v>166</v>
      </c>
      <c r="G3" s="45">
        <f>COUNTIF($A$1:$A$8285,A3)</f>
        <v>1</v>
      </c>
      <c r="H3" s="46"/>
      <c r="I3" s="47" t="s">
        <v>616</v>
      </c>
      <c r="J3" s="48" t="str">
        <f>""</f>
        <v/>
      </c>
      <c r="K3" s="49"/>
      <c r="L3" s="50"/>
      <c r="M3" s="50"/>
      <c r="N3" s="51" t="s">
        <v>169</v>
      </c>
      <c r="O3" s="52" t="s">
        <v>557</v>
      </c>
      <c r="P3" s="53" t="s">
        <v>617</v>
      </c>
      <c r="Q3" s="54">
        <v>1</v>
      </c>
      <c r="R3" s="55" t="s">
        <v>169</v>
      </c>
      <c r="S3" s="56">
        <v>2</v>
      </c>
      <c r="T3" s="57" t="s">
        <v>172</v>
      </c>
      <c r="U3" s="58" t="s">
        <v>172</v>
      </c>
      <c r="V3" s="58" t="s">
        <v>173</v>
      </c>
      <c r="W3" s="58" t="s">
        <v>172</v>
      </c>
      <c r="X3" s="58" t="s">
        <v>172</v>
      </c>
      <c r="Y3" s="58" t="s">
        <v>172</v>
      </c>
      <c r="Z3" s="58" t="s">
        <v>172</v>
      </c>
      <c r="AA3" s="58" t="s">
        <v>172</v>
      </c>
      <c r="AB3" s="58" t="s">
        <v>172</v>
      </c>
      <c r="AC3" s="58" t="s">
        <v>172</v>
      </c>
      <c r="AD3" s="58" t="s">
        <v>172</v>
      </c>
      <c r="AE3" s="58" t="s">
        <v>172</v>
      </c>
      <c r="AF3" s="59" t="s">
        <v>172</v>
      </c>
      <c r="AG3" s="59" t="s">
        <v>173</v>
      </c>
      <c r="AH3" s="59" t="s">
        <v>172</v>
      </c>
      <c r="AI3" s="59" t="s">
        <v>172</v>
      </c>
      <c r="AJ3" s="59" t="s">
        <v>172</v>
      </c>
      <c r="AK3" s="59" t="s">
        <v>173</v>
      </c>
      <c r="AL3" s="59" t="s">
        <v>172</v>
      </c>
      <c r="AM3" s="59" t="s">
        <v>172</v>
      </c>
      <c r="AN3" s="59" t="s">
        <v>172</v>
      </c>
      <c r="AO3" s="59" t="s">
        <v>172</v>
      </c>
      <c r="AP3" s="59" t="s">
        <v>172</v>
      </c>
      <c r="AQ3" s="59" t="s">
        <v>172</v>
      </c>
      <c r="AR3" s="59" t="s">
        <v>172</v>
      </c>
      <c r="AS3" s="59" t="s">
        <v>172</v>
      </c>
      <c r="AT3" s="60">
        <v>0</v>
      </c>
      <c r="AU3" s="59" t="s">
        <v>277</v>
      </c>
      <c r="AV3" s="59" t="str">
        <f>IF(LEFT(A3,1)="[",LEFT(A3,5)&amp;AU3&amp;A3,"")</f>
        <v>[ECU]Province[ECU] Azuay</v>
      </c>
      <c r="AW3" s="59" t="str">
        <f>C3&amp;A3</f>
        <v>2[ECU] Azuay</v>
      </c>
      <c r="AX3" s="61" t="str">
        <f>_xlfn.TEXTJOIN(";",TRUE,AU3:AW3)</f>
        <v>Province;[ECU]Province[ECU] Azuay;2[ECU] Azuay</v>
      </c>
      <c r="AY3" s="61" t="s">
        <v>173</v>
      </c>
      <c r="AZ3" s="62"/>
      <c r="BA3" s="62"/>
      <c r="BB3" s="62"/>
      <c r="BC3" s="63"/>
      <c r="BD3" s="64" t="s">
        <v>154</v>
      </c>
      <c r="BE3" s="47"/>
      <c r="BF3" s="64"/>
      <c r="BG3" s="64"/>
      <c r="BH3" s="64"/>
      <c r="BI3" s="64"/>
      <c r="BJ3" s="64"/>
      <c r="BK3" s="47"/>
      <c r="BL3" s="64" t="s">
        <v>154</v>
      </c>
      <c r="BM3" s="64" t="s">
        <v>159</v>
      </c>
      <c r="BN3" s="64"/>
      <c r="BO3" s="64"/>
      <c r="BP3" s="64"/>
      <c r="BQ3" s="64"/>
      <c r="BR3" s="64"/>
      <c r="BS3" s="64"/>
      <c r="BT3" s="64"/>
      <c r="BU3" s="65" t="s">
        <v>172</v>
      </c>
      <c r="BV3" s="66" t="s">
        <v>278</v>
      </c>
      <c r="BW3" s="66" t="s">
        <v>270</v>
      </c>
      <c r="BX3" s="47"/>
      <c r="CB3" s="6" t="s">
        <v>618</v>
      </c>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"[ECU] Azuay"</v>
      </c>
      <c r="CU3" s="70" t="str">
        <f>CHAR(34)&amp;"rgn_"&amp;R3&amp;CHAR(34)</f>
        <v>"rgn_South America"</v>
      </c>
      <c r="CV3" s="48" t="str">
        <f>CHAR(34)&amp;D3&amp;CHAR(34)</f>
        <v>"https://upload.wikimedia.org/wikipedia/commons/thumb/a/aa/Bandera_Provincia_Azuay.svg/300px-Bandera_Provincia_Azuay.svg.png"</v>
      </c>
      <c r="CW3" s="48" t="str">
        <f t="shared" si="15"/>
        <v>"2Color",</v>
      </c>
      <c r="CX3" s="48" t="str">
        <f t="shared" si="15"/>
        <v/>
      </c>
      <c r="CY3" s="48" t="str">
        <f t="shared" si="15"/>
        <v/>
      </c>
      <c r="CZ3" s="48" t="str">
        <f t="shared" si="15"/>
        <v/>
      </c>
      <c r="DA3" s="48" t="str">
        <f>IF(Q3&gt;1,CHAR(34)&amp;"words2"&amp;CHAR(34)&amp;",","")</f>
        <v/>
      </c>
      <c r="DB3" s="48" t="str">
        <f>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"lets05",</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"with_z",</v>
      </c>
      <c r="DL3" s="48" t="str">
        <f>IF(CG3=2, CHAR(34) &amp; _xlfn.TEXTJOIN("", TRUE, _xlfn._xlws.SORT(HP3:HX3)) &amp; CHAR(34) &amp; ",", "")</f>
        <v>"REDWHI",</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V3" s="48" t="str">
        <f>IF(IA3&lt;&gt;"",(IF(IA3="y",CHAR(34)&amp;"largec"&amp;CHAR(34)&amp;",",CHAR(34)&amp;"smallc"&amp;CHAR(34)&amp;",")),"")</f>
        <v>"smallc",</v>
      </c>
      <c r="DW3" s="48" t="str">
        <f t="shared" si="37"/>
        <v/>
      </c>
      <c r="DX3" s="48" t="str">
        <f t="shared" si="37"/>
        <v>"2Bands",</v>
      </c>
      <c r="DY3" s="48" t="str">
        <f t="shared" si="37"/>
        <v/>
      </c>
      <c r="DZ3" s="48" t="str">
        <f t="shared" si="37"/>
        <v/>
      </c>
      <c r="EA3" s="48" t="str">
        <f t="shared" si="38"/>
        <v/>
      </c>
      <c r="EB3" s="48" t="str">
        <f t="shared" si="38"/>
        <v/>
      </c>
      <c r="EC3" s="48" t="str">
        <f t="shared" si="38"/>
        <v>"Horizo",</v>
      </c>
      <c r="ED3" s="48" t="str">
        <f t="shared" si="38"/>
        <v/>
      </c>
      <c r="EE3" s="48" t="str">
        <f t="shared" si="38"/>
        <v/>
      </c>
      <c r="EF3" s="48" t="str">
        <f>IF(AND(Y3&lt;&gt;"n",Y3&lt;&gt;""),CHAR(34)&amp;Y$1&amp;CHAR(34)&amp;",","")</f>
        <v/>
      </c>
      <c r="EG3" s="48" t="str">
        <f t="shared" si="40"/>
        <v/>
      </c>
      <c r="EH3" s="48" t="str">
        <f t="shared" si="40"/>
        <v/>
      </c>
      <c r="EI3" s="48" t="str">
        <f t="shared" si="40"/>
        <v/>
      </c>
      <c r="EJ3" s="48" t="str">
        <f t="shared" si="40"/>
        <v/>
      </c>
      <c r="EK3" s="48" t="str">
        <f t="shared" si="40"/>
        <v/>
      </c>
      <c r="EL3" s="48" t="str">
        <f t="shared" si="40"/>
        <v/>
      </c>
      <c r="EM3" s="48" t="str">
        <f t="shared" si="40"/>
        <v/>
      </c>
      <c r="EN3" s="48" t="str">
        <f t="shared" si="40"/>
        <v>"Unequa",</v>
      </c>
      <c r="EO3" s="48" t="str">
        <f t="shared" si="40"/>
        <v/>
      </c>
      <c r="EP3" s="48" t="str">
        <f t="shared" si="40"/>
        <v/>
      </c>
      <c r="EQ3" s="48" t="str">
        <f t="shared" si="40"/>
        <v/>
      </c>
      <c r="ER3" s="48" t="str">
        <f t="shared" si="40"/>
        <v>"OnlyBa",</v>
      </c>
      <c r="ES3" s="48" t="str">
        <f t="shared" si="40"/>
        <v/>
      </c>
      <c r="ET3" s="48" t="str">
        <f t="shared" si="40"/>
        <v/>
      </c>
      <c r="EU3" s="48" t="str">
        <f t="shared" si="40"/>
        <v/>
      </c>
      <c r="EV3" s="48" t="str">
        <f t="shared" si="40"/>
        <v/>
      </c>
      <c r="EW3" s="48" t="str">
        <f t="shared" si="40"/>
        <v/>
      </c>
      <c r="EX3" s="48" t="str">
        <f t="shared" si="40"/>
        <v/>
      </c>
      <c r="EY3" s="48" t="str">
        <f t="shared" si="40"/>
        <v/>
      </c>
      <c r="EZ3" s="48" t="str">
        <f t="shared" si="40"/>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"myrRED",</v>
      </c>
      <c r="FU3" s="48" t="str">
        <f>IF(AY3="y",CHAR(34)&amp;"island"&amp;CHAR(34)&amp;",","")</f>
        <v>"island",</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"englis",</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 t="shared" si="78"/>
        <v/>
      </c>
      <c r="GM3" s="48" t="str">
        <f t="shared" si="78"/>
        <v/>
      </c>
      <c r="GN3" s="48" t="str">
        <f t="shared" si="78"/>
        <v/>
      </c>
      <c r="GP3" s="48" t="str">
        <f>CHAR(34)&amp;AU3&amp;CHAR(34)</f>
        <v>"Province"</v>
      </c>
      <c r="GS3" s="48" t="str">
        <f>SUBSTITUTE("["&amp;_xlfn.CONCAT(CW3:GN3)&amp;"]",",]","]")</f>
        <v>["2Color","lets05","startA","with_y","with_z","REDWHI","allhor","smallc","2Bands","Horizo","Unequa","OnlyBa","NO_BLU","NO_GRE","NO_YEL","NO_BLA","myrRED","island","englis","NoStar"]</v>
      </c>
      <c r="GT3" s="48" t="str">
        <f t="shared" si="81"/>
        <v>"cl_RED",</v>
      </c>
      <c r="GU3" s="48" t="str">
        <f t="shared" si="81"/>
        <v>"cl_WHI",</v>
      </c>
      <c r="GV3" s="48" t="str">
        <f t="shared" si="81"/>
        <v/>
      </c>
      <c r="GW3" s="48" t="str">
        <f t="shared" si="81"/>
        <v/>
      </c>
      <c r="GX3" s="48" t="str">
        <f t="shared" si="81"/>
        <v/>
      </c>
      <c r="GY3" s="48" t="str">
        <f t="shared" si="81"/>
        <v/>
      </c>
      <c r="GZ3" s="48" t="str">
        <f t="shared" si="81"/>
        <v/>
      </c>
      <c r="HA3" s="48" t="str">
        <f t="shared" si="81"/>
        <v/>
      </c>
      <c r="HB3" s="48" t="str">
        <f t="shared" si="81"/>
        <v/>
      </c>
      <c r="HC3" s="48" t="str">
        <f>SUBSTITUTE("["&amp;_xlfn.CONCAT(GT3:HB3)&amp;"]",",]","]")</f>
        <v>["cl_RED","cl_WHI"]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{couname:"[ECU] Azuay",year:"???",region:"rgn_South America",Colors:["cl_RED","cl_WHI"],Items:["2Color","lets05","startA","with_y","with_z","REDWHI","allhor","smallc","2Bands","Horizo","Unequa","OnlyBa","NO_BLU","NO_GRE","NO_YEL","NO_BLA","myrRED","island","englis","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links: "https://www.crwflags.com/fotw/flags/ec-a-cue.html?utm_source=chatgpt.com"},</v>
      </c>
      <c r="HG3" s="73" t="str">
        <f>"{couname:"&amp;CT3&amp;(IF(HK3&lt;&gt;"",",subtype:"&amp;CHAR(34)&amp;HK3&amp;CHAR(34),""))&amp;",year:"&amp;HJ3&amp;",region:"&amp;CU3&amp;",Colors:"&amp;HC3&amp;",Items:"&amp;GS3&amp;",Flag:"&amp;CV3&amp;",HDFlag:"&amp;CHAR(34)&amp;E3&amp;CHAR(34)&amp;",type:"&amp;GP3&amp;", describe: "&amp;HI3&amp;", links: "&amp;HL3&amp;"},"</f>
        <v>{couname:"[ECU] Azuay",year:"???",region:"rgn_South America",Colors:["cl_RED","cl_WHI"],Items:["2Color","lets05","startA","with_y","with_z","REDWHI","allhor","smallc","2Bands","Horizo","Unequa","OnlyBa","NO_BLU","NO_GRE","NO_YEL","NO_BLA","myrRED","island","englis","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links: "https://www.crwflags.com/fotw/flags/ec-a-cue.html?utm_source=chatgpt.com"},</v>
      </c>
      <c r="HH3" s="48" t="str">
        <f>IF(P3&lt;&gt;"",CHAR(34)&amp;"\n"&amp;P3&amp;CHAR(34),CHAR(34)&amp;CHAR(34))</f>
        <v>"\nThe flag is from the capital city of the province, Cuenca. The colors are from the flag of Spain, reflecting its historical ties to Spain. The red symbolizes the bloodshed for independence and the yellow represents the region's wealth and abundance."</v>
      </c>
      <c r="HI3" s="48" t="str">
        <f>IF(J3=0,CHAR(34)&amp;CHAR(34),HH3)</f>
        <v>"\nThe flag is from the capital city of the province, Cuenca. The colors are from the flag of Spain, reflecting its historical ties to Spain. The red symbolizes the bloodshed for independence and the yellow represents the region's wealth and abundance."</v>
      </c>
      <c r="HJ3" s="48" t="str">
        <f>CHAR(34)&amp;O3&amp;CHAR(34)</f>
        <v>"???"</v>
      </c>
      <c r="HL3" s="48" t="str">
        <f>CHAR(34)&amp;I3&amp;CHAR(34)</f>
        <v>"https://www.crwflags.com/fotw/flags/ec-a-cue.html?utm_source=chatgpt.com"</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{"couname":"[ECU] Azuay","year":"???","region":"rgn_South America","Colors":["cl_RED","cl_WHI"],"Items":["2Color","lets05","startA","with_y","with_z","REDWHI","allhor","smallc","2Bands","Horizo","Unequa","OnlyBa","NO_BLU","NO_GRE","NO_YEL","NO_BLA","myrRED","island","englis","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 "links": "https://www.crwflags.com/fotw/flags/ec-a-cue.html?utm_source=chatgpt.com"},</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{"couname":"[ECU] Azuay","year":"???","region":"rgn_South America","Colors":["cl_RED","cl_WHI"],"Items":["2Color","lets05","startA","with_y","with_z","REDWHI","allhor","smallc","2Bands","Horizo","Unequa","OnlyBa","NO_BLU","NO_GRE","NO_YEL","NO_BLA","myrRED","island","englis","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 "links": "https://www.crwflags.com/fotw/flags/ec-a-cue.html?utm_source=chatgpt.com"},</v>
      </c>
      <c r="HO3" s="75"/>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t="s">
        <v>172</v>
      </c>
      <c r="IB3" s="6"/>
      <c r="IC3" s="77"/>
      <c r="ID3" s="77"/>
      <c r="IE3" s="77"/>
      <c r="IF3" s="77"/>
      <c r="IG3" s="77"/>
      <c r="IH3" s="77"/>
      <c r="II3" s="77"/>
      <c r="IJ3" s="77"/>
      <c r="IK3" s="77"/>
      <c r="IL3" s="48">
        <f>SUM(IC3:IK3)</f>
        <v>0</v>
      </c>
      <c r="IM3" s="45">
        <f>COUNTIF(IC3:IK3,"&gt;0")-CG3</f>
        <v>-2</v>
      </c>
      <c r="IN3" s="78" t="str">
        <f>"http://mkweb.bcgsc.ca/color-summarizer/?url="&amp;D3&amp;"&amp;precision=low&amp;num_clusters="&amp;CG3&amp;"&amp;text=1"</f>
        <v>http://mkweb.bcgsc.ca/color-summarizer/?url=https://upload.wikimedia.org/wikipedia/commons/thumb/a/aa/Bandera_Provincia_Azuay.svg/300px-Bandera_Provincia_Azuay.svg.png&amp;precision=low&amp;num_clusters=2&amp;text=1</v>
      </c>
      <c r="IO3" s="48" t="str">
        <f>IF(HP3&lt;&gt;"",CHAR(34)&amp;"black"&amp;CHAR(34),"")</f>
        <v/>
      </c>
      <c r="IP3" s="48" t="str">
        <f>IF(HQ3&lt;&gt;"",CHAR(34)&amp;"blue"&amp;CHAR(34),"")</f>
        <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{"url":"http://mkweb.bcgsc.ca/color-summarizer/?url=https://upload.wikimedia.org/wikipedia/commons/thumb/a/aa/Bandera_Provincia_Azuay.svg/300px-Bandera_Provincia_Azuay.svg.png&amp;precision=low&amp;num_clusters=2&amp;text=1","name":"[ECU] Azuay"},</v>
      </c>
      <c r="IY3" s="48">
        <v>220</v>
      </c>
    </row>
    <row r="4" spans="1:259" s="48" customFormat="1" ht="38.4" customHeight="1" thickBot="1" x14ac:dyDescent="0.35">
      <c r="A4" s="79" t="s">
        <v>619</v>
      </c>
      <c r="B4" s="40" t="e" vm="76">
        <v>#VALUE!</v>
      </c>
      <c r="C4" s="41">
        <v>2</v>
      </c>
      <c r="D4" s="42" t="s">
        <v>620</v>
      </c>
      <c r="E4" s="43" t="s">
        <v>621</v>
      </c>
      <c r="F4" s="44" t="s">
        <v>166</v>
      </c>
      <c r="G4" s="45">
        <f>COUNTIF($A$1:$A$8285,A4)</f>
        <v>1</v>
      </c>
      <c r="H4" s="46"/>
      <c r="I4" s="47" t="s">
        <v>622</v>
      </c>
      <c r="J4" s="48" t="str">
        <f>""</f>
        <v/>
      </c>
      <c r="K4" s="49"/>
      <c r="L4" s="50"/>
      <c r="M4" s="50"/>
      <c r="N4" s="51" t="s">
        <v>169</v>
      </c>
      <c r="O4" s="52" t="s">
        <v>557</v>
      </c>
      <c r="P4" s="53" t="s">
        <v>623</v>
      </c>
      <c r="Q4" s="54">
        <v>1</v>
      </c>
      <c r="R4" s="55" t="s">
        <v>169</v>
      </c>
      <c r="S4" s="56">
        <v>2</v>
      </c>
      <c r="T4" s="57" t="s">
        <v>172</v>
      </c>
      <c r="U4" s="58" t="s">
        <v>172</v>
      </c>
      <c r="V4" s="58" t="s">
        <v>173</v>
      </c>
      <c r="W4" s="58" t="s">
        <v>172</v>
      </c>
      <c r="X4" s="58" t="s">
        <v>172</v>
      </c>
      <c r="Y4" s="58" t="s">
        <v>172</v>
      </c>
      <c r="Z4" s="58" t="s">
        <v>172</v>
      </c>
      <c r="AA4" s="58" t="s">
        <v>172</v>
      </c>
      <c r="AB4" s="58" t="s">
        <v>172</v>
      </c>
      <c r="AC4" s="58" t="s">
        <v>172</v>
      </c>
      <c r="AD4" s="58" t="s">
        <v>172</v>
      </c>
      <c r="AE4" s="58" t="s">
        <v>172</v>
      </c>
      <c r="AF4" s="59" t="s">
        <v>172</v>
      </c>
      <c r="AG4" s="59" t="s">
        <v>173</v>
      </c>
      <c r="AH4" s="59" t="s">
        <v>172</v>
      </c>
      <c r="AI4" s="59" t="s">
        <v>172</v>
      </c>
      <c r="AJ4" s="59" t="s">
        <v>172</v>
      </c>
      <c r="AK4" s="59" t="s">
        <v>173</v>
      </c>
      <c r="AL4" s="59" t="s">
        <v>172</v>
      </c>
      <c r="AM4" s="59" t="s">
        <v>172</v>
      </c>
      <c r="AN4" s="59" t="s">
        <v>172</v>
      </c>
      <c r="AO4" s="59" t="s">
        <v>172</v>
      </c>
      <c r="AP4" s="59" t="s">
        <v>172</v>
      </c>
      <c r="AQ4" s="59" t="s">
        <v>172</v>
      </c>
      <c r="AR4" s="59" t="s">
        <v>172</v>
      </c>
      <c r="AS4" s="59" t="s">
        <v>172</v>
      </c>
      <c r="AT4" s="60">
        <v>0</v>
      </c>
      <c r="AU4" s="59" t="s">
        <v>277</v>
      </c>
      <c r="AV4" s="59" t="str">
        <f>IF(LEFT(A4,1)="[",LEFT(A4,5)&amp;AU4&amp;A4,"")</f>
        <v>[ECU]Province[ECU] Bolívar</v>
      </c>
      <c r="AW4" s="59" t="str">
        <f>C4&amp;A4</f>
        <v>2[ECU] Bolívar</v>
      </c>
      <c r="AX4" s="61"/>
      <c r="AY4" s="61"/>
      <c r="AZ4" s="62"/>
      <c r="BA4" s="62"/>
      <c r="BB4" s="62"/>
      <c r="BC4" s="63"/>
      <c r="BD4" s="64" t="s">
        <v>159</v>
      </c>
      <c r="BE4" s="47"/>
      <c r="BF4" s="64"/>
      <c r="BG4" s="64"/>
      <c r="BH4" s="64"/>
      <c r="BI4" s="64" t="s">
        <v>154</v>
      </c>
      <c r="BJ4" s="64" t="s">
        <v>159</v>
      </c>
      <c r="BK4" s="47"/>
      <c r="BL4" s="64" t="s">
        <v>159</v>
      </c>
      <c r="BM4" s="64" t="s">
        <v>154</v>
      </c>
      <c r="BN4" s="64"/>
      <c r="BO4" s="64"/>
      <c r="BP4" s="64"/>
      <c r="BQ4" s="64"/>
      <c r="BR4" s="64"/>
      <c r="BS4" s="64"/>
      <c r="BT4" s="64"/>
      <c r="BU4" s="65" t="s">
        <v>172</v>
      </c>
      <c r="BV4" s="66"/>
      <c r="BW4" s="66">
        <v>0</v>
      </c>
      <c r="BX4" s="47"/>
      <c r="CB4" s="6"/>
      <c r="CC4" s="6"/>
      <c r="CD4" s="67">
        <v>0</v>
      </c>
      <c r="CE4" s="67">
        <v>0</v>
      </c>
      <c r="CF4" s="67" t="e">
        <v>#REF!</v>
      </c>
      <c r="CG4" s="68" cm="1">
        <f t="array" ref="CG4">SUMPRODUCT(--(LEN(TRIM(BL4:BT4))&gt;0))</f>
        <v>2</v>
      </c>
      <c r="CH4" s="59" t="str">
        <f>IF(CG4=2,"y","n")</f>
        <v>y</v>
      </c>
      <c r="CI4" s="59" t="str">
        <f>IF(CG4=3,"y","n")</f>
        <v>n</v>
      </c>
      <c r="CJ4" s="59" t="str">
        <f>IF(CG4=4,"y","n")</f>
        <v>n</v>
      </c>
      <c r="CK4" s="59" t="str">
        <f>IF(CG4&gt;4,"y","n")</f>
        <v>n</v>
      </c>
      <c r="CL4" s="59" t="str">
        <f>IF(S4=0,"y","n")</f>
        <v>n</v>
      </c>
      <c r="CM4" s="59" t="str">
        <f>IF(S4=2,"y","n")</f>
        <v>y</v>
      </c>
      <c r="CN4" s="59" t="str">
        <f>IF(S4=3,"y","n")</f>
        <v>n</v>
      </c>
      <c r="CO4" s="59" t="str">
        <f>IF(S4&gt;=4,"y","n")</f>
        <v>n</v>
      </c>
      <c r="CP4" s="59" t="str">
        <f>IF(AT4=0,"y","n")</f>
        <v>y</v>
      </c>
      <c r="CQ4" s="59" t="str">
        <f>IF(AT4=1,"y","n")</f>
        <v>n</v>
      </c>
      <c r="CR4" s="59" t="str">
        <f>IF(AT4=2,"y","n")</f>
        <v>n</v>
      </c>
      <c r="CS4" s="59" t="str">
        <f>IF(AT4&gt;=3,"y","n")</f>
        <v>n</v>
      </c>
      <c r="CT4" s="69" t="str">
        <f>CHAR(34)&amp;A4&amp;CHAR(34)</f>
        <v>"[ECU] Bolívar"</v>
      </c>
      <c r="CU4" s="70" t="str">
        <f>CHAR(34)&amp;"rgn_"&amp;R4&amp;CHAR(34)</f>
        <v>"rgn_South America"</v>
      </c>
      <c r="CV4" s="48" t="str">
        <f>CHAR(34)&amp;D4&amp;CHAR(34)</f>
        <v>"https://upload.wikimedia.org/wikipedia/commons/thumb/5/5e/Bandera_Provincia_Bol%C3%ADvar.svg/320px-Bandera_Provincia_Bol%C3%ADvar.svg.png"</v>
      </c>
      <c r="CW4" s="48" t="str">
        <f t="shared" si="15"/>
        <v>"2Color",</v>
      </c>
      <c r="CX4" s="48" t="str">
        <f t="shared" si="15"/>
        <v/>
      </c>
      <c r="CY4" s="48" t="str">
        <f t="shared" si="15"/>
        <v/>
      </c>
      <c r="CZ4" s="48" t="str">
        <f t="shared" si="15"/>
        <v/>
      </c>
      <c r="DA4" s="48" t="str">
        <f>IF(Q4&gt;1,CHAR(34)&amp;"words2"&amp;CHAR(34)&amp;",","")</f>
        <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"lets07",</v>
      </c>
      <c r="DE4" s="48" t="str">
        <f>CHAR(34)&amp;"start"&amp;IFERROR(LEFT(SUBSTITUTE(A4,"["&amp;MID(A4,FIND("[",A4)+1,FIND("]",A4)-FIND("[",A4)-1)&amp;"] ",""),1),LEFT(A4,1))&amp;CHAR(34)&amp;","</f>
        <v>"startB",</v>
      </c>
      <c r="DF4" s="48" t="str">
        <f>IFERROR(IF(SEARCH("tan",A4)&gt;0,CHAR(34)&amp;"withtn"&amp;CHAR(34)&amp;",",""),"")</f>
        <v/>
      </c>
      <c r="DG4" s="48" t="str">
        <f>IFERROR(IF(SEARCH("q",A4)&gt;0,CHAR(34)&amp;"with_q"&amp;CHAR(34)&amp;",",""),"")</f>
        <v/>
      </c>
      <c r="DH4" s="48" t="str">
        <f>IFERROR(IF(SEARCH("v",A4)&gt;0,CHAR(34)&amp;"with_v"&amp;CHAR(34)&amp;",",""),"")</f>
        <v>"with_v",</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"REDWHI",</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"allhor",</v>
      </c>
      <c r="DU4" s="6" t="str">
        <f>IF(BY4="y",IF(AND(W4="n",V4="n"),CHAR(34)&amp;"alldia"&amp;CHAR(34)&amp;",",""),"")</f>
        <v/>
      </c>
      <c r="DW4" s="48" t="str">
        <f t="shared" si="37"/>
        <v/>
      </c>
      <c r="DX4" s="48" t="str">
        <f t="shared" si="37"/>
        <v>"2Bands",</v>
      </c>
      <c r="DY4" s="48" t="str">
        <f t="shared" si="37"/>
        <v/>
      </c>
      <c r="DZ4" s="48" t="str">
        <f t="shared" si="37"/>
        <v/>
      </c>
      <c r="EA4" s="48" t="str">
        <f t="shared" si="38"/>
        <v/>
      </c>
      <c r="EB4" s="48" t="str">
        <f t="shared" si="38"/>
        <v/>
      </c>
      <c r="EC4" s="48" t="str">
        <f t="shared" si="38"/>
        <v>"Horizo",</v>
      </c>
      <c r="ED4" s="48" t="str">
        <f t="shared" si="38"/>
        <v/>
      </c>
      <c r="EE4" s="48" t="str">
        <f t="shared" si="38"/>
        <v/>
      </c>
      <c r="EF4" s="48" t="str">
        <f>IF(AND(Y4&lt;&gt;"n",Y4&lt;&gt;""),CHAR(34)&amp;Y$1&amp;CHAR(34)&amp;",","")</f>
        <v/>
      </c>
      <c r="EG4" s="48" t="str">
        <f t="shared" si="40"/>
        <v/>
      </c>
      <c r="EH4" s="48" t="str">
        <f t="shared" si="40"/>
        <v/>
      </c>
      <c r="EI4" s="48" t="str">
        <f t="shared" si="40"/>
        <v/>
      </c>
      <c r="EJ4" s="48" t="str">
        <f t="shared" si="40"/>
        <v/>
      </c>
      <c r="EK4" s="48" t="str">
        <f t="shared" si="40"/>
        <v/>
      </c>
      <c r="EL4" s="48" t="str">
        <f t="shared" si="40"/>
        <v/>
      </c>
      <c r="EM4" s="48" t="str">
        <f t="shared" si="40"/>
        <v/>
      </c>
      <c r="EN4" s="48" t="str">
        <f t="shared" si="40"/>
        <v>"Unequa",</v>
      </c>
      <c r="EO4" s="48" t="str">
        <f t="shared" si="40"/>
        <v/>
      </c>
      <c r="EP4" s="48" t="str">
        <f t="shared" si="40"/>
        <v/>
      </c>
      <c r="EQ4" s="48" t="str">
        <f t="shared" si="40"/>
        <v/>
      </c>
      <c r="ER4" s="48" t="str">
        <f t="shared" si="40"/>
        <v>"OnlyBa",</v>
      </c>
      <c r="ES4" s="48" t="str">
        <f t="shared" si="40"/>
        <v/>
      </c>
      <c r="ET4" s="48" t="str">
        <f t="shared" si="40"/>
        <v/>
      </c>
      <c r="EU4" s="48" t="str">
        <f t="shared" si="40"/>
        <v/>
      </c>
      <c r="EV4" s="48" t="str">
        <f t="shared" si="40"/>
        <v/>
      </c>
      <c r="EW4" s="48" t="str">
        <f t="shared" si="40"/>
        <v/>
      </c>
      <c r="EX4" s="48" t="str">
        <f t="shared" si="40"/>
        <v/>
      </c>
      <c r="EY4" s="48" t="str">
        <f t="shared" si="40"/>
        <v/>
      </c>
      <c r="EZ4" s="48" t="str">
        <f t="shared" si="40"/>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"NO_BLU",</v>
      </c>
      <c r="FF4" s="48" t="str">
        <f>IF(COUNTIF(BL4:BT4,"WHI")=0,CHAR(34)&amp;"NO_WHI"&amp;CHAR(34)&amp;",", "")</f>
        <v/>
      </c>
      <c r="FG4" s="48" t="str">
        <f>IF(COUNTIF(BL4:BT4,"RED")=0,CHAR(34)&amp;"NO_RED"&amp;CHAR(34)&amp;",", "")</f>
        <v/>
      </c>
      <c r="FH4" s="48" t="str">
        <f>IF(COUNTIF(BL4:BS4,"GRE")=0,CHAR(34)&amp;"NO_GRE"&amp;CHAR(34)&amp;",", "")</f>
        <v>"NO_GRE",</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"myrWHI",</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 t="shared" si="78"/>
        <v/>
      </c>
      <c r="GM4" s="48" t="str">
        <f t="shared" si="78"/>
        <v/>
      </c>
      <c r="GN4" s="48" t="str">
        <f t="shared" si="78"/>
        <v/>
      </c>
      <c r="GP4" s="48" t="str">
        <f>CHAR(34)&amp;AU4&amp;CHAR(34)</f>
        <v>"Province"</v>
      </c>
      <c r="GS4" s="48" t="str">
        <f>SUBSTITUTE("["&amp;_xlfn.CONCAT(CW4:GN4)&amp;"]",",]","]")</f>
        <v>["2Color","lets07","startB","with_v","REDWHI","allhor","2Bands","Horizo","Unequa","OnlyBa","NO_BLU","NO_GRE","NO_YEL","NO_BLA","myrWHI","NoStar"]</v>
      </c>
      <c r="GT4" s="48" t="str">
        <f t="shared" si="81"/>
        <v>"cl_WHI",</v>
      </c>
      <c r="GU4" s="48" t="str">
        <f t="shared" si="81"/>
        <v>"cl_RED",</v>
      </c>
      <c r="GV4" s="48" t="str">
        <f t="shared" si="81"/>
        <v/>
      </c>
      <c r="GW4" s="48" t="str">
        <f t="shared" si="81"/>
        <v/>
      </c>
      <c r="GX4" s="48" t="str">
        <f t="shared" si="81"/>
        <v/>
      </c>
      <c r="GY4" s="48" t="str">
        <f t="shared" si="81"/>
        <v/>
      </c>
      <c r="GZ4" s="48" t="str">
        <f t="shared" si="81"/>
        <v/>
      </c>
      <c r="HA4" s="48" t="str">
        <f t="shared" si="81"/>
        <v/>
      </c>
      <c r="HB4" s="48" t="str">
        <f t="shared" si="81"/>
        <v/>
      </c>
      <c r="HC4" s="48" t="str">
        <f>SUBSTITUTE("["&amp;_xlfn.CONCAT(GT4:HB4)&amp;"]",",]","]")</f>
        <v>["cl_WHI","cl_RED"]</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{couname:"[ECU] Bolívar",year:"???",region:"rgn_South America",Colors:["cl_WHI","cl_RED"],Items:["2Color","lets07","startB","with_v","REDWHI","allhor","2Bands","Horizo","Unequa","OnlyBa","NO_BLU","NO_GRE","NO_YEL","NO_BLA","myrWHI","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links: "https://flags.fandom.com/wiki/Bol%C3%ADvar,_Ecuador?utm_source=chatgpt.com"},</v>
      </c>
      <c r="HG4" s="73" t="str">
        <f>"{couname:"&amp;CT4&amp;(IF(HK4&lt;&gt;"",",subtype:"&amp;CHAR(34)&amp;HK4&amp;CHAR(34),""))&amp;",year:"&amp;HJ4&amp;",region:"&amp;CU4&amp;",Colors:"&amp;HC4&amp;",Items:"&amp;GS4&amp;",Flag:"&amp;CV4&amp;",HDFlag:"&amp;CHAR(34)&amp;E4&amp;CHAR(34)&amp;",type:"&amp;GP4&amp;", describe: "&amp;HI4&amp;", links: "&amp;HL4&amp;"},"</f>
        <v>{couname:"[ECU] Bolívar",year:"???",region:"rgn_South America",Colors:["cl_WHI","cl_RED"],Items:["2Color","lets07","startB","with_v","REDWHI","allhor","2Bands","Horizo","Unequa","OnlyBa","NO_BLU","NO_GRE","NO_YEL","NO_BLA","myrWHI","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links: "https://flags.fandom.com/wiki/Bol%C3%ADvar,_Ecuador?utm_source=chatgpt.com"},</v>
      </c>
      <c r="HH4" s="48" t="str">
        <f>IF(P4&lt;&gt;"",CHAR(34)&amp;"\n"&amp;P4&amp;CHAR(34),CHAR(34)&amp;CHAR(34))</f>
        <v>"\nThe red symbolizes the blood of those who fought for independence, while the green represents the province's fertile lands and agricultural productivity."</v>
      </c>
      <c r="HI4" s="48" t="str">
        <f>IF(J4=0,CHAR(34)&amp;CHAR(34),HH4)</f>
        <v>"\nThe red symbolizes the blood of those who fought for independence, while the green represents the province's fertile lands and agricultural productivity."</v>
      </c>
      <c r="HJ4" s="48" t="str">
        <f>CHAR(34)&amp;O4&amp;CHAR(34)</f>
        <v>"???"</v>
      </c>
      <c r="HL4" s="48" t="str">
        <f>CHAR(34)&amp;I4&amp;CHAR(34)</f>
        <v>"https://flags.fandom.com/wiki/Bol%C3%ADvar,_Ecuador?utm_source=chatgpt.com"</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{"couname":"[ECU] Bolívar","year":"???","region":"rgn_South America","Colors":["cl_WHI","cl_RED"],"Items":["2Color","lets07","startB","with_v","REDWHI","allhor","2Bands","Horizo","Unequa","OnlyBa","NO_BLU","NO_GRE","NO_YEL","NO_BLA","myrWHI","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 "links": "https://flags.fandom.com/wiki/Bol%C3%ADvar,_Ecuador?utm_source=chatgpt.com"},</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{"couname":"[ECU] Bolívar","year":"???","region":"rgn_South America","Colors":["cl_WHI","cl_RED"],"Items":["2Color","lets07","startB","with_v","REDWHI","allhor","2Bands","Horizo","Unequa","OnlyBa","NO_BLU","NO_GRE","NO_YEL","NO_BLA","myrWHI","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 "links": "https://flags.fandom.com/wiki/Bol%C3%ADvar,_Ecuador?utm_source=chatgpt.com"},</v>
      </c>
      <c r="HO4" s="75">
        <v>45610</v>
      </c>
      <c r="HP4" s="48" t="str" cm="1">
        <f t="array" ref="HP4">IF(_xlfn.TEXTJOIN(", ", TRUE, IF(ISNUMBER(SEARCH("BLA", BL4:BT4)), COLUMN(BL4:BT4) - COLUMN(BL4) + 1, ""))&lt;&gt;"","BLA","")</f>
        <v/>
      </c>
      <c r="HQ4" s="48" t="str" cm="1">
        <f t="array" ref="HQ4">IF(_xlfn.TEXTJOIN(", ", TRUE, IF(ISNUMBER(SEARCH("BLU", BL4:BT4)), COLUMN(BL4:BT4) - COLUMN(BL4) + 1, ""))&lt;&gt;"","BLU","")</f>
        <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-2</v>
      </c>
      <c r="IN4" s="78" t="str">
        <f>"http://mkweb.bcgsc.ca/color-summarizer/?url="&amp;D4&amp;"&amp;precision=low&amp;num_clusters="&amp;CG4&amp;"&amp;text=1"</f>
        <v>http://mkweb.bcgsc.ca/color-summarizer/?url=https://upload.wikimedia.org/wikipedia/commons/thumb/5/5e/Bandera_Provincia_Bol%C3%ADvar.svg/320px-Bandera_Provincia_Bol%C3%ADvar.svg.png&amp;precision=low&amp;num_clusters=2&amp;text=1</v>
      </c>
      <c r="IO4" s="48" t="str">
        <f>IF(HP4&lt;&gt;"",CHAR(34)&amp;"black"&amp;CHAR(34),"")</f>
        <v/>
      </c>
      <c r="IP4" s="48" t="str">
        <f>IF(HQ4&lt;&gt;"",CHAR(34)&amp;"blue"&amp;CHAR(34),"")</f>
        <v/>
      </c>
      <c r="IQ4" s="48" t="str">
        <f>IF(HR4&lt;&gt;"",CHAR(34)&amp;"green"&amp;CHAR(34),"")</f>
        <v/>
      </c>
      <c r="IR4" s="48" t="str">
        <f>IF(HS4&lt;&gt;"",CHAR(34)&amp;"red"&amp;CHAR(34),"")</f>
        <v>"red"</v>
      </c>
      <c r="IS4" s="48" t="str">
        <f>IF(HT4&lt;&gt;"",CHAR(34)&amp;"yellow"&amp;CHAR(34),"")</f>
        <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{"url":"http://mkweb.bcgsc.ca/color-summarizer/?url=https://upload.wikimedia.org/wikipedia/commons/thumb/5/5e/Bandera_Provincia_Bol%C3%ADvar.svg/320px-Bandera_Provincia_Bol%C3%ADvar.svg.png&amp;precision=low&amp;num_clusters=2&amp;text=1","name":"[ECU] Bolívar"},</v>
      </c>
      <c r="IY4" s="48">
        <v>1420</v>
      </c>
    </row>
    <row r="5" spans="1:259" s="48" customFormat="1" ht="38.4" customHeight="1" thickBot="1" x14ac:dyDescent="0.35">
      <c r="A5" s="79" t="s">
        <v>624</v>
      </c>
      <c r="B5" s="40" t="e" vm="77">
        <v>#VALUE!</v>
      </c>
      <c r="C5" s="41">
        <v>2</v>
      </c>
      <c r="D5" s="42" t="s">
        <v>625</v>
      </c>
      <c r="E5" s="43" t="s">
        <v>626</v>
      </c>
      <c r="F5" s="44" t="s">
        <v>166</v>
      </c>
      <c r="G5" s="45">
        <f>COUNTIF($A$1:$A$8285,A5)</f>
        <v>1</v>
      </c>
      <c r="H5" s="46"/>
      <c r="I5" s="47" t="s">
        <v>627</v>
      </c>
      <c r="J5" s="48" t="str">
        <f>""</f>
        <v/>
      </c>
      <c r="K5" s="49"/>
      <c r="L5" s="50"/>
      <c r="M5" s="50"/>
      <c r="N5" s="51" t="s">
        <v>169</v>
      </c>
      <c r="O5" s="52">
        <v>1954</v>
      </c>
      <c r="P5" s="53" t="s">
        <v>628</v>
      </c>
      <c r="Q5" s="54">
        <v>1</v>
      </c>
      <c r="R5" s="55" t="s">
        <v>169</v>
      </c>
      <c r="S5" s="56">
        <v>3</v>
      </c>
      <c r="T5" s="57" t="s">
        <v>172</v>
      </c>
      <c r="U5" s="58" t="s">
        <v>172</v>
      </c>
      <c r="V5" s="58" t="s">
        <v>173</v>
      </c>
      <c r="W5" s="58" t="s">
        <v>172</v>
      </c>
      <c r="X5" s="58" t="s">
        <v>172</v>
      </c>
      <c r="Y5" s="58" t="s">
        <v>172</v>
      </c>
      <c r="Z5" s="58" t="s">
        <v>172</v>
      </c>
      <c r="AA5" s="58" t="s">
        <v>172</v>
      </c>
      <c r="AB5" s="58" t="s">
        <v>172</v>
      </c>
      <c r="AC5" s="58" t="s">
        <v>172</v>
      </c>
      <c r="AD5" s="58" t="s">
        <v>172</v>
      </c>
      <c r="AE5" s="58" t="s">
        <v>172</v>
      </c>
      <c r="AF5" s="59" t="s">
        <v>172</v>
      </c>
      <c r="AG5" s="59" t="s">
        <v>173</v>
      </c>
      <c r="AH5" s="59" t="s">
        <v>172</v>
      </c>
      <c r="AI5" s="59" t="s">
        <v>172</v>
      </c>
      <c r="AJ5" s="59" t="s">
        <v>172</v>
      </c>
      <c r="AK5" s="59" t="s">
        <v>173</v>
      </c>
      <c r="AL5" s="59" t="s">
        <v>172</v>
      </c>
      <c r="AM5" s="59" t="s">
        <v>172</v>
      </c>
      <c r="AN5" s="59" t="s">
        <v>172</v>
      </c>
      <c r="AO5" s="59" t="s">
        <v>172</v>
      </c>
      <c r="AP5" s="59" t="s">
        <v>172</v>
      </c>
      <c r="AQ5" s="59" t="s">
        <v>172</v>
      </c>
      <c r="AR5" s="59" t="s">
        <v>172</v>
      </c>
      <c r="AS5" s="59" t="s">
        <v>172</v>
      </c>
      <c r="AT5" s="60">
        <v>0</v>
      </c>
      <c r="AU5" s="59" t="s">
        <v>277</v>
      </c>
      <c r="AV5" s="59" t="str">
        <f>IF(LEFT(A5,1)="[",LEFT(A5,5)&amp;AU5&amp;A5,"")</f>
        <v>[ECU]Province[ECU] Cañar</v>
      </c>
      <c r="AW5" s="59" t="str">
        <f>C5&amp;A5</f>
        <v>2[ECU] Cañar</v>
      </c>
      <c r="AX5" s="61" t="str">
        <f>_xlfn.TEXTJOIN(";",TRUE,AU5:AW5)</f>
        <v>Province;[ECU]Province[ECU] Cañar;2[ECU] Cañar</v>
      </c>
      <c r="AY5" s="61" t="s">
        <v>173</v>
      </c>
      <c r="AZ5" s="62" t="s">
        <v>155</v>
      </c>
      <c r="BA5" s="62"/>
      <c r="BB5" s="62"/>
      <c r="BC5" s="63"/>
      <c r="BD5" s="64" t="s">
        <v>152</v>
      </c>
      <c r="BE5" s="47"/>
      <c r="BF5" s="64"/>
      <c r="BG5" s="64"/>
      <c r="BH5" s="64"/>
      <c r="BI5" s="64"/>
      <c r="BJ5" s="64"/>
      <c r="BK5" s="47"/>
      <c r="BL5" s="64" t="s">
        <v>154</v>
      </c>
      <c r="BM5" s="64" t="s">
        <v>159</v>
      </c>
      <c r="BN5" s="64" t="s">
        <v>152</v>
      </c>
      <c r="BO5" s="64" t="s">
        <v>155</v>
      </c>
      <c r="BP5" s="64"/>
      <c r="BQ5" s="64"/>
      <c r="BR5" s="64"/>
      <c r="BS5" s="64"/>
      <c r="BT5" s="64"/>
      <c r="BU5" s="65" t="s">
        <v>173</v>
      </c>
      <c r="BV5" s="66" t="s">
        <v>173</v>
      </c>
      <c r="BW5" s="66" t="s">
        <v>270</v>
      </c>
      <c r="BX5" s="47"/>
      <c r="CB5" s="6" t="s">
        <v>629</v>
      </c>
      <c r="CC5" s="6"/>
      <c r="CD5" s="67">
        <v>0</v>
      </c>
      <c r="CE5" s="67">
        <v>0</v>
      </c>
      <c r="CF5" s="67" t="e">
        <v>#REF!</v>
      </c>
      <c r="CG5" s="68" cm="1">
        <f t="array" ref="CG5">SUMPRODUCT(--(LEN(TRIM(BL5:BT5))&gt;0))</f>
        <v>4</v>
      </c>
      <c r="CH5" s="59" t="str">
        <f>IF(CG5=2,"y","n")</f>
        <v>n</v>
      </c>
      <c r="CI5" s="59" t="str">
        <f>IF(CG5=3,"y","n")</f>
        <v>n</v>
      </c>
      <c r="CJ5" s="59" t="str">
        <f>IF(CG5=4,"y","n")</f>
        <v>y</v>
      </c>
      <c r="CK5" s="59" t="str">
        <f>IF(CG5&gt;4,"y","n")</f>
        <v>n</v>
      </c>
      <c r="CL5" s="59" t="str">
        <f>IF(S5=0,"y","n")</f>
        <v>n</v>
      </c>
      <c r="CM5" s="59" t="str">
        <f>IF(S5=2,"y","n")</f>
        <v>n</v>
      </c>
      <c r="CN5" s="59" t="str">
        <f>IF(S5=3,"y","n")</f>
        <v>y</v>
      </c>
      <c r="CO5" s="59" t="str">
        <f>IF(S5&gt;=4,"y","n")</f>
        <v>n</v>
      </c>
      <c r="CP5" s="59" t="str">
        <f>IF(AT5=0,"y","n")</f>
        <v>y</v>
      </c>
      <c r="CQ5" s="59" t="str">
        <f>IF(AT5=1,"y","n")</f>
        <v>n</v>
      </c>
      <c r="CR5" s="59" t="str">
        <f>IF(AT5=2,"y","n")</f>
        <v>n</v>
      </c>
      <c r="CS5" s="59" t="str">
        <f>IF(AT5&gt;=3,"y","n")</f>
        <v>n</v>
      </c>
      <c r="CT5" s="69" t="str">
        <f>CHAR(34)&amp;A5&amp;CHAR(34)</f>
        <v>"[ECU] Cañar"</v>
      </c>
      <c r="CU5" s="70" t="str">
        <f>CHAR(34)&amp;"rgn_"&amp;R5&amp;CHAR(34)</f>
        <v>"rgn_South America"</v>
      </c>
      <c r="CV5" s="48" t="str">
        <f>CHAR(34)&amp;D5&amp;CHAR(34)</f>
        <v>"https://upload.wikimedia.org/wikipedia/commons/thumb/8/85/Bandera_Provincia_Ca%C3%B1ar.svg/320px-Bandera_Provincia_Ca%C3%B1ar.svg.png"</v>
      </c>
      <c r="CW5" s="48" t="str">
        <f t="shared" si="15"/>
        <v/>
      </c>
      <c r="CX5" s="48" t="str">
        <f t="shared" si="15"/>
        <v/>
      </c>
      <c r="CY5" s="48" t="str">
        <f t="shared" si="15"/>
        <v>"4Color",</v>
      </c>
      <c r="CZ5" s="48" t="str">
        <f t="shared" si="15"/>
        <v/>
      </c>
      <c r="DA5" s="48" t="str">
        <f>IF(Q5&gt;1,CHAR(34)&amp;"words2"&amp;CHAR(34)&amp;",","")</f>
        <v/>
      </c>
      <c r="DB5" s="48" t="str">
        <f>IF(Q5&gt;2,CHAR(34)&amp;"words3"&amp;CHAR(34)&amp;",","")</f>
        <v/>
      </c>
      <c r="DC5" s="48" t="str">
        <f>IF(Q5=2,CHAR(34)&amp;"exact2"&amp;CHAR(34)&amp;",","")</f>
        <v/>
      </c>
      <c r="DD5" s="48"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"lets05",</v>
      </c>
      <c r="DE5" s="48"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"startC",</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"year19",</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"allhor",</v>
      </c>
      <c r="DU5" s="6" t="str">
        <f>IF(BY5="y",IF(AND(W5="n",V5="n"),CHAR(34)&amp;"alldia"&amp;CHAR(34)&amp;",",""),"")</f>
        <v/>
      </c>
      <c r="DV5" s="48" t="str">
        <f>IF(IA5&lt;&gt;"",(IF(IA5="y",CHAR(34)&amp;"largec"&amp;CHAR(34)&amp;",",CHAR(34)&amp;"smallc"&amp;CHAR(34)&amp;",")),"")</f>
        <v>"smallc",</v>
      </c>
      <c r="DW5" s="48" t="str">
        <f t="shared" si="37"/>
        <v/>
      </c>
      <c r="DX5" s="48" t="str">
        <f t="shared" si="37"/>
        <v/>
      </c>
      <c r="DY5" s="48" t="str">
        <f t="shared" si="37"/>
        <v>"3Bands",</v>
      </c>
      <c r="DZ5" s="48" t="str">
        <f t="shared" si="37"/>
        <v/>
      </c>
      <c r="EA5" s="48" t="str">
        <f t="shared" si="38"/>
        <v/>
      </c>
      <c r="EB5" s="48" t="str">
        <f t="shared" si="38"/>
        <v/>
      </c>
      <c r="EC5" s="48" t="str">
        <f t="shared" si="38"/>
        <v>"Horizo",</v>
      </c>
      <c r="ED5" s="48" t="str">
        <f t="shared" si="38"/>
        <v/>
      </c>
      <c r="EE5" s="48" t="str">
        <f t="shared" si="38"/>
        <v/>
      </c>
      <c r="EF5" s="48" t="str">
        <f>IF(AND(Y5&lt;&gt;"n",Y5&lt;&gt;""),CHAR(34)&amp;Y$1&amp;CHAR(34)&amp;",","")</f>
        <v/>
      </c>
      <c r="EG5" s="48" t="str">
        <f t="shared" si="40"/>
        <v/>
      </c>
      <c r="EH5" s="48" t="str">
        <f t="shared" si="40"/>
        <v/>
      </c>
      <c r="EI5" s="48" t="str">
        <f t="shared" si="40"/>
        <v/>
      </c>
      <c r="EJ5" s="48" t="str">
        <f t="shared" si="40"/>
        <v/>
      </c>
      <c r="EK5" s="48" t="str">
        <f t="shared" si="40"/>
        <v/>
      </c>
      <c r="EL5" s="48" t="str">
        <f t="shared" si="40"/>
        <v/>
      </c>
      <c r="EM5" s="48" t="str">
        <f t="shared" si="40"/>
        <v/>
      </c>
      <c r="EN5" s="48" t="str">
        <f t="shared" si="40"/>
        <v>"Unequa",</v>
      </c>
      <c r="EO5" s="48" t="str">
        <f t="shared" si="40"/>
        <v/>
      </c>
      <c r="EP5" s="48" t="str">
        <f t="shared" si="40"/>
        <v/>
      </c>
      <c r="EQ5" s="48" t="str">
        <f t="shared" si="40"/>
        <v/>
      </c>
      <c r="ER5" s="48" t="str">
        <f t="shared" si="40"/>
        <v>"OnlyBa",</v>
      </c>
      <c r="ES5" s="48" t="str">
        <f t="shared" si="40"/>
        <v/>
      </c>
      <c r="ET5" s="48" t="str">
        <f t="shared" si="40"/>
        <v/>
      </c>
      <c r="EU5" s="48" t="str">
        <f t="shared" si="40"/>
        <v/>
      </c>
      <c r="EV5" s="48" t="str">
        <f t="shared" si="40"/>
        <v/>
      </c>
      <c r="EW5" s="48" t="str">
        <f t="shared" si="40"/>
        <v/>
      </c>
      <c r="EX5" s="48" t="str">
        <f t="shared" si="40"/>
        <v/>
      </c>
      <c r="EY5" s="48" t="str">
        <f t="shared" si="40"/>
        <v/>
      </c>
      <c r="EZ5" s="48" t="str">
        <f t="shared" si="40"/>
        <v/>
      </c>
      <c r="FA5" s="48" t="str">
        <f>IF(AT5&gt;0,CHAR(34)&amp;"sta"&amp;AZ5&amp;CHAR(34)&amp;",","")</f>
        <v/>
      </c>
      <c r="FB5" s="48" t="str">
        <f>IF(AND(AT5&gt;0,BA5&lt;&gt;""),CHAR(34)&amp;"sta"&amp;BA5&amp;CHAR(34)&amp;",","")</f>
        <v/>
      </c>
      <c r="FC5" s="48" t="str">
        <f>IF(AND(AT5&gt;0,BB5&lt;&gt;""),CHAR(34)&amp;"sta"&amp;BB5&amp;CHAR(34)&amp;",","")</f>
        <v/>
      </c>
      <c r="FD5" s="48" t="str">
        <f>IF(BV5="n",CHAR(34)&amp;"tcWHYE"&amp;CHAR(34)&amp;",",IF(BV5="y",CHAR(34)&amp;FD$1&amp;CHAR(34)&amp;",",""))</f>
        <v>"ntWHYE",</v>
      </c>
      <c r="FE5" s="48" t="str">
        <f>IF(COUNTIF(BL5:BT5,"BLU")=0,CHAR(34)&amp;"NO_BLU"&amp;CHAR(34)&amp;",", "")</f>
        <v/>
      </c>
      <c r="FF5" s="48" t="str">
        <f>IF(COUNTIF(BL5:BT5,"WHI")=0,CHAR(34)&amp;"NO_WHI"&amp;CHAR(34)&amp;",", "")</f>
        <v/>
      </c>
      <c r="FG5" s="48" t="str">
        <f>IF(COUNTIF(BL5:BT5,"RED")=0,CHAR(34)&amp;"NO_RED"&amp;CHAR(34)&amp;",", "")</f>
        <v/>
      </c>
      <c r="FH5" s="48" t="str">
        <f>IF(COUNTIF(BL5:BS5,"GRE")=0,CHAR(34)&amp;"NO_GRE"&amp;CHAR(34)&amp;",", "")</f>
        <v>"NO_GRE",</v>
      </c>
      <c r="FI5" s="48" t="str">
        <f>IF(COUNTIF(BL5:BT5,"YEL")=0,CHAR(34)&amp;"NO_YEL"&amp;CHAR(34)&amp;",", "")</f>
        <v/>
      </c>
      <c r="FJ5" s="48" t="str">
        <f>IF(COUNTIF(BL5:BT5,"BLA")=0,CHAR(34)&amp;"NO_BLA"&amp;CHAR(34)&amp;",", "")</f>
        <v>"NO_BLA",</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
      </c>
      <c r="FR5" s="48" t="str">
        <f>IF(LEN(BG5)=3,CHAR(34)&amp;"002"&amp;BG5&amp;CHAR(34)&amp;",","")</f>
        <v/>
      </c>
      <c r="FS5" s="48" t="str">
        <f>IF(LEN(BH5)=3,CHAR(34)&amp;"003"&amp;BH5&amp;CHAR(34)&amp;",","")</f>
        <v/>
      </c>
      <c r="FT5" s="48" t="str">
        <f>CHAR(34)&amp;"myr"&amp;BD5&amp;CHAR(34)&amp;","</f>
        <v>"myrBLU",</v>
      </c>
      <c r="FU5" s="48" t="str">
        <f>IF(AY5="y",CHAR(34)&amp;"island"&amp;CHAR(34)&amp;",","")</f>
        <v>"island",</v>
      </c>
      <c r="FV5" s="48" t="str">
        <f>IF(BZ5="y",CHAR(34)&amp;"landlo"&amp;CHAR(34)&amp;",","")</f>
        <v/>
      </c>
      <c r="FW5" s="48" t="str">
        <f>IF(CA5="y",CHAR(34)&amp;"eunion"&amp;CHAR(34)&amp;",","")</f>
        <v/>
      </c>
      <c r="FX5" s="48" t="str">
        <f>SUBSTITUTE(IFERROR(SEARCH("[",A5),IFERROR(IF(AND(CA5&lt;&gt;"y",SEARCH("Europe",R5)&gt;0),CHAR(34)&amp;"noeuni"&amp;CHAR(34)&amp;",",""),"")),"1","")</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C5" s="48" t="str">
        <f>IFERROR(IF(SEARCH("Portuguese",CB5)&gt;0,CHAR(34)&amp;"portug"&amp;CHAR(34)&amp;",",""),"")</f>
        <v/>
      </c>
      <c r="GD5" s="48" t="str">
        <f>IFERROR(IF(SEARCH("German",CB5)&gt;0,CHAR(34)&amp;"german"&amp;CHAR(34)&amp;",",""),"")</f>
        <v/>
      </c>
      <c r="GE5" s="48" t="str">
        <f>IFERROR(IF(SEARCH("Dutch",CB5)&gt;0,CHAR(34)&amp;"dutchs"&amp;CHAR(34)&amp;",",""),"")</f>
        <v/>
      </c>
      <c r="GF5" s="48" t="str">
        <f>IFERROR(IF(SEARCH("Histor",AU5)&gt;0,CHAR(34)&amp;"histor"&amp;CHAR(34)&amp;",",""),"")</f>
        <v/>
      </c>
      <c r="GG5" s="48" t="str">
        <f>IF(BU5="y",CHAR(34)&amp;"unjack"&amp;CHAR(34)&amp;",","")</f>
        <v>"unjack",</v>
      </c>
      <c r="GH5" s="48" t="str">
        <f>IF(CD5=1,CHAR(34)&amp;"southc"&amp;CHAR(34)&amp;",","")</f>
        <v/>
      </c>
      <c r="GI5" s="48" t="str">
        <f>IF(CE5=1,CHAR(34)&amp;"hasmap"&amp;CHAR(34)&amp;",","")</f>
        <v/>
      </c>
      <c r="GJ5" s="48" t="str">
        <f>IF(CP5="y",CHAR(34)&amp;CP$1&amp;CHAR(34)&amp;",","")</f>
        <v>"NoStar",</v>
      </c>
      <c r="GK5" s="48" t="str">
        <f>IF(GJ5="",CHAR(34)&amp;"HasSta"&amp;CHAR(34)&amp;",","")</f>
        <v/>
      </c>
      <c r="GL5" s="48" t="str">
        <f t="shared" si="78"/>
        <v/>
      </c>
      <c r="GM5" s="48" t="str">
        <f t="shared" si="78"/>
        <v/>
      </c>
      <c r="GN5" s="48" t="str">
        <f t="shared" si="78"/>
        <v/>
      </c>
      <c r="GP5" s="48" t="str">
        <f>CHAR(34)&amp;AU5&amp;CHAR(34)</f>
        <v>"Province"</v>
      </c>
      <c r="GS5" s="48" t="str">
        <f>SUBSTITUTE("["&amp;_xlfn.CONCAT(CW5:GN5)&amp;"]",",]","]")</f>
        <v>["4Color","lets05","startC","year19","allhor","smallc","3Bands","Horizo","Unequa","OnlyBa","ntWHYE","NO_GRE","NO_BLA","myrBLU","island","unjack","NoStar"]</v>
      </c>
      <c r="GT5" s="48" t="str">
        <f t="shared" si="81"/>
        <v>"cl_RED",</v>
      </c>
      <c r="GU5" s="48" t="str">
        <f t="shared" si="81"/>
        <v>"cl_WHI",</v>
      </c>
      <c r="GV5" s="48" t="str">
        <f t="shared" si="81"/>
        <v>"cl_BLU",</v>
      </c>
      <c r="GW5" s="48" t="str">
        <f t="shared" si="81"/>
        <v>"cl_YEL",</v>
      </c>
      <c r="GX5" s="48" t="str">
        <f t="shared" si="81"/>
        <v/>
      </c>
      <c r="GY5" s="48" t="str">
        <f t="shared" si="81"/>
        <v/>
      </c>
      <c r="GZ5" s="48" t="str">
        <f t="shared" si="81"/>
        <v/>
      </c>
      <c r="HA5" s="48" t="str">
        <f t="shared" si="81"/>
        <v/>
      </c>
      <c r="HB5" s="48" t="str">
        <f t="shared" si="81"/>
        <v/>
      </c>
      <c r="HC5" s="48" t="str">
        <f>SUBSTITUTE("["&amp;_xlfn.CONCAT(GT5:HB5)&amp;"]",",]","]")</f>
        <v>["cl_RED","cl_WHI","cl_BLU","cl_YEL"]</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{couname:"[ECU] Cañar",year:"1954",region:"rgn_South America",Colors:["cl_RED","cl_WHI","cl_BLU","cl_YEL"],Items:["4Color","lets05","startC","year19","allhor","smallc","3Bands","Horizo","Unequa","OnlyBa","ntWHYE","NO_GRE","NO_BLA","myrBLU","island","unjack","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links: "https://www.crwflags.com/fotw/flags/ec-f.html"},</v>
      </c>
      <c r="HG5" s="73" t="str">
        <f>"{couname:"&amp;CT5&amp;(IF(HK5&lt;&gt;"",",subtype:"&amp;CHAR(34)&amp;HK5&amp;CHAR(34),""))&amp;",year:"&amp;HJ5&amp;",region:"&amp;CU5&amp;",Colors:"&amp;HC5&amp;",Items:"&amp;GS5&amp;",Flag:"&amp;CV5&amp;",HDFlag:"&amp;CHAR(34)&amp;E5&amp;CHAR(34)&amp;",type:"&amp;GP5&amp;", describe: "&amp;HI5&amp;", links: "&amp;HL5&amp;"},"</f>
        <v>{couname:"[ECU] Cañar",year:"1954",region:"rgn_South America",Colors:["cl_RED","cl_WHI","cl_BLU","cl_YEL"],Items:["4Color","lets05","startC","year19","allhor","smallc","3Bands","Horizo","Unequa","OnlyBa","ntWHYE","NO_GRE","NO_BLA","myrBLU","island","unjack","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links: "https://www.crwflags.com/fotw/flags/ec-f.html"},</v>
      </c>
      <c r="HH5" s="48" t="str">
        <f>IF(P5&lt;&gt;"",CHAR(34)&amp;"\n"&amp;P5&amp;CHAR(34),CHAR(34)&amp;CHAR(34))</f>
        <v>"\nThe flag was adopted in 1954. The blue symbolizes the region's high ideals, the yellow represents the agricultural and mineral resources inside the land, and the red represents the inhabitants' hearts full of enthusiasm and faith in a glorious future."</v>
      </c>
      <c r="HI5" s="48" t="str">
        <f>IF(J5=0,CHAR(34)&amp;CHAR(34),HH5)</f>
        <v>"\nThe flag was adopted in 1954. The blue symbolizes the region's high ideals, the yellow represents the agricultural and mineral resources inside the land, and the red represents the inhabitants' hearts full of enthusiasm and faith in a glorious future."</v>
      </c>
      <c r="HJ5" s="48" t="str">
        <f>CHAR(34)&amp;O5&amp;CHAR(34)</f>
        <v>"1954"</v>
      </c>
      <c r="HL5" s="48" t="str">
        <f>CHAR(34)&amp;I5&amp;CHAR(34)</f>
        <v>"https://www.crwflags.com/fotw/flags/ec-f.html"</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{"couname":"[ECU] Cañar","year":"1954","region":"rgn_South America","Colors":["cl_RED","cl_WHI","cl_BLU","cl_YEL"],"Items":["4Color","lets05","startC","year19","allhor","smallc","3Bands","Horizo","Unequa","OnlyBa","ntWHYE","NO_GRE","NO_BLA","myrBLU","island","unjack","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 "links": "https://www.crwflags.com/fotw/flags/ec-f.html"},</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{"couname":"[ECU] Cañar","year":"1954","region":"rgn_South America","Colors":["cl_RED","cl_WHI","cl_BLU","cl_YEL"],"Items":["4Color","lets05","startC","year19","allhor","smallc","3Bands","Horizo","Unequa","OnlyBa","ntWHYE","NO_GRE","NO_BLA","myrBLU","island","unjack","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 "links": "https://www.crwflags.com/fotw/flags/ec-f.html"},</v>
      </c>
      <c r="HO5" s="75"/>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t="s">
        <v>172</v>
      </c>
      <c r="IB5" s="6"/>
      <c r="IC5" s="77"/>
      <c r="ID5" s="77"/>
      <c r="IE5" s="77"/>
      <c r="IF5" s="77"/>
      <c r="IG5" s="77"/>
      <c r="IH5" s="77"/>
      <c r="II5" s="77"/>
      <c r="IJ5" s="77"/>
      <c r="IK5" s="77"/>
      <c r="IL5" s="48">
        <f>SUM(IC5:IK5)</f>
        <v>0</v>
      </c>
      <c r="IM5" s="45">
        <f>COUNTIF(IC5:IK5,"&gt;0")-CG5</f>
        <v>-4</v>
      </c>
      <c r="IN5" s="78" t="str">
        <f>"http://mkweb.bcgsc.ca/color-summarizer/?url="&amp;D5&amp;"&amp;precision=low&amp;num_clusters="&amp;CG5&amp;"&amp;text=1"</f>
        <v>http://mkweb.bcgsc.ca/color-summarizer/?url=https://upload.wikimedia.org/wikipedia/commons/thumb/8/85/Bandera_Provincia_Ca%C3%B1ar.svg/320px-Bandera_Provincia_Ca%C3%B1ar.svg.png&amp;precision=low&amp;num_clusters=4&amp;text=1</v>
      </c>
      <c r="IO5" s="48" t="str">
        <f>IF(HP5&lt;&gt;"",CHAR(34)&amp;"black"&amp;CHAR(34),"")</f>
        <v/>
      </c>
      <c r="IP5" s="48" t="str">
        <f>IF(HQ5&lt;&gt;"",CHAR(34)&amp;"blue"&amp;CHAR(34),"")</f>
        <v>"blue"</v>
      </c>
      <c r="IQ5" s="48" t="str">
        <f>IF(HR5&lt;&gt;"",CHAR(34)&amp;"green"&amp;CHAR(34),"")</f>
        <v/>
      </c>
      <c r="IR5" s="48" t="str">
        <f>IF(HS5&lt;&gt;"",CHAR(34)&amp;"red"&amp;CHAR(34),"")</f>
        <v>"red"</v>
      </c>
      <c r="IS5" s="48" t="str">
        <f>IF(HT5&lt;&gt;"",CHAR(34)&amp;"yellow"&amp;CHAR(34),"")</f>
        <v>"yellow"</v>
      </c>
      <c r="IT5" s="48" t="str">
        <f>IF(HU5&lt;&gt;"",CHAR(34)&amp;"orange"&amp;CHAR(34),"")</f>
        <v/>
      </c>
      <c r="IU5" s="48" t="str">
        <f>IF(HV5&lt;&gt;"",CHAR(34)&amp;"brown"&amp;CHAR(34),"")</f>
        <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{"url":"http://mkweb.bcgsc.ca/color-summarizer/?url=https://upload.wikimedia.org/wikipedia/commons/thumb/8/85/Bandera_Provincia_Ca%C3%B1ar.svg/320px-Bandera_Provincia_Ca%C3%B1ar.svg.png&amp;precision=low&amp;num_clusters=4&amp;text=1","name":"[ECU] Cañar"},</v>
      </c>
      <c r="IY5" s="48">
        <v>226</v>
      </c>
    </row>
    <row r="6" spans="1:259" s="48" customFormat="1" ht="38.4" customHeight="1" thickBot="1" x14ac:dyDescent="0.35">
      <c r="A6" s="79" t="s">
        <v>630</v>
      </c>
      <c r="B6" s="40" t="e" vm="78">
        <v>#VALUE!</v>
      </c>
      <c r="C6" s="41">
        <v>2</v>
      </c>
      <c r="D6" s="42" t="s">
        <v>631</v>
      </c>
      <c r="E6" s="43" t="s">
        <v>632</v>
      </c>
      <c r="F6" s="44" t="s">
        <v>166</v>
      </c>
      <c r="G6" s="45">
        <f>COUNTIF($A$1:$A$8285,A6)</f>
        <v>1</v>
      </c>
      <c r="H6" s="46"/>
      <c r="I6" s="47" t="s">
        <v>633</v>
      </c>
      <c r="J6" s="48" t="str">
        <f>""</f>
        <v/>
      </c>
      <c r="K6" s="49"/>
      <c r="L6" s="50"/>
      <c r="M6" s="50"/>
      <c r="N6" s="51" t="s">
        <v>169</v>
      </c>
      <c r="O6" s="52">
        <v>1961</v>
      </c>
      <c r="P6" s="53" t="s">
        <v>634</v>
      </c>
      <c r="Q6" s="54">
        <v>2</v>
      </c>
      <c r="R6" s="55" t="s">
        <v>169</v>
      </c>
      <c r="S6" s="56">
        <v>3</v>
      </c>
      <c r="T6" s="57" t="s">
        <v>172</v>
      </c>
      <c r="U6" s="58" t="s">
        <v>172</v>
      </c>
      <c r="V6" s="58" t="s">
        <v>173</v>
      </c>
      <c r="W6" s="58" t="s">
        <v>172</v>
      </c>
      <c r="X6" s="58" t="s">
        <v>172</v>
      </c>
      <c r="Y6" s="58" t="s">
        <v>172</v>
      </c>
      <c r="Z6" s="58" t="s">
        <v>172</v>
      </c>
      <c r="AA6" s="58" t="s">
        <v>172</v>
      </c>
      <c r="AB6" s="58" t="s">
        <v>172</v>
      </c>
      <c r="AC6" s="58" t="s">
        <v>172</v>
      </c>
      <c r="AD6" s="58" t="s">
        <v>172</v>
      </c>
      <c r="AE6" s="58" t="s">
        <v>172</v>
      </c>
      <c r="AF6" s="59" t="s">
        <v>172</v>
      </c>
      <c r="AG6" s="59" t="s">
        <v>173</v>
      </c>
      <c r="AH6" s="59" t="s">
        <v>172</v>
      </c>
      <c r="AI6" s="59" t="s">
        <v>172</v>
      </c>
      <c r="AJ6" s="59" t="s">
        <v>172</v>
      </c>
      <c r="AK6" s="59" t="s">
        <v>173</v>
      </c>
      <c r="AL6" s="59" t="s">
        <v>172</v>
      </c>
      <c r="AM6" s="59" t="s">
        <v>172</v>
      </c>
      <c r="AN6" s="59" t="s">
        <v>172</v>
      </c>
      <c r="AO6" s="59" t="s">
        <v>172</v>
      </c>
      <c r="AP6" s="59" t="s">
        <v>172</v>
      </c>
      <c r="AQ6" s="59" t="s">
        <v>172</v>
      </c>
      <c r="AR6" s="59" t="s">
        <v>172</v>
      </c>
      <c r="AS6" s="59" t="s">
        <v>172</v>
      </c>
      <c r="AT6" s="60">
        <v>0</v>
      </c>
      <c r="AU6" s="59" t="s">
        <v>277</v>
      </c>
      <c r="AV6" s="59" t="str">
        <f>IF(LEFT(A6,1)="[",LEFT(A6,5)&amp;AU6&amp;A6,"")</f>
        <v>[ECU]Province[ECU] Galapagos Islands</v>
      </c>
      <c r="AW6" s="59" t="str">
        <f>C6&amp;A6</f>
        <v>2[ECU] Galapagos Islands</v>
      </c>
      <c r="AX6" s="61"/>
      <c r="AY6" s="61"/>
      <c r="AZ6" s="62" t="s">
        <v>152</v>
      </c>
      <c r="BA6" s="62"/>
      <c r="BB6" s="62"/>
      <c r="BC6" s="63"/>
      <c r="BD6" s="64" t="s">
        <v>159</v>
      </c>
      <c r="BE6" s="47"/>
      <c r="BF6" s="64" t="s">
        <v>154</v>
      </c>
      <c r="BG6" s="64" t="s">
        <v>159</v>
      </c>
      <c r="BH6" s="64" t="s">
        <v>154</v>
      </c>
      <c r="BI6" s="64"/>
      <c r="BJ6" s="64"/>
      <c r="BK6" s="47"/>
      <c r="BL6" s="64" t="s">
        <v>159</v>
      </c>
      <c r="BM6" s="64" t="s">
        <v>154</v>
      </c>
      <c r="BN6" s="64" t="s">
        <v>153</v>
      </c>
      <c r="BO6" s="64" t="s">
        <v>152</v>
      </c>
      <c r="BP6" s="64" t="s">
        <v>151</v>
      </c>
      <c r="BQ6" s="64"/>
      <c r="BR6" s="64"/>
      <c r="BS6" s="64"/>
      <c r="BT6" s="64"/>
      <c r="BU6" s="65"/>
      <c r="BV6" s="66"/>
      <c r="BW6" s="66">
        <v>0</v>
      </c>
      <c r="BX6" s="47"/>
      <c r="CB6" s="6"/>
      <c r="CC6" s="6"/>
      <c r="CD6" s="67">
        <v>0</v>
      </c>
      <c r="CE6" s="67">
        <v>0</v>
      </c>
      <c r="CF6" s="67" t="e">
        <v>#REF!</v>
      </c>
      <c r="CG6" s="68" cm="1">
        <f t="array" ref="CG6">SUMPRODUCT(--(LEN(TRIM(BL6:BT6))&gt;0))</f>
        <v>5</v>
      </c>
      <c r="CH6" s="59" t="str">
        <f>IF(CG6=2,"y","n")</f>
        <v>n</v>
      </c>
      <c r="CI6" s="59" t="str">
        <f>IF(CG6=3,"y","n")</f>
        <v>n</v>
      </c>
      <c r="CJ6" s="59" t="str">
        <f>IF(CG6=4,"y","n")</f>
        <v>n</v>
      </c>
      <c r="CK6" s="59" t="str">
        <f>IF(CG6&gt;4,"y","n")</f>
        <v>y</v>
      </c>
      <c r="CL6" s="59" t="str">
        <f>IF(S6=0,"y","n")</f>
        <v>n</v>
      </c>
      <c r="CM6" s="59" t="str">
        <f>IF(S6=2,"y","n")</f>
        <v>n</v>
      </c>
      <c r="CN6" s="59" t="str">
        <f>IF(S6=3,"y","n")</f>
        <v>y</v>
      </c>
      <c r="CO6" s="59" t="str">
        <f>IF(S6&gt;=4,"y","n")</f>
        <v>n</v>
      </c>
      <c r="CP6" s="59" t="str">
        <f>IF(AT6=0,"y","n")</f>
        <v>y</v>
      </c>
      <c r="CQ6" s="59" t="str">
        <f>IF(AT6=1,"y","n")</f>
        <v>n</v>
      </c>
      <c r="CR6" s="59" t="str">
        <f>IF(AT6=2,"y","n")</f>
        <v>n</v>
      </c>
      <c r="CS6" s="59" t="str">
        <f>IF(AT6&gt;=3,"y","n")</f>
        <v>n</v>
      </c>
      <c r="CT6" s="69" t="str">
        <f>CHAR(34)&amp;A6&amp;CHAR(34)</f>
        <v>"[ECU] Galapagos Islands"</v>
      </c>
      <c r="CU6" s="70" t="str">
        <f>CHAR(34)&amp;"rgn_"&amp;R6&amp;CHAR(34)</f>
        <v>"rgn_South America"</v>
      </c>
      <c r="CV6" s="48" t="str">
        <f>CHAR(34)&amp;D6&amp;CHAR(34)</f>
        <v>"https://upload.wikimedia.org/wikipedia/commons/thumb/0/0f/Flag_of_the_Galapagos_Islands.svg/640px-Flag_of_the_Galapagos_Islands.svg.png"</v>
      </c>
      <c r="CW6" s="48" t="str">
        <f t="shared" si="15"/>
        <v/>
      </c>
      <c r="CX6" s="48" t="str">
        <f t="shared" si="15"/>
        <v/>
      </c>
      <c r="CY6" s="48" t="str">
        <f t="shared" si="15"/>
        <v/>
      </c>
      <c r="CZ6" s="48" t="str">
        <f t="shared" si="15"/>
        <v>"5+Colo",</v>
      </c>
      <c r="DA6" s="48" t="str">
        <f>IF(Q6&gt;1,CHAR(34)&amp;"words2"&amp;CHAR(34)&amp;",","")</f>
        <v>"words2",</v>
      </c>
      <c r="DB6" s="48" t="str">
        <f>IF(Q6&gt;2,CHAR(34)&amp;"words3"&amp;CHAR(34)&amp;",","")</f>
        <v/>
      </c>
      <c r="DC6" s="48" t="str">
        <f>IF(Q6=2,CHAR(34)&amp;"exact2"&amp;CHAR(34)&amp;",","")</f>
        <v>"exact2",</v>
      </c>
      <c r="DD6" s="48"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"lets16",</v>
      </c>
      <c r="DE6" s="48"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"startG",</v>
      </c>
      <c r="DF6" s="48" t="str">
        <f>IFERROR(IF(SEARCH("tan",A6)&gt;0,CHAR(34)&amp;"withtn"&amp;CHAR(34)&amp;",",""),"")</f>
        <v/>
      </c>
      <c r="DG6" s="48" t="str">
        <f>IFERROR(IF(SEARCH("q",A6)&gt;0,CHAR(34)&amp;"with_q"&amp;CHAR(34)&amp;",",""),"")</f>
        <v/>
      </c>
      <c r="DH6" s="48" t="str">
        <f>IFERROR(IF(SEARCH("v",A6)&gt;0,CHAR(34)&amp;"with_v"&amp;CHAR(34)&amp;",",""),"")</f>
        <v/>
      </c>
      <c r="DI6" s="48" t="str">
        <f>IFERROR(IF(SEARCH("w",A6)&gt;0,CHAR(34)&amp;"with_w"&amp;CHAR(34)&amp;",",""),"")</f>
        <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"year19",</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"allhor",</v>
      </c>
      <c r="DU6" s="6" t="str">
        <f>IF(BY6="y",IF(AND(W6="n",V6="n"),CHAR(34)&amp;"alldia"&amp;CHAR(34)&amp;",",""),"")</f>
        <v/>
      </c>
      <c r="DV6" s="48" t="str">
        <f>IF(IA6&lt;&gt;"",(IF(IA6="y",CHAR(34)&amp;"largec"&amp;CHAR(34)&amp;",",CHAR(34)&amp;"smallc"&amp;CHAR(34)&amp;",")),"")</f>
        <v/>
      </c>
      <c r="DW6" s="48" t="str">
        <f t="shared" si="37"/>
        <v/>
      </c>
      <c r="DX6" s="48" t="str">
        <f t="shared" si="37"/>
        <v/>
      </c>
      <c r="DY6" s="48" t="str">
        <f t="shared" si="37"/>
        <v>"3Bands",</v>
      </c>
      <c r="DZ6" s="48" t="str">
        <f t="shared" si="37"/>
        <v/>
      </c>
      <c r="EA6" s="48" t="str">
        <f t="shared" si="38"/>
        <v/>
      </c>
      <c r="EB6" s="48" t="str">
        <f t="shared" si="38"/>
        <v/>
      </c>
      <c r="EC6" s="48" t="str">
        <f t="shared" si="38"/>
        <v>"Horizo",</v>
      </c>
      <c r="ED6" s="48" t="str">
        <f t="shared" si="38"/>
        <v/>
      </c>
      <c r="EE6" s="48" t="str">
        <f t="shared" si="38"/>
        <v/>
      </c>
      <c r="EF6" s="48" t="str">
        <f>IF(AND(Y6&lt;&gt;"n",Y6&lt;&gt;""),CHAR(34)&amp;Y$1&amp;CHAR(34)&amp;",","")</f>
        <v/>
      </c>
      <c r="EG6" s="48" t="str">
        <f t="shared" si="40"/>
        <v/>
      </c>
      <c r="EH6" s="48" t="str">
        <f t="shared" si="40"/>
        <v/>
      </c>
      <c r="EI6" s="48" t="str">
        <f t="shared" si="40"/>
        <v/>
      </c>
      <c r="EJ6" s="48" t="str">
        <f t="shared" si="40"/>
        <v/>
      </c>
      <c r="EK6" s="48" t="str">
        <f t="shared" si="40"/>
        <v/>
      </c>
      <c r="EL6" s="48" t="str">
        <f t="shared" si="40"/>
        <v/>
      </c>
      <c r="EM6" s="48" t="str">
        <f t="shared" si="40"/>
        <v/>
      </c>
      <c r="EN6" s="48" t="str">
        <f t="shared" si="40"/>
        <v>"Unequa",</v>
      </c>
      <c r="EO6" s="48" t="str">
        <f t="shared" si="40"/>
        <v/>
      </c>
      <c r="EP6" s="48" t="str">
        <f t="shared" si="40"/>
        <v/>
      </c>
      <c r="EQ6" s="48" t="str">
        <f t="shared" si="40"/>
        <v/>
      </c>
      <c r="ER6" s="48" t="str">
        <f t="shared" si="40"/>
        <v>"OnlyBa",</v>
      </c>
      <c r="ES6" s="48" t="str">
        <f t="shared" si="40"/>
        <v/>
      </c>
      <c r="ET6" s="48" t="str">
        <f t="shared" si="40"/>
        <v/>
      </c>
      <c r="EU6" s="48" t="str">
        <f t="shared" si="40"/>
        <v/>
      </c>
      <c r="EV6" s="48" t="str">
        <f t="shared" si="40"/>
        <v/>
      </c>
      <c r="EW6" s="48" t="str">
        <f t="shared" si="40"/>
        <v/>
      </c>
      <c r="EX6" s="48" t="str">
        <f t="shared" si="40"/>
        <v/>
      </c>
      <c r="EY6" s="48" t="str">
        <f t="shared" si="40"/>
        <v/>
      </c>
      <c r="EZ6" s="48" t="str">
        <f t="shared" si="40"/>
        <v/>
      </c>
      <c r="FA6" s="48" t="str">
        <f>IF(AT6&gt;0,CHAR(34)&amp;"sta"&amp;AZ6&amp;CHAR(34)&amp;",","")</f>
        <v/>
      </c>
      <c r="FB6" s="48" t="str">
        <f>IF(AND(AT6&gt;0,BA6&lt;&gt;""),CHAR(34)&amp;"sta"&amp;BA6&amp;CHAR(34)&amp;",","")</f>
        <v/>
      </c>
      <c r="FC6" s="48" t="str">
        <f>IF(AND(AT6&gt;0,BB6&lt;&gt;""),CHAR(34)&amp;"sta"&amp;BB6&amp;CHAR(34)&amp;",","")</f>
        <v/>
      </c>
      <c r="FD6" s="48" t="str">
        <f>IF(BV6="n",CHAR(34)&amp;"tcWHYE"&amp;CHAR(34)&amp;",",IF(BV6="y",CHAR(34)&amp;FD$1&amp;CHAR(34)&amp;",",""))</f>
        <v/>
      </c>
      <c r="FE6" s="48" t="str">
        <f>IF(COUNTIF(BL6:BT6,"BLU")=0,CHAR(34)&amp;"NO_BLU"&amp;CHAR(34)&amp;",", "")</f>
        <v/>
      </c>
      <c r="FF6" s="48" t="str">
        <f>IF(COUNTIF(BL6:BT6,"WHI")=0,CHAR(34)&amp;"NO_WHI"&amp;CHAR(34)&amp;",", "")</f>
        <v/>
      </c>
      <c r="FG6" s="48" t="str">
        <f>IF(COUNTIF(BL6:BT6,"RED")=0,CHAR(34)&amp;"NO_RED"&amp;CHAR(34)&amp;",", "")</f>
        <v/>
      </c>
      <c r="FH6" s="48" t="str">
        <f>IF(COUNTIF(BL6:BS6,"GRE")=0,CHAR(34)&amp;"NO_GRE"&amp;CHAR(34)&amp;",", "")</f>
        <v/>
      </c>
      <c r="FI6" s="48" t="str">
        <f>IF(COUNTIF(BL6:BT6,"YEL")=0,CHAR(34)&amp;"NO_YEL"&amp;CHAR(34)&amp;",", "")</f>
        <v>"NO_YEL",</v>
      </c>
      <c r="FJ6" s="48" t="str">
        <f>IF(COUNTIF(BL6:BT6,"BLA")=0,CHAR(34)&amp;"NO_BLA"&amp;CHAR(34)&amp;",", "")</f>
        <v/>
      </c>
      <c r="FK6" s="48" t="str">
        <f>IF(AND(FH6&lt;&gt;"",FF6&lt;&gt;""),CHAR(34)&amp;"WHGRNO"&amp;CHAR(34)&amp;",","")</f>
        <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
      </c>
      <c r="FQ6" s="48" t="str">
        <f>IF(LEN(BF6)=3,CHAR(34)&amp;"001"&amp;BF6&amp;CHAR(34)&amp;",","")</f>
        <v>"001RED",</v>
      </c>
      <c r="FR6" s="48" t="str">
        <f>IF(LEN(BG6)=3,CHAR(34)&amp;"002"&amp;BG6&amp;CHAR(34)&amp;",","")</f>
        <v>"002WHI",</v>
      </c>
      <c r="FS6" s="48" t="str">
        <f>IF(LEN(BH6)=3,CHAR(34)&amp;"003"&amp;BH6&amp;CHAR(34)&amp;",","")</f>
        <v>"003RED",</v>
      </c>
      <c r="FT6" s="48" t="str">
        <f>CHAR(34)&amp;"myr"&amp;BD6&amp;CHAR(34)&amp;","</f>
        <v>"myrWHI",</v>
      </c>
      <c r="FU6" s="48" t="str">
        <f>IF(AY6="y",CHAR(34)&amp;"island"&amp;CHAR(34)&amp;",","")</f>
        <v/>
      </c>
      <c r="FV6" s="48" t="str">
        <f>IF(BZ6="y",CHAR(34)&amp;"landlo"&amp;CHAR(34)&amp;",","")</f>
        <v/>
      </c>
      <c r="FW6" s="48" t="str">
        <f>IF(CA6="y",CHAR(34)&amp;"eunion"&amp;CHAR(34)&amp;",","")</f>
        <v/>
      </c>
      <c r="FX6" s="48" t="str">
        <f>SUBSTITUTE(IFERROR(SEARCH("[",A6),IFERROR(IF(AND(CA6&lt;&gt;"y",SEARCH("Europe",R6)&gt;0),CHAR(34)&amp;"noeuni"&amp;CHAR(34)&amp;",",""),"")),"1","")</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C6" s="48" t="str">
        <f>IFERROR(IF(SEARCH("Portuguese",CB6)&gt;0,CHAR(34)&amp;"portug"&amp;CHAR(34)&amp;",",""),"")</f>
        <v/>
      </c>
      <c r="GD6" s="48" t="str">
        <f>IFERROR(IF(SEARCH("German",CB6)&gt;0,CHAR(34)&amp;"german"&amp;CHAR(34)&amp;",",""),"")</f>
        <v/>
      </c>
      <c r="GE6" s="48" t="str">
        <f>IFERROR(IF(SEARCH("Dutch",CB6)&gt;0,CHAR(34)&amp;"dutchs"&amp;CHAR(34)&amp;",",""),"")</f>
        <v/>
      </c>
      <c r="GF6" s="48" t="str">
        <f>IFERROR(IF(SEARCH("Historical",AU6)&gt;0,CHAR(34)&amp;"histor"&amp;CHAR(34)&amp;",",""),"")</f>
        <v/>
      </c>
      <c r="GG6" s="48" t="str">
        <f>IF(BU6="y",CHAR(34)&amp;"unjack"&amp;CHAR(34)&amp;",","")</f>
        <v/>
      </c>
      <c r="GH6" s="48" t="str">
        <f>IF(CD6=1,CHAR(34)&amp;"southc"&amp;CHAR(34)&amp;",","")</f>
        <v/>
      </c>
      <c r="GI6" s="48" t="str">
        <f>IF(CE6=1,CHAR(34)&amp;"hasmap"&amp;CHAR(34)&amp;",","")</f>
        <v/>
      </c>
      <c r="GJ6" s="48" t="str">
        <f>IF(CP6="y",CHAR(34)&amp;CP$1&amp;CHAR(34)&amp;",","")</f>
        <v>"NoStar",</v>
      </c>
      <c r="GK6" s="48" t="str">
        <f>IF(GJ6="",CHAR(34)&amp;"HasSta"&amp;CHAR(34)&amp;",","")</f>
        <v/>
      </c>
      <c r="GL6" s="48" t="str">
        <f t="shared" si="78"/>
        <v/>
      </c>
      <c r="GM6" s="48" t="str">
        <f t="shared" si="78"/>
        <v/>
      </c>
      <c r="GN6" s="48" t="str">
        <f t="shared" si="78"/>
        <v/>
      </c>
      <c r="GP6" s="48" t="str">
        <f>CHAR(34)&amp;AU6&amp;CHAR(34)</f>
        <v>"Province"</v>
      </c>
      <c r="GS6" s="48" t="str">
        <f>SUBSTITUTE("["&amp;_xlfn.CONCAT(CW6:GN6)&amp;"]",",]","]")</f>
        <v>["5+Colo","words2","exact2","lets16","startG","year19","allhor","3Bands","Horizo","Unequa","OnlyBa","NO_YEL","001RED","002WHI","003RED","myrWHI","NoStar"]</v>
      </c>
      <c r="GT6" s="48" t="str">
        <f t="shared" si="81"/>
        <v>"cl_WHI",</v>
      </c>
      <c r="GU6" s="48" t="str">
        <f t="shared" si="81"/>
        <v>"cl_RED",</v>
      </c>
      <c r="GV6" s="48" t="str">
        <f t="shared" si="81"/>
        <v>"cl_GRE",</v>
      </c>
      <c r="GW6" s="48" t="str">
        <f t="shared" si="81"/>
        <v>"cl_BLU",</v>
      </c>
      <c r="GX6" s="48" t="str">
        <f t="shared" si="81"/>
        <v>"cl_BLA",</v>
      </c>
      <c r="GY6" s="48" t="str">
        <f t="shared" si="81"/>
        <v/>
      </c>
      <c r="GZ6" s="48" t="str">
        <f t="shared" si="81"/>
        <v/>
      </c>
      <c r="HA6" s="48" t="str">
        <f t="shared" si="81"/>
        <v/>
      </c>
      <c r="HB6" s="48" t="str">
        <f t="shared" si="81"/>
        <v/>
      </c>
      <c r="HC6" s="48" t="str">
        <f>SUBSTITUTE("["&amp;_xlfn.CONCAT(GT6:HB6)&amp;"]",",]","]")</f>
        <v>["cl_WHI","cl_RED","cl_GRE","cl_BLU","cl_BLA"]</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{couname:"[ECU] Galapagos Islands",year:"1961",region:"rgn_South America",Colors:["cl_WHI","cl_RED","cl_GRE","cl_BLU","cl_BLA"],Items:["5+Colo","words2","exact2","lets16","startG","year19","allhor","3Bands","Horizo","Unequa","OnlyBa","NO_YEL","001RED","002WHI","003RED","myrWHI","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links: "https://www.crwflags.com/fotw/flags/ec-w.html"},</v>
      </c>
      <c r="HG6" s="73" t="str">
        <f>"{couname:"&amp;CT6&amp;(IF(HK6&lt;&gt;"",",subtype:"&amp;CHAR(34)&amp;HK6&amp;CHAR(34),""))&amp;",year:"&amp;HJ6&amp;",region:"&amp;CU6&amp;",Colors:"&amp;HC6&amp;",Items:"&amp;GS6&amp;",Flag:"&amp;CV6&amp;",HDFlag:"&amp;CHAR(34)&amp;E6&amp;CHAR(34)&amp;",type:"&amp;GP6&amp;", describe: "&amp;HI6&amp;", links: "&amp;HL6&amp;"},"</f>
        <v>{couname:"[ECU] Galapagos Islands",year:"1961",region:"rgn_South America",Colors:["cl_WHI","cl_RED","cl_GRE","cl_BLU","cl_BLA"],Items:["5+Colo","words2","exact2","lets16","startG","year19","allhor","3Bands","Horizo","Unequa","OnlyBa","NO_YEL","001RED","002WHI","003RED","myrWHI","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links: "https://www.crwflags.com/fotw/flags/ec-w.html"},</v>
      </c>
      <c r="HH6" s="48" t="str">
        <f>IF(P6&lt;&gt;"",CHAR(34)&amp;"\n"&amp;P6&amp;CHAR(34),CHAR(34)&amp;CHAR(34))</f>
        <v>"\nThe flag of Galápagos islands is green over white over blue tricolor."</v>
      </c>
      <c r="HI6" s="48" t="str">
        <f>IF(J6=0,CHAR(34)&amp;CHAR(34),HH6)</f>
        <v>"\nThe flag of Galápagos islands is green over white over blue tricolor."</v>
      </c>
      <c r="HJ6" s="48" t="str">
        <f>CHAR(34)&amp;O6&amp;CHAR(34)</f>
        <v>"1961"</v>
      </c>
      <c r="HL6" s="48" t="str">
        <f>CHAR(34)&amp;I6&amp;CHAR(34)</f>
        <v>"https://www.crwflags.com/fotw/flags/ec-w.html"</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{"couname":"[ECU] Galapagos Islands","year":"1961","region":"rgn_South America","Colors":["cl_WHI","cl_RED","cl_GRE","cl_BLU","cl_BLA"],"Items":["5+Colo","words2","exact2","lets16","startG","year19","allhor","3Bands","Horizo","Unequa","OnlyBa","NO_YEL","001RED","002WHI","003RED","myrWHI","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 "links": "https://www.crwflags.com/fotw/flags/ec-w.html"},</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{"couname":"[ECU] Galapagos Islands","year":"1961","region":"rgn_South America","Colors":["cl_WHI","cl_RED","cl_GRE","cl_BLU","cl_BLA"],"Items":["5+Colo","words2","exact2","lets16","startG","year19","allhor","3Bands","Horizo","Unequa","OnlyBa","NO_YEL","001RED","002WHI","003RED","myrWHI","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 "links": "https://www.crwflags.com/fotw/flags/ec-w.html"},</v>
      </c>
      <c r="HO6" s="75"/>
      <c r="HP6" s="48" t="str" cm="1">
        <f t="array" ref="HP6">IF(_xlfn.TEXTJOIN(", ", TRUE, IF(ISNUMBER(SEARCH("BLA", BL6:BT6)), COLUMN(BL6:BT6) - COLUMN(BL6) + 1, ""))&lt;&gt;"","BLA","")</f>
        <v>BLA</v>
      </c>
      <c r="HQ6" s="48" t="str" cm="1">
        <f t="array" ref="HQ6">IF(_xlfn.TEXTJOIN(", ", TRUE, IF(ISNUMBER(SEARCH("BLU", BL6:BT6)), COLUMN(BL6:BT6) - COLUMN(BL6) + 1, ""))&lt;&gt;"","BLU","")</f>
        <v>BLU</v>
      </c>
      <c r="HR6" s="48" t="str" cm="1">
        <f t="array" ref="HR6">IF(_xlfn.TEXTJOIN(", ", TRUE, IF(ISNUMBER(SEARCH("GRE", BL6:BT6)), COLUMN(BL6:BT6) - COLUMN(BL6) + 1, ""))&lt;&gt;"","GRE","")</f>
        <v>GRE</v>
      </c>
      <c r="HS6" s="48" t="str" cm="1">
        <f t="array" ref="HS6">IF(_xlfn.TEXTJOIN(", ", TRUE, IF(ISNUMBER(SEARCH("RED", BL6:BT6)), COLUMN(BL6:BT6) - COLUMN(BL6) + 1, ""))&lt;&gt;"","RED","")</f>
        <v>RED</v>
      </c>
      <c r="HT6" s="48" t="str" cm="1">
        <f t="array" ref="HT6">IF(_xlfn.TEXTJOIN(", ", TRUE, IF(ISNUMBER(SEARCH("YEL", BL6:BT6)), COLUMN(BL6:BT6) - COLUMN(BL6) + 1, ""))&lt;&gt;"","YEL","")</f>
        <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L6" s="48">
        <f>SUM(IC6:IK6)</f>
        <v>0</v>
      </c>
      <c r="IM6" s="45">
        <f>COUNTIF(IC6:IK6,"&gt;0")-CG6</f>
        <v>-5</v>
      </c>
      <c r="IN6" s="78" t="str">
        <f>"http://mkweb.bcgsc.ca/color-summarizer/?url="&amp;D6&amp;"&amp;precision=low&amp;num_clusters="&amp;CG6&amp;"&amp;text=1"</f>
        <v>http://mkweb.bcgsc.ca/color-summarizer/?url=https://upload.wikimedia.org/wikipedia/commons/thumb/0/0f/Flag_of_the_Galapagos_Islands.svg/640px-Flag_of_the_Galapagos_Islands.svg.png&amp;precision=low&amp;num_clusters=5&amp;text=1</v>
      </c>
      <c r="IO6" s="48" t="str">
        <f>IF(HP6&lt;&gt;"",CHAR(34)&amp;"black"&amp;CHAR(34),"")</f>
        <v>"black"</v>
      </c>
      <c r="IP6" s="48" t="str">
        <f>IF(HQ6&lt;&gt;"",CHAR(34)&amp;"blue"&amp;CHAR(34),"")</f>
        <v>"blue"</v>
      </c>
      <c r="IQ6" s="48" t="str">
        <f>IF(HR6&lt;&gt;"",CHAR(34)&amp;"green"&amp;CHAR(34),"")</f>
        <v>"green"</v>
      </c>
      <c r="IR6" s="48" t="str">
        <f>IF(HS6&lt;&gt;"",CHAR(34)&amp;"red"&amp;CHAR(34),"")</f>
        <v>"red"</v>
      </c>
      <c r="IS6" s="48" t="str">
        <f>IF(HT6&lt;&gt;"",CHAR(34)&amp;"yellow"&amp;CHAR(34),"")</f>
        <v/>
      </c>
      <c r="IT6" s="48" t="str">
        <f>IF(HU6&lt;&gt;"",CHAR(34)&amp;"orange"&amp;CHAR(34),"")</f>
        <v/>
      </c>
      <c r="IU6" s="48" t="str">
        <f>IF(HV6&lt;&gt;"",CHAR(34)&amp;"brown"&amp;CHAR(34),"")</f>
        <v/>
      </c>
      <c r="IV6" s="48" t="str">
        <f>IF(HW6&lt;&gt;"",CHAR(34)&amp;"purple"&amp;CHAR(34),"")</f>
        <v/>
      </c>
      <c r="IW6" s="48" t="str">
        <f>IF(HX6&lt;&gt;"",CHAR(34)&amp;"white"&amp;CHAR(34),"")</f>
        <v>"white"</v>
      </c>
      <c r="IX6" s="48" t="str">
        <f>"{"&amp;CHAR(34)&amp;"url"&amp;CHAR(34)&amp;":"&amp;CHAR(34)&amp;IN6&amp;CHAR(34)&amp;","&amp;CHAR(34)&amp;"name"&amp;CHAR(34)&amp;":"&amp;CHAR(34)&amp;A6&amp;CHAR(34)&amp;"},"</f>
        <v>{"url":"http://mkweb.bcgsc.ca/color-summarizer/?url=https://upload.wikimedia.org/wikipedia/commons/thumb/0/0f/Flag_of_the_Galapagos_Islands.svg/640px-Flag_of_the_Galapagos_Islands.svg.png&amp;precision=low&amp;num_clusters=5&amp;text=1","name":"[ECU] Galapagos Islands"},</v>
      </c>
      <c r="IY6" s="48">
        <v>820</v>
      </c>
    </row>
  </sheetData>
  <conditionalFormatting sqref="H1 CW1:GS1 IA1:IB1">
    <cfRule type="cellIs" dxfId="4222" priority="215" operator="greaterThan">
      <formula>0</formula>
    </cfRule>
  </conditionalFormatting>
  <conditionalFormatting sqref="H1">
    <cfRule type="cellIs" dxfId="4221" priority="181" stopIfTrue="1" operator="notEqual">
      <formula>""</formula>
    </cfRule>
  </conditionalFormatting>
  <conditionalFormatting sqref="T1:BK1">
    <cfRule type="cellIs" dxfId="4220" priority="218" operator="greaterThan">
      <formula>0</formula>
    </cfRule>
  </conditionalFormatting>
  <conditionalFormatting sqref="BV1:BW1">
    <cfRule type="cellIs" dxfId="4219" priority="217" operator="equal">
      <formula>"nc"</formula>
    </cfRule>
  </conditionalFormatting>
  <conditionalFormatting sqref="HF1:HG1">
    <cfRule type="cellIs" dxfId="4218" priority="219" operator="greaterThan">
      <formula>0</formula>
    </cfRule>
  </conditionalFormatting>
  <conditionalFormatting sqref="HK1">
    <cfRule type="cellIs" dxfId="4217" priority="216" operator="greaterThan">
      <formula>0</formula>
    </cfRule>
  </conditionalFormatting>
  <conditionalFormatting sqref="HP1:HX1">
    <cfRule type="cellIs" dxfId="4216" priority="193" operator="equal">
      <formula>"PIN"</formula>
    </cfRule>
    <cfRule type="cellIs" dxfId="4215" priority="194" operator="equal">
      <formula>"ORA"</formula>
    </cfRule>
    <cfRule type="cellIs" dxfId="4214" priority="195" operator="equal">
      <formula>"GRA"</formula>
    </cfRule>
    <cfRule type="cellIs" dxfId="4213" priority="196" operator="equal">
      <formula>"PUR"</formula>
    </cfRule>
    <cfRule type="cellIs" dxfId="4212" priority="197" operator="equal">
      <formula>"BRO"</formula>
    </cfRule>
    <cfRule type="cellIs" dxfId="4211" priority="198" operator="equal">
      <formula>"YEL"</formula>
    </cfRule>
    <cfRule type="cellIs" dxfId="4210" priority="199" operator="equal">
      <formula>"BLU"</formula>
    </cfRule>
    <cfRule type="cellIs" dxfId="4209" priority="200" operator="equal">
      <formula>"WHI"</formula>
    </cfRule>
    <cfRule type="cellIs" dxfId="4208" priority="201" operator="equal">
      <formula>"GRE"</formula>
    </cfRule>
    <cfRule type="cellIs" dxfId="4207" priority="202" operator="equal">
      <formula>"RED"</formula>
    </cfRule>
    <cfRule type="cellIs" dxfId="4206" priority="203" operator="equal">
      <formula>"BLA"</formula>
    </cfRule>
  </conditionalFormatting>
  <conditionalFormatting sqref="IC1:IK1">
    <cfRule type="cellIs" dxfId="4205" priority="204" operator="equal">
      <formula>"PIN"</formula>
    </cfRule>
    <cfRule type="cellIs" dxfId="4204" priority="205" operator="equal">
      <formula>"ORA"</formula>
    </cfRule>
    <cfRule type="cellIs" dxfId="4203" priority="206" operator="equal">
      <formula>"GRA"</formula>
    </cfRule>
    <cfRule type="cellIs" dxfId="4202" priority="207" operator="equal">
      <formula>"PUR"</formula>
    </cfRule>
    <cfRule type="cellIs" dxfId="4201" priority="208" operator="equal">
      <formula>"BRO"</formula>
    </cfRule>
    <cfRule type="cellIs" dxfId="4200" priority="209" operator="equal">
      <formula>"YEL"</formula>
    </cfRule>
    <cfRule type="cellIs" dxfId="4199" priority="210" operator="equal">
      <formula>"BLU"</formula>
    </cfRule>
    <cfRule type="cellIs" dxfId="4198" priority="211" operator="equal">
      <formula>"WHI"</formula>
    </cfRule>
    <cfRule type="cellIs" dxfId="4197" priority="212" operator="equal">
      <formula>"GRE"</formula>
    </cfRule>
    <cfRule type="cellIs" dxfId="4196" priority="213" operator="equal">
      <formula>"RED"</formula>
    </cfRule>
    <cfRule type="cellIs" dxfId="4195" priority="214" operator="equal">
      <formula>"BLA"</formula>
    </cfRule>
  </conditionalFormatting>
  <conditionalFormatting sqref="IO1:IW1">
    <cfRule type="cellIs" dxfId="4194" priority="182" operator="equal">
      <formula>"PIN"</formula>
    </cfRule>
    <cfRule type="cellIs" dxfId="4193" priority="183" operator="equal">
      <formula>"ORA"</formula>
    </cfRule>
    <cfRule type="cellIs" dxfId="4192" priority="184" operator="equal">
      <formula>"GRA"</formula>
    </cfRule>
    <cfRule type="cellIs" dxfId="4191" priority="185" operator="equal">
      <formula>"PUR"</formula>
    </cfRule>
    <cfRule type="cellIs" dxfId="4190" priority="186" operator="equal">
      <formula>"BRO"</formula>
    </cfRule>
    <cfRule type="cellIs" dxfId="4189" priority="187" operator="equal">
      <formula>"YEL"</formula>
    </cfRule>
    <cfRule type="cellIs" dxfId="4188" priority="188" operator="equal">
      <formula>"BLU"</formula>
    </cfRule>
    <cfRule type="cellIs" dxfId="4187" priority="189" operator="equal">
      <formula>"WHI"</formula>
    </cfRule>
    <cfRule type="cellIs" dxfId="4186" priority="190" operator="equal">
      <formula>"GRE"</formula>
    </cfRule>
    <cfRule type="cellIs" dxfId="4185" priority="191" operator="equal">
      <formula>"RED"</formula>
    </cfRule>
    <cfRule type="cellIs" dxfId="4184" priority="192" operator="equal">
      <formula>"BLA"</formula>
    </cfRule>
  </conditionalFormatting>
  <conditionalFormatting sqref="H2">
    <cfRule type="cellIs" dxfId="4183" priority="150" stopIfTrue="1" operator="notEqual">
      <formula>""</formula>
    </cfRule>
  </conditionalFormatting>
  <conditionalFormatting sqref="R2 CU2">
    <cfRule type="cellIs" dxfId="4182" priority="152" operator="greaterThan">
      <formula>0</formula>
    </cfRule>
  </conditionalFormatting>
  <conditionalFormatting sqref="T2:AS2 CH2:CS2">
    <cfRule type="cellIs" dxfId="4181" priority="147" stopIfTrue="1" operator="equal">
      <formula>"n"</formula>
    </cfRule>
    <cfRule type="cellIs" dxfId="4180" priority="148" stopIfTrue="1" operator="equal">
      <formula>"y"</formula>
    </cfRule>
    <cfRule type="cellIs" dxfId="4179" priority="149" operator="greaterThan">
      <formula>0</formula>
    </cfRule>
  </conditionalFormatting>
  <conditionalFormatting sqref="AZ2:BB2">
    <cfRule type="expression" dxfId="4178" priority="146">
      <formula>$AT2=0</formula>
    </cfRule>
  </conditionalFormatting>
  <conditionalFormatting sqref="AZ2:BU2">
    <cfRule type="cellIs" dxfId="4177" priority="155" operator="equal">
      <formula>"PIN"</formula>
    </cfRule>
    <cfRule type="cellIs" dxfId="4176" priority="156" operator="equal">
      <formula>"ORA"</formula>
    </cfRule>
    <cfRule type="cellIs" dxfId="4175" priority="157" operator="equal">
      <formula>"GRA"</formula>
    </cfRule>
    <cfRule type="cellIs" dxfId="4174" priority="158" operator="equal">
      <formula>"PUR"</formula>
    </cfRule>
    <cfRule type="cellIs" dxfId="4173" priority="159" operator="equal">
      <formula>"BRO"</formula>
    </cfRule>
    <cfRule type="cellIs" dxfId="4172" priority="160" operator="equal">
      <formula>"YEL"</formula>
    </cfRule>
    <cfRule type="cellIs" dxfId="4171" priority="161" operator="equal">
      <formula>"BLU"</formula>
    </cfRule>
    <cfRule type="cellIs" dxfId="4170" priority="162" operator="equal">
      <formula>"WHI"</formula>
    </cfRule>
    <cfRule type="cellIs" dxfId="4169" priority="163" operator="equal">
      <formula>"GRE"</formula>
    </cfRule>
    <cfRule type="cellIs" dxfId="4168" priority="164" operator="equal">
      <formula>"RED"</formula>
    </cfRule>
    <cfRule type="cellIs" dxfId="4167" priority="165" operator="equal">
      <formula>"BLA"</formula>
    </cfRule>
  </conditionalFormatting>
  <conditionalFormatting sqref="BV2">
    <cfRule type="cellIs" dxfId="4166" priority="177" operator="equal">
      <formula>"nc"</formula>
    </cfRule>
  </conditionalFormatting>
  <conditionalFormatting sqref="BX2:CA2 CD2:CF2">
    <cfRule type="cellIs" dxfId="4165" priority="151" operator="equal">
      <formula>"y"</formula>
    </cfRule>
    <cfRule type="cellIs" dxfId="4164" priority="166" operator="equal">
      <formula>"PIN"</formula>
    </cfRule>
    <cfRule type="cellIs" dxfId="4163" priority="167" operator="equal">
      <formula>"ORA"</formula>
    </cfRule>
    <cfRule type="cellIs" dxfId="4162" priority="168" operator="equal">
      <formula>"GRA"</formula>
    </cfRule>
    <cfRule type="cellIs" dxfId="4161" priority="169" operator="equal">
      <formula>"PUR"</formula>
    </cfRule>
    <cfRule type="cellIs" dxfId="4160" priority="170" operator="equal">
      <formula>"BRO"</formula>
    </cfRule>
    <cfRule type="cellIs" dxfId="4159" priority="171" operator="equal">
      <formula>"YEL"</formula>
    </cfRule>
    <cfRule type="cellIs" dxfId="4158" priority="172" operator="equal">
      <formula>"BLU"</formula>
    </cfRule>
    <cfRule type="cellIs" dxfId="4157" priority="173" operator="equal">
      <formula>"WHI"</formula>
    </cfRule>
    <cfRule type="cellIs" dxfId="4156" priority="174" operator="equal">
      <formula>"GRE"</formula>
    </cfRule>
    <cfRule type="cellIs" dxfId="4155" priority="175" operator="equal">
      <formula>"RED"</formula>
    </cfRule>
    <cfRule type="cellIs" dxfId="4154" priority="176" operator="equal">
      <formula>"BLA"</formula>
    </cfRule>
  </conditionalFormatting>
  <conditionalFormatting sqref="BZ2:CA2 CD2:CF2">
    <cfRule type="cellIs" dxfId="4153" priority="153" operator="greaterThan">
      <formula>0</formula>
    </cfRule>
  </conditionalFormatting>
  <conditionalFormatting sqref="IC2:IK2">
    <cfRule type="expression" dxfId="4152" priority="154">
      <formula>$IL2&gt;0</formula>
    </cfRule>
  </conditionalFormatting>
  <conditionalFormatting sqref="S2">
    <cfRule type="colorScale" priority="178">
      <colorScale>
        <cfvo type="min"/>
        <cfvo type="max"/>
        <color rgb="FFFCFCFF"/>
        <color rgb="FF754BFB"/>
      </colorScale>
    </cfRule>
  </conditionalFormatting>
  <conditionalFormatting sqref="AT2">
    <cfRule type="colorScale" priority="179">
      <colorScale>
        <cfvo type="min"/>
        <cfvo type="max"/>
        <color rgb="FFFCFCFF"/>
        <color theme="8" tint="0.39997558519241921"/>
      </colorScale>
    </cfRule>
  </conditionalFormatting>
  <conditionalFormatting sqref="CG2">
    <cfRule type="colorScale" priority="180">
      <colorScale>
        <cfvo type="min"/>
        <cfvo type="max"/>
        <color rgb="FFFCFCFF"/>
        <color rgb="FF63BE7B"/>
      </colorScale>
    </cfRule>
  </conditionalFormatting>
  <conditionalFormatting sqref="J2">
    <cfRule type="colorScale" priority="145">
      <colorScale>
        <cfvo type="min"/>
        <cfvo type="percentile" val="50"/>
        <cfvo type="max"/>
        <color rgb="FFF8696B"/>
        <color rgb="FFFFEB84"/>
        <color rgb="FF63BE7B"/>
      </colorScale>
    </cfRule>
  </conditionalFormatting>
  <conditionalFormatting sqref="H3">
    <cfRule type="cellIs" dxfId="1663" priority="114" stopIfTrue="1" operator="notEqual">
      <formula>""</formula>
    </cfRule>
  </conditionalFormatting>
  <conditionalFormatting sqref="R3 CU3">
    <cfRule type="cellIs" dxfId="1662" priority="116" operator="greaterThan">
      <formula>0</formula>
    </cfRule>
  </conditionalFormatting>
  <conditionalFormatting sqref="T3:AS3 CH3:CS3">
    <cfRule type="cellIs" dxfId="1661" priority="111" stopIfTrue="1" operator="equal">
      <formula>"n"</formula>
    </cfRule>
    <cfRule type="cellIs" dxfId="1660" priority="112" stopIfTrue="1" operator="equal">
      <formula>"y"</formula>
    </cfRule>
    <cfRule type="cellIs" dxfId="1659" priority="113" operator="greaterThan">
      <formula>0</formula>
    </cfRule>
  </conditionalFormatting>
  <conditionalFormatting sqref="AZ3:BB3">
    <cfRule type="expression" dxfId="1658" priority="110">
      <formula>$AT3=0</formula>
    </cfRule>
  </conditionalFormatting>
  <conditionalFormatting sqref="AZ3:BU3">
    <cfRule type="cellIs" dxfId="1657" priority="119" operator="equal">
      <formula>"PIN"</formula>
    </cfRule>
    <cfRule type="cellIs" dxfId="1656" priority="120" operator="equal">
      <formula>"ORA"</formula>
    </cfRule>
    <cfRule type="cellIs" dxfId="1655" priority="121" operator="equal">
      <formula>"GRA"</formula>
    </cfRule>
    <cfRule type="cellIs" dxfId="1654" priority="122" operator="equal">
      <formula>"PUR"</formula>
    </cfRule>
    <cfRule type="cellIs" dxfId="1653" priority="123" operator="equal">
      <formula>"BRO"</formula>
    </cfRule>
    <cfRule type="cellIs" dxfId="1652" priority="124" operator="equal">
      <formula>"YEL"</formula>
    </cfRule>
    <cfRule type="cellIs" dxfId="1651" priority="125" operator="equal">
      <formula>"BLU"</formula>
    </cfRule>
    <cfRule type="cellIs" dxfId="1650" priority="126" operator="equal">
      <formula>"WHI"</formula>
    </cfRule>
    <cfRule type="cellIs" dxfId="1649" priority="127" operator="equal">
      <formula>"GRE"</formula>
    </cfRule>
    <cfRule type="cellIs" dxfId="1648" priority="128" operator="equal">
      <formula>"RED"</formula>
    </cfRule>
    <cfRule type="cellIs" dxfId="1647" priority="129" operator="equal">
      <formula>"BLA"</formula>
    </cfRule>
  </conditionalFormatting>
  <conditionalFormatting sqref="BV3:BW3">
    <cfRule type="cellIs" dxfId="1646" priority="141" operator="equal">
      <formula>"nc"</formula>
    </cfRule>
  </conditionalFormatting>
  <conditionalFormatting sqref="BX3:CA3 CD3:CF3">
    <cfRule type="cellIs" dxfId="1645" priority="115" operator="equal">
      <formula>"y"</formula>
    </cfRule>
    <cfRule type="cellIs" dxfId="1644" priority="130" operator="equal">
      <formula>"PIN"</formula>
    </cfRule>
    <cfRule type="cellIs" dxfId="1643" priority="131" operator="equal">
      <formula>"ORA"</formula>
    </cfRule>
    <cfRule type="cellIs" dxfId="1642" priority="132" operator="equal">
      <formula>"GRA"</formula>
    </cfRule>
    <cfRule type="cellIs" dxfId="1641" priority="133" operator="equal">
      <formula>"PUR"</formula>
    </cfRule>
    <cfRule type="cellIs" dxfId="1640" priority="134" operator="equal">
      <formula>"BRO"</formula>
    </cfRule>
    <cfRule type="cellIs" dxfId="1639" priority="135" operator="equal">
      <formula>"YEL"</formula>
    </cfRule>
    <cfRule type="cellIs" dxfId="1638" priority="136" operator="equal">
      <formula>"BLU"</formula>
    </cfRule>
    <cfRule type="cellIs" dxfId="1637" priority="137" operator="equal">
      <formula>"WHI"</formula>
    </cfRule>
    <cfRule type="cellIs" dxfId="1636" priority="138" operator="equal">
      <formula>"GRE"</formula>
    </cfRule>
    <cfRule type="cellIs" dxfId="1635" priority="139" operator="equal">
      <formula>"RED"</formula>
    </cfRule>
    <cfRule type="cellIs" dxfId="1634" priority="140" operator="equal">
      <formula>"BLA"</formula>
    </cfRule>
  </conditionalFormatting>
  <conditionalFormatting sqref="BZ3:CA3 CD3:CF3">
    <cfRule type="cellIs" dxfId="1633" priority="117" operator="greaterThan">
      <formula>0</formula>
    </cfRule>
  </conditionalFormatting>
  <conditionalFormatting sqref="IC3:IK3">
    <cfRule type="expression" dxfId="1632" priority="118">
      <formula>$IL3&gt;0</formula>
    </cfRule>
  </conditionalFormatting>
  <conditionalFormatting sqref="S3">
    <cfRule type="colorScale" priority="142">
      <colorScale>
        <cfvo type="min"/>
        <cfvo type="max"/>
        <color rgb="FFFCFCFF"/>
        <color rgb="FF754BFB"/>
      </colorScale>
    </cfRule>
  </conditionalFormatting>
  <conditionalFormatting sqref="AT3">
    <cfRule type="colorScale" priority="143">
      <colorScale>
        <cfvo type="min"/>
        <cfvo type="max"/>
        <color rgb="FFFCFCFF"/>
        <color theme="8" tint="0.39997558519241921"/>
      </colorScale>
    </cfRule>
  </conditionalFormatting>
  <conditionalFormatting sqref="CG3">
    <cfRule type="colorScale" priority="144">
      <colorScale>
        <cfvo type="min"/>
        <cfvo type="max"/>
        <color rgb="FFFCFCFF"/>
        <color rgb="FF63BE7B"/>
      </colorScale>
    </cfRule>
  </conditionalFormatting>
  <conditionalFormatting sqref="J3">
    <cfRule type="colorScale" priority="109">
      <colorScale>
        <cfvo type="min"/>
        <cfvo type="percentile" val="50"/>
        <cfvo type="max"/>
        <color rgb="FFF8696B"/>
        <color rgb="FFFFEB84"/>
        <color rgb="FF63BE7B"/>
      </colorScale>
    </cfRule>
  </conditionalFormatting>
  <conditionalFormatting sqref="H4">
    <cfRule type="cellIs" dxfId="1631" priority="103" stopIfTrue="1" operator="notEqual">
      <formula>""</formula>
    </cfRule>
  </conditionalFormatting>
  <conditionalFormatting sqref="R4 CU4">
    <cfRule type="cellIs" dxfId="1630" priority="104" operator="greaterThan">
      <formula>0</formula>
    </cfRule>
  </conditionalFormatting>
  <conditionalFormatting sqref="BV4:BW4">
    <cfRule type="cellIs" dxfId="1629" priority="105" operator="equal">
      <formula>"nc"</formula>
    </cfRule>
  </conditionalFormatting>
  <conditionalFormatting sqref="T4:AS4 CH4:CS4">
    <cfRule type="cellIs" dxfId="1628" priority="75" stopIfTrue="1" operator="equal">
      <formula>"n"</formula>
    </cfRule>
    <cfRule type="cellIs" dxfId="1627" priority="76" stopIfTrue="1" operator="equal">
      <formula>"y"</formula>
    </cfRule>
    <cfRule type="cellIs" dxfId="1626" priority="77" operator="greaterThan">
      <formula>0</formula>
    </cfRule>
  </conditionalFormatting>
  <conditionalFormatting sqref="AZ4:BB4">
    <cfRule type="expression" dxfId="1625" priority="74">
      <formula>$AT4=0</formula>
    </cfRule>
  </conditionalFormatting>
  <conditionalFormatting sqref="AZ4:BU4">
    <cfRule type="cellIs" dxfId="1624" priority="81" operator="equal">
      <formula>"PIN"</formula>
    </cfRule>
    <cfRule type="cellIs" dxfId="1623" priority="82" operator="equal">
      <formula>"ORA"</formula>
    </cfRule>
    <cfRule type="cellIs" dxfId="1622" priority="83" operator="equal">
      <formula>"GRA"</formula>
    </cfRule>
    <cfRule type="cellIs" dxfId="1621" priority="84" operator="equal">
      <formula>"PUR"</formula>
    </cfRule>
    <cfRule type="cellIs" dxfId="1620" priority="85" operator="equal">
      <formula>"BRO"</formula>
    </cfRule>
    <cfRule type="cellIs" dxfId="1619" priority="86" operator="equal">
      <formula>"YEL"</formula>
    </cfRule>
    <cfRule type="cellIs" dxfId="1618" priority="87" operator="equal">
      <formula>"BLU"</formula>
    </cfRule>
    <cfRule type="cellIs" dxfId="1617" priority="88" operator="equal">
      <formula>"WHI"</formula>
    </cfRule>
    <cfRule type="cellIs" dxfId="1616" priority="89" operator="equal">
      <formula>"GRE"</formula>
    </cfRule>
    <cfRule type="cellIs" dxfId="1615" priority="90" operator="equal">
      <formula>"RED"</formula>
    </cfRule>
    <cfRule type="cellIs" dxfId="1614" priority="91" operator="equal">
      <formula>"BLA"</formula>
    </cfRule>
  </conditionalFormatting>
  <conditionalFormatting sqref="BX4:CA4 CD4:CF4">
    <cfRule type="cellIs" dxfId="1613" priority="78" operator="equal">
      <formula>"y"</formula>
    </cfRule>
    <cfRule type="cellIs" dxfId="1612" priority="92" operator="equal">
      <formula>"PIN"</formula>
    </cfRule>
    <cfRule type="cellIs" dxfId="1611" priority="93" operator="equal">
      <formula>"ORA"</formula>
    </cfRule>
    <cfRule type="cellIs" dxfId="1610" priority="94" operator="equal">
      <formula>"GRA"</formula>
    </cfRule>
    <cfRule type="cellIs" dxfId="1609" priority="95" operator="equal">
      <formula>"PUR"</formula>
    </cfRule>
    <cfRule type="cellIs" dxfId="1608" priority="96" operator="equal">
      <formula>"BRO"</formula>
    </cfRule>
    <cfRule type="cellIs" dxfId="1607" priority="97" operator="equal">
      <formula>"YEL"</formula>
    </cfRule>
    <cfRule type="cellIs" dxfId="1606" priority="98" operator="equal">
      <formula>"BLU"</formula>
    </cfRule>
    <cfRule type="cellIs" dxfId="1605" priority="99" operator="equal">
      <formula>"WHI"</formula>
    </cfRule>
    <cfRule type="cellIs" dxfId="1604" priority="100" operator="equal">
      <formula>"GRE"</formula>
    </cfRule>
    <cfRule type="cellIs" dxfId="1603" priority="101" operator="equal">
      <formula>"RED"</formula>
    </cfRule>
    <cfRule type="cellIs" dxfId="1602" priority="102" operator="equal">
      <formula>"BLA"</formula>
    </cfRule>
  </conditionalFormatting>
  <conditionalFormatting sqref="BZ4:CA4 CD4:CF4">
    <cfRule type="cellIs" dxfId="1601" priority="79" operator="greaterThan">
      <formula>0</formula>
    </cfRule>
  </conditionalFormatting>
  <conditionalFormatting sqref="IC4:IK4">
    <cfRule type="expression" dxfId="1600" priority="80">
      <formula>$IL4&gt;0</formula>
    </cfRule>
  </conditionalFormatting>
  <conditionalFormatting sqref="S4">
    <cfRule type="colorScale" priority="106">
      <colorScale>
        <cfvo type="min"/>
        <cfvo type="max"/>
        <color rgb="FFFCFCFF"/>
        <color rgb="FF754BFB"/>
      </colorScale>
    </cfRule>
  </conditionalFormatting>
  <conditionalFormatting sqref="AT4">
    <cfRule type="colorScale" priority="107">
      <colorScale>
        <cfvo type="min"/>
        <cfvo type="max"/>
        <color rgb="FFFCFCFF"/>
        <color theme="8" tint="0.39997558519241921"/>
      </colorScale>
    </cfRule>
  </conditionalFormatting>
  <conditionalFormatting sqref="CG4">
    <cfRule type="colorScale" priority="108">
      <colorScale>
        <cfvo type="min"/>
        <cfvo type="max"/>
        <color rgb="FFFCFCFF"/>
        <color rgb="FF63BE7B"/>
      </colorScale>
    </cfRule>
  </conditionalFormatting>
  <conditionalFormatting sqref="J4">
    <cfRule type="colorScale" priority="73">
      <colorScale>
        <cfvo type="min"/>
        <cfvo type="percentile" val="50"/>
        <cfvo type="max"/>
        <color rgb="FFF8696B"/>
        <color rgb="FFFFEB84"/>
        <color rgb="FF63BE7B"/>
      </colorScale>
    </cfRule>
  </conditionalFormatting>
  <conditionalFormatting sqref="H5">
    <cfRule type="cellIs" dxfId="1599" priority="42" stopIfTrue="1" operator="notEqual">
      <formula>""</formula>
    </cfRule>
  </conditionalFormatting>
  <conditionalFormatting sqref="R5 CU5">
    <cfRule type="cellIs" dxfId="1598" priority="44" operator="greaterThan">
      <formula>0</formula>
    </cfRule>
  </conditionalFormatting>
  <conditionalFormatting sqref="T5:AS5 CH5:CS5">
    <cfRule type="cellIs" dxfId="1597" priority="39" stopIfTrue="1" operator="equal">
      <formula>"n"</formula>
    </cfRule>
    <cfRule type="cellIs" dxfId="1596" priority="40" stopIfTrue="1" operator="equal">
      <formula>"y"</formula>
    </cfRule>
    <cfRule type="cellIs" dxfId="1595" priority="41" operator="greaterThan">
      <formula>0</formula>
    </cfRule>
  </conditionalFormatting>
  <conditionalFormatting sqref="AZ5:BB5">
    <cfRule type="expression" dxfId="1594" priority="38">
      <formula>$AT5=0</formula>
    </cfRule>
  </conditionalFormatting>
  <conditionalFormatting sqref="AZ5:BU5">
    <cfRule type="cellIs" dxfId="1593" priority="47" operator="equal">
      <formula>"PIN"</formula>
    </cfRule>
    <cfRule type="cellIs" dxfId="1592" priority="48" operator="equal">
      <formula>"ORA"</formula>
    </cfRule>
    <cfRule type="cellIs" dxfId="1591" priority="49" operator="equal">
      <formula>"GRA"</formula>
    </cfRule>
    <cfRule type="cellIs" dxfId="1590" priority="50" operator="equal">
      <formula>"PUR"</formula>
    </cfRule>
    <cfRule type="cellIs" dxfId="1589" priority="51" operator="equal">
      <formula>"BRO"</formula>
    </cfRule>
    <cfRule type="cellIs" dxfId="1588" priority="52" operator="equal">
      <formula>"YEL"</formula>
    </cfRule>
    <cfRule type="cellIs" dxfId="1587" priority="53" operator="equal">
      <formula>"BLU"</formula>
    </cfRule>
    <cfRule type="cellIs" dxfId="1586" priority="54" operator="equal">
      <formula>"WHI"</formula>
    </cfRule>
    <cfRule type="cellIs" dxfId="1585" priority="55" operator="equal">
      <formula>"GRE"</formula>
    </cfRule>
    <cfRule type="cellIs" dxfId="1584" priority="56" operator="equal">
      <formula>"RED"</formula>
    </cfRule>
    <cfRule type="cellIs" dxfId="1583" priority="57" operator="equal">
      <formula>"BLA"</formula>
    </cfRule>
  </conditionalFormatting>
  <conditionalFormatting sqref="BV5:BW5">
    <cfRule type="cellIs" dxfId="1582" priority="69" operator="equal">
      <formula>"nc"</formula>
    </cfRule>
  </conditionalFormatting>
  <conditionalFormatting sqref="BX5:CA5 CD5:CF5">
    <cfRule type="cellIs" dxfId="1581" priority="43" operator="equal">
      <formula>"y"</formula>
    </cfRule>
    <cfRule type="cellIs" dxfId="1580" priority="58" operator="equal">
      <formula>"PIN"</formula>
    </cfRule>
    <cfRule type="cellIs" dxfId="1579" priority="59" operator="equal">
      <formula>"ORA"</formula>
    </cfRule>
    <cfRule type="cellIs" dxfId="1578" priority="60" operator="equal">
      <formula>"GRA"</formula>
    </cfRule>
    <cfRule type="cellIs" dxfId="1577" priority="61" operator="equal">
      <formula>"PUR"</formula>
    </cfRule>
    <cfRule type="cellIs" dxfId="1576" priority="62" operator="equal">
      <formula>"BRO"</formula>
    </cfRule>
    <cfRule type="cellIs" dxfId="1575" priority="63" operator="equal">
      <formula>"YEL"</formula>
    </cfRule>
    <cfRule type="cellIs" dxfId="1574" priority="64" operator="equal">
      <formula>"BLU"</formula>
    </cfRule>
    <cfRule type="cellIs" dxfId="1573" priority="65" operator="equal">
      <formula>"WHI"</formula>
    </cfRule>
    <cfRule type="cellIs" dxfId="1572" priority="66" operator="equal">
      <formula>"GRE"</formula>
    </cfRule>
    <cfRule type="cellIs" dxfId="1571" priority="67" operator="equal">
      <formula>"RED"</formula>
    </cfRule>
    <cfRule type="cellIs" dxfId="1570" priority="68" operator="equal">
      <formula>"BLA"</formula>
    </cfRule>
  </conditionalFormatting>
  <conditionalFormatting sqref="BZ5:CA5 CD5:CF5">
    <cfRule type="cellIs" dxfId="1569" priority="45" operator="greaterThan">
      <formula>0</formula>
    </cfRule>
  </conditionalFormatting>
  <conditionalFormatting sqref="IC5:IK5">
    <cfRule type="expression" dxfId="1568" priority="46">
      <formula>$IL5&gt;0</formula>
    </cfRule>
  </conditionalFormatting>
  <conditionalFormatting sqref="S5">
    <cfRule type="colorScale" priority="70">
      <colorScale>
        <cfvo type="min"/>
        <cfvo type="max"/>
        <color rgb="FFFCFCFF"/>
        <color rgb="FF754BFB"/>
      </colorScale>
    </cfRule>
  </conditionalFormatting>
  <conditionalFormatting sqref="AT5">
    <cfRule type="colorScale" priority="71">
      <colorScale>
        <cfvo type="min"/>
        <cfvo type="max"/>
        <color rgb="FFFCFCFF"/>
        <color theme="8" tint="0.39997558519241921"/>
      </colorScale>
    </cfRule>
  </conditionalFormatting>
  <conditionalFormatting sqref="CG5">
    <cfRule type="colorScale" priority="72">
      <colorScale>
        <cfvo type="min"/>
        <cfvo type="max"/>
        <color rgb="FFFCFCFF"/>
        <color rgb="FF63BE7B"/>
      </colorScale>
    </cfRule>
  </conditionalFormatting>
  <conditionalFormatting sqref="J5">
    <cfRule type="colorScale" priority="37">
      <colorScale>
        <cfvo type="min"/>
        <cfvo type="percentile" val="50"/>
        <cfvo type="max"/>
        <color rgb="FFF8696B"/>
        <color rgb="FFFFEB84"/>
        <color rgb="FF63BE7B"/>
      </colorScale>
    </cfRule>
  </conditionalFormatting>
  <conditionalFormatting sqref="H6">
    <cfRule type="cellIs" dxfId="1567" priority="6" stopIfTrue="1" operator="notEqual">
      <formula>""</formula>
    </cfRule>
  </conditionalFormatting>
  <conditionalFormatting sqref="R6 CU6">
    <cfRule type="cellIs" dxfId="1566" priority="8" operator="greaterThan">
      <formula>0</formula>
    </cfRule>
  </conditionalFormatting>
  <conditionalFormatting sqref="T6:AS6 CH6:CS6">
    <cfRule type="cellIs" dxfId="1565" priority="3" stopIfTrue="1" operator="equal">
      <formula>"n"</formula>
    </cfRule>
    <cfRule type="cellIs" dxfId="1564" priority="4" stopIfTrue="1" operator="equal">
      <formula>"y"</formula>
    </cfRule>
    <cfRule type="cellIs" dxfId="1563" priority="5" operator="greaterThan">
      <formula>0</formula>
    </cfRule>
  </conditionalFormatting>
  <conditionalFormatting sqref="AZ6:BB6">
    <cfRule type="expression" dxfId="1562" priority="2">
      <formula>$AT6=0</formula>
    </cfRule>
  </conditionalFormatting>
  <conditionalFormatting sqref="AZ6:BU6">
    <cfRule type="cellIs" dxfId="1561" priority="11" operator="equal">
      <formula>"PIN"</formula>
    </cfRule>
    <cfRule type="cellIs" dxfId="1560" priority="12" operator="equal">
      <formula>"ORA"</formula>
    </cfRule>
    <cfRule type="cellIs" dxfId="1559" priority="13" operator="equal">
      <formula>"GRA"</formula>
    </cfRule>
    <cfRule type="cellIs" dxfId="1558" priority="14" operator="equal">
      <formula>"PUR"</formula>
    </cfRule>
    <cfRule type="cellIs" dxfId="1557" priority="15" operator="equal">
      <formula>"BRO"</formula>
    </cfRule>
    <cfRule type="cellIs" dxfId="1556" priority="16" operator="equal">
      <formula>"YEL"</formula>
    </cfRule>
    <cfRule type="cellIs" dxfId="1555" priority="17" operator="equal">
      <formula>"BLU"</formula>
    </cfRule>
    <cfRule type="cellIs" dxfId="1554" priority="18" operator="equal">
      <formula>"WHI"</formula>
    </cfRule>
    <cfRule type="cellIs" dxfId="1553" priority="19" operator="equal">
      <formula>"GRE"</formula>
    </cfRule>
    <cfRule type="cellIs" dxfId="1552" priority="20" operator="equal">
      <formula>"RED"</formula>
    </cfRule>
    <cfRule type="cellIs" dxfId="1551" priority="21" operator="equal">
      <formula>"BLA"</formula>
    </cfRule>
  </conditionalFormatting>
  <conditionalFormatting sqref="BV6:BW6">
    <cfRule type="cellIs" dxfId="1550" priority="33" operator="equal">
      <formula>"nc"</formula>
    </cfRule>
  </conditionalFormatting>
  <conditionalFormatting sqref="BX6:CA6 CD6:CF6">
    <cfRule type="cellIs" dxfId="1549" priority="7" operator="equal">
      <formula>"y"</formula>
    </cfRule>
    <cfRule type="cellIs" dxfId="1548" priority="22" operator="equal">
      <formula>"PIN"</formula>
    </cfRule>
    <cfRule type="cellIs" dxfId="1547" priority="23" operator="equal">
      <formula>"ORA"</formula>
    </cfRule>
    <cfRule type="cellIs" dxfId="1546" priority="24" operator="equal">
      <formula>"GRA"</formula>
    </cfRule>
    <cfRule type="cellIs" dxfId="1545" priority="25" operator="equal">
      <formula>"PUR"</formula>
    </cfRule>
    <cfRule type="cellIs" dxfId="1544" priority="26" operator="equal">
      <formula>"BRO"</formula>
    </cfRule>
    <cfRule type="cellIs" dxfId="1543" priority="27" operator="equal">
      <formula>"YEL"</formula>
    </cfRule>
    <cfRule type="cellIs" dxfId="1542" priority="28" operator="equal">
      <formula>"BLU"</formula>
    </cfRule>
    <cfRule type="cellIs" dxfId="1541" priority="29" operator="equal">
      <formula>"WHI"</formula>
    </cfRule>
    <cfRule type="cellIs" dxfId="1540" priority="30" operator="equal">
      <formula>"GRE"</formula>
    </cfRule>
    <cfRule type="cellIs" dxfId="1539" priority="31" operator="equal">
      <formula>"RED"</formula>
    </cfRule>
    <cfRule type="cellIs" dxfId="1538" priority="32" operator="equal">
      <formula>"BLA"</formula>
    </cfRule>
  </conditionalFormatting>
  <conditionalFormatting sqref="BZ6:CA6 CD6:CF6">
    <cfRule type="cellIs" dxfId="1537" priority="9" operator="greaterThan">
      <formula>0</formula>
    </cfRule>
  </conditionalFormatting>
  <conditionalFormatting sqref="IC6:IK6">
    <cfRule type="expression" dxfId="1536" priority="10">
      <formula>$IL6&gt;0</formula>
    </cfRule>
  </conditionalFormatting>
  <conditionalFormatting sqref="S6">
    <cfRule type="colorScale" priority="34">
      <colorScale>
        <cfvo type="min"/>
        <cfvo type="max"/>
        <color rgb="FFFCFCFF"/>
        <color rgb="FF754BFB"/>
      </colorScale>
    </cfRule>
  </conditionalFormatting>
  <conditionalFormatting sqref="AT6">
    <cfRule type="colorScale" priority="35">
      <colorScale>
        <cfvo type="min"/>
        <cfvo type="max"/>
        <color rgb="FFFCFCFF"/>
        <color theme="8" tint="0.39997558519241921"/>
      </colorScale>
    </cfRule>
  </conditionalFormatting>
  <conditionalFormatting sqref="CG6">
    <cfRule type="colorScale" priority="36">
      <colorScale>
        <cfvo type="min"/>
        <cfvo type="max"/>
        <color rgb="FFFCFCFF"/>
        <color rgb="FF63BE7B"/>
      </colorScale>
    </cfRule>
  </conditionalFormatting>
  <conditionalFormatting sqref="J6">
    <cfRule type="colorScale" priority="1">
      <colorScale>
        <cfvo type="min"/>
        <cfvo type="percentile" val="50"/>
        <cfvo type="max"/>
        <color rgb="FFF8696B"/>
        <color rgb="FFFFEB84"/>
        <color rgb="FF63BE7B"/>
      </colorScale>
    </cfRule>
  </conditionalFormatting>
  <hyperlinks>
    <hyperlink ref="A2" r:id="rId1" display="https://fbref.com/en/country/ECU/Ecuador-Football" xr:uid="{1A8A5738-7290-46CC-B71A-ED5BE4773884}"/>
    <hyperlink ref="E2" r:id="rId2" xr:uid="{58AB4294-2594-40F7-BC43-F6F5052E5FF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86698-4E45-4F4D-9A66-02D8305AE28F}">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210</v>
      </c>
      <c r="B2" s="40" t="e" vm="79">
        <v>#VALUE!</v>
      </c>
      <c r="C2" s="41">
        <v>1</v>
      </c>
      <c r="D2" s="42" t="s">
        <v>211</v>
      </c>
      <c r="E2" s="43" t="s">
        <v>212</v>
      </c>
      <c r="F2" s="44" t="s">
        <v>166</v>
      </c>
      <c r="G2" s="45">
        <f>COUNTIF($A$1:$A$8282,A2)</f>
        <v>1</v>
      </c>
      <c r="H2" s="46"/>
      <c r="I2" s="47" t="s">
        <v>213</v>
      </c>
      <c r="J2" s="48" t="str">
        <f>""</f>
        <v/>
      </c>
      <c r="K2" s="49">
        <v>2840</v>
      </c>
      <c r="L2" s="50">
        <v>3519</v>
      </c>
      <c r="M2" s="50" t="s">
        <v>214</v>
      </c>
      <c r="N2" s="51" t="s">
        <v>169</v>
      </c>
      <c r="O2" s="52" t="s">
        <v>215</v>
      </c>
      <c r="P2" s="53" t="s">
        <v>216</v>
      </c>
      <c r="Q2" s="54">
        <v>2</v>
      </c>
      <c r="R2" s="55" t="s">
        <v>169</v>
      </c>
      <c r="S2" s="56">
        <v>0</v>
      </c>
      <c r="T2" s="57" t="s">
        <v>172</v>
      </c>
      <c r="U2" s="58" t="s">
        <v>173</v>
      </c>
      <c r="V2" s="58" t="s">
        <v>172</v>
      </c>
      <c r="W2" s="58" t="s">
        <v>172</v>
      </c>
      <c r="X2" s="58" t="s">
        <v>172</v>
      </c>
      <c r="Y2" s="58" t="s">
        <v>173</v>
      </c>
      <c r="Z2" s="58" t="s">
        <v>172</v>
      </c>
      <c r="AA2" s="58" t="s">
        <v>173</v>
      </c>
      <c r="AB2" s="58" t="s">
        <v>173</v>
      </c>
      <c r="AC2" s="58" t="s">
        <v>172</v>
      </c>
      <c r="AD2" s="58" t="s">
        <v>172</v>
      </c>
      <c r="AE2" s="58" t="s">
        <v>172</v>
      </c>
      <c r="AF2" s="59" t="s">
        <v>172</v>
      </c>
      <c r="AG2" s="59" t="s">
        <v>172</v>
      </c>
      <c r="AH2" s="59" t="s">
        <v>172</v>
      </c>
      <c r="AI2" s="59" t="s">
        <v>173</v>
      </c>
      <c r="AJ2" s="59" t="s">
        <v>172</v>
      </c>
      <c r="AK2" s="59" t="s">
        <v>172</v>
      </c>
      <c r="AL2" s="59" t="s">
        <v>173</v>
      </c>
      <c r="AM2" s="59" t="s">
        <v>173</v>
      </c>
      <c r="AN2" s="59" t="s">
        <v>172</v>
      </c>
      <c r="AO2" s="59" t="s">
        <v>172</v>
      </c>
      <c r="AP2" s="59" t="s">
        <v>173</v>
      </c>
      <c r="AQ2" s="59" t="s">
        <v>172</v>
      </c>
      <c r="AR2" s="59" t="s">
        <v>172</v>
      </c>
      <c r="AS2" s="59" t="s">
        <v>173</v>
      </c>
      <c r="AT2" s="60">
        <v>5</v>
      </c>
      <c r="AU2" s="59"/>
      <c r="AV2" s="59" t="str">
        <f>IF(LEFT(A2,1)="[",LEFT(A2,5)&amp;AU2&amp;A2,"")</f>
        <v/>
      </c>
      <c r="AW2" s="59" t="str">
        <f>C2&amp;A2</f>
        <v>1Falkland Islands</v>
      </c>
      <c r="AX2" s="61"/>
      <c r="AY2" s="61"/>
      <c r="AZ2" s="62" t="s">
        <v>155</v>
      </c>
      <c r="BA2" s="62"/>
      <c r="BB2" s="62"/>
      <c r="BC2" s="63"/>
      <c r="BD2" s="64" t="s">
        <v>217</v>
      </c>
      <c r="BE2" s="47"/>
      <c r="BF2" s="64" t="s">
        <v>159</v>
      </c>
      <c r="BG2" s="64" t="s">
        <v>155</v>
      </c>
      <c r="BH2" s="64" t="s">
        <v>152</v>
      </c>
      <c r="BI2" s="64"/>
      <c r="BJ2" s="64"/>
      <c r="BK2" s="47"/>
      <c r="BL2" s="64" t="s">
        <v>151</v>
      </c>
      <c r="BM2" s="64" t="s">
        <v>152</v>
      </c>
      <c r="BN2" s="64" t="s">
        <v>174</v>
      </c>
      <c r="BO2" s="64" t="s">
        <v>154</v>
      </c>
      <c r="BP2" s="64" t="s">
        <v>155</v>
      </c>
      <c r="BQ2" s="64" t="s">
        <v>174</v>
      </c>
      <c r="BR2" s="64" t="s">
        <v>174</v>
      </c>
      <c r="BS2" s="64" t="s">
        <v>174</v>
      </c>
      <c r="BT2" s="64" t="s">
        <v>159</v>
      </c>
      <c r="BU2" s="65"/>
      <c r="BV2" s="66"/>
      <c r="BW2" s="66">
        <v>0</v>
      </c>
      <c r="BX2" s="47"/>
      <c r="CB2" s="6"/>
      <c r="CC2" s="6"/>
      <c r="CD2" s="67">
        <v>0</v>
      </c>
      <c r="CE2" s="67">
        <v>0</v>
      </c>
      <c r="CF2" s="67" t="e">
        <v>#REF!</v>
      </c>
      <c r="CG2" s="68" cm="1">
        <f t="array" ref="CG2">SUMPRODUCT(--(LEN(TRIM(BL2:BT2))&gt;0))</f>
        <v>5</v>
      </c>
      <c r="CH2" s="59" t="str">
        <f t="shared" ref="CH2:CH3" si="0">IF(CG2=2,"y","n")</f>
        <v>n</v>
      </c>
      <c r="CI2" s="59" t="str">
        <f t="shared" ref="CI2:CI3" si="1">IF(CG2=3,"y","n")</f>
        <v>n</v>
      </c>
      <c r="CJ2" s="59" t="str">
        <f t="shared" ref="CJ2:CJ3" si="2">IF(CG2=4,"y","n")</f>
        <v>n</v>
      </c>
      <c r="CK2" s="59" t="str">
        <f t="shared" ref="CK2:CK3" si="3">IF(CG2&gt;4,"y","n")</f>
        <v>y</v>
      </c>
      <c r="CL2" s="59" t="str">
        <f t="shared" ref="CL2:CL3" si="4">IF(S2=0,"y","n")</f>
        <v>y</v>
      </c>
      <c r="CM2" s="59" t="str">
        <f t="shared" ref="CM2:CM3" si="5">IF(S2=2,"y","n")</f>
        <v>n</v>
      </c>
      <c r="CN2" s="59" t="str">
        <f t="shared" ref="CN2:CN3" si="6">IF(S2=3,"y","n")</f>
        <v>n</v>
      </c>
      <c r="CO2" s="59" t="str">
        <f t="shared" ref="CO2:CO3" si="7">IF(S2&gt;=4,"y","n")</f>
        <v>n</v>
      </c>
      <c r="CP2" s="59" t="str">
        <f t="shared" ref="CP2:CP3" si="8">IF(AT2=0,"y","n")</f>
        <v>n</v>
      </c>
      <c r="CQ2" s="59" t="str">
        <f t="shared" ref="CQ2:CQ3" si="9">IF(AT2=1,"y","n")</f>
        <v>n</v>
      </c>
      <c r="CR2" s="59" t="str">
        <f t="shared" ref="CR2:CR3" si="10">IF(AT2=2,"y","n")</f>
        <v>n</v>
      </c>
      <c r="CS2" s="59" t="str">
        <f t="shared" ref="CS2:CS3" si="11">IF(AT2&gt;=3,"y","n")</f>
        <v>y</v>
      </c>
      <c r="CT2" s="69" t="str">
        <f t="shared" ref="CT2:CT3" si="12">CHAR(34)&amp;A2&amp;CHAR(34)</f>
        <v>"Falkland Islands"</v>
      </c>
      <c r="CU2" s="70" t="str">
        <f t="shared" ref="CU2:CU3" si="13">CHAR(34)&amp;"rgn_"&amp;R2&amp;CHAR(34)</f>
        <v>"rgn_South America"</v>
      </c>
      <c r="CV2" s="48" t="str">
        <f t="shared" ref="CV2:CV3" si="14">CHAR(34)&amp;D2&amp;CHAR(34)</f>
        <v>"https://upload.wikimedia.org/wikipedia/commons/thumb/8/83/Flag_of_the_Falkland_Islands.svg/383px-Flag_of_the_Falkland_Islands.svg.png"</v>
      </c>
      <c r="CW2" s="48" t="str">
        <f t="shared" ref="CW2:CZ3" si="15">IF(CH2="y",CHAR(34)&amp;CH$1&amp;CHAR(34)&amp;",","")</f>
        <v/>
      </c>
      <c r="CX2" s="48" t="str">
        <f t="shared" si="15"/>
        <v/>
      </c>
      <c r="CY2" s="48" t="str">
        <f t="shared" si="15"/>
        <v/>
      </c>
      <c r="CZ2" s="48" t="str">
        <f t="shared" si="15"/>
        <v>"5+Colo",</v>
      </c>
      <c r="DA2" s="48" t="str">
        <f t="shared" ref="DA2:DA3" si="16">IF(Q2&gt;1,CHAR(34)&amp;"words2"&amp;CHAR(34)&amp;",","")</f>
        <v>"words2",</v>
      </c>
      <c r="DB2" s="48" t="str">
        <f t="shared" ref="DB2:DB3" si="17">IF(Q2&gt;2,CHAR(34)&amp;"words3"&amp;CHAR(34)&amp;",","")</f>
        <v/>
      </c>
      <c r="DC2" s="48" t="str">
        <f t="shared" ref="DC2" si="18">IF(Q2=2,CHAR(34)&amp;"exact2"&amp;CHAR(34)&amp;",","")</f>
        <v>"exact2",</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"lets15",</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"startF",</v>
      </c>
      <c r="DF2" s="48" t="str">
        <f t="shared" ref="DF2:DF3" si="21">IFERROR(IF(SEARCH("tan",A2)&gt;0,CHAR(34)&amp;"withtn"&amp;CHAR(34)&amp;",",""),"")</f>
        <v/>
      </c>
      <c r="DG2" s="48" t="str">
        <f t="shared" ref="DG2:DG3" si="22">IFERROR(IF(SEARCH("q",A2)&gt;0,CHAR(34)&amp;"with_q"&amp;CHAR(34)&amp;",",""),"")</f>
        <v/>
      </c>
      <c r="DH2" s="48" t="str">
        <f t="shared" ref="DH2:DH3" si="23">IFERROR(IF(SEARCH("v",A2)&gt;0,CHAR(34)&amp;"with_v"&amp;CHAR(34)&amp;",",""),"")</f>
        <v/>
      </c>
      <c r="DI2" s="48" t="str">
        <f t="shared" ref="DI2:DI3" si="24">IFERROR(IF(SEARCH("w",A2)&gt;0,CHAR(34)&amp;"with_w"&amp;CHAR(34)&amp;",",""),"")</f>
        <v/>
      </c>
      <c r="DJ2" s="48" t="str">
        <f t="shared" ref="DJ2:DJ3" si="25">IFERROR(IF(SEARCH("y",A2)&gt;0,CHAR(34)&amp;"with_y"&amp;CHAR(34)&amp;",",""),"")</f>
        <v/>
      </c>
      <c r="DK2" s="48" t="str">
        <f t="shared" ref="DK2:DK3" si="26">IFERROR(IF(SEARCH("z",A2)&gt;0,CHAR(34)&amp;"with_z"&amp;CHAR(34)&amp;",",""),"")</f>
        <v/>
      </c>
      <c r="DL2" s="48" t="str">
        <f t="shared" ref="DL2:DL3" si="27">IF(CG2=2, CHAR(34) &amp; _xlfn.TEXTJOIN("", TRUE, _xlfn._xlws.SORT(HP2:HX2)) &amp; CHAR(34) &amp; ",", "")</f>
        <v/>
      </c>
      <c r="DM2" s="48" t="str" cm="1">
        <f t="array" ref="DM2">IF(CG2=3,CHAR(34) &amp; _xlfn.TEXTJOIN("", TRUE, RIGHT(HP2:HX2, 2)) &amp; CHAR(34) &amp; ",", "")</f>
        <v/>
      </c>
      <c r="DN2" s="48" t="str">
        <f t="shared" ref="DN2:DN3" si="28">IF(AND(ISNUMBER(SEARCH("18", O2)), ISERROR(SEARCH("1918", O2)), ISERROR(SEARCH("2018", O2))), CHAR(34) &amp; "year18" &amp; CHAR(34) &amp; ",", "")</f>
        <v/>
      </c>
      <c r="DO2" s="48" t="str">
        <f t="shared" ref="DO2:DO3" si="29">IF(AND(ISNUMBER(SEARCH("19", O2)), ISERROR(SEARCH("1819", O2)),  ISERROR(SEARCH("1219", O2)),ISERROR(SEARCH("1119", O2)),ISERROR(SEARCH("1190", O2)),ISERROR(SEARCH("2019", O2))), CHAR(34) &amp; "year19" &amp; CHAR(34) &amp; ",", "")</f>
        <v>"year19",</v>
      </c>
      <c r="DP2" s="6" t="str">
        <f t="shared" ref="DP2:DP3" si="30">IF(AND(ISNUMBER(SEARCH("20", O2)), ISERROR(SEARCH("1920", O2))), CHAR(34)&amp;"year00"&amp;CHAR(34)&amp;",", "")</f>
        <v/>
      </c>
      <c r="DQ2" s="6" t="str">
        <f t="shared" ref="DQ2:DQ3" si="31">IF(CC2="y",CHAR(34)&amp;"soviet"&amp;CHAR(34)&amp;",","")</f>
        <v/>
      </c>
      <c r="DR2" s="6" t="str">
        <f t="shared" ref="DR2:DR3" si="32">IF(BY2="y",CHAR(34)&amp;"dgband"&amp;CHAR(34)&amp;",","")</f>
        <v/>
      </c>
      <c r="DS2" s="6" t="str">
        <f t="shared" ref="DS2:DS3" si="33">IF(W2="y",IF(AND(V2="n",BY2&lt;&gt;"y"),CHAR(34)&amp;"allver"&amp;CHAR(34)&amp;",",""),"")</f>
        <v/>
      </c>
      <c r="DT2" s="6" t="str">
        <f t="shared" ref="DT2:DT3" si="34">IF(V2="y",IF(AND(W2="n",BY2&lt;&gt;"y"),CHAR(34)&amp;"allhor"&amp;CHAR(34)&amp;",",""),"")</f>
        <v/>
      </c>
      <c r="DU2" s="6" t="str">
        <f t="shared" ref="DU2:DU3" si="35">IF(BY2="y",IF(AND(W2="n",V2="n"),CHAR(34)&amp;"alldia"&amp;CHAR(34)&amp;",",""),"")</f>
        <v/>
      </c>
      <c r="DV2" s="48" t="str">
        <f t="shared" ref="DV2" si="36">IF(IA2&lt;&gt;"",(IF(IA2="y",CHAR(34)&amp;"largec"&amp;CHAR(34)&amp;",",CHAR(34)&amp;"smallc"&amp;CHAR(34)&amp;",")),"")</f>
        <v>"smallc",</v>
      </c>
      <c r="DW2" s="48" t="str">
        <f t="shared" ref="DW2:DZ3" si="37">IF(CL2="y",CHAR(34)&amp;CL$1&amp;CHAR(34)&amp;",","")</f>
        <v>"NoBand",</v>
      </c>
      <c r="DX2" s="48" t="str">
        <f t="shared" si="37"/>
        <v/>
      </c>
      <c r="DY2" s="48" t="str">
        <f t="shared" si="37"/>
        <v/>
      </c>
      <c r="DZ2" s="48" t="str">
        <f t="shared" si="37"/>
        <v/>
      </c>
      <c r="EA2" s="48" t="str">
        <f t="shared" ref="EA2:EE3" si="38">IF(T2="y",CHAR(34)&amp;T$1&amp;CHAR(34)&amp;",","")</f>
        <v/>
      </c>
      <c r="EB2" s="48" t="str">
        <f t="shared" si="38"/>
        <v>"Crosse",</v>
      </c>
      <c r="EC2" s="48" t="str">
        <f t="shared" si="38"/>
        <v/>
      </c>
      <c r="ED2" s="48" t="str">
        <f t="shared" si="38"/>
        <v/>
      </c>
      <c r="EE2" s="48" t="str">
        <f t="shared" si="38"/>
        <v/>
      </c>
      <c r="EF2" s="48" t="str">
        <f t="shared" ref="EF2:EF3" si="39">IF(AND(Y2&lt;&gt;"n",Y2&lt;&gt;""),CHAR(34)&amp;Y$1&amp;CHAR(34)&amp;",","")</f>
        <v>"Animal",</v>
      </c>
      <c r="EG2" s="48" t="str">
        <f t="shared" ref="EG2:EZ3" si="40">IF(Z2="y",CHAR(34)&amp;Z$1&amp;CHAR(34)&amp;",","")</f>
        <v/>
      </c>
      <c r="EH2" s="48" t="str">
        <f t="shared" si="40"/>
        <v>"Plants",</v>
      </c>
      <c r="EI2" s="48" t="str">
        <f t="shared" si="40"/>
        <v>"Texted",</v>
      </c>
      <c r="EJ2" s="48" t="str">
        <f t="shared" si="40"/>
        <v/>
      </c>
      <c r="EK2" s="48" t="str">
        <f t="shared" si="40"/>
        <v/>
      </c>
      <c r="EL2" s="48" t="str">
        <f t="shared" si="40"/>
        <v/>
      </c>
      <c r="EM2" s="48" t="str">
        <f t="shared" si="40"/>
        <v/>
      </c>
      <c r="EN2" s="48" t="str">
        <f t="shared" si="40"/>
        <v/>
      </c>
      <c r="EO2" s="48" t="str">
        <f t="shared" si="40"/>
        <v/>
      </c>
      <c r="EP2" s="48" t="str">
        <f t="shared" si="40"/>
        <v>"Canton",</v>
      </c>
      <c r="EQ2" s="48" t="str">
        <f t="shared" si="40"/>
        <v/>
      </c>
      <c r="ER2" s="48" t="str">
        <f t="shared" si="40"/>
        <v/>
      </c>
      <c r="ES2" s="48" t="str">
        <f t="shared" si="40"/>
        <v>"Wavess",</v>
      </c>
      <c r="ET2" s="48" t="str">
        <f t="shared" si="40"/>
        <v>"Geogrh",</v>
      </c>
      <c r="EU2" s="48" t="str">
        <f t="shared" si="40"/>
        <v/>
      </c>
      <c r="EV2" s="48" t="str">
        <f t="shared" si="40"/>
        <v/>
      </c>
      <c r="EW2" s="48" t="str">
        <f t="shared" si="40"/>
        <v>"Ships!",</v>
      </c>
      <c r="EX2" s="48" t="str">
        <f t="shared" si="40"/>
        <v/>
      </c>
      <c r="EY2" s="48" t="str">
        <f t="shared" si="40"/>
        <v/>
      </c>
      <c r="EZ2" s="48" t="str">
        <f t="shared" si="40"/>
        <v>"Waters",</v>
      </c>
      <c r="FA2" s="48" t="str">
        <f t="shared" ref="FA2:FA3" si="41">IF(AT2&gt;0,CHAR(34)&amp;"sta"&amp;AZ2&amp;CHAR(34)&amp;",","")</f>
        <v>"staYEL",</v>
      </c>
      <c r="FB2" s="48" t="str">
        <f t="shared" ref="FB2:FB3" si="42">IF(AND(AT2&gt;0,BA2&lt;&gt;""),CHAR(34)&amp;"sta"&amp;BA2&amp;CHAR(34)&amp;",","")</f>
        <v/>
      </c>
      <c r="FC2" s="48" t="str">
        <f t="shared" ref="FC2" si="43">IF(AND(AT2&gt;0,BB2&lt;&gt;""),CHAR(34)&amp;"sta"&amp;BB2&amp;CHAR(34)&amp;",","")</f>
        <v/>
      </c>
      <c r="FD2" s="48" t="str">
        <f t="shared" ref="FD2:FD3" si="44">IF(BV2="n",CHAR(34)&amp;"tcWHYE"&amp;CHAR(34)&amp;",",IF(BV2="y",CHAR(34)&amp;FD$1&amp;CHAR(34)&amp;",",""))</f>
        <v/>
      </c>
      <c r="FE2" s="48" t="str">
        <f t="shared" ref="FE2:FE3" si="45">IF(COUNTIF(BL2:BT2,"BLU")=0,CHAR(34)&amp;"NO_BLU"&amp;CHAR(34)&amp;",", "")</f>
        <v/>
      </c>
      <c r="FF2" s="48" t="str">
        <f t="shared" ref="FF2:FF3" si="46">IF(COUNTIF(BL2:BT2,"WHI")=0,CHAR(34)&amp;"NO_WHI"&amp;CHAR(34)&amp;",", "")</f>
        <v/>
      </c>
      <c r="FG2" s="48" t="str">
        <f t="shared" ref="FG2:FG3" si="47">IF(COUNTIF(BL2:BT2,"RED")=0,CHAR(34)&amp;"NO_RED"&amp;CHAR(34)&amp;",", "")</f>
        <v/>
      </c>
      <c r="FH2" s="48" t="str">
        <f t="shared" ref="FH2:FH3" si="48">IF(COUNTIF(BL2:BS2,"GRE")=0,CHAR(34)&amp;"NO_GRE"&amp;CHAR(34)&amp;",", "")</f>
        <v>"NO_GRE",</v>
      </c>
      <c r="FI2" s="48" t="str">
        <f t="shared" ref="FI2:FI3" si="49">IF(COUNTIF(BL2:BT2,"YEL")=0,CHAR(34)&amp;"NO_YEL"&amp;CHAR(34)&amp;",", "")</f>
        <v/>
      </c>
      <c r="FJ2" s="48" t="str">
        <f t="shared" ref="FJ2:FJ3" si="50">IF(COUNTIF(BL2:BT2,"BLA")=0,CHAR(34)&amp;"NO_BLA"&amp;CHAR(34)&amp;",", "")</f>
        <v/>
      </c>
      <c r="FK2" s="48" t="str">
        <f t="shared" ref="FK2:FK3" si="51">IF(AND(FH2&lt;&gt;"",FF2&lt;&gt;""),CHAR(34)&amp;"WHGRNO"&amp;CHAR(34)&amp;",","")</f>
        <v/>
      </c>
      <c r="FL2" s="48" t="str">
        <f t="shared" ref="FL2:FL3" si="52">IF(AND(FI2&lt;&gt;"",FF2&lt;&gt;""),CHAR(34)&amp;"WHYENO"&amp;CHAR(34)&amp;",","")</f>
        <v/>
      </c>
      <c r="FM2" s="48" t="str">
        <f t="shared" ref="FM2:FM3" si="53">IF(AND(FJ2&lt;&gt;"",FF2&lt;&gt;""),CHAR(34)&amp;"BAWHNO"&amp;CHAR(34)&amp;",","")</f>
        <v/>
      </c>
      <c r="FN2" s="48" t="str">
        <f t="shared" ref="FN2:FN3" si="54">IF(AND(FE2&lt;&gt;"",FF2&lt;&gt;""),CHAR(34)&amp;"BLWHNO"&amp;CHAR(34)&amp;",","")</f>
        <v/>
      </c>
      <c r="FO2" s="48" t="str">
        <f t="shared" ref="FO2:FO3" si="55">IF(AND(FE2&lt;&gt;"",FG2&lt;&gt;""),CHAR(34)&amp;"BLRENO"&amp;CHAR(34)&amp;",","")</f>
        <v/>
      </c>
      <c r="FP2" s="48" t="str">
        <f t="shared" ref="FP2:FP3" si="56">IF(AND(FF2&lt;&gt;"",FF2&lt;&gt;""),CHAR(34)&amp;"WHRENO"&amp;CHAR(34)&amp;",","")</f>
        <v/>
      </c>
      <c r="FQ2" s="48" t="str">
        <f t="shared" ref="FQ2:FQ3" si="57">IF(LEN(BF2)=3,CHAR(34)&amp;"001"&amp;BF2&amp;CHAR(34)&amp;",","")</f>
        <v>"001WHI",</v>
      </c>
      <c r="FR2" s="48" t="str">
        <f t="shared" ref="FR2:FR3" si="58">IF(LEN(BG2)=3,CHAR(34)&amp;"002"&amp;BG2&amp;CHAR(34)&amp;",","")</f>
        <v>"002YEL",</v>
      </c>
      <c r="FS2" s="48" t="str">
        <f t="shared" ref="FS2:FS3" si="59">IF(LEN(BH2)=3,CHAR(34)&amp;"003"&amp;BH2&amp;CHAR(34)&amp;",","")</f>
        <v>"003BLU",</v>
      </c>
      <c r="FT2" s="48" t="str">
        <f t="shared" ref="FT2:FT3" si="60">CHAR(34)&amp;"myr"&amp;BD2&amp;CHAR(34)&amp;","</f>
        <v>"myrEQ",</v>
      </c>
      <c r="FU2" s="48" t="str">
        <f t="shared" ref="FU2:FU3" si="61">IF(AY2="y",CHAR(34)&amp;"island"&amp;CHAR(34)&amp;",","")</f>
        <v/>
      </c>
      <c r="FV2" s="48" t="str">
        <f t="shared" ref="FV2:FV3" si="62">IF(BZ2="y",CHAR(34)&amp;"landlo"&amp;CHAR(34)&amp;",","")</f>
        <v/>
      </c>
      <c r="FW2" s="48" t="str">
        <f t="shared" ref="FW2:FW3" si="63">IF(CA2="y",CHAR(34)&amp;"eunion"&amp;CHAR(34)&amp;",","")</f>
        <v/>
      </c>
      <c r="FX2" s="48" t="str">
        <f t="shared" ref="FX2" si="64">SUBSTITUTE(IFERROR(SEARCH("[",A2),IFERROR(IF(AND(CA2&lt;&gt;"y",SEARCH("Europe",R2)&gt;0),CHAR(34)&amp;"noeuni"&amp;CHAR(34)&amp;",",""),"")),"1","")</f>
        <v/>
      </c>
      <c r="FY2" s="48" t="str">
        <f t="shared" ref="FY2:FY3" si="65">IFERROR(IF(SEARCH("Arabic",CB2)&gt;0,CHAR(34)&amp;"arabic"&amp;CHAR(34)&amp;",",""),"")</f>
        <v/>
      </c>
      <c r="FZ2" s="48" t="str">
        <f t="shared" ref="FZ2:FZ3" si="66">IFERROR(IF(SEARCH("English",CB2)&gt;0,CHAR(34)&amp;"englis"&amp;CHAR(34)&amp;",",""),"")</f>
        <v/>
      </c>
      <c r="GA2" s="48" t="str">
        <f t="shared" ref="GA2:GA3" si="67">IFERROR(IF(SEARCH("French",CB2)&gt;0,CHAR(34)&amp;"french"&amp;CHAR(34)&amp;",",""),"")</f>
        <v/>
      </c>
      <c r="GB2" s="48" t="str">
        <f t="shared" ref="GB2:GB3"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GE3" si="71">IFERROR(IF(SEARCH("Dutch",CB2)&gt;0,CHAR(34)&amp;"dutchs"&amp;CHAR(34)&amp;",",""),"")</f>
        <v/>
      </c>
      <c r="GF2" s="48" t="str">
        <f t="shared" ref="GF2:GF3" si="72">IFERROR(IF(SEARCH("Historical",AU2)&gt;0,CHAR(34)&amp;"histor"&amp;CHAR(34)&amp;",",""),"")</f>
        <v/>
      </c>
      <c r="GG2" s="48" t="str">
        <f t="shared" ref="GG2:GG3" si="73">IF(BU2="y",CHAR(34)&amp;"unjack"&amp;CHAR(34)&amp;",","")</f>
        <v/>
      </c>
      <c r="GH2" s="48" t="str">
        <f t="shared" ref="GH2:GH3" si="74">IF(CD2=1,CHAR(34)&amp;"southc"&amp;CHAR(34)&amp;",","")</f>
        <v/>
      </c>
      <c r="GI2" s="48" t="str">
        <f t="shared" ref="GI2:GI3" si="75">IF(CE2=1,CHAR(34)&amp;"hasmap"&amp;CHAR(34)&amp;",","")</f>
        <v/>
      </c>
      <c r="GJ2" s="48" t="str">
        <f t="shared" ref="GJ2:GJ3" si="76">IF(CP2="y",CHAR(34)&amp;CP$1&amp;CHAR(34)&amp;",","")</f>
        <v/>
      </c>
      <c r="GK2" s="48" t="str">
        <f t="shared" ref="GK2:GK3" si="77">IF(GJ2="",CHAR(34)&amp;"HasSta"&amp;CHAR(34)&amp;",","")</f>
        <v>"HasSta",</v>
      </c>
      <c r="GL2" s="48" t="str">
        <f t="shared" ref="GL2:GN3" si="78">IF(CQ2="y",CHAR(34)&amp;CQ$1&amp;CHAR(34)&amp;",","")</f>
        <v/>
      </c>
      <c r="GM2" s="48" t="str">
        <f t="shared" si="78"/>
        <v/>
      </c>
      <c r="GN2" s="48" t="str">
        <f t="shared" si="78"/>
        <v>"3+Star",</v>
      </c>
      <c r="GP2" s="48" t="str">
        <f t="shared" ref="GP2:GP3" si="79">CHAR(34)&amp;AU2&amp;CHAR(34)</f>
        <v>""</v>
      </c>
      <c r="GS2" s="48" t="str">
        <f t="shared" ref="GS2:GS3" si="80">SUBSTITUTE("["&amp;_xlfn.CONCAT(CW2:GN2)&amp;"]",",]","]")</f>
        <v>["5+Colo","words2","exact2","lets15","startF","year19","smallc","NoBand","Crosse","Animal","Plants","Texted","Canton","Wavess","Geogrh","Ships!","Waters","staYEL","NO_GRE","001WHI","002YEL","003BLU","myrEQ","HasSta","3+Star"]</v>
      </c>
      <c r="GT2" s="48" t="str">
        <f t="shared" ref="GT2:HB3" si="81">IF(BL2&lt;&gt;"",CHAR(34)&amp;"cl_"&amp;BL2&amp;CHAR(34)&amp;",","")</f>
        <v>"cl_BLA",</v>
      </c>
      <c r="GU2" s="48" t="str">
        <f t="shared" si="81"/>
        <v>"cl_BLU",</v>
      </c>
      <c r="GV2" s="48" t="str">
        <f t="shared" si="81"/>
        <v/>
      </c>
      <c r="GW2" s="48" t="str">
        <f t="shared" si="81"/>
        <v>"cl_RED",</v>
      </c>
      <c r="GX2" s="48" t="str">
        <f t="shared" si="81"/>
        <v>"cl_YEL",</v>
      </c>
      <c r="GY2" s="48" t="str">
        <f t="shared" si="81"/>
        <v/>
      </c>
      <c r="GZ2" s="48" t="str">
        <f t="shared" si="81"/>
        <v/>
      </c>
      <c r="HA2" s="48" t="str">
        <f t="shared" si="81"/>
        <v/>
      </c>
      <c r="HB2" s="48" t="str">
        <f t="shared" si="81"/>
        <v>"cl_WHI",</v>
      </c>
      <c r="HC2" s="48" t="str">
        <f t="shared" ref="HC2:HC3" si="82">SUBSTITUTE("["&amp;_xlfn.CONCAT(GT2:HB2)&amp;"]",",]","]")</f>
        <v>["cl_BLA","cl_BLU","cl_RED","cl_YEL","cl_WHI"]</v>
      </c>
      <c r="HE2" s="71"/>
      <c r="HF2" s="72" t="str">
        <f t="shared" ref="HF2:HF3" si="83">"{couname:"&amp;CT2&amp;(IF(HK2&lt;&gt;"",",subtype:"&amp;CHAR(34)&amp;HK2&amp;CHAR(34),""))&amp;",year:"&amp;HJ2&amp;",region:"&amp;CU2&amp;",Colors:"&amp;HC2&amp;",Items:"&amp;GS2&amp;",Flag:"&amp;CV2&amp;",HDFlag:"&amp;CHAR(34)&amp;E2&amp;CHAR(34)&amp;",type:"&amp;GP2&amp;", describe: "&amp;HH2&amp;", isnew:"&amp;CHAR(34)&amp;F2&amp;CHAR(34)&amp;", links: "&amp;HL2&amp;"},"</f>
        <v>{couname:"Falkland Islands",year:"1999 ",region:"rgn_South America",Colors:["cl_BLA","cl_BLU","cl_RED","cl_YEL","cl_WHI"],Items:["5+Colo","words2","exact2","lets15","startF","year19","smallc","NoBand","Crosse","Animal","Plants","Texted","Canton","Wavess","Geogrh","Ships!","Waters","staYEL","NO_GRE","001WHI","002YEL","003BLU","myrEQ","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isnew:".", links: "https://en.wikipedia.org/wiki/Flag_of_the_Falkland_Islands"},</v>
      </c>
      <c r="HG2" s="73" t="str">
        <f t="shared" ref="HG2:HG3" si="84">"{couname:"&amp;CT2&amp;(IF(HK2&lt;&gt;"",",subtype:"&amp;CHAR(34)&amp;HK2&amp;CHAR(34),""))&amp;",year:"&amp;HJ2&amp;",region:"&amp;CU2&amp;",Colors:"&amp;HC2&amp;",Items:"&amp;GS2&amp;",Flag:"&amp;CV2&amp;",HDFlag:"&amp;CHAR(34)&amp;E2&amp;CHAR(34)&amp;",type:"&amp;GP2&amp;", describe: "&amp;HI2&amp;", links: "&amp;HL2&amp;"},"</f>
        <v>{couname:"Falkland Islands",year:"1999 ",region:"rgn_South America",Colors:["cl_BLA","cl_BLU","cl_RED","cl_YEL","cl_WHI"],Items:["5+Colo","words2","exact2","lets15","startF","year19","smallc","NoBand","Crosse","Animal","Plants","Texted","Canton","Wavess","Geogrh","Ships!","Waters","staYEL","NO_GRE","001WHI","002YEL","003BLU","myrEQ","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links: "https://en.wikipedia.org/wiki/Flag_of_the_Falkland_Islands"},</v>
      </c>
      <c r="HH2" s="48" t="str">
        <f t="shared" ref="HH2:HH3" si="85">IF(P2&lt;&gt;"",CHAR(34)&amp;"\n"&amp;P2&amp;CHAR(34),CHAR(34)&amp;CHAR(34))</f>
        <v>"\nThe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v>
      </c>
      <c r="HI2" s="48" t="str">
        <f t="shared" ref="HI2:HI3" si="86">IF(J2=0,CHAR(34)&amp;CHAR(34),HH2)</f>
        <v>"\nThe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v>
      </c>
      <c r="HJ2" s="48" t="str">
        <f t="shared" ref="HJ2:HJ3" si="87">CHAR(34)&amp;O2&amp;CHAR(34)</f>
        <v>"1999 "</v>
      </c>
      <c r="HL2" s="48" t="str">
        <f t="shared" ref="HL2:HL3" si="88">CHAR(34)&amp;I2&amp;CHAR(34)</f>
        <v>"https://en.wikipedia.org/wiki/Flag_of_the_Falkland_Islands"</v>
      </c>
      <c r="HM2" s="72" t="str">
        <f t="shared" ref="HM2:HM3"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{"couname":"Falkland Islands","year":"1999 ","region":"rgn_South America","Colors":["cl_BLA","cl_BLU","cl_RED","cl_YEL","cl_WHI"],"Items":["5+Colo","words2","exact2","lets15","startF","year19","smallc","NoBand","Crosse","Animal","Plants","Texted","Canton","Wavess","Geogrh","Ships!","Waters","staYEL","NO_GRE","001WHI","002YEL","003BLU","myrEQ","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"isnew": ".", "links": "https://en.wikipedia.org/wiki/Flag_of_the_Falkland_Islands"},</v>
      </c>
      <c r="HN2" s="74" t="str">
        <f t="shared" ref="HN2:HN3" si="9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{"couname":"Falkland Islands","year":"1999 ","region":"rgn_South America","Colors":["cl_BLA","cl_BLU","cl_RED","cl_YEL","cl_WHI"],"Items":["5+Colo","words2","exact2","lets15","startF","year19","smallc","NoBand","Crosse","Animal","Plants","Texted","Canton","Wavess","Geogrh","Ships!","Waters","staYEL","NO_GRE","001WHI","002YEL","003BLU","myrEQ","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"isnew": ".", "links": "https://en.wikipedia.org/wiki/Flag_of_the_Falkland_Islands"},</v>
      </c>
      <c r="HO2" s="75">
        <v>45576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172</v>
      </c>
      <c r="IB2" s="6"/>
      <c r="IC2" s="77"/>
      <c r="ID2" s="77"/>
      <c r="IE2" s="77"/>
      <c r="IF2" s="77"/>
      <c r="IG2" s="77"/>
      <c r="IH2" s="77"/>
      <c r="II2" s="77"/>
      <c r="IJ2" s="77"/>
      <c r="IK2" s="77"/>
      <c r="IL2" s="48">
        <f t="shared" ref="IL2" si="91">SUM(IC2:IK2)</f>
        <v>0</v>
      </c>
      <c r="IM2" s="45">
        <f t="shared" ref="IM2:IM3" si="92">COUNTIF(IC2:IK2,"&gt;0")-CG2</f>
        <v>-5</v>
      </c>
      <c r="IN2" s="78" t="str">
        <f t="shared" ref="IN2:IN3" si="93">"http://mkweb.bcgsc.ca/color-summarizer/?url="&amp;D2&amp;"&amp;precision=low&amp;num_clusters="&amp;CG2&amp;"&amp;text=1"</f>
        <v>http://mkweb.bcgsc.ca/color-summarizer/?url=https://upload.wikimedia.org/wikipedia/commons/thumb/8/83/Flag_of_the_Falkland_Islands.svg/383px-Flag_of_the_Falkland_Islands.svg.png&amp;precision=low&amp;num_clusters=5&amp;text=1</v>
      </c>
      <c r="IO2" s="48" t="str">
        <f t="shared" ref="IO2:IO3" si="94">IF(HP2&lt;&gt;"",CHAR(34)&amp;"black"&amp;CHAR(34),"")</f>
        <v>"black"</v>
      </c>
      <c r="IP2" s="48" t="str">
        <f t="shared" ref="IP2:IP3" si="95">IF(HQ2&lt;&gt;"",CHAR(34)&amp;"blue"&amp;CHAR(34),"")</f>
        <v>"blue"</v>
      </c>
      <c r="IQ2" s="48" t="str">
        <f t="shared" ref="IQ2:IQ3" si="96">IF(HR2&lt;&gt;"",CHAR(34)&amp;"green"&amp;CHAR(34),"")</f>
        <v/>
      </c>
      <c r="IR2" s="48" t="str">
        <f t="shared" ref="IR2:IR3" si="97">IF(HS2&lt;&gt;"",CHAR(34)&amp;"red"&amp;CHAR(34),"")</f>
        <v>"red"</v>
      </c>
      <c r="IS2" s="48" t="str">
        <f t="shared" ref="IS2:IS3" si="98">IF(HT2&lt;&gt;"",CHAR(34)&amp;"yellow"&amp;CHAR(34),"")</f>
        <v>"yellow"</v>
      </c>
      <c r="IT2" s="48" t="str">
        <f t="shared" ref="IT2:IT3" si="99">IF(HU2&lt;&gt;"",CHAR(34)&amp;"orange"&amp;CHAR(34),"")</f>
        <v/>
      </c>
      <c r="IU2" s="48" t="str">
        <f t="shared" ref="IU2:IU3" si="100">IF(HV2&lt;&gt;"",CHAR(34)&amp;"brown"&amp;CHAR(34),"")</f>
        <v/>
      </c>
      <c r="IV2" s="48" t="str">
        <f t="shared" ref="IV2:IV3" si="101">IF(HW2&lt;&gt;"",CHAR(34)&amp;"purple"&amp;CHAR(34),"")</f>
        <v/>
      </c>
      <c r="IW2" s="48" t="str">
        <f t="shared" ref="IW2:IW3" si="102">IF(HX2&lt;&gt;"",CHAR(34)&amp;"white"&amp;CHAR(34),"")</f>
        <v>"white"</v>
      </c>
      <c r="IX2" s="48" t="str">
        <f t="shared" ref="IX2:IX3" si="103">"{"&amp;CHAR(34)&amp;"url"&amp;CHAR(34)&amp;":"&amp;CHAR(34)&amp;IN2&amp;CHAR(34)&amp;","&amp;CHAR(34)&amp;"name"&amp;CHAR(34)&amp;":"&amp;CHAR(34)&amp;A2&amp;CHAR(34)&amp;"},"</f>
        <v>{"url":"http://mkweb.bcgsc.ca/color-summarizer/?url=https://upload.wikimedia.org/wikipedia/commons/thumb/8/83/Flag_of_the_Falkland_Islands.svg/383px-Flag_of_the_Falkland_Islands.svg.png&amp;precision=low&amp;num_clusters=5&amp;text=1","name":"Falkland Islands"},</v>
      </c>
      <c r="IY2" s="48">
        <v>948</v>
      </c>
    </row>
    <row r="3" spans="1:259" s="48" customFormat="1" ht="38.4" customHeight="1" thickBot="1" x14ac:dyDescent="0.35">
      <c r="A3" s="81" t="s">
        <v>867</v>
      </c>
      <c r="B3" s="40" t="e" vm="80">
        <v>#VALUE!</v>
      </c>
      <c r="C3" s="41">
        <v>3</v>
      </c>
      <c r="D3" s="42" t="s">
        <v>868</v>
      </c>
      <c r="E3" s="43" t="s">
        <v>868</v>
      </c>
      <c r="F3" s="44" t="s">
        <v>166</v>
      </c>
      <c r="G3" s="45">
        <f>COUNTIF($A$1:$A$8282,A3)</f>
        <v>1</v>
      </c>
      <c r="H3" s="46"/>
      <c r="I3" s="47" t="s">
        <v>869</v>
      </c>
      <c r="J3" s="48" t="str">
        <f>""</f>
        <v/>
      </c>
      <c r="K3" s="49"/>
      <c r="L3" s="50"/>
      <c r="M3" s="50"/>
      <c r="N3" s="51" t="s">
        <v>169</v>
      </c>
      <c r="O3" s="52" t="s">
        <v>557</v>
      </c>
      <c r="P3" s="53" t="s">
        <v>870</v>
      </c>
      <c r="Q3" s="54">
        <v>3</v>
      </c>
      <c r="R3" s="55" t="s">
        <v>169</v>
      </c>
      <c r="S3" s="56">
        <v>3</v>
      </c>
      <c r="T3" s="57" t="s">
        <v>172</v>
      </c>
      <c r="U3" s="58" t="s">
        <v>172</v>
      </c>
      <c r="V3" s="58" t="s">
        <v>173</v>
      </c>
      <c r="W3" s="58" t="s">
        <v>172</v>
      </c>
      <c r="X3" s="58" t="s">
        <v>172</v>
      </c>
      <c r="Y3" s="58" t="s">
        <v>172</v>
      </c>
      <c r="Z3" s="58" t="s">
        <v>172</v>
      </c>
      <c r="AA3" s="58" t="s">
        <v>172</v>
      </c>
      <c r="AB3" s="58" t="s">
        <v>172</v>
      </c>
      <c r="AC3" s="58" t="s">
        <v>172</v>
      </c>
      <c r="AD3" s="58" t="s">
        <v>172</v>
      </c>
      <c r="AE3" s="58" t="s">
        <v>172</v>
      </c>
      <c r="AF3" s="59" t="s">
        <v>172</v>
      </c>
      <c r="AG3" s="59" t="s">
        <v>172</v>
      </c>
      <c r="AH3" s="59" t="s">
        <v>173</v>
      </c>
      <c r="AI3" s="59" t="s">
        <v>172</v>
      </c>
      <c r="AJ3" s="59" t="s">
        <v>172</v>
      </c>
      <c r="AK3" s="59" t="s">
        <v>172</v>
      </c>
      <c r="AL3" s="59" t="s">
        <v>172</v>
      </c>
      <c r="AM3" s="59" t="s">
        <v>173</v>
      </c>
      <c r="AN3" s="59" t="s">
        <v>172</v>
      </c>
      <c r="AO3" s="59" t="s">
        <v>172</v>
      </c>
      <c r="AP3" s="59" t="s">
        <v>172</v>
      </c>
      <c r="AQ3" s="59" t="s">
        <v>172</v>
      </c>
      <c r="AR3" s="59" t="s">
        <v>172</v>
      </c>
      <c r="AS3" s="59" t="s">
        <v>172</v>
      </c>
      <c r="AT3" s="60">
        <v>0</v>
      </c>
      <c r="AU3" s="59" t="s">
        <v>871</v>
      </c>
      <c r="AV3" s="59" t="str">
        <f>IF(LEFT(A3,1)="[",LEFT(A3,5)&amp;AU3&amp;A3,"")</f>
        <v>[FLK]Army[FLK] British Forces South Atlantic Islands</v>
      </c>
      <c r="AW3" s="59" t="str">
        <f>C3&amp;A3</f>
        <v>3[FLK] British Forces South Atlantic Islands</v>
      </c>
      <c r="AX3" s="61"/>
      <c r="AY3" s="61"/>
      <c r="AZ3" s="62" t="s">
        <v>159</v>
      </c>
      <c r="BA3" s="62"/>
      <c r="BB3" s="62"/>
      <c r="BC3" s="63"/>
      <c r="BD3" s="64" t="s">
        <v>155</v>
      </c>
      <c r="BE3" s="47"/>
      <c r="BF3" s="64" t="s">
        <v>155</v>
      </c>
      <c r="BG3" s="64" t="s">
        <v>152</v>
      </c>
      <c r="BH3" s="64" t="s">
        <v>155</v>
      </c>
      <c r="BI3" s="64"/>
      <c r="BJ3" s="64"/>
      <c r="BK3" s="47"/>
      <c r="BL3" s="64" t="s">
        <v>151</v>
      </c>
      <c r="BM3" s="64" t="s">
        <v>152</v>
      </c>
      <c r="BN3" s="64" t="s">
        <v>153</v>
      </c>
      <c r="BO3" s="64" t="s">
        <v>154</v>
      </c>
      <c r="BP3" s="64" t="s">
        <v>155</v>
      </c>
      <c r="BQ3" s="64" t="s">
        <v>174</v>
      </c>
      <c r="BR3" s="64" t="s">
        <v>174</v>
      </c>
      <c r="BS3" s="64" t="s">
        <v>174</v>
      </c>
      <c r="BT3" s="64" t="s">
        <v>159</v>
      </c>
      <c r="BU3" s="65" t="s">
        <v>172</v>
      </c>
      <c r="BV3" s="66"/>
      <c r="BW3" s="66">
        <v>0</v>
      </c>
      <c r="BX3" s="47"/>
      <c r="CB3" s="6"/>
      <c r="CC3" s="6"/>
      <c r="CD3" s="67">
        <v>0</v>
      </c>
      <c r="CE3" s="67">
        <v>0</v>
      </c>
      <c r="CF3" s="67" t="e">
        <v>#REF!</v>
      </c>
      <c r="CG3" s="68" cm="1">
        <f t="array" ref="CG3">SUMPRODUCT(--(LEN(TRIM(BL3:BT3))&gt;0))</f>
        <v>6</v>
      </c>
      <c r="CH3" s="59" t="str">
        <f t="shared" si="0"/>
        <v>n</v>
      </c>
      <c r="CI3" s="59" t="str">
        <f t="shared" si="1"/>
        <v>n</v>
      </c>
      <c r="CJ3" s="59" t="str">
        <f t="shared" si="2"/>
        <v>n</v>
      </c>
      <c r="CK3" s="59" t="str">
        <f t="shared" si="3"/>
        <v>y</v>
      </c>
      <c r="CL3" s="59" t="str">
        <f t="shared" si="4"/>
        <v>n</v>
      </c>
      <c r="CM3" s="59" t="str">
        <f t="shared" si="5"/>
        <v>n</v>
      </c>
      <c r="CN3" s="59" t="str">
        <f t="shared" si="6"/>
        <v>y</v>
      </c>
      <c r="CO3" s="59" t="str">
        <f t="shared" si="7"/>
        <v>n</v>
      </c>
      <c r="CP3" s="59" t="str">
        <f t="shared" si="8"/>
        <v>y</v>
      </c>
      <c r="CQ3" s="59" t="str">
        <f t="shared" si="9"/>
        <v>n</v>
      </c>
      <c r="CR3" s="59" t="str">
        <f t="shared" si="10"/>
        <v>n</v>
      </c>
      <c r="CS3" s="59" t="str">
        <f t="shared" si="11"/>
        <v>n</v>
      </c>
      <c r="CT3" s="69" t="str">
        <f t="shared" si="12"/>
        <v>"[FLK] British Forces South Atlantic Islands"</v>
      </c>
      <c r="CU3" s="70" t="str">
        <f t="shared" si="13"/>
        <v>"rgn_South America"</v>
      </c>
      <c r="CV3" s="48" t="str">
        <f t="shared" si="14"/>
        <v>"https://www.fotw.info/images/g/gb%5Ejs-fk.gif"</v>
      </c>
      <c r="CW3" s="48" t="str">
        <f t="shared" si="15"/>
        <v/>
      </c>
      <c r="CX3" s="48" t="str">
        <f t="shared" si="15"/>
        <v/>
      </c>
      <c r="CY3" s="48" t="str">
        <f t="shared" si="15"/>
        <v/>
      </c>
      <c r="CZ3" s="48" t="str">
        <f t="shared" si="15"/>
        <v>"5+Colo",</v>
      </c>
      <c r="DA3" s="48" t="str">
        <f t="shared" si="16"/>
        <v>"words2",</v>
      </c>
      <c r="DB3" s="48" t="str">
        <f t="shared" si="17"/>
        <v>"words3",</v>
      </c>
      <c r="DD3" s="48" t="str">
        <f t="shared" ref="DD3" si="104">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"lets33",</v>
      </c>
      <c r="DE3" s="48" t="str">
        <f t="shared" ref="DE3" si="105">CHAR(34)&amp;"start"&amp;IFERROR(LEFT(SUBSTITUTE(A3,"["&amp;MID(A3,FIND("[",A3)+1,FIND("]",A3)-FIND("[",A3)-1)&amp;"] ",""),1),LEFT(A3,1))&amp;CHAR(34)&amp;","</f>
        <v>"startB",</v>
      </c>
      <c r="DF3" s="48" t="str">
        <f t="shared" si="21"/>
        <v/>
      </c>
      <c r="DG3" s="48" t="str">
        <f t="shared" si="22"/>
        <v/>
      </c>
      <c r="DH3" s="48" t="str">
        <f t="shared" si="23"/>
        <v/>
      </c>
      <c r="DI3" s="48" t="str">
        <f t="shared" si="24"/>
        <v/>
      </c>
      <c r="DJ3" s="48" t="str">
        <f t="shared" si="25"/>
        <v/>
      </c>
      <c r="DK3" s="48" t="str">
        <f t="shared" si="26"/>
        <v/>
      </c>
      <c r="DL3" s="48" t="str">
        <f t="shared" si="27"/>
        <v/>
      </c>
      <c r="DM3" s="48" t="str" cm="1">
        <f t="array" ref="DM3">IF(CG3=3,CHAR(34) &amp; _xlfn.TEXTJOIN("", TRUE, RIGHT(HP3:HX3, 2)) &amp; CHAR(34) &amp; ",", "")</f>
        <v/>
      </c>
      <c r="DN3" s="48" t="str">
        <f t="shared" si="28"/>
        <v/>
      </c>
      <c r="DO3" s="48" t="str">
        <f t="shared" si="29"/>
        <v/>
      </c>
      <c r="DP3" s="6" t="str">
        <f t="shared" si="30"/>
        <v/>
      </c>
      <c r="DQ3" s="6" t="str">
        <f t="shared" si="31"/>
        <v/>
      </c>
      <c r="DR3" s="6" t="str">
        <f t="shared" si="32"/>
        <v/>
      </c>
      <c r="DS3" s="6" t="str">
        <f t="shared" si="33"/>
        <v/>
      </c>
      <c r="DT3" s="6" t="str">
        <f t="shared" si="34"/>
        <v>"allhor",</v>
      </c>
      <c r="DU3" s="6" t="str">
        <f t="shared" si="35"/>
        <v/>
      </c>
      <c r="DW3" s="48" t="str">
        <f t="shared" si="37"/>
        <v/>
      </c>
      <c r="DX3" s="48" t="str">
        <f t="shared" si="37"/>
        <v/>
      </c>
      <c r="DY3" s="48" t="str">
        <f t="shared" si="37"/>
        <v>"3Bands",</v>
      </c>
      <c r="DZ3" s="48" t="str">
        <f t="shared" si="37"/>
        <v/>
      </c>
      <c r="EA3" s="48" t="str">
        <f t="shared" si="38"/>
        <v/>
      </c>
      <c r="EB3" s="48" t="str">
        <f t="shared" si="38"/>
        <v/>
      </c>
      <c r="EC3" s="48" t="str">
        <f t="shared" si="38"/>
        <v>"Horizo",</v>
      </c>
      <c r="ED3" s="48" t="str">
        <f t="shared" si="38"/>
        <v/>
      </c>
      <c r="EE3" s="48" t="str">
        <f t="shared" si="38"/>
        <v/>
      </c>
      <c r="EF3" s="48" t="str">
        <f t="shared" si="39"/>
        <v/>
      </c>
      <c r="EG3" s="48" t="str">
        <f t="shared" si="40"/>
        <v/>
      </c>
      <c r="EH3" s="48" t="str">
        <f t="shared" si="40"/>
        <v/>
      </c>
      <c r="EI3" s="48" t="str">
        <f t="shared" si="40"/>
        <v/>
      </c>
      <c r="EJ3" s="48" t="str">
        <f t="shared" si="40"/>
        <v/>
      </c>
      <c r="EK3" s="48" t="str">
        <f t="shared" si="40"/>
        <v/>
      </c>
      <c r="EL3" s="48" t="str">
        <f t="shared" si="40"/>
        <v/>
      </c>
      <c r="EM3" s="48" t="str">
        <f t="shared" si="40"/>
        <v/>
      </c>
      <c r="EN3" s="48" t="str">
        <f t="shared" si="40"/>
        <v/>
      </c>
      <c r="EO3" s="48" t="str">
        <f t="shared" si="40"/>
        <v>"Center",</v>
      </c>
      <c r="EP3" s="48" t="str">
        <f t="shared" si="40"/>
        <v/>
      </c>
      <c r="EQ3" s="48" t="str">
        <f t="shared" si="40"/>
        <v/>
      </c>
      <c r="ER3" s="48" t="str">
        <f t="shared" si="40"/>
        <v/>
      </c>
      <c r="ES3" s="48" t="str">
        <f t="shared" si="40"/>
        <v/>
      </c>
      <c r="ET3" s="48" t="str">
        <f t="shared" si="40"/>
        <v>"Geogrh",</v>
      </c>
      <c r="EU3" s="48" t="str">
        <f t="shared" si="40"/>
        <v/>
      </c>
      <c r="EV3" s="48" t="str">
        <f t="shared" si="40"/>
        <v/>
      </c>
      <c r="EW3" s="48" t="str">
        <f t="shared" si="40"/>
        <v/>
      </c>
      <c r="EX3" s="48" t="str">
        <f t="shared" si="40"/>
        <v/>
      </c>
      <c r="EY3" s="48" t="str">
        <f t="shared" si="40"/>
        <v/>
      </c>
      <c r="EZ3" s="48" t="str">
        <f t="shared" si="40"/>
        <v/>
      </c>
      <c r="FA3" s="48" t="str">
        <f t="shared" si="41"/>
        <v/>
      </c>
      <c r="FB3" s="48" t="str">
        <f t="shared" si="42"/>
        <v/>
      </c>
      <c r="FD3" s="48" t="str">
        <f t="shared" si="44"/>
        <v/>
      </c>
      <c r="FE3" s="48" t="str">
        <f t="shared" si="45"/>
        <v/>
      </c>
      <c r="FF3" s="48" t="str">
        <f t="shared" si="46"/>
        <v/>
      </c>
      <c r="FG3" s="48" t="str">
        <f t="shared" si="47"/>
        <v/>
      </c>
      <c r="FH3" s="48" t="str">
        <f t="shared" si="48"/>
        <v/>
      </c>
      <c r="FI3" s="48" t="str">
        <f t="shared" si="49"/>
        <v/>
      </c>
      <c r="FJ3" s="48" t="str">
        <f t="shared" si="50"/>
        <v/>
      </c>
      <c r="FK3" s="48" t="str">
        <f t="shared" si="51"/>
        <v/>
      </c>
      <c r="FL3" s="48" t="str">
        <f t="shared" si="52"/>
        <v/>
      </c>
      <c r="FM3" s="48" t="str">
        <f t="shared" si="53"/>
        <v/>
      </c>
      <c r="FN3" s="48" t="str">
        <f t="shared" si="54"/>
        <v/>
      </c>
      <c r="FO3" s="48" t="str">
        <f t="shared" si="55"/>
        <v/>
      </c>
      <c r="FP3" s="48" t="str">
        <f t="shared" si="56"/>
        <v/>
      </c>
      <c r="FQ3" s="48" t="str">
        <f t="shared" si="57"/>
        <v>"001YEL",</v>
      </c>
      <c r="FR3" s="48" t="str">
        <f t="shared" si="58"/>
        <v>"002BLU",</v>
      </c>
      <c r="FS3" s="48" t="str">
        <f t="shared" si="59"/>
        <v>"003YEL",</v>
      </c>
      <c r="FT3" s="48" t="str">
        <f t="shared" si="60"/>
        <v>"myrYEL",</v>
      </c>
      <c r="FU3" s="48" t="str">
        <f t="shared" si="61"/>
        <v/>
      </c>
      <c r="FV3" s="48" t="str">
        <f t="shared" si="62"/>
        <v/>
      </c>
      <c r="FW3" s="48" t="str">
        <f t="shared" si="63"/>
        <v/>
      </c>
      <c r="FY3" s="48" t="str">
        <f t="shared" si="65"/>
        <v/>
      </c>
      <c r="FZ3" s="48" t="str">
        <f t="shared" si="66"/>
        <v/>
      </c>
      <c r="GA3" s="48" t="str">
        <f t="shared" si="67"/>
        <v/>
      </c>
      <c r="GB3" s="48" t="str">
        <f t="shared" si="68"/>
        <v/>
      </c>
      <c r="GE3" s="48" t="str">
        <f t="shared" si="71"/>
        <v/>
      </c>
      <c r="GF3" s="48" t="str">
        <f t="shared" si="72"/>
        <v/>
      </c>
      <c r="GG3" s="48" t="str">
        <f t="shared" si="73"/>
        <v/>
      </c>
      <c r="GH3" s="48" t="str">
        <f t="shared" si="74"/>
        <v/>
      </c>
      <c r="GI3" s="48" t="str">
        <f t="shared" si="75"/>
        <v/>
      </c>
      <c r="GJ3" s="48" t="str">
        <f t="shared" si="76"/>
        <v>"NoStar",</v>
      </c>
      <c r="GK3" s="48" t="str">
        <f t="shared" si="77"/>
        <v/>
      </c>
      <c r="GL3" s="48" t="str">
        <f t="shared" si="78"/>
        <v/>
      </c>
      <c r="GM3" s="48" t="str">
        <f t="shared" si="78"/>
        <v/>
      </c>
      <c r="GN3" s="48" t="str">
        <f t="shared" si="78"/>
        <v/>
      </c>
      <c r="GP3" s="48" t="str">
        <f t="shared" si="79"/>
        <v>"Army"</v>
      </c>
      <c r="GS3" s="48" t="str">
        <f t="shared" si="80"/>
        <v>["5+Colo","words2","words3","lets33","startB","allhor","3Bands","Horizo","Center","Geogrh","001YEL","002BLU","003YEL","myrYEL","NoStar"]</v>
      </c>
      <c r="GT3" s="48" t="str">
        <f t="shared" si="81"/>
        <v>"cl_BLA",</v>
      </c>
      <c r="GU3" s="48" t="str">
        <f t="shared" si="81"/>
        <v>"cl_BLU",</v>
      </c>
      <c r="GV3" s="48" t="str">
        <f t="shared" si="81"/>
        <v>"cl_GRE",</v>
      </c>
      <c r="GW3" s="48" t="str">
        <f t="shared" si="81"/>
        <v>"cl_RED",</v>
      </c>
      <c r="GX3" s="48" t="str">
        <f t="shared" si="81"/>
        <v>"cl_YEL",</v>
      </c>
      <c r="GY3" s="48" t="str">
        <f t="shared" si="81"/>
        <v/>
      </c>
      <c r="GZ3" s="48" t="str">
        <f t="shared" si="81"/>
        <v/>
      </c>
      <c r="HA3" s="48" t="str">
        <f t="shared" si="81"/>
        <v/>
      </c>
      <c r="HB3" s="48" t="str">
        <f t="shared" si="81"/>
        <v>"cl_WHI",</v>
      </c>
      <c r="HC3" s="48" t="str">
        <f t="shared" si="82"/>
        <v>["cl_BLA","cl_BLU","cl_GRE","cl_RED","cl_YEL","cl_WHI"]</v>
      </c>
      <c r="HE3" s="71"/>
      <c r="HF3" s="72" t="str">
        <f t="shared" si="83"/>
        <v>{couname:"[FLK] British Forces South Atlantic Islands",year:"???",region:"rgn_South America",Colors:["cl_BLA","cl_BLU","cl_GRE","cl_RED","cl_YEL","cl_WHI"],Items:["5+Colo","words2","words3","lets33","startB","allhor","3Bands","Horizo","Center","Geogrh","001YEL","002BLU","003YEL","myrYEL","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isnew:".", links: "https://www.fotw.info/flags/fk.html#malv"},</v>
      </c>
      <c r="HG3" s="73" t="str">
        <f t="shared" si="84"/>
        <v>{couname:"[FLK] British Forces South Atlantic Islands",year:"???",region:"rgn_South America",Colors:["cl_BLA","cl_BLU","cl_GRE","cl_RED","cl_YEL","cl_WHI"],Items:["5+Colo","words2","words3","lets33","startB","allhor","3Bands","Horizo","Center","Geogrh","001YEL","002BLU","003YEL","myrYEL","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links: "https://www.fotw.info/flags/fk.html#malv"},</v>
      </c>
      <c r="HH3" s="48" t="str">
        <f t="shared" si="85"/>
        <v>"\nThe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v>
      </c>
      <c r="HI3" s="48" t="str">
        <f t="shared" si="86"/>
        <v>"\nThe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v>
      </c>
      <c r="HJ3" s="48" t="str">
        <f t="shared" si="87"/>
        <v>"???"</v>
      </c>
      <c r="HL3" s="48" t="str">
        <f t="shared" si="88"/>
        <v>"https://www.fotw.info/flags/fk.html#malv"</v>
      </c>
      <c r="HM3" s="72" t="str">
        <f t="shared" si="89"/>
        <v>{"couname":"[FLK] British Forces South Atlantic Islands","year":"???","region":"rgn_South America","Colors":["cl_BLA","cl_BLU","cl_GRE","cl_RED","cl_YEL","cl_WHI"],"Items":["5+Colo","words2","words3","lets33","startB","allhor","3Bands","Horizo","Center","Geogrh","001YEL","002BLU","003YEL","myrYEL","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"isnew": ".", "links": "https://www.fotw.info/flags/fk.html#malv"},</v>
      </c>
      <c r="HN3" s="74" t="str">
        <f t="shared" si="90"/>
        <v>{"couname":"[FLK] British Forces South Atlantic Islands","year":"???","region":"rgn_South America","Colors":["cl_BLA","cl_BLU","cl_GRE","cl_RED","cl_YEL","cl_WHI"],"Items":["5+Colo","words2","words3","lets33","startB","allhor","3Bands","Horizo","Center","Geogrh","001YEL","002BLU","003YEL","myrYEL","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"isnew": ".", "links": "https://www.fotw.info/flags/fk.html#malv"},</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 t="shared" si="92"/>
        <v>-6</v>
      </c>
      <c r="IN3" s="78" t="str">
        <f t="shared" si="93"/>
        <v>http://mkweb.bcgsc.ca/color-summarizer/?url=https://www.fotw.info/images/g/gb%5Ejs-fk.gif&amp;precision=low&amp;num_clusters=6&amp;text=1</v>
      </c>
      <c r="IO3" s="48" t="str">
        <f t="shared" si="94"/>
        <v>"black"</v>
      </c>
      <c r="IP3" s="48" t="str">
        <f t="shared" si="95"/>
        <v>"blue"</v>
      </c>
      <c r="IQ3" s="48" t="str">
        <f t="shared" si="96"/>
        <v>"green"</v>
      </c>
      <c r="IR3" s="48" t="str">
        <f t="shared" si="97"/>
        <v>"red"</v>
      </c>
      <c r="IS3" s="48" t="str">
        <f t="shared" si="98"/>
        <v>"yellow"</v>
      </c>
      <c r="IT3" s="48" t="str">
        <f t="shared" si="99"/>
        <v/>
      </c>
      <c r="IU3" s="48" t="str">
        <f t="shared" si="100"/>
        <v/>
      </c>
      <c r="IV3" s="48" t="str">
        <f t="shared" si="101"/>
        <v/>
      </c>
      <c r="IW3" s="48" t="str">
        <f t="shared" si="102"/>
        <v>"white"</v>
      </c>
      <c r="IX3" s="48" t="str">
        <f t="shared" si="103"/>
        <v>{"url":"http://mkweb.bcgsc.ca/color-summarizer/?url=https://www.fotw.info/images/g/gb%5Ejs-fk.gif&amp;precision=low&amp;num_clusters=6&amp;text=1","name":"[FLK] British Forces South Atlantic Islands"},</v>
      </c>
      <c r="IY3" s="48">
        <v>1472</v>
      </c>
    </row>
  </sheetData>
  <conditionalFormatting sqref="H1 CW1:GS1 IA1:IB1">
    <cfRule type="cellIs" dxfId="4151" priority="107" operator="greaterThan">
      <formula>0</formula>
    </cfRule>
  </conditionalFormatting>
  <conditionalFormatting sqref="H1">
    <cfRule type="cellIs" dxfId="4150" priority="73" stopIfTrue="1" operator="notEqual">
      <formula>""</formula>
    </cfRule>
  </conditionalFormatting>
  <conditionalFormatting sqref="T1:BK1">
    <cfRule type="cellIs" dxfId="4149" priority="110" operator="greaterThan">
      <formula>0</formula>
    </cfRule>
  </conditionalFormatting>
  <conditionalFormatting sqref="BV1:BW1">
    <cfRule type="cellIs" dxfId="4148" priority="109" operator="equal">
      <formula>"nc"</formula>
    </cfRule>
  </conditionalFormatting>
  <conditionalFormatting sqref="HF1:HG1">
    <cfRule type="cellIs" dxfId="4147" priority="111" operator="greaterThan">
      <formula>0</formula>
    </cfRule>
  </conditionalFormatting>
  <conditionalFormatting sqref="HK1">
    <cfRule type="cellIs" dxfId="4146" priority="108" operator="greaterThan">
      <formula>0</formula>
    </cfRule>
  </conditionalFormatting>
  <conditionalFormatting sqref="HP1:HX1">
    <cfRule type="cellIs" dxfId="4145" priority="85" operator="equal">
      <formula>"PIN"</formula>
    </cfRule>
    <cfRule type="cellIs" dxfId="4144" priority="86" operator="equal">
      <formula>"ORA"</formula>
    </cfRule>
    <cfRule type="cellIs" dxfId="4143" priority="87" operator="equal">
      <formula>"GRA"</formula>
    </cfRule>
    <cfRule type="cellIs" dxfId="4142" priority="88" operator="equal">
      <formula>"PUR"</formula>
    </cfRule>
    <cfRule type="cellIs" dxfId="4141" priority="89" operator="equal">
      <formula>"BRO"</formula>
    </cfRule>
    <cfRule type="cellIs" dxfId="4140" priority="90" operator="equal">
      <formula>"YEL"</formula>
    </cfRule>
    <cfRule type="cellIs" dxfId="4139" priority="91" operator="equal">
      <formula>"BLU"</formula>
    </cfRule>
    <cfRule type="cellIs" dxfId="4138" priority="92" operator="equal">
      <formula>"WHI"</formula>
    </cfRule>
    <cfRule type="cellIs" dxfId="4137" priority="93" operator="equal">
      <formula>"GRE"</formula>
    </cfRule>
    <cfRule type="cellIs" dxfId="4136" priority="94" operator="equal">
      <formula>"RED"</formula>
    </cfRule>
    <cfRule type="cellIs" dxfId="4135" priority="95" operator="equal">
      <formula>"BLA"</formula>
    </cfRule>
  </conditionalFormatting>
  <conditionalFormatting sqref="IC1:IK1">
    <cfRule type="cellIs" dxfId="4134" priority="96" operator="equal">
      <formula>"PIN"</formula>
    </cfRule>
    <cfRule type="cellIs" dxfId="4133" priority="97" operator="equal">
      <formula>"ORA"</formula>
    </cfRule>
    <cfRule type="cellIs" dxfId="4132" priority="98" operator="equal">
      <formula>"GRA"</formula>
    </cfRule>
    <cfRule type="cellIs" dxfId="4131" priority="99" operator="equal">
      <formula>"PUR"</formula>
    </cfRule>
    <cfRule type="cellIs" dxfId="4130" priority="100" operator="equal">
      <formula>"BRO"</formula>
    </cfRule>
    <cfRule type="cellIs" dxfId="4129" priority="101" operator="equal">
      <formula>"YEL"</formula>
    </cfRule>
    <cfRule type="cellIs" dxfId="4128" priority="102" operator="equal">
      <formula>"BLU"</formula>
    </cfRule>
    <cfRule type="cellIs" dxfId="4127" priority="103" operator="equal">
      <formula>"WHI"</formula>
    </cfRule>
    <cfRule type="cellIs" dxfId="4126" priority="104" operator="equal">
      <formula>"GRE"</formula>
    </cfRule>
    <cfRule type="cellIs" dxfId="4125" priority="105" operator="equal">
      <formula>"RED"</formula>
    </cfRule>
    <cfRule type="cellIs" dxfId="4124" priority="106" operator="equal">
      <formula>"BLA"</formula>
    </cfRule>
  </conditionalFormatting>
  <conditionalFormatting sqref="IO1:IW1">
    <cfRule type="cellIs" dxfId="4123" priority="74" operator="equal">
      <formula>"PIN"</formula>
    </cfRule>
    <cfRule type="cellIs" dxfId="4122" priority="75" operator="equal">
      <formula>"ORA"</formula>
    </cfRule>
    <cfRule type="cellIs" dxfId="4121" priority="76" operator="equal">
      <formula>"GRA"</formula>
    </cfRule>
    <cfRule type="cellIs" dxfId="4120" priority="77" operator="equal">
      <formula>"PUR"</formula>
    </cfRule>
    <cfRule type="cellIs" dxfId="4119" priority="78" operator="equal">
      <formula>"BRO"</formula>
    </cfRule>
    <cfRule type="cellIs" dxfId="4118" priority="79" operator="equal">
      <formula>"YEL"</formula>
    </cfRule>
    <cfRule type="cellIs" dxfId="4117" priority="80" operator="equal">
      <formula>"BLU"</formula>
    </cfRule>
    <cfRule type="cellIs" dxfId="4116" priority="81" operator="equal">
      <formula>"WHI"</formula>
    </cfRule>
    <cfRule type="cellIs" dxfId="4115" priority="82" operator="equal">
      <formula>"GRE"</formula>
    </cfRule>
    <cfRule type="cellIs" dxfId="4114" priority="83" operator="equal">
      <formula>"RED"</formula>
    </cfRule>
    <cfRule type="cellIs" dxfId="4113" priority="84" operator="equal">
      <formula>"BLA"</formula>
    </cfRule>
  </conditionalFormatting>
  <conditionalFormatting sqref="H2">
    <cfRule type="cellIs" dxfId="4112" priority="42" stopIfTrue="1" operator="notEqual">
      <formula>""</formula>
    </cfRule>
  </conditionalFormatting>
  <conditionalFormatting sqref="R2 CU2">
    <cfRule type="cellIs" dxfId="4111" priority="44" operator="greaterThan">
      <formula>0</formula>
    </cfRule>
  </conditionalFormatting>
  <conditionalFormatting sqref="T2:AS2 CH2:CS2">
    <cfRule type="cellIs" dxfId="4110" priority="39" stopIfTrue="1" operator="equal">
      <formula>"n"</formula>
    </cfRule>
    <cfRule type="cellIs" dxfId="4109" priority="40" stopIfTrue="1" operator="equal">
      <formula>"y"</formula>
    </cfRule>
    <cfRule type="cellIs" dxfId="4108" priority="41" operator="greaterThan">
      <formula>0</formula>
    </cfRule>
  </conditionalFormatting>
  <conditionalFormatting sqref="AZ2:BB2">
    <cfRule type="expression" dxfId="4107" priority="38">
      <formula>$AT2=0</formula>
    </cfRule>
  </conditionalFormatting>
  <conditionalFormatting sqref="AZ2:BU2">
    <cfRule type="cellIs" dxfId="4106" priority="47" operator="equal">
      <formula>"PIN"</formula>
    </cfRule>
    <cfRule type="cellIs" dxfId="4105" priority="48" operator="equal">
      <formula>"ORA"</formula>
    </cfRule>
    <cfRule type="cellIs" dxfId="4104" priority="49" operator="equal">
      <formula>"GRA"</formula>
    </cfRule>
    <cfRule type="cellIs" dxfId="4103" priority="50" operator="equal">
      <formula>"PUR"</formula>
    </cfRule>
    <cfRule type="cellIs" dxfId="4102" priority="51" operator="equal">
      <formula>"BRO"</formula>
    </cfRule>
    <cfRule type="cellIs" dxfId="4101" priority="52" operator="equal">
      <formula>"YEL"</formula>
    </cfRule>
    <cfRule type="cellIs" dxfId="4100" priority="53" operator="equal">
      <formula>"BLU"</formula>
    </cfRule>
    <cfRule type="cellIs" dxfId="4099" priority="54" operator="equal">
      <formula>"WHI"</formula>
    </cfRule>
    <cfRule type="cellIs" dxfId="4098" priority="55" operator="equal">
      <formula>"GRE"</formula>
    </cfRule>
    <cfRule type="cellIs" dxfId="4097" priority="56" operator="equal">
      <formula>"RED"</formula>
    </cfRule>
    <cfRule type="cellIs" dxfId="4096" priority="57" operator="equal">
      <formula>"BLA"</formula>
    </cfRule>
  </conditionalFormatting>
  <conditionalFormatting sqref="BV2">
    <cfRule type="cellIs" dxfId="4095" priority="69" operator="equal">
      <formula>"nc"</formula>
    </cfRule>
  </conditionalFormatting>
  <conditionalFormatting sqref="BX2:CA2 CD2:CF2">
    <cfRule type="cellIs" dxfId="4094" priority="43" operator="equal">
      <formula>"y"</formula>
    </cfRule>
    <cfRule type="cellIs" dxfId="4093" priority="58" operator="equal">
      <formula>"PIN"</formula>
    </cfRule>
    <cfRule type="cellIs" dxfId="4092" priority="59" operator="equal">
      <formula>"ORA"</formula>
    </cfRule>
    <cfRule type="cellIs" dxfId="4091" priority="60" operator="equal">
      <formula>"GRA"</formula>
    </cfRule>
    <cfRule type="cellIs" dxfId="4090" priority="61" operator="equal">
      <formula>"PUR"</formula>
    </cfRule>
    <cfRule type="cellIs" dxfId="4089" priority="62" operator="equal">
      <formula>"BRO"</formula>
    </cfRule>
    <cfRule type="cellIs" dxfId="4088" priority="63" operator="equal">
      <formula>"YEL"</formula>
    </cfRule>
    <cfRule type="cellIs" dxfId="4087" priority="64" operator="equal">
      <formula>"BLU"</formula>
    </cfRule>
    <cfRule type="cellIs" dxfId="4086" priority="65" operator="equal">
      <formula>"WHI"</formula>
    </cfRule>
    <cfRule type="cellIs" dxfId="4085" priority="66" operator="equal">
      <formula>"GRE"</formula>
    </cfRule>
    <cfRule type="cellIs" dxfId="4084" priority="67" operator="equal">
      <formula>"RED"</formula>
    </cfRule>
    <cfRule type="cellIs" dxfId="4083" priority="68" operator="equal">
      <formula>"BLA"</formula>
    </cfRule>
  </conditionalFormatting>
  <conditionalFormatting sqref="BZ2:CA2 CD2:CF2">
    <cfRule type="cellIs" dxfId="4082" priority="45" operator="greaterThan">
      <formula>0</formula>
    </cfRule>
  </conditionalFormatting>
  <conditionalFormatting sqref="IC2:IK2">
    <cfRule type="expression" dxfId="4081"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95" priority="5" stopIfTrue="1" operator="notEqual">
      <formula>""</formula>
    </cfRule>
  </conditionalFormatting>
  <conditionalFormatting sqref="R3 CU3">
    <cfRule type="cellIs" dxfId="94" priority="7" operator="greaterThan">
      <formula>0</formula>
    </cfRule>
  </conditionalFormatting>
  <conditionalFormatting sqref="T3:AS3 CH3:CS3">
    <cfRule type="cellIs" dxfId="93" priority="2" stopIfTrue="1" operator="equal">
      <formula>"n"</formula>
    </cfRule>
    <cfRule type="cellIs" dxfId="92" priority="3" stopIfTrue="1" operator="equal">
      <formula>"y"</formula>
    </cfRule>
    <cfRule type="cellIs" dxfId="91" priority="4" operator="greaterThan">
      <formula>0</formula>
    </cfRule>
  </conditionalFormatting>
  <conditionalFormatting sqref="AZ3:BB3">
    <cfRule type="expression" dxfId="90" priority="1">
      <formula>$AT3=0</formula>
    </cfRule>
  </conditionalFormatting>
  <conditionalFormatting sqref="AZ3:BU3">
    <cfRule type="cellIs" dxfId="89" priority="10" operator="equal">
      <formula>"PIN"</formula>
    </cfRule>
    <cfRule type="cellIs" dxfId="88" priority="11" operator="equal">
      <formula>"ORA"</formula>
    </cfRule>
    <cfRule type="cellIs" dxfId="87" priority="12" operator="equal">
      <formula>"GRA"</formula>
    </cfRule>
    <cfRule type="cellIs" dxfId="86" priority="13" operator="equal">
      <formula>"PUR"</formula>
    </cfRule>
    <cfRule type="cellIs" dxfId="85" priority="14" operator="equal">
      <formula>"BRO"</formula>
    </cfRule>
    <cfRule type="cellIs" dxfId="84" priority="15" operator="equal">
      <formula>"YEL"</formula>
    </cfRule>
    <cfRule type="cellIs" dxfId="83" priority="16" operator="equal">
      <formula>"BLU"</formula>
    </cfRule>
    <cfRule type="cellIs" dxfId="82" priority="17" operator="equal">
      <formula>"WHI"</formula>
    </cfRule>
    <cfRule type="cellIs" dxfId="81" priority="18" operator="equal">
      <formula>"GRE"</formula>
    </cfRule>
    <cfRule type="cellIs" dxfId="80" priority="19" operator="equal">
      <formula>"RED"</formula>
    </cfRule>
    <cfRule type="cellIs" dxfId="79" priority="20" operator="equal">
      <formula>"BLA"</formula>
    </cfRule>
  </conditionalFormatting>
  <conditionalFormatting sqref="BV3">
    <cfRule type="cellIs" dxfId="78" priority="32" operator="equal">
      <formula>"nc"</formula>
    </cfRule>
  </conditionalFormatting>
  <conditionalFormatting sqref="BX3:CA3 CD3:CF3">
    <cfRule type="cellIs" dxfId="77" priority="6" operator="equal">
      <formula>"y"</formula>
    </cfRule>
    <cfRule type="cellIs" dxfId="76" priority="21" operator="equal">
      <formula>"PIN"</formula>
    </cfRule>
    <cfRule type="cellIs" dxfId="75" priority="22" operator="equal">
      <formula>"ORA"</formula>
    </cfRule>
    <cfRule type="cellIs" dxfId="74" priority="23" operator="equal">
      <formula>"GRA"</formula>
    </cfRule>
    <cfRule type="cellIs" dxfId="73" priority="24" operator="equal">
      <formula>"PUR"</formula>
    </cfRule>
    <cfRule type="cellIs" dxfId="72" priority="25" operator="equal">
      <formula>"BRO"</formula>
    </cfRule>
    <cfRule type="cellIs" dxfId="71" priority="26" operator="equal">
      <formula>"YEL"</formula>
    </cfRule>
    <cfRule type="cellIs" dxfId="70" priority="27" operator="equal">
      <formula>"BLU"</formula>
    </cfRule>
    <cfRule type="cellIs" dxfId="69" priority="28" operator="equal">
      <formula>"WHI"</formula>
    </cfRule>
    <cfRule type="cellIs" dxfId="68" priority="29" operator="equal">
      <formula>"GRE"</formula>
    </cfRule>
    <cfRule type="cellIs" dxfId="67" priority="30" operator="equal">
      <formula>"RED"</formula>
    </cfRule>
    <cfRule type="cellIs" dxfId="66" priority="31" operator="equal">
      <formula>"BLA"</formula>
    </cfRule>
  </conditionalFormatting>
  <conditionalFormatting sqref="BZ3:CA3 CD3:CF3">
    <cfRule type="cellIs" dxfId="65" priority="8" operator="greaterThan">
      <formula>0</formula>
    </cfRule>
  </conditionalFormatting>
  <conditionalFormatting sqref="IC3:IK3">
    <cfRule type="expression" dxfId="64" priority="9">
      <formula>$IL3&gt;0</formula>
    </cfRule>
  </conditionalFormatting>
  <conditionalFormatting sqref="J3">
    <cfRule type="colorScale" priority="33">
      <colorScale>
        <cfvo type="min"/>
        <cfvo type="percentile" val="50"/>
        <cfvo type="max"/>
        <color rgb="FFF8696B"/>
        <color rgb="FFFFEB84"/>
        <color rgb="FF63BE7B"/>
      </colorScale>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hyperlinks>
    <hyperlink ref="D2" r:id="rId1" xr:uid="{5E701DC2-B817-4AA2-AED8-CED503DA102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7D474-2323-4B6F-9E5E-C9D82276C436}">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218</v>
      </c>
      <c r="B2" s="40" t="e" vm="81">
        <v>#VALUE!</v>
      </c>
      <c r="C2" s="41">
        <v>1</v>
      </c>
      <c r="D2" s="42" t="s">
        <v>219</v>
      </c>
      <c r="E2" s="43" t="s">
        <v>220</v>
      </c>
      <c r="F2" s="44" t="s">
        <v>166</v>
      </c>
      <c r="G2" s="45">
        <f>COUNTIF($A$1:$A$8282,A2)</f>
        <v>1</v>
      </c>
      <c r="H2" s="46"/>
      <c r="I2" s="47" t="s">
        <v>221</v>
      </c>
      <c r="J2" s="48" t="str">
        <f>""</f>
        <v/>
      </c>
      <c r="K2" s="49">
        <v>294071</v>
      </c>
      <c r="L2" s="50">
        <v>10000</v>
      </c>
      <c r="M2" s="50" t="s">
        <v>222</v>
      </c>
      <c r="N2" s="51" t="s">
        <v>169</v>
      </c>
      <c r="O2" s="52" t="s">
        <v>223</v>
      </c>
      <c r="P2" s="53" t="s">
        <v>224</v>
      </c>
      <c r="Q2" s="54">
        <v>2</v>
      </c>
      <c r="R2" s="55" t="s">
        <v>169</v>
      </c>
      <c r="S2" s="56">
        <v>2</v>
      </c>
      <c r="T2" s="57" t="s">
        <v>173</v>
      </c>
      <c r="U2" s="58" t="s">
        <v>172</v>
      </c>
      <c r="V2" s="58" t="s">
        <v>172</v>
      </c>
      <c r="W2" s="58" t="s">
        <v>172</v>
      </c>
      <c r="X2" s="58" t="s">
        <v>172</v>
      </c>
      <c r="Y2" s="58" t="s">
        <v>172</v>
      </c>
      <c r="Z2" s="58" t="s">
        <v>172</v>
      </c>
      <c r="AA2" s="58" t="s">
        <v>172</v>
      </c>
      <c r="AB2" s="58" t="s">
        <v>172</v>
      </c>
      <c r="AC2" s="58" t="s">
        <v>172</v>
      </c>
      <c r="AD2" s="58" t="s">
        <v>172</v>
      </c>
      <c r="AE2" s="58" t="s">
        <v>172</v>
      </c>
      <c r="AF2" s="59" t="s">
        <v>172</v>
      </c>
      <c r="AG2" s="59" t="s">
        <v>172</v>
      </c>
      <c r="AH2" s="59" t="s">
        <v>173</v>
      </c>
      <c r="AI2" s="59" t="s">
        <v>172</v>
      </c>
      <c r="AJ2" s="59" t="s">
        <v>172</v>
      </c>
      <c r="AK2" s="59" t="s">
        <v>172</v>
      </c>
      <c r="AL2" s="59" t="s">
        <v>172</v>
      </c>
      <c r="AM2" s="59" t="s">
        <v>172</v>
      </c>
      <c r="AN2" s="59" t="s">
        <v>172</v>
      </c>
      <c r="AO2" s="59" t="s">
        <v>172</v>
      </c>
      <c r="AP2" s="59" t="s">
        <v>172</v>
      </c>
      <c r="AQ2" s="59" t="s">
        <v>172</v>
      </c>
      <c r="AR2" s="59" t="s">
        <v>172</v>
      </c>
      <c r="AS2" s="59" t="s">
        <v>172</v>
      </c>
      <c r="AT2" s="60">
        <v>1</v>
      </c>
      <c r="AU2" s="59"/>
      <c r="AV2" s="59" t="str">
        <f>IF(LEFT(A2,1)="[",LEFT(A2,5)&amp;AU2&amp;A2,"")</f>
        <v/>
      </c>
      <c r="AW2" s="59" t="str">
        <f>C2&amp;A2</f>
        <v>1French Guiana</v>
      </c>
      <c r="AX2" s="61"/>
      <c r="AY2" s="61"/>
      <c r="AZ2" s="62"/>
      <c r="BA2" s="62"/>
      <c r="BB2" s="62"/>
      <c r="BC2" s="63"/>
      <c r="BD2" s="64" t="s">
        <v>217</v>
      </c>
      <c r="BE2" s="47"/>
      <c r="BF2" s="64" t="s">
        <v>151</v>
      </c>
      <c r="BG2" s="64"/>
      <c r="BH2" s="64" t="s">
        <v>154</v>
      </c>
      <c r="BI2" s="64"/>
      <c r="BJ2" s="64"/>
      <c r="BK2" s="47"/>
      <c r="BL2" s="64" t="s">
        <v>151</v>
      </c>
      <c r="BM2" s="64" t="s">
        <v>154</v>
      </c>
      <c r="BN2" s="64" t="s">
        <v>155</v>
      </c>
      <c r="BO2" s="64"/>
      <c r="BP2" s="64"/>
      <c r="BQ2" s="64"/>
      <c r="BR2" s="64"/>
      <c r="BS2" s="64"/>
      <c r="BT2" s="64"/>
      <c r="BU2" s="65"/>
      <c r="BV2" s="66"/>
      <c r="BW2" s="66">
        <v>0</v>
      </c>
      <c r="BX2" s="47"/>
      <c r="CB2" s="6"/>
      <c r="CC2" s="6"/>
      <c r="CD2" s="67">
        <v>0</v>
      </c>
      <c r="CE2" s="67">
        <v>0</v>
      </c>
      <c r="CF2" s="67" t="e">
        <v>#REF!</v>
      </c>
      <c r="CG2" s="68" cm="1">
        <f t="array" ref="CG2">SUMPRODUCT(--(LEN(TRIM(BL2:BT2))&gt;0))</f>
        <v>3</v>
      </c>
      <c r="CH2" s="59" t="str">
        <f t="shared" ref="CH2" si="0">IF(CG2=2,"y","n")</f>
        <v>n</v>
      </c>
      <c r="CI2" s="59" t="str">
        <f t="shared" ref="CI2" si="1">IF(CG2=3,"y","n")</f>
        <v>y</v>
      </c>
      <c r="CJ2" s="59" t="str">
        <f t="shared" ref="CJ2" si="2">IF(CG2=4,"y","n")</f>
        <v>n</v>
      </c>
      <c r="CK2" s="59" t="str">
        <f t="shared" ref="CK2" si="3">IF(CG2&gt;4,"y","n")</f>
        <v>n</v>
      </c>
      <c r="CL2" s="59" t="str">
        <f t="shared" ref="CL2" si="4">IF(S2=0,"y","n")</f>
        <v>n</v>
      </c>
      <c r="CM2" s="59" t="str">
        <f t="shared" ref="CM2" si="5">IF(S2=2,"y","n")</f>
        <v>y</v>
      </c>
      <c r="CN2" s="59" t="str">
        <f t="shared" ref="CN2" si="6">IF(S2=3,"y","n")</f>
        <v>n</v>
      </c>
      <c r="CO2" s="59" t="str">
        <f t="shared" ref="CO2" si="7">IF(S2&gt;=4,"y","n")</f>
        <v>n</v>
      </c>
      <c r="CP2" s="59" t="str">
        <f t="shared" ref="CP2" si="8">IF(AT2=0,"y","n")</f>
        <v>n</v>
      </c>
      <c r="CQ2" s="59" t="str">
        <f t="shared" ref="CQ2" si="9">IF(AT2=1,"y","n")</f>
        <v>y</v>
      </c>
      <c r="CR2" s="59" t="str">
        <f t="shared" ref="CR2" si="10">IF(AT2=2,"y","n")</f>
        <v>n</v>
      </c>
      <c r="CS2" s="59" t="str">
        <f t="shared" ref="CS2" si="11">IF(AT2&gt;=3,"y","n")</f>
        <v>n</v>
      </c>
      <c r="CT2" s="69" t="str">
        <f t="shared" ref="CT2" si="12">CHAR(34)&amp;A2&amp;CHAR(34)</f>
        <v>"French Guiana"</v>
      </c>
      <c r="CU2" s="70" t="str">
        <f t="shared" ref="CU2" si="13">CHAR(34)&amp;"rgn_"&amp;R2&amp;CHAR(34)</f>
        <v>"rgn_South America"</v>
      </c>
      <c r="CV2" s="48" t="str">
        <f t="shared" ref="CV2" si="14">CHAR(34)&amp;D2&amp;CHAR(34)</f>
        <v>"https://upload.wikimedia.org/wikipedia/commons/thumb/2/29/Flag_of_French_Guiana.svg/375px-Flag_of_French_Guiana.svg.png"</v>
      </c>
      <c r="CW2" s="48" t="str">
        <f t="shared" ref="CW2:CZ3" si="15">IF(CH2="y",CHAR(34)&amp;CH$1&amp;CHAR(34)&amp;",","")</f>
        <v/>
      </c>
      <c r="CX2" s="48" t="str">
        <f t="shared" si="15"/>
        <v>"3Color",</v>
      </c>
      <c r="CY2" s="48" t="str">
        <f t="shared" si="15"/>
        <v/>
      </c>
      <c r="CZ2" s="48" t="str">
        <f t="shared" si="15"/>
        <v/>
      </c>
      <c r="DA2" s="48" t="str">
        <f t="shared" ref="DA2" si="16">IF(Q2&gt;1,CHAR(34)&amp;"words2"&amp;CHAR(34)&amp;",","")</f>
        <v>"words2",</v>
      </c>
      <c r="DB2" s="48" t="str">
        <f t="shared" ref="DB2" si="17">IF(Q2&gt;2,CHAR(34)&amp;"words3"&amp;CHAR(34)&amp;",","")</f>
        <v/>
      </c>
      <c r="DC2" s="48" t="str">
        <f t="shared" ref="DC2" si="18">IF(Q2=2,CHAR(34)&amp;"exact2"&amp;CHAR(34)&amp;",","")</f>
        <v>"exact2",</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"lets12",</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"startF",</v>
      </c>
      <c r="DF2" s="48" t="str">
        <f t="shared" ref="DF2" si="21">IFERROR(IF(SEARCH("tan",A2)&gt;0,CHAR(34)&amp;"withtn"&amp;CHAR(34)&amp;",",""),"")</f>
        <v/>
      </c>
      <c r="DG2" s="48" t="str">
        <f t="shared" ref="DG2" si="22">IFERROR(IF(SEARCH("q",A2)&gt;0,CHAR(34)&amp;"with_q"&amp;CHAR(34)&amp;",",""),"")</f>
        <v/>
      </c>
      <c r="DH2" s="48" t="str">
        <f t="shared" ref="DH2" si="23">IFERROR(IF(SEARCH("v",A2)&gt;0,CHAR(34)&amp;"with_v"&amp;CHAR(34)&amp;",",""),"")</f>
        <v/>
      </c>
      <c r="DI2" s="48" t="str">
        <f t="shared" ref="DI2" si="24">IFERROR(IF(SEARCH("w",A2)&gt;0,CHAR(34)&amp;"with_w"&amp;CHAR(34)&amp;",",""),"")</f>
        <v/>
      </c>
      <c r="DJ2" s="48" t="str">
        <f t="shared" ref="DJ2" si="25">IFERROR(IF(SEARCH("y",A2)&gt;0,CHAR(34)&amp;"with_y"&amp;CHAR(34)&amp;",",""),"")</f>
        <v/>
      </c>
      <c r="DK2" s="48" t="str">
        <f t="shared" ref="DK2" si="26">IFERROR(IF(SEARCH("z",A2)&gt;0,CHAR(34)&amp;"with_z"&amp;CHAR(34)&amp;",",""),"")</f>
        <v/>
      </c>
      <c r="DL2" s="48" t="str">
        <f t="shared" ref="DL2" si="27">IF(CG2=2, CHAR(34) &amp; _xlfn.TEXTJOIN("", TRUE, _xlfn._xlws.SORT(HP2:HX2)) &amp; CHAR(34) &amp; ",", "")</f>
        <v/>
      </c>
      <c r="DM2" s="48" t="str" cm="1">
        <f t="array" ref="DM2">IF(CG2=3,CHAR(34) &amp; _xlfn.TEXTJOIN("", TRUE, RIGHT(HP2:HX2, 2)) &amp; CHAR(34) &amp; ",", "")</f>
        <v>"LAEDEL",</v>
      </c>
      <c r="DN2" s="48" t="str">
        <f t="shared" ref="DN2" si="28">IF(AND(ISNUMBER(SEARCH("18", O2)), ISERROR(SEARCH("1918", O2)), ISERROR(SEARCH("2018", O2))), CHAR(34) &amp; "year18" &amp; CHAR(34) &amp; ",", "")</f>
        <v/>
      </c>
      <c r="DO2" s="48" t="str">
        <f t="shared" ref="DO2" si="29">IF(AND(ISNUMBER(SEARCH("19", O2)), ISERROR(SEARCH("1819", O2)),  ISERROR(SEARCH("1219", O2)),ISERROR(SEARCH("1119", O2)),ISERROR(SEARCH("1190", O2)),ISERROR(SEARCH("2019", O2))), CHAR(34) &amp; "year19" &amp; CHAR(34) &amp; ",", "")</f>
        <v/>
      </c>
      <c r="DP2" s="6" t="str">
        <f t="shared" ref="DP2" si="30">IF(AND(ISNUMBER(SEARCH("20", O2)), ISERROR(SEARCH("1920", O2))), CHAR(34)&amp;"year00"&amp;CHAR(34)&amp;",", "")</f>
        <v>"year00",</v>
      </c>
      <c r="DQ2" s="6" t="str">
        <f t="shared" ref="DQ2" si="31">IF(CC2="y",CHAR(34)&amp;"soviet"&amp;CHAR(34)&amp;",","")</f>
        <v/>
      </c>
      <c r="DR2" s="6" t="str">
        <f t="shared" ref="DR2" si="32">IF(BY2="y",CHAR(34)&amp;"dgband"&amp;CHAR(34)&amp;",","")</f>
        <v/>
      </c>
      <c r="DS2" s="6" t="str">
        <f t="shared" ref="DS2" si="33">IF(W2="y",IF(AND(V2="n",BY2&lt;&gt;"y"),CHAR(34)&amp;"allver"&amp;CHAR(34)&amp;",",""),"")</f>
        <v/>
      </c>
      <c r="DT2" s="6" t="str">
        <f t="shared" ref="DT2" si="34">IF(V2="y",IF(AND(W2="n",BY2&lt;&gt;"y"),CHAR(34)&amp;"allhor"&amp;CHAR(34)&amp;",",""),"")</f>
        <v/>
      </c>
      <c r="DU2" s="6" t="str">
        <f t="shared" ref="DU2" si="35">IF(BY2="y",IF(AND(W2="n",V2="n"),CHAR(34)&amp;"alldia"&amp;CHAR(34)&amp;",",""),"")</f>
        <v/>
      </c>
      <c r="DV2" s="48" t="str">
        <f t="shared" ref="DV2" si="36">IF(IA2&lt;&gt;"",(IF(IA2="y",CHAR(34)&amp;"largec"&amp;CHAR(34)&amp;",",CHAR(34)&amp;"smallc"&amp;CHAR(34)&amp;",")),"")</f>
        <v/>
      </c>
      <c r="DW2" s="48" t="str">
        <f t="shared" ref="DW2:DZ3" si="37">IF(CL2="y",CHAR(34)&amp;CL$1&amp;CHAR(34)&amp;",","")</f>
        <v/>
      </c>
      <c r="DX2" s="48" t="str">
        <f t="shared" si="37"/>
        <v>"2Bands",</v>
      </c>
      <c r="DY2" s="48" t="str">
        <f t="shared" si="37"/>
        <v/>
      </c>
      <c r="DZ2" s="48" t="str">
        <f t="shared" si="37"/>
        <v/>
      </c>
      <c r="EA2" s="48" t="str">
        <f t="shared" ref="EA2:EE3" si="38">IF(T2="y",CHAR(34)&amp;T$1&amp;CHAR(34)&amp;",","")</f>
        <v>"Diagon",</v>
      </c>
      <c r="EB2" s="48" t="str">
        <f t="shared" si="38"/>
        <v/>
      </c>
      <c r="EC2" s="48" t="str">
        <f t="shared" si="38"/>
        <v/>
      </c>
      <c r="ED2" s="48" t="str">
        <f t="shared" si="38"/>
        <v/>
      </c>
      <c r="EE2" s="48" t="str">
        <f t="shared" si="38"/>
        <v/>
      </c>
      <c r="EF2" s="48" t="str">
        <f t="shared" ref="EF2" si="39">IF(AND(Y2&lt;&gt;"n",Y2&lt;&gt;""),CHAR(34)&amp;Y$1&amp;CHAR(34)&amp;",","")</f>
        <v/>
      </c>
      <c r="EG2" s="48" t="str">
        <f t="shared" ref="EG2:EZ3" si="40">IF(Z2="y",CHAR(34)&amp;Z$1&amp;CHAR(34)&amp;",","")</f>
        <v/>
      </c>
      <c r="EH2" s="48" t="str">
        <f t="shared" si="40"/>
        <v/>
      </c>
      <c r="EI2" s="48" t="str">
        <f t="shared" si="40"/>
        <v/>
      </c>
      <c r="EJ2" s="48" t="str">
        <f t="shared" si="40"/>
        <v/>
      </c>
      <c r="EK2" s="48" t="str">
        <f t="shared" si="40"/>
        <v/>
      </c>
      <c r="EL2" s="48" t="str">
        <f t="shared" si="40"/>
        <v/>
      </c>
      <c r="EM2" s="48" t="str">
        <f t="shared" si="40"/>
        <v/>
      </c>
      <c r="EN2" s="48" t="str">
        <f t="shared" si="40"/>
        <v/>
      </c>
      <c r="EO2" s="48" t="str">
        <f t="shared" si="40"/>
        <v>"Center",</v>
      </c>
      <c r="EP2" s="48" t="str">
        <f t="shared" si="40"/>
        <v/>
      </c>
      <c r="EQ2" s="48" t="str">
        <f t="shared" si="40"/>
        <v/>
      </c>
      <c r="ER2" s="48" t="str">
        <f t="shared" si="40"/>
        <v/>
      </c>
      <c r="ES2" s="48" t="str">
        <f t="shared" si="40"/>
        <v/>
      </c>
      <c r="ET2" s="48" t="str">
        <f t="shared" si="40"/>
        <v/>
      </c>
      <c r="EU2" s="48" t="str">
        <f t="shared" si="40"/>
        <v/>
      </c>
      <c r="EV2" s="48" t="str">
        <f t="shared" si="40"/>
        <v/>
      </c>
      <c r="EW2" s="48" t="str">
        <f t="shared" si="40"/>
        <v/>
      </c>
      <c r="EX2" s="48" t="str">
        <f t="shared" si="40"/>
        <v/>
      </c>
      <c r="EY2" s="48" t="str">
        <f t="shared" si="40"/>
        <v/>
      </c>
      <c r="EZ2" s="48" t="str">
        <f t="shared" si="40"/>
        <v/>
      </c>
      <c r="FA2" s="48" t="str">
        <f t="shared" ref="FA2" si="41">IF(AT2&gt;0,CHAR(34)&amp;"sta"&amp;AZ2&amp;CHAR(34)&amp;",","")</f>
        <v>"sta",</v>
      </c>
      <c r="FB2" s="48" t="str">
        <f t="shared" ref="FB2" si="42">IF(AND(AT2&gt;0,BA2&lt;&gt;""),CHAR(34)&amp;"sta"&amp;BA2&amp;CHAR(34)&amp;",","")</f>
        <v/>
      </c>
      <c r="FC2" s="48" t="str">
        <f t="shared" ref="FC2" si="43">IF(AND(AT2&gt;0,BB2&lt;&gt;""),CHAR(34)&amp;"sta"&amp;BB2&amp;CHAR(34)&amp;",","")</f>
        <v/>
      </c>
      <c r="FD2" s="48" t="str">
        <f t="shared" ref="FD2" si="44">IF(BV2="n",CHAR(34)&amp;"tcWHYE"&amp;CHAR(34)&amp;",",IF(BV2="y",CHAR(34)&amp;FD$1&amp;CHAR(34)&amp;",",""))</f>
        <v/>
      </c>
      <c r="FE2" s="48" t="str">
        <f t="shared" ref="FE2" si="45">IF(COUNTIF(BL2:BT2,"BLU")=0,CHAR(34)&amp;"NO_BLU"&amp;CHAR(34)&amp;",", "")</f>
        <v>"NO_BLU",</v>
      </c>
      <c r="FF2" s="48" t="str">
        <f t="shared" ref="FF2" si="46">IF(COUNTIF(BL2:BT2,"WHI")=0,CHAR(34)&amp;"NO_WHI"&amp;CHAR(34)&amp;",", "")</f>
        <v>"NO_WHI",</v>
      </c>
      <c r="FG2" s="48" t="str">
        <f t="shared" ref="FG2" si="47">IF(COUNTIF(BL2:BT2,"RED")=0,CHAR(34)&amp;"NO_RED"&amp;CHAR(34)&amp;",", "")</f>
        <v/>
      </c>
      <c r="FH2" s="48" t="str">
        <f t="shared" ref="FH2" si="48">IF(COUNTIF(BL2:BS2,"GRE")=0,CHAR(34)&amp;"NO_GRE"&amp;CHAR(34)&amp;",", "")</f>
        <v>"NO_GRE",</v>
      </c>
      <c r="FI2" s="48" t="str">
        <f t="shared" ref="FI2" si="49">IF(COUNTIF(BL2:BT2,"YEL")=0,CHAR(34)&amp;"NO_YEL"&amp;CHAR(34)&amp;",", "")</f>
        <v/>
      </c>
      <c r="FJ2" s="48" t="str">
        <f t="shared" ref="FJ2" si="50">IF(COUNTIF(BL2:BT2,"BLA")=0,CHAR(34)&amp;"NO_BLA"&amp;CHAR(34)&amp;",", "")</f>
        <v/>
      </c>
      <c r="FK2" s="48" t="str">
        <f t="shared" ref="FK2" si="51">IF(AND(FH2&lt;&gt;"",FF2&lt;&gt;""),CHAR(34)&amp;"WHGRNO"&amp;CHAR(34)&amp;",","")</f>
        <v>"WHGRNO",</v>
      </c>
      <c r="FL2" s="48" t="str">
        <f t="shared" ref="FL2" si="52">IF(AND(FI2&lt;&gt;"",FF2&lt;&gt;""),CHAR(34)&amp;"WHYENO"&amp;CHAR(34)&amp;",","")</f>
        <v/>
      </c>
      <c r="FM2" s="48" t="str">
        <f t="shared" ref="FM2" si="53">IF(AND(FJ2&lt;&gt;"",FF2&lt;&gt;""),CHAR(34)&amp;"BAWHNO"&amp;CHAR(34)&amp;",","")</f>
        <v/>
      </c>
      <c r="FN2" s="48" t="str">
        <f t="shared" ref="FN2" si="54">IF(AND(FE2&lt;&gt;"",FF2&lt;&gt;""),CHAR(34)&amp;"BLWHNO"&amp;CHAR(34)&amp;",","")</f>
        <v>"BLWHNO",</v>
      </c>
      <c r="FO2" s="48" t="str">
        <f t="shared" ref="FO2" si="55">IF(AND(FE2&lt;&gt;"",FG2&lt;&gt;""),CHAR(34)&amp;"BLRENO"&amp;CHAR(34)&amp;",","")</f>
        <v/>
      </c>
      <c r="FP2" s="48" t="str">
        <f t="shared" ref="FP2" si="56">IF(AND(FF2&lt;&gt;"",FF2&lt;&gt;""),CHAR(34)&amp;"WHRENO"&amp;CHAR(34)&amp;",","")</f>
        <v>"WHRENO",</v>
      </c>
      <c r="FQ2" s="48" t="str">
        <f t="shared" ref="FQ2" si="57">IF(LEN(BF2)=3,CHAR(34)&amp;"001"&amp;BF2&amp;CHAR(34)&amp;",","")</f>
        <v>"001BLA",</v>
      </c>
      <c r="FR2" s="48" t="str">
        <f t="shared" ref="FR2" si="58">IF(LEN(BG2)=3,CHAR(34)&amp;"002"&amp;BG2&amp;CHAR(34)&amp;",","")</f>
        <v/>
      </c>
      <c r="FS2" s="48" t="str">
        <f t="shared" ref="FS2" si="59">IF(LEN(BH2)=3,CHAR(34)&amp;"003"&amp;BH2&amp;CHAR(34)&amp;",","")</f>
        <v>"003RED",</v>
      </c>
      <c r="FT2" s="48" t="str">
        <f t="shared" ref="FT2" si="60">CHAR(34)&amp;"myr"&amp;BD2&amp;CHAR(34)&amp;","</f>
        <v>"myrEQ",</v>
      </c>
      <c r="FU2" s="48" t="str">
        <f t="shared" ref="FU2" si="61">IF(AY2="y",CHAR(34)&amp;"island"&amp;CHAR(34)&amp;",","")</f>
        <v/>
      </c>
      <c r="FV2" s="48" t="str">
        <f t="shared" ref="FV2" si="62">IF(BZ2="y",CHAR(34)&amp;"landlo"&amp;CHAR(34)&amp;",","")</f>
        <v/>
      </c>
      <c r="FW2" s="48" t="str">
        <f t="shared" ref="FW2" si="63">IF(CA2="y",CHAR(34)&amp;"eunion"&amp;CHAR(34)&amp;",","")</f>
        <v/>
      </c>
      <c r="FX2" s="48" t="str">
        <f t="shared" ref="FX2" si="64">SUBSTITUTE(IFERROR(SEARCH("[",A2),IFERROR(IF(AND(CA2&lt;&gt;"y",SEARCH("Europe",R2)&gt;0),CHAR(34)&amp;"noeuni"&amp;CHAR(34)&amp;",",""),"")),"1","")</f>
        <v/>
      </c>
      <c r="FY2" s="48" t="str">
        <f t="shared" ref="FY2" si="65">IFERROR(IF(SEARCH("Arabic",CB2)&gt;0,CHAR(34)&amp;"arabic"&amp;CHAR(34)&amp;",",""),"")</f>
        <v/>
      </c>
      <c r="FZ2" s="48" t="str">
        <f t="shared" ref="FZ2" si="66">IFERROR(IF(SEARCH("English",CB2)&gt;0,CHAR(34)&amp;"englis"&amp;CHAR(34)&amp;",",""),"")</f>
        <v/>
      </c>
      <c r="GA2" s="48" t="str">
        <f t="shared" ref="GA2" si="67">IFERROR(IF(SEARCH("French",CB2)&gt;0,CHAR(34)&amp;"french"&amp;CHAR(34)&amp;",",""),"")</f>
        <v/>
      </c>
      <c r="GB2" s="48" t="str">
        <f t="shared" ref="GB2"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 si="71">IFERROR(IF(SEARCH("Dutch",CB2)&gt;0,CHAR(34)&amp;"dutchs"&amp;CHAR(34)&amp;",",""),"")</f>
        <v/>
      </c>
      <c r="GF2" s="48" t="str">
        <f>IFERROR(IF(SEARCH("Histor",AU2)&gt;0,CHAR(34)&amp;"histor"&amp;CHAR(34)&amp;",",""),"")</f>
        <v/>
      </c>
      <c r="GG2" s="48" t="str">
        <f t="shared" ref="GG2" si="72">IF(BU2="y",CHAR(34)&amp;"unjack"&amp;CHAR(34)&amp;",","")</f>
        <v/>
      </c>
      <c r="GH2" s="48" t="str">
        <f t="shared" ref="GH2" si="73">IF(CD2=1,CHAR(34)&amp;"southc"&amp;CHAR(34)&amp;",","")</f>
        <v/>
      </c>
      <c r="GI2" s="48" t="str">
        <f t="shared" ref="GI2" si="74">IF(CE2=1,CHAR(34)&amp;"hasmap"&amp;CHAR(34)&amp;",","")</f>
        <v/>
      </c>
      <c r="GJ2" s="48" t="str">
        <f t="shared" ref="GJ2" si="75">IF(CP2="y",CHAR(34)&amp;CP$1&amp;CHAR(34)&amp;",","")</f>
        <v/>
      </c>
      <c r="GK2" s="48" t="str">
        <f t="shared" ref="GK2" si="76">IF(GJ2="",CHAR(34)&amp;"HasSta"&amp;CHAR(34)&amp;",","")</f>
        <v>"HasSta",</v>
      </c>
      <c r="GL2" s="48" t="str">
        <f t="shared" ref="GL2:GN3" si="77">IF(CQ2="y",CHAR(34)&amp;CQ$1&amp;CHAR(34)&amp;",","")</f>
        <v>"1Stars",</v>
      </c>
      <c r="GM2" s="48" t="str">
        <f t="shared" si="77"/>
        <v/>
      </c>
      <c r="GN2" s="48" t="str">
        <f t="shared" si="77"/>
        <v/>
      </c>
      <c r="GP2" s="48" t="str">
        <f t="shared" ref="GP2" si="78">CHAR(34)&amp;AU2&amp;CHAR(34)</f>
        <v>""</v>
      </c>
      <c r="GS2" s="48" t="str">
        <f t="shared" ref="GS2" si="79">SUBSTITUTE("["&amp;_xlfn.CONCAT(CW2:GN2)&amp;"]",",]","]")</f>
        <v>["3Color","words2","exact2","lets12","startF","LAEDEL","year00","2Bands","Diagon","Center","sta","NO_BLU","NO_WHI","NO_GRE","WHGRNO","BLWHNO","WHRENO","001BLA","003RED","myrEQ","HasSta","1Stars"]</v>
      </c>
      <c r="GT2" s="48" t="str">
        <f t="shared" ref="GT2:HB3" si="80">IF(BL2&lt;&gt;"",CHAR(34)&amp;"cl_"&amp;BL2&amp;CHAR(34)&amp;",","")</f>
        <v>"cl_BLA",</v>
      </c>
      <c r="GU2" s="48" t="str">
        <f t="shared" si="80"/>
        <v>"cl_RED",</v>
      </c>
      <c r="GV2" s="48" t="str">
        <f t="shared" si="80"/>
        <v>"cl_YEL",</v>
      </c>
      <c r="GW2" s="48" t="str">
        <f t="shared" si="80"/>
        <v/>
      </c>
      <c r="GX2" s="48" t="str">
        <f t="shared" si="80"/>
        <v/>
      </c>
      <c r="GY2" s="48" t="str">
        <f t="shared" si="80"/>
        <v/>
      </c>
      <c r="GZ2" s="48" t="str">
        <f t="shared" si="80"/>
        <v/>
      </c>
      <c r="HA2" s="48" t="str">
        <f t="shared" si="80"/>
        <v/>
      </c>
      <c r="HB2" s="48" t="str">
        <f t="shared" si="80"/>
        <v/>
      </c>
      <c r="HC2" s="48" t="str">
        <f t="shared" ref="HC2" si="81">SUBSTITUTE("["&amp;_xlfn.CONCAT(GT2:HB2)&amp;"]",",]","]")</f>
        <v>["cl_BLA","cl_RED","cl_YEL"]</v>
      </c>
      <c r="HE2" s="71"/>
      <c r="HF2" s="72" t="str">
        <f t="shared" ref="HF2" si="82">"{couname:"&amp;CT2&amp;(IF(HK2&lt;&gt;"",",subtype:"&amp;CHAR(34)&amp;HK2&amp;CHAR(34),""))&amp;",year:"&amp;HJ2&amp;",region:"&amp;CU2&amp;",Colors:"&amp;HC2&amp;",Items:"&amp;GS2&amp;",Flag:"&amp;CV2&amp;",HDFlag:"&amp;CHAR(34)&amp;E2&amp;CHAR(34)&amp;",type:"&amp;GP2&amp;", describe: "&amp;HH2&amp;", isnew:"&amp;CHAR(34)&amp;F2&amp;CHAR(34)&amp;", links: "&amp;HL2&amp;"},"</f>
        <v>{couname:"French Guiana",year:"2010 ",region:"rgn_South America",Colors:["cl_BLA","cl_RED","cl_YEL"],Items:["3Color","words2","exact2","lets12","startF","LAEDEL","year00","2Bands","Diagon","Center","sta","NO_BLU","NO_WHI","NO_GRE","WHGRNO","BLWHNO","WHRENO","001BLA","003RED","myrEQ","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isnew:".", links: "https://en.wikipedia.org/wiki/Flag_of_French_Guiana"},</v>
      </c>
      <c r="HG2" s="73" t="str">
        <f t="shared" ref="HG2" si="83">"{couname:"&amp;CT2&amp;(IF(HK2&lt;&gt;"",",subtype:"&amp;CHAR(34)&amp;HK2&amp;CHAR(34),""))&amp;",year:"&amp;HJ2&amp;",region:"&amp;CU2&amp;",Colors:"&amp;HC2&amp;",Items:"&amp;GS2&amp;",Flag:"&amp;CV2&amp;",HDFlag:"&amp;CHAR(34)&amp;E2&amp;CHAR(34)&amp;",type:"&amp;GP2&amp;", describe: "&amp;HI2&amp;", links: "&amp;HL2&amp;"},"</f>
        <v>{couname:"French Guiana",year:"2010 ",region:"rgn_South America",Colors:["cl_BLA","cl_RED","cl_YEL"],Items:["3Color","words2","exact2","lets12","startF","LAEDEL","year00","2Bands","Diagon","Center","sta","NO_BLU","NO_WHI","NO_GRE","WHGRNO","BLWHNO","WHRENO","001BLA","003RED","myrEQ","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links: "https://en.wikipedia.org/wiki/Flag_of_French_Guiana"},</v>
      </c>
      <c r="HH2" s="48" t="str">
        <f t="shared" ref="HH2" si="84">IF(P2&lt;&gt;"",CHAR(34)&amp;"\n"&amp;P2&amp;CHAR(34),CHAR(34)&amp;CHAR(34))</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v>
      </c>
      <c r="HI2" s="48" t="str">
        <f t="shared" ref="HI2" si="85">IF(J2=0,CHAR(34)&amp;CHAR(34),HH2)</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v>
      </c>
      <c r="HJ2" s="48" t="str">
        <f t="shared" ref="HJ2" si="86">CHAR(34)&amp;O2&amp;CHAR(34)</f>
        <v>"2010 "</v>
      </c>
      <c r="HL2" s="48" t="str">
        <f t="shared" ref="HL2" si="87">CHAR(34)&amp;I2&amp;CHAR(34)</f>
        <v>"https://en.wikipedia.org/wiki/Flag_of_French_Guiana"</v>
      </c>
      <c r="HM2" s="72" t="str">
        <f t="shared" ref="HM2" si="88">"{"&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{"couname":"French Guiana","year":"2010 ","region":"rgn_South America","Colors":["cl_BLA","cl_RED","cl_YEL"],"Items":["3Color","words2","exact2","lets12","startF","LAEDEL","year00","2Bands","Diagon","Center","sta","NO_BLU","NO_WHI","NO_GRE","WHGRNO","BLWHNO","WHRENO","001BLA","003RED","myrEQ","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"isnew": ".", "links": "https://en.wikipedia.org/wiki/Flag_of_French_Guiana"},</v>
      </c>
      <c r="HN2" s="74" t="str">
        <f t="shared" ref="HN2"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{"couname":"French Guiana","year":"2010 ","region":"rgn_South America","Colors":["cl_BLA","cl_RED","cl_YEL"],"Items":["3Color","words2","exact2","lets12","startF","LAEDEL","year00","2Bands","Diagon","Center","sta","NO_BLU","NO_WHI","NO_GRE","WHGRNO","BLWHNO","WHRENO","001BLA","003RED","myrEQ","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"isnew": ".", "links": "https://en.wikipedia.org/wiki/Flag_of_French_Guiana"},</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 t="shared" ref="IL2" si="90">SUM(IC2:IK2)</f>
        <v>0</v>
      </c>
      <c r="IM2" s="45">
        <f t="shared" ref="IM2" si="91">COUNTIF(IC2:IK2,"&gt;0")-CG2</f>
        <v>-3</v>
      </c>
      <c r="IN2" s="78" t="str">
        <f t="shared" ref="IN2" si="92">"http://mkweb.bcgsc.ca/color-summarizer/?url="&amp;D2&amp;"&amp;precision=low&amp;num_clusters="&amp;CG2&amp;"&amp;text=1"</f>
        <v>http://mkweb.bcgsc.ca/color-summarizer/?url=https://upload.wikimedia.org/wikipedia/commons/thumb/2/29/Flag_of_French_Guiana.svg/375px-Flag_of_French_Guiana.svg.png&amp;precision=low&amp;num_clusters=3&amp;text=1</v>
      </c>
      <c r="IO2" s="48" t="str">
        <f t="shared" ref="IO2" si="93">IF(HP2&lt;&gt;"",CHAR(34)&amp;"black"&amp;CHAR(34),"")</f>
        <v>"black"</v>
      </c>
      <c r="IP2" s="48" t="str">
        <f t="shared" ref="IP2" si="94">IF(HQ2&lt;&gt;"",CHAR(34)&amp;"blue"&amp;CHAR(34),"")</f>
        <v/>
      </c>
      <c r="IQ2" s="48" t="str">
        <f t="shared" ref="IQ2" si="95">IF(HR2&lt;&gt;"",CHAR(34)&amp;"green"&amp;CHAR(34),"")</f>
        <v/>
      </c>
      <c r="IR2" s="48" t="str">
        <f t="shared" ref="IR2" si="96">IF(HS2&lt;&gt;"",CHAR(34)&amp;"red"&amp;CHAR(34),"")</f>
        <v>"red"</v>
      </c>
      <c r="IS2" s="48" t="str">
        <f t="shared" ref="IS2" si="97">IF(HT2&lt;&gt;"",CHAR(34)&amp;"yellow"&amp;CHAR(34),"")</f>
        <v>"yellow"</v>
      </c>
      <c r="IT2" s="48" t="str">
        <f t="shared" ref="IT2" si="98">IF(HU2&lt;&gt;"",CHAR(34)&amp;"orange"&amp;CHAR(34),"")</f>
        <v/>
      </c>
      <c r="IU2" s="48" t="str">
        <f t="shared" ref="IU2" si="99">IF(HV2&lt;&gt;"",CHAR(34)&amp;"brown"&amp;CHAR(34),"")</f>
        <v/>
      </c>
      <c r="IV2" s="48" t="str">
        <f t="shared" ref="IV2" si="100">IF(HW2&lt;&gt;"",CHAR(34)&amp;"purple"&amp;CHAR(34),"")</f>
        <v/>
      </c>
      <c r="IW2" s="48" t="str">
        <f t="shared" ref="IW2" si="101">IF(HX2&lt;&gt;"",CHAR(34)&amp;"white"&amp;CHAR(34),"")</f>
        <v/>
      </c>
      <c r="IX2" s="48" t="str">
        <f t="shared" ref="IX2" si="102">"{"&amp;CHAR(34)&amp;"url"&amp;CHAR(34)&amp;":"&amp;CHAR(34)&amp;IN2&amp;CHAR(34)&amp;","&amp;CHAR(34)&amp;"name"&amp;CHAR(34)&amp;":"&amp;CHAR(34)&amp;A2&amp;CHAR(34)&amp;"},"</f>
        <v>{"url":"http://mkweb.bcgsc.ca/color-summarizer/?url=https://upload.wikimedia.org/wikipedia/commons/thumb/2/29/Flag_of_French_Guiana.svg/375px-Flag_of_French_Guiana.svg.png&amp;precision=low&amp;num_clusters=3&amp;text=1","name":"French Guiana"},</v>
      </c>
      <c r="IY2" s="48">
        <v>951</v>
      </c>
    </row>
    <row r="3" spans="1:259" s="48" customFormat="1" ht="38.4" customHeight="1" thickBot="1" x14ac:dyDescent="0.35">
      <c r="A3" s="79" t="s">
        <v>635</v>
      </c>
      <c r="B3" s="40" t="e" vm="82">
        <v>#VALUE!</v>
      </c>
      <c r="C3" s="41">
        <v>2</v>
      </c>
      <c r="D3" s="42" t="s">
        <v>636</v>
      </c>
      <c r="E3" s="43" t="s">
        <v>637</v>
      </c>
      <c r="F3" s="44" t="s">
        <v>638</v>
      </c>
      <c r="G3" s="45">
        <f>COUNTIF($A$1:$A$8282,A3)</f>
        <v>1</v>
      </c>
      <c r="H3" s="46"/>
      <c r="I3" s="47" t="s">
        <v>221</v>
      </c>
      <c r="J3" s="48" t="str">
        <f>""</f>
        <v/>
      </c>
      <c r="K3" s="49"/>
      <c r="L3" s="50"/>
      <c r="M3" s="50"/>
      <c r="N3" s="51" t="s">
        <v>169</v>
      </c>
      <c r="O3" s="52" t="s">
        <v>639</v>
      </c>
      <c r="P3" s="53" t="s">
        <v>640</v>
      </c>
      <c r="Q3" s="54">
        <v>5</v>
      </c>
      <c r="R3" s="55" t="s">
        <v>169</v>
      </c>
      <c r="S3" s="56">
        <v>0</v>
      </c>
      <c r="T3" s="57" t="s">
        <v>172</v>
      </c>
      <c r="U3" s="58" t="s">
        <v>172</v>
      </c>
      <c r="V3" s="58" t="s">
        <v>172</v>
      </c>
      <c r="W3" s="58" t="s">
        <v>172</v>
      </c>
      <c r="X3" s="58" t="s">
        <v>172</v>
      </c>
      <c r="Y3" s="58" t="s">
        <v>172</v>
      </c>
      <c r="Z3" s="58" t="s">
        <v>172</v>
      </c>
      <c r="AA3" s="58" t="s">
        <v>172</v>
      </c>
      <c r="AB3" s="58" t="s">
        <v>173</v>
      </c>
      <c r="AC3" s="58" t="s">
        <v>173</v>
      </c>
      <c r="AD3" s="58" t="s">
        <v>172</v>
      </c>
      <c r="AE3" s="58" t="s">
        <v>172</v>
      </c>
      <c r="AF3" s="59" t="s">
        <v>172</v>
      </c>
      <c r="AG3" s="59" t="s">
        <v>172</v>
      </c>
      <c r="AH3" s="59" t="s">
        <v>172</v>
      </c>
      <c r="AI3" s="59" t="s">
        <v>172</v>
      </c>
      <c r="AJ3" s="59" t="s">
        <v>172</v>
      </c>
      <c r="AK3" s="59" t="s">
        <v>172</v>
      </c>
      <c r="AL3" s="59" t="s">
        <v>172</v>
      </c>
      <c r="AM3" s="59" t="s">
        <v>172</v>
      </c>
      <c r="AN3" s="59" t="s">
        <v>172</v>
      </c>
      <c r="AO3" s="59" t="s">
        <v>172</v>
      </c>
      <c r="AP3" s="59" t="s">
        <v>172</v>
      </c>
      <c r="AQ3" s="59" t="s">
        <v>172</v>
      </c>
      <c r="AR3" s="59" t="s">
        <v>172</v>
      </c>
      <c r="AS3" s="59" t="s">
        <v>172</v>
      </c>
      <c r="AT3" s="60">
        <v>0</v>
      </c>
      <c r="AU3" s="59" t="s">
        <v>641</v>
      </c>
      <c r="AV3" s="59" t="str">
        <f>IF(LEFT(A3,1)="[",LEFT(A3,5)&amp;AU3&amp;A3,"")</f>
        <v>[GUF]Government[GUF] Territorial Collectivity of French Guiana</v>
      </c>
      <c r="AW3" s="59" t="str">
        <f>C3&amp;A3</f>
        <v>2[GUF] Territorial Collectivity of French Guiana</v>
      </c>
      <c r="AX3" s="61"/>
      <c r="AY3" s="61"/>
      <c r="AZ3" s="62" t="s">
        <v>159</v>
      </c>
      <c r="BA3" s="62" t="s">
        <v>174</v>
      </c>
      <c r="BB3" s="62"/>
      <c r="BC3" s="63"/>
      <c r="BD3" s="64" t="s">
        <v>152</v>
      </c>
      <c r="BE3" s="47"/>
      <c r="BF3" s="64" t="s">
        <v>154</v>
      </c>
      <c r="BG3" s="64" t="s">
        <v>152</v>
      </c>
      <c r="BH3" s="64" t="s">
        <v>154</v>
      </c>
      <c r="BI3" s="64"/>
      <c r="BJ3" s="64"/>
      <c r="BK3" s="47"/>
      <c r="BL3" s="64" t="s">
        <v>151</v>
      </c>
      <c r="BM3" s="64" t="s">
        <v>152</v>
      </c>
      <c r="BN3" s="64" t="s">
        <v>153</v>
      </c>
      <c r="BO3" s="64" t="s">
        <v>154</v>
      </c>
      <c r="BP3" s="64" t="s">
        <v>155</v>
      </c>
      <c r="BQ3" s="64" t="s">
        <v>156</v>
      </c>
      <c r="BR3" s="64" t="s">
        <v>174</v>
      </c>
      <c r="BS3" s="64" t="s">
        <v>174</v>
      </c>
      <c r="BT3" s="64" t="s">
        <v>159</v>
      </c>
      <c r="BU3" s="65"/>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"[GUF] Territorial Collectivity of French Guiana"</v>
      </c>
      <c r="CU3" s="70" t="str">
        <f>CHAR(34)&amp;"rgn_"&amp;R3&amp;CHAR(34)</f>
        <v>"rgn_South America"</v>
      </c>
      <c r="CV3" s="48" t="str">
        <f>CHAR(34)&amp;D3&amp;CHAR(34)</f>
        <v>"https://upload.wikimedia.org/wikipedia/commons/thumb/6/65/Flag_of_French_Guiana_%28Local%29.svg/640px-Flag_of_French_Guiana_%28Local%29.svg.png"</v>
      </c>
      <c r="CW3" s="48" t="str">
        <f t="shared" si="15"/>
        <v/>
      </c>
      <c r="CX3" s="48" t="str">
        <f t="shared" si="15"/>
        <v/>
      </c>
      <c r="CY3" s="48" t="str">
        <f t="shared" si="15"/>
        <v/>
      </c>
      <c r="CZ3" s="48" t="str">
        <f t="shared" si="15"/>
        <v>"5+Colo",</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"lets37",</v>
      </c>
      <c r="DE3" s="48" t="str">
        <f>CHAR(34)&amp;"start"&amp;IFERROR(LEFT(SUBSTITUTE(A3,"["&amp;MID(A3,FIND("[",A3)+1,FIND("]",A3)-FIND("[",A3)-1)&amp;"] ",""),1),LEFT(A3,1))&amp;CHAR(34)&amp;","</f>
        <v>"startT",</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"with_y",</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"year00",</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 t="shared" si="37"/>
        <v>"NoBand",</v>
      </c>
      <c r="DX3" s="48" t="str">
        <f t="shared" si="37"/>
        <v/>
      </c>
      <c r="DY3" s="48" t="str">
        <f t="shared" si="37"/>
        <v/>
      </c>
      <c r="DZ3" s="48" t="str">
        <f t="shared" si="37"/>
        <v/>
      </c>
      <c r="EA3" s="48" t="str">
        <f t="shared" si="38"/>
        <v/>
      </c>
      <c r="EB3" s="48" t="str">
        <f t="shared" si="38"/>
        <v/>
      </c>
      <c r="EC3" s="48" t="str">
        <f t="shared" si="38"/>
        <v/>
      </c>
      <c r="ED3" s="48" t="str">
        <f t="shared" si="38"/>
        <v/>
      </c>
      <c r="EE3" s="48" t="str">
        <f t="shared" si="38"/>
        <v/>
      </c>
      <c r="EF3" s="48" t="str">
        <f>IF(AND(Y3&lt;&gt;"n",Y3&lt;&gt;""),CHAR(34)&amp;Y$1&amp;CHAR(34)&amp;",","")</f>
        <v/>
      </c>
      <c r="EG3" s="48" t="str">
        <f t="shared" si="40"/>
        <v/>
      </c>
      <c r="EH3" s="48" t="str">
        <f t="shared" si="40"/>
        <v/>
      </c>
      <c r="EI3" s="48" t="str">
        <f t="shared" si="40"/>
        <v>"Texted",</v>
      </c>
      <c r="EJ3" s="48" t="str">
        <f t="shared" si="40"/>
        <v>"Weapon",</v>
      </c>
      <c r="EK3" s="48" t="str">
        <f t="shared" si="40"/>
        <v/>
      </c>
      <c r="EL3" s="48" t="str">
        <f t="shared" si="40"/>
        <v/>
      </c>
      <c r="EM3" s="48" t="str">
        <f t="shared" si="40"/>
        <v/>
      </c>
      <c r="EN3" s="48" t="str">
        <f t="shared" si="40"/>
        <v/>
      </c>
      <c r="EO3" s="48" t="str">
        <f t="shared" si="40"/>
        <v/>
      </c>
      <c r="EP3" s="48" t="str">
        <f t="shared" si="40"/>
        <v/>
      </c>
      <c r="EQ3" s="48" t="str">
        <f t="shared" si="40"/>
        <v/>
      </c>
      <c r="ER3" s="48" t="str">
        <f t="shared" si="40"/>
        <v/>
      </c>
      <c r="ES3" s="48" t="str">
        <f t="shared" si="40"/>
        <v/>
      </c>
      <c r="ET3" s="48" t="str">
        <f t="shared" si="40"/>
        <v/>
      </c>
      <c r="EU3" s="48" t="str">
        <f t="shared" si="40"/>
        <v/>
      </c>
      <c r="EV3" s="48" t="str">
        <f t="shared" si="40"/>
        <v/>
      </c>
      <c r="EW3" s="48" t="str">
        <f t="shared" si="40"/>
        <v/>
      </c>
      <c r="EX3" s="48" t="str">
        <f t="shared" si="40"/>
        <v/>
      </c>
      <c r="EY3" s="48" t="str">
        <f t="shared" si="40"/>
        <v/>
      </c>
      <c r="EZ3" s="48" t="str">
        <f t="shared" si="40"/>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"001RED",</v>
      </c>
      <c r="FR3" s="48" t="str">
        <f>IF(LEN(BG3)=3,CHAR(34)&amp;"002"&amp;BG3&amp;CHAR(34)&amp;",","")</f>
        <v>"002BLU",</v>
      </c>
      <c r="FS3" s="48" t="str">
        <f>IF(LEN(BH3)=3,CHAR(34)&amp;"003"&amp;BH3&amp;CHAR(34)&amp;",","")</f>
        <v>"003RED",</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 t="shared" si="77"/>
        <v/>
      </c>
      <c r="GM3" s="48" t="str">
        <f t="shared" si="77"/>
        <v/>
      </c>
      <c r="GN3" s="48" t="str">
        <f t="shared" si="77"/>
        <v/>
      </c>
      <c r="GP3" s="48" t="str">
        <f>CHAR(34)&amp;AU3&amp;CHAR(34)</f>
        <v>"Government"</v>
      </c>
      <c r="GS3" s="48" t="str">
        <f>SUBSTITUTE("["&amp;_xlfn.CONCAT(CW3:GN3)&amp;"]",",]","]")</f>
        <v>["5+Colo","words2","words3","lets37","startT","with_v","with_y","year00","NoBand","Texted","Weapon","001RED","002BLU","003RED","myrBLU","NoStar"]</v>
      </c>
      <c r="GT3" s="48" t="str">
        <f t="shared" si="80"/>
        <v>"cl_BLA",</v>
      </c>
      <c r="GU3" s="48" t="str">
        <f t="shared" si="80"/>
        <v>"cl_BLU",</v>
      </c>
      <c r="GV3" s="48" t="str">
        <f t="shared" si="80"/>
        <v>"cl_GRE",</v>
      </c>
      <c r="GW3" s="48" t="str">
        <f t="shared" si="80"/>
        <v>"cl_RED",</v>
      </c>
      <c r="GX3" s="48" t="str">
        <f t="shared" si="80"/>
        <v>"cl_YEL",</v>
      </c>
      <c r="GY3" s="48" t="str">
        <f t="shared" si="80"/>
        <v>"cl_ORA",</v>
      </c>
      <c r="GZ3" s="48" t="str">
        <f t="shared" si="80"/>
        <v/>
      </c>
      <c r="HA3" s="48" t="str">
        <f t="shared" si="80"/>
        <v/>
      </c>
      <c r="HB3" s="48" t="str">
        <f t="shared" si="80"/>
        <v>"cl_WHI",</v>
      </c>
      <c r="HC3" s="48" t="str">
        <f>SUBSTITUTE("["&amp;_xlfn.CONCAT(GT3:HB3)&amp;"]",",]","]")</f>
        <v>["cl_BLA","cl_BLU","cl_GRE","cl_RED","cl_YEL","cl_ORA","cl_WHI"]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{couname:"[GUF] Territorial Collectivity of French Guiana",year:"2015",region:"rgn_South America",Colors:["cl_BLA","cl_BLU","cl_GRE","cl_RED","cl_YEL","cl_ORA","cl_WHI"],Items:["5+Colo","words2","words3","lets37","startT","with_v","with_y","year00","NoBand","Texted","Weapon","001RED","002BLU","003RED","myrBLU","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isnew:"www", links: "https://en.wikipedia.org/wiki/Flag_of_French_Guiana"},</v>
      </c>
      <c r="HG3" s="73" t="str">
        <f>"{couname:"&amp;CT3&amp;(IF(HK3&lt;&gt;"",",subtype:"&amp;CHAR(34)&amp;HK3&amp;CHAR(34),""))&amp;",year:"&amp;HJ3&amp;",region:"&amp;CU3&amp;",Colors:"&amp;HC3&amp;",Items:"&amp;GS3&amp;",Flag:"&amp;CV3&amp;",HDFlag:"&amp;CHAR(34)&amp;E3&amp;CHAR(34)&amp;",type:"&amp;GP3&amp;", describe: "&amp;HI3&amp;", links: "&amp;HL3&amp;"},"</f>
        <v>{couname:"[GUF] Territorial Collectivity of French Guiana",year:"2015",region:"rgn_South America",Colors:["cl_BLA","cl_BLU","cl_GRE","cl_RED","cl_YEL","cl_ORA","cl_WHI"],Items:["5+Colo","words2","words3","lets37","startT","with_v","with_y","year00","NoBand","Texted","Weapon","001RED","002BLU","003RED","myrBLU","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links: "https://en.wikipedia.org/wiki/Flag_of_French_Guiana"},</v>
      </c>
      <c r="HH3" s="48" t="str">
        <f>IF(P3&lt;&gt;"",CHAR(34)&amp;"\n"&amp;P3&amp;CHAR(34),CHAR(34)&amp;CHAR(34))</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v>
      </c>
      <c r="HI3" s="48" t="str">
        <f>IF(J3=0,CHAR(34)&amp;CHAR(34),HH3)</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v>
      </c>
      <c r="HJ3" s="48" t="str">
        <f>CHAR(34)&amp;O3&amp;CHAR(34)</f>
        <v>"2015"</v>
      </c>
      <c r="HL3" s="48" t="str">
        <f>CHAR(34)&amp;I3&amp;CHAR(34)</f>
        <v>"https://en.wikipedia.org/wiki/Flag_of_French_Guiana"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{"couname":"[GUF] Territorial Collectivity of French Guiana","year":"2015","region":"rgn_South America","Colors":["cl_BLA","cl_BLU","cl_GRE","cl_RED","cl_YEL","cl_ORA","cl_WHI"],"Items":["5+Colo","words2","words3","lets37","startT","with_v","with_y","year00","NoBand","Texted","Weapon","001RED","002BLU","003RED","myrBLU","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"isnew": "www", "links": "https://en.wikipedia.org/wiki/Flag_of_French_Guiana"},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{"couname":"[GUF] Territorial Collectivity of French Guiana","year":"2015","region":"rgn_South America","Colors":["cl_BLA","cl_BLU","cl_GRE","cl_RED","cl_YEL","cl_ORA","cl_WHI"],"Items":["5+Colo","words2","words3","lets37","startT","with_v","with_y","year00","NoBand","Texted","Weapon","001RED","002BLU","003RED","myrBLU","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"isnew": "www", "links": "https://en.wikipedia.org/wiki/Flag_of_French_Guiana"},</v>
      </c>
      <c r="HO3" s="75">
        <v>45653</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ORA</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-7</v>
      </c>
      <c r="IN3" s="78" t="str">
        <f>"http://mkweb.bcgsc.ca/color-summarizer/?url="&amp;D3&amp;"&amp;precision=low&amp;num_clusters="&amp;CG3&amp;"&amp;text=1"</f>
        <v>http://mkweb.bcgsc.ca/color-summarizer/?url=https://upload.wikimedia.org/wikipedia/commons/thumb/6/65/Flag_of_French_Guiana_%28Local%29.svg/640px-Flag_of_French_Guiana_%28Local%29.svg.png&amp;precision=low&amp;num_clusters=7&amp;text=1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"orange"</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{"url":"http://mkweb.bcgsc.ca/color-summarizer/?url=https://upload.wikimedia.org/wikipedia/commons/thumb/6/65/Flag_of_French_Guiana_%28Local%29.svg/640px-Flag_of_French_Guiana_%28Local%29.svg.png&amp;precision=low&amp;num_clusters=7&amp;text=1","name":"[GUF] Territorial Collectivity of French Guiana"},</v>
      </c>
      <c r="IY3" s="48">
        <v>1503</v>
      </c>
    </row>
  </sheetData>
  <conditionalFormatting sqref="H1 CW1:GS1 IA1:IB1">
    <cfRule type="cellIs" dxfId="4080" priority="107" operator="greaterThan">
      <formula>0</formula>
    </cfRule>
  </conditionalFormatting>
  <conditionalFormatting sqref="H1">
    <cfRule type="cellIs" dxfId="4079" priority="73" stopIfTrue="1" operator="notEqual">
      <formula>""</formula>
    </cfRule>
  </conditionalFormatting>
  <conditionalFormatting sqref="T1:BK1">
    <cfRule type="cellIs" dxfId="4078" priority="110" operator="greaterThan">
      <formula>0</formula>
    </cfRule>
  </conditionalFormatting>
  <conditionalFormatting sqref="BV1:BW1">
    <cfRule type="cellIs" dxfId="4077" priority="109" operator="equal">
      <formula>"nc"</formula>
    </cfRule>
  </conditionalFormatting>
  <conditionalFormatting sqref="HF1:HG1">
    <cfRule type="cellIs" dxfId="4076" priority="111" operator="greaterThan">
      <formula>0</formula>
    </cfRule>
  </conditionalFormatting>
  <conditionalFormatting sqref="HK1">
    <cfRule type="cellIs" dxfId="4075" priority="108" operator="greaterThan">
      <formula>0</formula>
    </cfRule>
  </conditionalFormatting>
  <conditionalFormatting sqref="HP1:HX1">
    <cfRule type="cellIs" dxfId="4074" priority="85" operator="equal">
      <formula>"PIN"</formula>
    </cfRule>
    <cfRule type="cellIs" dxfId="4073" priority="86" operator="equal">
      <formula>"ORA"</formula>
    </cfRule>
    <cfRule type="cellIs" dxfId="4072" priority="87" operator="equal">
      <formula>"GRA"</formula>
    </cfRule>
    <cfRule type="cellIs" dxfId="4071" priority="88" operator="equal">
      <formula>"PUR"</formula>
    </cfRule>
    <cfRule type="cellIs" dxfId="4070" priority="89" operator="equal">
      <formula>"BRO"</formula>
    </cfRule>
    <cfRule type="cellIs" dxfId="4069" priority="90" operator="equal">
      <formula>"YEL"</formula>
    </cfRule>
    <cfRule type="cellIs" dxfId="4068" priority="91" operator="equal">
      <formula>"BLU"</formula>
    </cfRule>
    <cfRule type="cellIs" dxfId="4067" priority="92" operator="equal">
      <formula>"WHI"</formula>
    </cfRule>
    <cfRule type="cellIs" dxfId="4066" priority="93" operator="equal">
      <formula>"GRE"</formula>
    </cfRule>
    <cfRule type="cellIs" dxfId="4065" priority="94" operator="equal">
      <formula>"RED"</formula>
    </cfRule>
    <cfRule type="cellIs" dxfId="4064" priority="95" operator="equal">
      <formula>"BLA"</formula>
    </cfRule>
  </conditionalFormatting>
  <conditionalFormatting sqref="IC1:IK1">
    <cfRule type="cellIs" dxfId="4063" priority="96" operator="equal">
      <formula>"PIN"</formula>
    </cfRule>
    <cfRule type="cellIs" dxfId="4062" priority="97" operator="equal">
      <formula>"ORA"</formula>
    </cfRule>
    <cfRule type="cellIs" dxfId="4061" priority="98" operator="equal">
      <formula>"GRA"</formula>
    </cfRule>
    <cfRule type="cellIs" dxfId="4060" priority="99" operator="equal">
      <formula>"PUR"</formula>
    </cfRule>
    <cfRule type="cellIs" dxfId="4059" priority="100" operator="equal">
      <formula>"BRO"</formula>
    </cfRule>
    <cfRule type="cellIs" dxfId="4058" priority="101" operator="equal">
      <formula>"YEL"</formula>
    </cfRule>
    <cfRule type="cellIs" dxfId="4057" priority="102" operator="equal">
      <formula>"BLU"</formula>
    </cfRule>
    <cfRule type="cellIs" dxfId="4056" priority="103" operator="equal">
      <formula>"WHI"</formula>
    </cfRule>
    <cfRule type="cellIs" dxfId="4055" priority="104" operator="equal">
      <formula>"GRE"</formula>
    </cfRule>
    <cfRule type="cellIs" dxfId="4054" priority="105" operator="equal">
      <formula>"RED"</formula>
    </cfRule>
    <cfRule type="cellIs" dxfId="4053" priority="106" operator="equal">
      <formula>"BLA"</formula>
    </cfRule>
  </conditionalFormatting>
  <conditionalFormatting sqref="IO1:IW1">
    <cfRule type="cellIs" dxfId="4052" priority="74" operator="equal">
      <formula>"PIN"</formula>
    </cfRule>
    <cfRule type="cellIs" dxfId="4051" priority="75" operator="equal">
      <formula>"ORA"</formula>
    </cfRule>
    <cfRule type="cellIs" dxfId="4050" priority="76" operator="equal">
      <formula>"GRA"</formula>
    </cfRule>
    <cfRule type="cellIs" dxfId="4049" priority="77" operator="equal">
      <formula>"PUR"</formula>
    </cfRule>
    <cfRule type="cellIs" dxfId="4048" priority="78" operator="equal">
      <formula>"BRO"</formula>
    </cfRule>
    <cfRule type="cellIs" dxfId="4047" priority="79" operator="equal">
      <formula>"YEL"</formula>
    </cfRule>
    <cfRule type="cellIs" dxfId="4046" priority="80" operator="equal">
      <formula>"BLU"</formula>
    </cfRule>
    <cfRule type="cellIs" dxfId="4045" priority="81" operator="equal">
      <formula>"WHI"</formula>
    </cfRule>
    <cfRule type="cellIs" dxfId="4044" priority="82" operator="equal">
      <formula>"GRE"</formula>
    </cfRule>
    <cfRule type="cellIs" dxfId="4043" priority="83" operator="equal">
      <formula>"RED"</formula>
    </cfRule>
    <cfRule type="cellIs" dxfId="4042" priority="84" operator="equal">
      <formula>"BLA"</formula>
    </cfRule>
  </conditionalFormatting>
  <conditionalFormatting sqref="H2">
    <cfRule type="cellIs" dxfId="4041" priority="42" stopIfTrue="1" operator="notEqual">
      <formula>""</formula>
    </cfRule>
  </conditionalFormatting>
  <conditionalFormatting sqref="R2 CU2">
    <cfRule type="cellIs" dxfId="4040" priority="44" operator="greaterThan">
      <formula>0</formula>
    </cfRule>
  </conditionalFormatting>
  <conditionalFormatting sqref="T2:AS2 CH2:CS2">
    <cfRule type="cellIs" dxfId="4039" priority="39" stopIfTrue="1" operator="equal">
      <formula>"n"</formula>
    </cfRule>
    <cfRule type="cellIs" dxfId="4038" priority="40" stopIfTrue="1" operator="equal">
      <formula>"y"</formula>
    </cfRule>
    <cfRule type="cellIs" dxfId="4037" priority="41" operator="greaterThan">
      <formula>0</formula>
    </cfRule>
  </conditionalFormatting>
  <conditionalFormatting sqref="AZ2:BB2">
    <cfRule type="expression" dxfId="4036" priority="38">
      <formula>$AT2=0</formula>
    </cfRule>
  </conditionalFormatting>
  <conditionalFormatting sqref="AZ2:BU2">
    <cfRule type="cellIs" dxfId="4035" priority="47" operator="equal">
      <formula>"PIN"</formula>
    </cfRule>
    <cfRule type="cellIs" dxfId="4034" priority="48" operator="equal">
      <formula>"ORA"</formula>
    </cfRule>
    <cfRule type="cellIs" dxfId="4033" priority="49" operator="equal">
      <formula>"GRA"</formula>
    </cfRule>
    <cfRule type="cellIs" dxfId="4032" priority="50" operator="equal">
      <formula>"PUR"</formula>
    </cfRule>
    <cfRule type="cellIs" dxfId="4031" priority="51" operator="equal">
      <formula>"BRO"</formula>
    </cfRule>
    <cfRule type="cellIs" dxfId="4030" priority="52" operator="equal">
      <formula>"YEL"</formula>
    </cfRule>
    <cfRule type="cellIs" dxfId="4029" priority="53" operator="equal">
      <formula>"BLU"</formula>
    </cfRule>
    <cfRule type="cellIs" dxfId="4028" priority="54" operator="equal">
      <formula>"WHI"</formula>
    </cfRule>
    <cfRule type="cellIs" dxfId="4027" priority="55" operator="equal">
      <formula>"GRE"</formula>
    </cfRule>
    <cfRule type="cellIs" dxfId="4026" priority="56" operator="equal">
      <formula>"RED"</formula>
    </cfRule>
    <cfRule type="cellIs" dxfId="4025" priority="57" operator="equal">
      <formula>"BLA"</formula>
    </cfRule>
  </conditionalFormatting>
  <conditionalFormatting sqref="BV2:BW2">
    <cfRule type="cellIs" dxfId="4024" priority="69" operator="equal">
      <formula>"nc"</formula>
    </cfRule>
  </conditionalFormatting>
  <conditionalFormatting sqref="BX2:CA2 CD2:CF2">
    <cfRule type="cellIs" dxfId="4023" priority="43" operator="equal">
      <formula>"y"</formula>
    </cfRule>
    <cfRule type="cellIs" dxfId="4022" priority="58" operator="equal">
      <formula>"PIN"</formula>
    </cfRule>
    <cfRule type="cellIs" dxfId="4021" priority="59" operator="equal">
      <formula>"ORA"</formula>
    </cfRule>
    <cfRule type="cellIs" dxfId="4020" priority="60" operator="equal">
      <formula>"GRA"</formula>
    </cfRule>
    <cfRule type="cellIs" dxfId="4019" priority="61" operator="equal">
      <formula>"PUR"</formula>
    </cfRule>
    <cfRule type="cellIs" dxfId="4018" priority="62" operator="equal">
      <formula>"BRO"</formula>
    </cfRule>
    <cfRule type="cellIs" dxfId="4017" priority="63" operator="equal">
      <formula>"YEL"</formula>
    </cfRule>
    <cfRule type="cellIs" dxfId="4016" priority="64" operator="equal">
      <formula>"BLU"</formula>
    </cfRule>
    <cfRule type="cellIs" dxfId="4015" priority="65" operator="equal">
      <formula>"WHI"</formula>
    </cfRule>
    <cfRule type="cellIs" dxfId="4014" priority="66" operator="equal">
      <formula>"GRE"</formula>
    </cfRule>
    <cfRule type="cellIs" dxfId="4013" priority="67" operator="equal">
      <formula>"RED"</formula>
    </cfRule>
    <cfRule type="cellIs" dxfId="4012" priority="68" operator="equal">
      <formula>"BLA"</formula>
    </cfRule>
  </conditionalFormatting>
  <conditionalFormatting sqref="BZ2:CA2 CD2:CF2">
    <cfRule type="cellIs" dxfId="4011" priority="45" operator="greaterThan">
      <formula>0</formula>
    </cfRule>
  </conditionalFormatting>
  <conditionalFormatting sqref="IC2:IK2">
    <cfRule type="expression" dxfId="4010"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1535" priority="6" stopIfTrue="1" operator="notEqual">
      <formula>""</formula>
    </cfRule>
  </conditionalFormatting>
  <conditionalFormatting sqref="R3 CU3">
    <cfRule type="cellIs" dxfId="1534" priority="8" operator="greaterThan">
      <formula>0</formula>
    </cfRule>
  </conditionalFormatting>
  <conditionalFormatting sqref="T3:AS3 CH3:CS3">
    <cfRule type="cellIs" dxfId="1533" priority="3" stopIfTrue="1" operator="equal">
      <formula>"n"</formula>
    </cfRule>
    <cfRule type="cellIs" dxfId="1532" priority="4" stopIfTrue="1" operator="equal">
      <formula>"y"</formula>
    </cfRule>
    <cfRule type="cellIs" dxfId="1531" priority="5" operator="greaterThan">
      <formula>0</formula>
    </cfRule>
  </conditionalFormatting>
  <conditionalFormatting sqref="AZ3:BB3">
    <cfRule type="expression" dxfId="1530" priority="2">
      <formula>$AT3=0</formula>
    </cfRule>
  </conditionalFormatting>
  <conditionalFormatting sqref="AZ3:BU3">
    <cfRule type="cellIs" dxfId="1529" priority="11" operator="equal">
      <formula>"PIN"</formula>
    </cfRule>
    <cfRule type="cellIs" dxfId="1528" priority="12" operator="equal">
      <formula>"ORA"</formula>
    </cfRule>
    <cfRule type="cellIs" dxfId="1527" priority="13" operator="equal">
      <formula>"GRA"</formula>
    </cfRule>
    <cfRule type="cellIs" dxfId="1526" priority="14" operator="equal">
      <formula>"PUR"</formula>
    </cfRule>
    <cfRule type="cellIs" dxfId="1525" priority="15" operator="equal">
      <formula>"BRO"</formula>
    </cfRule>
    <cfRule type="cellIs" dxfId="1524" priority="16" operator="equal">
      <formula>"YEL"</formula>
    </cfRule>
    <cfRule type="cellIs" dxfId="1523" priority="17" operator="equal">
      <formula>"BLU"</formula>
    </cfRule>
    <cfRule type="cellIs" dxfId="1522" priority="18" operator="equal">
      <formula>"WHI"</formula>
    </cfRule>
    <cfRule type="cellIs" dxfId="1521" priority="19" operator="equal">
      <formula>"GRE"</formula>
    </cfRule>
    <cfRule type="cellIs" dxfId="1520" priority="20" operator="equal">
      <formula>"RED"</formula>
    </cfRule>
    <cfRule type="cellIs" dxfId="1519" priority="21" operator="equal">
      <formula>"BLA"</formula>
    </cfRule>
  </conditionalFormatting>
  <conditionalFormatting sqref="BV3:BW3">
    <cfRule type="cellIs" dxfId="1518" priority="33" operator="equal">
      <formula>"nc"</formula>
    </cfRule>
  </conditionalFormatting>
  <conditionalFormatting sqref="BX3:CA3 CD3:CF3">
    <cfRule type="cellIs" dxfId="1517" priority="7" operator="equal">
      <formula>"y"</formula>
    </cfRule>
    <cfRule type="cellIs" dxfId="1516" priority="22" operator="equal">
      <formula>"PIN"</formula>
    </cfRule>
    <cfRule type="cellIs" dxfId="1515" priority="23" operator="equal">
      <formula>"ORA"</formula>
    </cfRule>
    <cfRule type="cellIs" dxfId="1514" priority="24" operator="equal">
      <formula>"GRA"</formula>
    </cfRule>
    <cfRule type="cellIs" dxfId="1513" priority="25" operator="equal">
      <formula>"PUR"</formula>
    </cfRule>
    <cfRule type="cellIs" dxfId="1512" priority="26" operator="equal">
      <formula>"BRO"</formula>
    </cfRule>
    <cfRule type="cellIs" dxfId="1511" priority="27" operator="equal">
      <formula>"YEL"</formula>
    </cfRule>
    <cfRule type="cellIs" dxfId="1510" priority="28" operator="equal">
      <formula>"BLU"</formula>
    </cfRule>
    <cfRule type="cellIs" dxfId="1509" priority="29" operator="equal">
      <formula>"WHI"</formula>
    </cfRule>
    <cfRule type="cellIs" dxfId="1508" priority="30" operator="equal">
      <formula>"GRE"</formula>
    </cfRule>
    <cfRule type="cellIs" dxfId="1507" priority="31" operator="equal">
      <formula>"RED"</formula>
    </cfRule>
    <cfRule type="cellIs" dxfId="1506" priority="32" operator="equal">
      <formula>"BLA"</formula>
    </cfRule>
  </conditionalFormatting>
  <conditionalFormatting sqref="BZ3:CA3 CD3:CF3">
    <cfRule type="cellIs" dxfId="1505" priority="9" operator="greaterThan">
      <formula>0</formula>
    </cfRule>
  </conditionalFormatting>
  <conditionalFormatting sqref="IC3:IK3">
    <cfRule type="expression" dxfId="1504" priority="10">
      <formula>$IL3&gt;0</formula>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conditionalFormatting sqref="J3">
    <cfRule type="colorScale" priority="1">
      <colorScale>
        <cfvo type="min"/>
        <cfvo type="percentile" val="50"/>
        <cfvo type="max"/>
        <color rgb="FFF8696B"/>
        <color rgb="FFFFEB84"/>
        <color rgb="FF63BE7B"/>
      </colorScale>
    </cfRule>
  </conditionalFormatting>
  <hyperlinks>
    <hyperlink ref="A2" r:id="rId1" display="https://fbref.com/en/country/ZIM/Zimbabwe-Football" xr:uid="{848BB990-D003-41C9-95F8-1A94BE9A5E1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DE37B-FB1D-4EF3-8947-4F190770D1AA}">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225</v>
      </c>
      <c r="B2" s="40" t="e" vm="83">
        <v>#VALUE!</v>
      </c>
      <c r="C2" s="41">
        <v>1</v>
      </c>
      <c r="D2" s="42" t="s">
        <v>226</v>
      </c>
      <c r="E2" s="43" t="s">
        <v>227</v>
      </c>
      <c r="F2" s="44" t="s">
        <v>166</v>
      </c>
      <c r="G2" s="45">
        <f>COUNTIF($A$1:$A$8278,A2)</f>
        <v>1</v>
      </c>
      <c r="H2" s="46"/>
      <c r="I2" s="47" t="s">
        <v>228</v>
      </c>
      <c r="J2" s="48" t="str">
        <f>""</f>
        <v/>
      </c>
      <c r="K2" s="49">
        <v>813000</v>
      </c>
      <c r="L2" s="50">
        <v>315000</v>
      </c>
      <c r="M2" s="50" t="s">
        <v>229</v>
      </c>
      <c r="N2" s="51" t="s">
        <v>169</v>
      </c>
      <c r="O2" s="52" t="s">
        <v>230</v>
      </c>
      <c r="P2" s="53" t="s">
        <v>231</v>
      </c>
      <c r="Q2" s="54">
        <v>1</v>
      </c>
      <c r="R2" s="55" t="s">
        <v>169</v>
      </c>
      <c r="S2" s="56">
        <v>0</v>
      </c>
      <c r="T2" s="57" t="s">
        <v>173</v>
      </c>
      <c r="U2" s="58" t="s">
        <v>172</v>
      </c>
      <c r="V2" s="58" t="s">
        <v>172</v>
      </c>
      <c r="W2" s="58" t="s">
        <v>172</v>
      </c>
      <c r="X2" s="58" t="s">
        <v>172</v>
      </c>
      <c r="Y2" s="58" t="s">
        <v>172</v>
      </c>
      <c r="Z2" s="58" t="s">
        <v>172</v>
      </c>
      <c r="AA2" s="58" t="s">
        <v>172</v>
      </c>
      <c r="AB2" s="58" t="s">
        <v>172</v>
      </c>
      <c r="AC2" s="58" t="s">
        <v>172</v>
      </c>
      <c r="AD2" s="58" t="s">
        <v>172</v>
      </c>
      <c r="AE2" s="58" t="s">
        <v>172</v>
      </c>
      <c r="AF2" s="59" t="s">
        <v>173</v>
      </c>
      <c r="AG2" s="59" t="s">
        <v>172</v>
      </c>
      <c r="AH2" s="59" t="s">
        <v>172</v>
      </c>
      <c r="AI2" s="59" t="s">
        <v>172</v>
      </c>
      <c r="AJ2" s="59" t="s">
        <v>172</v>
      </c>
      <c r="AK2" s="59" t="s">
        <v>172</v>
      </c>
      <c r="AL2" s="59" t="s">
        <v>172</v>
      </c>
      <c r="AM2" s="59" t="s">
        <v>172</v>
      </c>
      <c r="AN2" s="59" t="s">
        <v>172</v>
      </c>
      <c r="AO2" s="59" t="s">
        <v>172</v>
      </c>
      <c r="AP2" s="59" t="s">
        <v>172</v>
      </c>
      <c r="AQ2" s="59" t="s">
        <v>172</v>
      </c>
      <c r="AR2" s="59" t="s">
        <v>172</v>
      </c>
      <c r="AS2" s="59" t="s">
        <v>172</v>
      </c>
      <c r="AT2" s="60">
        <v>0</v>
      </c>
      <c r="AU2" s="59"/>
      <c r="AV2" s="59" t="str">
        <f>IF(LEFT(A2,1)="[",LEFT(A2,5)&amp;AU2&amp;A2,"")</f>
        <v/>
      </c>
      <c r="AW2" s="59" t="str">
        <f>C2&amp;A2</f>
        <v>1Guyana</v>
      </c>
      <c r="AX2" s="61"/>
      <c r="AY2" s="61"/>
      <c r="AZ2" s="62" t="s">
        <v>159</v>
      </c>
      <c r="BA2" s="62" t="s">
        <v>174</v>
      </c>
      <c r="BB2" s="62"/>
      <c r="BC2" s="63"/>
      <c r="BD2" s="64" t="s">
        <v>151</v>
      </c>
      <c r="BE2" s="47"/>
      <c r="BF2" s="64" t="s">
        <v>152</v>
      </c>
      <c r="BG2" s="64" t="s">
        <v>174</v>
      </c>
      <c r="BH2" s="64" t="s">
        <v>153</v>
      </c>
      <c r="BI2" s="64"/>
      <c r="BJ2" s="64"/>
      <c r="BK2" s="47"/>
      <c r="BL2" s="64" t="s">
        <v>151</v>
      </c>
      <c r="BM2" s="64" t="s">
        <v>152</v>
      </c>
      <c r="BN2" s="64" t="s">
        <v>153</v>
      </c>
      <c r="BO2" s="64" t="s">
        <v>174</v>
      </c>
      <c r="BP2" s="64" t="s">
        <v>155</v>
      </c>
      <c r="BQ2" s="64" t="s">
        <v>174</v>
      </c>
      <c r="BR2" s="64" t="s">
        <v>174</v>
      </c>
      <c r="BS2" s="64" t="s">
        <v>174</v>
      </c>
      <c r="BT2" s="64" t="s">
        <v>159</v>
      </c>
      <c r="BU2" s="65" t="s">
        <v>172</v>
      </c>
      <c r="BV2" s="66"/>
      <c r="BW2" s="66">
        <v>0</v>
      </c>
      <c r="BX2" s="47"/>
      <c r="CB2" s="6"/>
      <c r="CC2" s="6"/>
      <c r="CD2" s="67">
        <v>1</v>
      </c>
      <c r="CE2" s="67">
        <v>0</v>
      </c>
      <c r="CF2" s="67" t="e">
        <v>#REF!</v>
      </c>
      <c r="CG2" s="68" cm="1">
        <f t="array" ref="CG2">SUMPRODUCT(--(LEN(TRIM(BL2:BT2))&gt;0))</f>
        <v>5</v>
      </c>
      <c r="CH2" s="59" t="str">
        <f t="shared" ref="CH2" si="0">IF(CG2=2,"y","n")</f>
        <v>n</v>
      </c>
      <c r="CI2" s="59" t="str">
        <f t="shared" ref="CI2" si="1">IF(CG2=3,"y","n")</f>
        <v>n</v>
      </c>
      <c r="CJ2" s="59" t="str">
        <f t="shared" ref="CJ2" si="2">IF(CG2=4,"y","n")</f>
        <v>n</v>
      </c>
      <c r="CK2" s="59" t="str">
        <f t="shared" ref="CK2" si="3">IF(CG2&gt;4,"y","n")</f>
        <v>y</v>
      </c>
      <c r="CL2" s="59" t="str">
        <f t="shared" ref="CL2" si="4">IF(S2=0,"y","n")</f>
        <v>y</v>
      </c>
      <c r="CM2" s="59" t="str">
        <f t="shared" ref="CM2" si="5">IF(S2=2,"y","n")</f>
        <v>n</v>
      </c>
      <c r="CN2" s="59" t="str">
        <f t="shared" ref="CN2" si="6">IF(S2=3,"y","n")</f>
        <v>n</v>
      </c>
      <c r="CO2" s="59" t="str">
        <f t="shared" ref="CO2" si="7">IF(S2&gt;=4,"y","n")</f>
        <v>n</v>
      </c>
      <c r="CP2" s="59" t="str">
        <f t="shared" ref="CP2" si="8">IF(AT2=0,"y","n")</f>
        <v>y</v>
      </c>
      <c r="CQ2" s="59" t="str">
        <f t="shared" ref="CQ2" si="9">IF(AT2=1,"y","n")</f>
        <v>n</v>
      </c>
      <c r="CR2" s="59" t="str">
        <f t="shared" ref="CR2" si="10">IF(AT2=2,"y","n")</f>
        <v>n</v>
      </c>
      <c r="CS2" s="59" t="str">
        <f t="shared" ref="CS2" si="11">IF(AT2&gt;=3,"y","n")</f>
        <v>n</v>
      </c>
      <c r="CT2" s="69" t="str">
        <f t="shared" ref="CT2" si="12">CHAR(34)&amp;A2&amp;CHAR(34)</f>
        <v>"Guyana"</v>
      </c>
      <c r="CU2" s="70" t="str">
        <f t="shared" ref="CU2" si="13">CHAR(34)&amp;"rgn_"&amp;R2&amp;CHAR(34)</f>
        <v>"rgn_South America"</v>
      </c>
      <c r="CV2" s="48" t="str">
        <f t="shared" ref="CV2" si="14">CHAR(34)&amp;D2&amp;CHAR(34)</f>
        <v>"https://i.ibb.co/XY6jnk1/Guyana-Flag.png"</v>
      </c>
      <c r="CW2" s="48" t="str">
        <f t="shared" ref="CW2:CZ3" si="15">IF(CH2="y",CHAR(34)&amp;CH$1&amp;CHAR(34)&amp;",","")</f>
        <v/>
      </c>
      <c r="CX2" s="48" t="str">
        <f t="shared" si="15"/>
        <v/>
      </c>
      <c r="CY2" s="48" t="str">
        <f t="shared" si="15"/>
        <v/>
      </c>
      <c r="CZ2" s="48" t="str">
        <f t="shared" si="15"/>
        <v>"5+Colo",</v>
      </c>
      <c r="DA2" s="48" t="str">
        <f t="shared" ref="DA2" si="16">IF(Q2&gt;1,CHAR(34)&amp;"words2"&amp;CHAR(34)&amp;",","")</f>
        <v/>
      </c>
      <c r="DB2" s="48" t="str">
        <f t="shared" ref="DB2" si="17">IF(Q2&gt;2,CHAR(34)&amp;"words3"&amp;CHAR(34)&amp;",","")</f>
        <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"lets06",</v>
      </c>
      <c r="DE2" s="48" t="str">
        <f>CHAR(34)&amp;"start"&amp;IFERROR(LEFT(SUBSTITUTE(A2,"["&amp;MID(A2,FIND("[",A2)+1,FIND("]",A2)-FIND("[",A2)-1)&amp;"] ",""),1),LEFT(A2,1))&amp;CHAR(34)&amp;","</f>
        <v>"startG",</v>
      </c>
      <c r="DF2" s="48" t="str">
        <f t="shared" ref="DF2" si="18">IFERROR(IF(SEARCH("tan",A2)&gt;0,CHAR(34)&amp;"withtn"&amp;CHAR(34)&amp;",",""),"")</f>
        <v/>
      </c>
      <c r="DG2" s="48" t="str">
        <f t="shared" ref="DG2" si="19">IFERROR(IF(SEARCH("q",A2)&gt;0,CHAR(34)&amp;"with_q"&amp;CHAR(34)&amp;",",""),"")</f>
        <v/>
      </c>
      <c r="DH2" s="48" t="str">
        <f t="shared" ref="DH2" si="20">IFERROR(IF(SEARCH("v",A2)&gt;0,CHAR(34)&amp;"with_v"&amp;CHAR(34)&amp;",",""),"")</f>
        <v/>
      </c>
      <c r="DI2" s="48" t="str">
        <f t="shared" ref="DI2" si="21">IFERROR(IF(SEARCH("w",A2)&gt;0,CHAR(34)&amp;"with_w"&amp;CHAR(34)&amp;",",""),"")</f>
        <v/>
      </c>
      <c r="DJ2" s="48" t="str">
        <f t="shared" ref="DJ2" si="22">IFERROR(IF(SEARCH("y",A2)&gt;0,CHAR(34)&amp;"with_y"&amp;CHAR(34)&amp;",",""),"")</f>
        <v>"with_y",</v>
      </c>
      <c r="DK2" s="48" t="str">
        <f t="shared" ref="DK2" si="23">IFERROR(IF(SEARCH("z",A2)&gt;0,CHAR(34)&amp;"with_z"&amp;CHAR(34)&amp;",",""),"")</f>
        <v/>
      </c>
      <c r="DL2" s="48" t="str">
        <f t="shared" ref="DL2" si="24">IF(CG2=2, CHAR(34) &amp; _xlfn.TEXTJOIN("", TRUE, _xlfn._xlws.SORT(HP2:HX2)) &amp; CHAR(34) &amp; ",", "")</f>
        <v/>
      </c>
      <c r="DM2" s="48" t="str" cm="1">
        <f t="array" ref="DM2">IF(CG2=3,CHAR(34) &amp; _xlfn.TEXTJOIN("", TRUE, RIGHT(HP2:HX2, 2)) &amp; CHAR(34) &amp; ",", "")</f>
        <v/>
      </c>
      <c r="DN2" s="48" t="str">
        <f t="shared" ref="DN2" si="25">IF(AND(ISNUMBER(SEARCH("18", O2)), ISERROR(SEARCH("1918", O2)), ISERROR(SEARCH("2018", O2))), CHAR(34) &amp; "year18" &amp; CHAR(34) &amp; ",", "")</f>
        <v/>
      </c>
      <c r="DO2" s="48" t="str">
        <f t="shared" ref="DO2" si="26">IF(AND(ISNUMBER(SEARCH("19", O2)), ISERROR(SEARCH("1819", O2)),  ISERROR(SEARCH("1219", O2)),ISERROR(SEARCH("1119", O2)),ISERROR(SEARCH("1190", O2)),ISERROR(SEARCH("2019", O2))), CHAR(34) &amp; "year19" &amp; CHAR(34) &amp; ",", "")</f>
        <v>"year19",</v>
      </c>
      <c r="DP2" s="6" t="str">
        <f t="shared" ref="DP2" si="27">IF(AND(ISNUMBER(SEARCH("20", O2)), ISERROR(SEARCH("1920", O2))), CHAR(34)&amp;"year00"&amp;CHAR(34)&amp;",", "")</f>
        <v/>
      </c>
      <c r="DQ2" s="6" t="str">
        <f t="shared" ref="DQ2" si="28">IF(CC2="y",CHAR(34)&amp;"soviet"&amp;CHAR(34)&amp;",","")</f>
        <v/>
      </c>
      <c r="DR2" s="6" t="str">
        <f t="shared" ref="DR2" si="29">IF(BY2="y",CHAR(34)&amp;"dgband"&amp;CHAR(34)&amp;",","")</f>
        <v/>
      </c>
      <c r="DS2" s="6" t="str">
        <f t="shared" ref="DS2" si="30">IF(W2="y",IF(AND(V2="n",BY2&lt;&gt;"y"),CHAR(34)&amp;"allver"&amp;CHAR(34)&amp;",",""),"")</f>
        <v/>
      </c>
      <c r="DT2" s="6" t="str">
        <f t="shared" ref="DT2" si="31">IF(V2="y",IF(AND(W2="n",BY2&lt;&gt;"y"),CHAR(34)&amp;"allhor"&amp;CHAR(34)&amp;",",""),"")</f>
        <v/>
      </c>
      <c r="DU2" s="6" t="str">
        <f t="shared" ref="DU2" si="32">IF(BY2="y",IF(AND(W2="n",V2="n"),CHAR(34)&amp;"alldia"&amp;CHAR(34)&amp;",",""),"")</f>
        <v/>
      </c>
      <c r="DW2" s="48" t="str">
        <f t="shared" ref="DW2:DZ3" si="33">IF(CL2="y",CHAR(34)&amp;CL$1&amp;CHAR(34)&amp;",","")</f>
        <v>"NoBand",</v>
      </c>
      <c r="DX2" s="48" t="str">
        <f t="shared" si="33"/>
        <v/>
      </c>
      <c r="DY2" s="48" t="str">
        <f t="shared" si="33"/>
        <v/>
      </c>
      <c r="DZ2" s="48" t="str">
        <f t="shared" si="33"/>
        <v/>
      </c>
      <c r="EA2" s="48" t="str">
        <f t="shared" ref="EA2:EE3" si="34">IF(T2="y",CHAR(34)&amp;T$1&amp;CHAR(34)&amp;",","")</f>
        <v>"Diagon",</v>
      </c>
      <c r="EB2" s="48" t="str">
        <f t="shared" si="34"/>
        <v/>
      </c>
      <c r="EC2" s="48" t="str">
        <f t="shared" si="34"/>
        <v/>
      </c>
      <c r="ED2" s="48" t="str">
        <f t="shared" si="34"/>
        <v/>
      </c>
      <c r="EE2" s="48" t="str">
        <f t="shared" si="34"/>
        <v/>
      </c>
      <c r="EF2" s="48" t="str">
        <f t="shared" ref="EF2" si="35">IF(AND(Y2&lt;&gt;"n",Y2&lt;&gt;""),CHAR(34)&amp;Y$1&amp;CHAR(34)&amp;",","")</f>
        <v/>
      </c>
      <c r="EG2" s="48" t="str">
        <f t="shared" ref="EG2:EZ3" si="36">IF(Z2="y",CHAR(34)&amp;Z$1&amp;CHAR(34)&amp;",","")</f>
        <v/>
      </c>
      <c r="EH2" s="48" t="str">
        <f t="shared" si="36"/>
        <v/>
      </c>
      <c r="EI2" s="48" t="str">
        <f t="shared" si="36"/>
        <v/>
      </c>
      <c r="EJ2" s="48" t="str">
        <f t="shared" si="36"/>
        <v/>
      </c>
      <c r="EK2" s="48" t="str">
        <f t="shared" si="36"/>
        <v/>
      </c>
      <c r="EL2" s="48" t="str">
        <f t="shared" si="36"/>
        <v/>
      </c>
      <c r="EM2" s="48" t="str">
        <f t="shared" si="36"/>
        <v>"Trside",</v>
      </c>
      <c r="EN2" s="48" t="str">
        <f t="shared" si="36"/>
        <v/>
      </c>
      <c r="EO2" s="48" t="str">
        <f t="shared" si="36"/>
        <v/>
      </c>
      <c r="EP2" s="48" t="str">
        <f t="shared" si="36"/>
        <v/>
      </c>
      <c r="EQ2" s="48" t="str">
        <f t="shared" si="36"/>
        <v/>
      </c>
      <c r="ER2" s="48" t="str">
        <f t="shared" si="36"/>
        <v/>
      </c>
      <c r="ES2" s="48" t="str">
        <f t="shared" si="36"/>
        <v/>
      </c>
      <c r="ET2" s="48" t="str">
        <f t="shared" si="36"/>
        <v/>
      </c>
      <c r="EU2" s="48" t="str">
        <f t="shared" si="36"/>
        <v/>
      </c>
      <c r="EV2" s="48" t="str">
        <f t="shared" si="36"/>
        <v/>
      </c>
      <c r="EW2" s="48" t="str">
        <f t="shared" si="36"/>
        <v/>
      </c>
      <c r="EX2" s="48" t="str">
        <f t="shared" si="36"/>
        <v/>
      </c>
      <c r="EY2" s="48" t="str">
        <f t="shared" si="36"/>
        <v/>
      </c>
      <c r="EZ2" s="48" t="str">
        <f t="shared" si="36"/>
        <v/>
      </c>
      <c r="FA2" s="48" t="str">
        <f t="shared" ref="FA2" si="37">IF(AT2&gt;0,CHAR(34)&amp;"sta"&amp;AZ2&amp;CHAR(34)&amp;",","")</f>
        <v/>
      </c>
      <c r="FB2" s="48" t="str">
        <f t="shared" ref="FB2" si="38">IF(AND(AT2&gt;0,BA2&lt;&gt;""),CHAR(34)&amp;"sta"&amp;BA2&amp;CHAR(34)&amp;",","")</f>
        <v/>
      </c>
      <c r="FD2" s="48" t="str">
        <f t="shared" ref="FD2" si="39">IF(BV2="n",CHAR(34)&amp;"tcWHYE"&amp;CHAR(34)&amp;",",IF(BV2="y",CHAR(34)&amp;FD$1&amp;CHAR(34)&amp;",",""))</f>
        <v/>
      </c>
      <c r="FE2" s="48" t="str">
        <f t="shared" ref="FE2" si="40">IF(COUNTIF(BL2:BT2,"BLU")=0,CHAR(34)&amp;"NO_BLU"&amp;CHAR(34)&amp;",", "")</f>
        <v/>
      </c>
      <c r="FF2" s="48" t="str">
        <f t="shared" ref="FF2" si="41">IF(COUNTIF(BL2:BT2,"WHI")=0,CHAR(34)&amp;"NO_WHI"&amp;CHAR(34)&amp;",", "")</f>
        <v/>
      </c>
      <c r="FG2" s="48" t="str">
        <f t="shared" ref="FG2" si="42">IF(COUNTIF(BL2:BT2,"RED")=0,CHAR(34)&amp;"NO_RED"&amp;CHAR(34)&amp;",", "")</f>
        <v>"NO_RED",</v>
      </c>
      <c r="FH2" s="48" t="str">
        <f t="shared" ref="FH2" si="43">IF(COUNTIF(BL2:BS2,"GRE")=0,CHAR(34)&amp;"NO_GRE"&amp;CHAR(34)&amp;",", "")</f>
        <v/>
      </c>
      <c r="FI2" s="48" t="str">
        <f t="shared" ref="FI2" si="44">IF(COUNTIF(BL2:BT2,"YEL")=0,CHAR(34)&amp;"NO_YEL"&amp;CHAR(34)&amp;",", "")</f>
        <v/>
      </c>
      <c r="FJ2" s="48" t="str">
        <f t="shared" ref="FJ2" si="45">IF(COUNTIF(BL2:BT2,"BLA")=0,CHAR(34)&amp;"NO_BLA"&amp;CHAR(34)&amp;",", "")</f>
        <v/>
      </c>
      <c r="FK2" s="48" t="str">
        <f t="shared" ref="FK2" si="46">IF(AND(FH2&lt;&gt;"",FF2&lt;&gt;""),CHAR(34)&amp;"WHGRNO"&amp;CHAR(34)&amp;",","")</f>
        <v/>
      </c>
      <c r="FL2" s="48" t="str">
        <f t="shared" ref="FL2" si="47">IF(AND(FI2&lt;&gt;"",FF2&lt;&gt;""),CHAR(34)&amp;"WHYENO"&amp;CHAR(34)&amp;",","")</f>
        <v/>
      </c>
      <c r="FM2" s="48" t="str">
        <f t="shared" ref="FM2" si="48">IF(AND(FJ2&lt;&gt;"",FF2&lt;&gt;""),CHAR(34)&amp;"BAWHNO"&amp;CHAR(34)&amp;",","")</f>
        <v/>
      </c>
      <c r="FN2" s="48" t="str">
        <f t="shared" ref="FN2" si="49">IF(AND(FE2&lt;&gt;"",FF2&lt;&gt;""),CHAR(34)&amp;"BLWHNO"&amp;CHAR(34)&amp;",","")</f>
        <v/>
      </c>
      <c r="FO2" s="48" t="str">
        <f t="shared" ref="FO2" si="50">IF(AND(FE2&lt;&gt;"",FG2&lt;&gt;""),CHAR(34)&amp;"BLRENO"&amp;CHAR(34)&amp;",","")</f>
        <v/>
      </c>
      <c r="FP2" s="48" t="str">
        <f t="shared" ref="FP2" si="51">IF(AND(FF2&lt;&gt;"",FF2&lt;&gt;""),CHAR(34)&amp;"WHRENO"&amp;CHAR(34)&amp;",","")</f>
        <v/>
      </c>
      <c r="FQ2" s="48" t="str">
        <f t="shared" ref="FQ2" si="52">IF(LEN(BF2)=3,CHAR(34)&amp;"001"&amp;BF2&amp;CHAR(34)&amp;",","")</f>
        <v>"001BLU",</v>
      </c>
      <c r="FR2" s="48" t="str">
        <f t="shared" ref="FR2" si="53">IF(LEN(BG2)=3,CHAR(34)&amp;"002"&amp;BG2&amp;CHAR(34)&amp;",","")</f>
        <v/>
      </c>
      <c r="FS2" s="48" t="str">
        <f t="shared" ref="FS2" si="54">IF(LEN(BH2)=3,CHAR(34)&amp;"003"&amp;BH2&amp;CHAR(34)&amp;",","")</f>
        <v>"003GRE",</v>
      </c>
      <c r="FT2" s="48" t="str">
        <f t="shared" ref="FT2" si="55">CHAR(34)&amp;"myr"&amp;BD2&amp;CHAR(34)&amp;","</f>
        <v>"myrBLA",</v>
      </c>
      <c r="FU2" s="48" t="str">
        <f t="shared" ref="FU2" si="56">IF(AY2="y",CHAR(34)&amp;"island"&amp;CHAR(34)&amp;",","")</f>
        <v/>
      </c>
      <c r="FV2" s="48" t="str">
        <f t="shared" ref="FV2" si="57">IF(BZ2="y",CHAR(34)&amp;"landlo"&amp;CHAR(34)&amp;",","")</f>
        <v/>
      </c>
      <c r="FW2" s="48" t="str">
        <f t="shared" ref="FW2" si="58">IF(CA2="y",CHAR(34)&amp;"eunion"&amp;CHAR(34)&amp;",","")</f>
        <v/>
      </c>
      <c r="FY2" s="48" t="str">
        <f t="shared" ref="FY2" si="59">IFERROR(IF(SEARCH("Arabic",CB2)&gt;0,CHAR(34)&amp;"arabic"&amp;CHAR(34)&amp;",",""),"")</f>
        <v/>
      </c>
      <c r="FZ2" s="48" t="str">
        <f t="shared" ref="FZ2" si="60">IFERROR(IF(SEARCH("English",CB2)&gt;0,CHAR(34)&amp;"englis"&amp;CHAR(34)&amp;",",""),"")</f>
        <v/>
      </c>
      <c r="GA2" s="48" t="str">
        <f t="shared" ref="GA2" si="61">IFERROR(IF(SEARCH("French",CB2)&gt;0,CHAR(34)&amp;"french"&amp;CHAR(34)&amp;",",""),"")</f>
        <v/>
      </c>
      <c r="GB2" s="48" t="str">
        <f t="shared" ref="GB2" si="62">IFERROR(IF(SEARCH("Spanish",CB2)&gt;0,CHAR(34)&amp;"spanis"&amp;CHAR(34)&amp;",",""),"")</f>
        <v/>
      </c>
      <c r="GE2" s="48" t="str">
        <f t="shared" ref="GE2" si="63">IFERROR(IF(SEARCH("Dutch",CB2)&gt;0,CHAR(34)&amp;"dutchs"&amp;CHAR(34)&amp;",",""),"")</f>
        <v/>
      </c>
      <c r="GF2" s="48" t="str">
        <f>IFERROR(IF(SEARCH("Historical",AU2)&gt;0,CHAR(34)&amp;"histor"&amp;CHAR(34)&amp;",",""),"")</f>
        <v/>
      </c>
      <c r="GG2" s="48" t="str">
        <f t="shared" ref="GG2" si="64">IF(BU2="y",CHAR(34)&amp;"unjack"&amp;CHAR(34)&amp;",","")</f>
        <v/>
      </c>
      <c r="GH2" s="48" t="str">
        <f t="shared" ref="GH2" si="65">IF(CD2=1,CHAR(34)&amp;"southc"&amp;CHAR(34)&amp;",","")</f>
        <v>"southc",</v>
      </c>
      <c r="GI2" s="48" t="str">
        <f t="shared" ref="GI2" si="66">IF(CE2=1,CHAR(34)&amp;"hasmap"&amp;CHAR(34)&amp;",","")</f>
        <v/>
      </c>
      <c r="GJ2" s="48" t="str">
        <f t="shared" ref="GJ2" si="67">IF(CP2="y",CHAR(34)&amp;CP$1&amp;CHAR(34)&amp;",","")</f>
        <v>"NoStar",</v>
      </c>
      <c r="GK2" s="48" t="str">
        <f t="shared" ref="GK2" si="68">IF(GJ2="",CHAR(34)&amp;"HasSta"&amp;CHAR(34)&amp;",","")</f>
        <v/>
      </c>
      <c r="GL2" s="48" t="str">
        <f t="shared" ref="GL2:GN3" si="69">IF(CQ2="y",CHAR(34)&amp;CQ$1&amp;CHAR(34)&amp;",","")</f>
        <v/>
      </c>
      <c r="GM2" s="48" t="str">
        <f t="shared" si="69"/>
        <v/>
      </c>
      <c r="GN2" s="48" t="str">
        <f t="shared" si="69"/>
        <v/>
      </c>
      <c r="GP2" s="48" t="str">
        <f t="shared" ref="GP2" si="70">CHAR(34)&amp;AU2&amp;CHAR(34)</f>
        <v>""</v>
      </c>
      <c r="GS2" s="48" t="str">
        <f t="shared" ref="GS2" si="71">SUBSTITUTE("["&amp;_xlfn.CONCAT(CW2:GN2)&amp;"]",",]","]")</f>
        <v>["5+Colo","lets06","startG","with_y","year19","NoBand","Diagon","Trside","NO_RED","001BLU","003GRE","myrBLA","southc","NoStar"]</v>
      </c>
      <c r="GT2" s="48" t="str">
        <f t="shared" ref="GT2:HB3" si="72">IF(BL2&lt;&gt;"",CHAR(34)&amp;"cl_"&amp;BL2&amp;CHAR(34)&amp;",","")</f>
        <v>"cl_BLA",</v>
      </c>
      <c r="GU2" s="48" t="str">
        <f t="shared" si="72"/>
        <v>"cl_BLU",</v>
      </c>
      <c r="GV2" s="48" t="str">
        <f t="shared" si="72"/>
        <v>"cl_GRE",</v>
      </c>
      <c r="GW2" s="48" t="str">
        <f t="shared" si="72"/>
        <v/>
      </c>
      <c r="GX2" s="48" t="str">
        <f t="shared" si="72"/>
        <v>"cl_YEL",</v>
      </c>
      <c r="GY2" s="48" t="str">
        <f t="shared" si="72"/>
        <v/>
      </c>
      <c r="GZ2" s="48" t="str">
        <f t="shared" si="72"/>
        <v/>
      </c>
      <c r="HA2" s="48" t="str">
        <f t="shared" si="72"/>
        <v/>
      </c>
      <c r="HB2" s="48" t="str">
        <f t="shared" si="72"/>
        <v>"cl_WHI",</v>
      </c>
      <c r="HC2" s="48" t="str">
        <f t="shared" ref="HC2" si="73">SUBSTITUTE("["&amp;_xlfn.CONCAT(GT2:HB2)&amp;"]",",]","]")</f>
        <v>["cl_BLA","cl_BLU","cl_GRE","cl_YEL","cl_WHI"]</v>
      </c>
      <c r="HE2" s="71"/>
      <c r="HF2" s="72" t="str">
        <f t="shared" ref="HF2" si="74">"{couname:"&amp;CT2&amp;(IF(HK2&lt;&gt;"",",subtype:"&amp;CHAR(34)&amp;HK2&amp;CHAR(34),""))&amp;",year:"&amp;HJ2&amp;",region:"&amp;CU2&amp;",Colors:"&amp;HC2&amp;",Items:"&amp;GS2&amp;",Flag:"&amp;CV2&amp;",HDFlag:"&amp;CHAR(34)&amp;E2&amp;CHAR(34)&amp;",type:"&amp;GP2&amp;", describe: "&amp;HH2&amp;", isnew:"&amp;CHAR(34)&amp;F2&amp;CHAR(34)&amp;", links: "&amp;HL2&amp;"},"</f>
        <v>{couname:"Guyana",year:"1966 ",region:"rgn_South America",Colors:["cl_BLA","cl_BLU","cl_GRE","cl_YEL","cl_WHI"],Items:["5+Colo","lets06","startG","with_y","year19","NoBand","Diagon","Trside","NO_RED","001BLU","003GRE","myrBLA","southc","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isnew:".", links: "https://en.wikipedia.org/wiki/Flag_of_Guyana"},</v>
      </c>
      <c r="HG2" s="73" t="str">
        <f t="shared" ref="HG2" si="75">"{couname:"&amp;CT2&amp;(IF(HK2&lt;&gt;"",",subtype:"&amp;CHAR(34)&amp;HK2&amp;CHAR(34),""))&amp;",year:"&amp;HJ2&amp;",region:"&amp;CU2&amp;",Colors:"&amp;HC2&amp;",Items:"&amp;GS2&amp;",Flag:"&amp;CV2&amp;",HDFlag:"&amp;CHAR(34)&amp;E2&amp;CHAR(34)&amp;",type:"&amp;GP2&amp;", describe: "&amp;HI2&amp;", links: "&amp;HL2&amp;"},"</f>
        <v>{couname:"Guyana",year:"1966 ",region:"rgn_South America",Colors:["cl_BLA","cl_BLU","cl_GRE","cl_YEL","cl_WHI"],Items:["5+Colo","lets06","startG","with_y","year19","NoBand","Diagon","Trside","NO_RED","001BLU","003GRE","myrBLA","southc","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links: "https://en.wikipedia.org/wiki/Flag_of_Guyana"},</v>
      </c>
      <c r="HH2" s="48" t="str">
        <f t="shared" ref="HH2" si="76">IF(P2&lt;&gt;"",CHAR(34)&amp;"\n"&amp;P2&amp;CHAR(34),CHAR(34)&amp;CHAR(34))</f>
        <v>"\nRed for zeal and dynamism, gold for mineral wealth, green for agriculture and forests, black for endurance, white for rivers and water."</v>
      </c>
      <c r="HI2" s="48" t="str">
        <f t="shared" ref="HI2" si="77">IF(J2=0,CHAR(34)&amp;CHAR(34),HH2)</f>
        <v>"\nRed for zeal and dynamism, gold for mineral wealth, green for agriculture and forests, black for endurance, white for rivers and water."</v>
      </c>
      <c r="HJ2" s="48" t="str">
        <f t="shared" ref="HJ2" si="78">CHAR(34)&amp;O2&amp;CHAR(34)</f>
        <v>"1966 "</v>
      </c>
      <c r="HL2" s="48" t="str">
        <f t="shared" ref="HL2" si="79">CHAR(34)&amp;I2&amp;CHAR(34)</f>
        <v>"https://en.wikipedia.org/wiki/Flag_of_Guyana"</v>
      </c>
      <c r="HM2" s="72" t="str">
        <f t="shared" ref="HM2" si="8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{"couname":"Guyana","year":"1966 ","region":"rgn_South America","Colors":["cl_BLA","cl_BLU","cl_GRE","cl_YEL","cl_WHI"],"Items":["5+Colo","lets06","startG","with_y","year19","NoBand","Diagon","Trside","NO_RED","001BLU","003GRE","myrBLA","southc","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"isnew": ".", "links": "https://en.wikipedia.org/wiki/Flag_of_Guyana"},</v>
      </c>
      <c r="HN2" s="74" t="str">
        <f t="shared" ref="HN2" si="81">"{"&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{"couname":"Guyana","year":"1966 ","region":"rgn_South America","Colors":["cl_BLA","cl_BLU","cl_GRE","cl_YEL","cl_WHI"],"Items":["5+Colo","lets06","startG","with_y","year19","NoBand","Diagon","Trside","NO_RED","001BLU","003GRE","myrBLA","southc","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"isnew": ".", "links": "https://en.wikipedia.org/wiki/Flag_of_Guyana"},</v>
      </c>
      <c r="HO2" s="75">
        <v>45610</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M2" s="45">
        <f t="shared" ref="IM2" si="82">COUNTIF(IC2:IK2,"&gt;0")-CG2</f>
        <v>-5</v>
      </c>
      <c r="IN2" s="78" t="str">
        <f t="shared" ref="IN2" si="83">"http://mkweb.bcgsc.ca/color-summarizer/?url="&amp;D2&amp;"&amp;precision=low&amp;num_clusters="&amp;CG2&amp;"&amp;text=1"</f>
        <v>http://mkweb.bcgsc.ca/color-summarizer/?url=https://i.ibb.co/XY6jnk1/Guyana-Flag.png&amp;precision=low&amp;num_clusters=5&amp;text=1</v>
      </c>
      <c r="IO2" s="48" t="str">
        <f t="shared" ref="IO2" si="84">IF(HP2&lt;&gt;"",CHAR(34)&amp;"black"&amp;CHAR(34),"")</f>
        <v>"black"</v>
      </c>
      <c r="IP2" s="48" t="str">
        <f t="shared" ref="IP2" si="85">IF(HQ2&lt;&gt;"",CHAR(34)&amp;"blue"&amp;CHAR(34),"")</f>
        <v>"blue"</v>
      </c>
      <c r="IQ2" s="48" t="str">
        <f t="shared" ref="IQ2" si="86">IF(HR2&lt;&gt;"",CHAR(34)&amp;"green"&amp;CHAR(34),"")</f>
        <v>"green"</v>
      </c>
      <c r="IR2" s="48" t="str">
        <f t="shared" ref="IR2" si="87">IF(HS2&lt;&gt;"",CHAR(34)&amp;"red"&amp;CHAR(34),"")</f>
        <v/>
      </c>
      <c r="IS2" s="48" t="str">
        <f t="shared" ref="IS2" si="88">IF(HT2&lt;&gt;"",CHAR(34)&amp;"yellow"&amp;CHAR(34),"")</f>
        <v>"yellow"</v>
      </c>
      <c r="IT2" s="48" t="str">
        <f t="shared" ref="IT2" si="89">IF(HU2&lt;&gt;"",CHAR(34)&amp;"orange"&amp;CHAR(34),"")</f>
        <v/>
      </c>
      <c r="IU2" s="48" t="str">
        <f t="shared" ref="IU2" si="90">IF(HV2&lt;&gt;"",CHAR(34)&amp;"brown"&amp;CHAR(34),"")</f>
        <v/>
      </c>
      <c r="IV2" s="48" t="str">
        <f t="shared" ref="IV2" si="91">IF(HW2&lt;&gt;"",CHAR(34)&amp;"purple"&amp;CHAR(34),"")</f>
        <v/>
      </c>
      <c r="IW2" s="48" t="str">
        <f t="shared" ref="IW2" si="92">IF(HX2&lt;&gt;"",CHAR(34)&amp;"white"&amp;CHAR(34),"")</f>
        <v>"white"</v>
      </c>
      <c r="IX2" s="48" t="str">
        <f t="shared" ref="IX2" si="93">"{"&amp;CHAR(34)&amp;"url"&amp;CHAR(34)&amp;":"&amp;CHAR(34)&amp;IN2&amp;CHAR(34)&amp;","&amp;CHAR(34)&amp;"name"&amp;CHAR(34)&amp;":"&amp;CHAR(34)&amp;A2&amp;CHAR(34)&amp;"},"</f>
        <v>{"url":"http://mkweb.bcgsc.ca/color-summarizer/?url=https://i.ibb.co/XY6jnk1/Guyana-Flag.png&amp;precision=low&amp;num_clusters=5&amp;text=1","name":"Guyana"},</v>
      </c>
      <c r="IY2" s="48">
        <v>1244</v>
      </c>
    </row>
    <row r="3" spans="1:259" s="48" customFormat="1" ht="38.4" customHeight="1" thickBot="1" x14ac:dyDescent="0.35">
      <c r="A3" s="79" t="s">
        <v>642</v>
      </c>
      <c r="B3" s="40" t="e" vm="84">
        <v>#VALUE!</v>
      </c>
      <c r="C3" s="41">
        <v>2</v>
      </c>
      <c r="D3" s="42" t="s">
        <v>643</v>
      </c>
      <c r="E3" s="43" t="s">
        <v>644</v>
      </c>
      <c r="F3" s="44" t="s">
        <v>166</v>
      </c>
      <c r="G3" s="45">
        <f>COUNTIF($A$1:$A$8278,A3)</f>
        <v>1</v>
      </c>
      <c r="H3" s="46"/>
      <c r="I3" s="47" t="s">
        <v>645</v>
      </c>
      <c r="J3" s="48" t="str">
        <f>""</f>
        <v/>
      </c>
      <c r="K3" s="49"/>
      <c r="L3" s="50"/>
      <c r="M3" s="50"/>
      <c r="N3" s="51" t="s">
        <v>169</v>
      </c>
      <c r="O3" s="52" t="s">
        <v>557</v>
      </c>
      <c r="P3" s="53" t="s">
        <v>646</v>
      </c>
      <c r="Q3" s="54">
        <v>2</v>
      </c>
      <c r="R3" s="55" t="s">
        <v>169</v>
      </c>
      <c r="S3" s="56">
        <v>3</v>
      </c>
      <c r="T3" s="57" t="s">
        <v>172</v>
      </c>
      <c r="U3" s="58" t="s">
        <v>172</v>
      </c>
      <c r="V3" s="58" t="s">
        <v>173</v>
      </c>
      <c r="W3" s="58" t="s">
        <v>172</v>
      </c>
      <c r="X3" s="58" t="s">
        <v>172</v>
      </c>
      <c r="Y3" s="58" t="s">
        <v>172</v>
      </c>
      <c r="Z3" s="58" t="s">
        <v>172</v>
      </c>
      <c r="AA3" s="58" t="s">
        <v>172</v>
      </c>
      <c r="AB3" s="58" t="s">
        <v>172</v>
      </c>
      <c r="AC3" s="58" t="s">
        <v>172</v>
      </c>
      <c r="AD3" s="58" t="s">
        <v>172</v>
      </c>
      <c r="AE3" s="58" t="s">
        <v>172</v>
      </c>
      <c r="AF3" s="59" t="s">
        <v>172</v>
      </c>
      <c r="AG3" s="59" t="s">
        <v>172</v>
      </c>
      <c r="AH3" s="59" t="s">
        <v>172</v>
      </c>
      <c r="AI3" s="59" t="s">
        <v>172</v>
      </c>
      <c r="AJ3" s="59" t="s">
        <v>172</v>
      </c>
      <c r="AK3" s="59" t="s">
        <v>173</v>
      </c>
      <c r="AL3" s="59" t="s">
        <v>172</v>
      </c>
      <c r="AM3" s="59" t="s">
        <v>172</v>
      </c>
      <c r="AN3" s="59" t="s">
        <v>172</v>
      </c>
      <c r="AO3" s="59" t="s">
        <v>172</v>
      </c>
      <c r="AP3" s="59" t="s">
        <v>172</v>
      </c>
      <c r="AQ3" s="59" t="s">
        <v>172</v>
      </c>
      <c r="AR3" s="59" t="s">
        <v>172</v>
      </c>
      <c r="AS3" s="59" t="s">
        <v>172</v>
      </c>
      <c r="AT3" s="60">
        <v>0</v>
      </c>
      <c r="AU3" s="59" t="s">
        <v>553</v>
      </c>
      <c r="AV3" s="59" t="str">
        <f>IF(LEFT(A3,1)="[",LEFT(A3,5)&amp;AU3&amp;A3,"")</f>
        <v>[GUY]Region[GUY] Cuyuni-Mazaruni</v>
      </c>
      <c r="AW3" s="59" t="str">
        <f>C3&amp;A3</f>
        <v>2[GUY] Cuyuni-Mazaruni</v>
      </c>
      <c r="AX3" s="61"/>
      <c r="AY3" s="61"/>
      <c r="AZ3" s="62" t="s">
        <v>174</v>
      </c>
      <c r="BA3" s="62" t="s">
        <v>174</v>
      </c>
      <c r="BB3" s="62"/>
      <c r="BC3" s="63"/>
      <c r="BD3" s="64" t="s">
        <v>155</v>
      </c>
      <c r="BE3" s="47"/>
      <c r="BF3" s="64" t="s">
        <v>152</v>
      </c>
      <c r="BG3" s="64" t="s">
        <v>151</v>
      </c>
      <c r="BH3" s="64" t="s">
        <v>155</v>
      </c>
      <c r="BI3" s="64"/>
      <c r="BJ3" s="64"/>
      <c r="BK3" s="47"/>
      <c r="BL3" s="64" t="s">
        <v>151</v>
      </c>
      <c r="BM3" s="64" t="s">
        <v>152</v>
      </c>
      <c r="BN3" s="64" t="s">
        <v>153</v>
      </c>
      <c r="BO3" s="64" t="s">
        <v>154</v>
      </c>
      <c r="BP3" s="64" t="s">
        <v>155</v>
      </c>
      <c r="BQ3" s="64" t="s">
        <v>174</v>
      </c>
      <c r="BR3" s="64" t="s">
        <v>174</v>
      </c>
      <c r="BS3" s="64" t="s">
        <v>174</v>
      </c>
      <c r="BT3" s="64" t="s">
        <v>159</v>
      </c>
      <c r="BU3" s="65"/>
      <c r="BV3" s="66"/>
      <c r="BW3" s="66">
        <v>0</v>
      </c>
      <c r="BX3" s="47"/>
      <c r="BY3" s="48" t="s">
        <v>173</v>
      </c>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"[GUY] Cuyuni-Mazaruni"</v>
      </c>
      <c r="CU3" s="70" t="str">
        <f>CHAR(34)&amp;"rgn_"&amp;R3&amp;CHAR(34)</f>
        <v>"rgn_South America"</v>
      </c>
      <c r="CV3" s="48" t="str">
        <f>CHAR(34)&amp;D3&amp;CHAR(34)</f>
        <v>"https://upload.wikimedia.org/wikipedia/commons/thumb/7/7f/Yellow%2C_white%2C_green_flag.svg/800px-Yellow%2C_white%2C_green_flag.svg.png"</v>
      </c>
      <c r="CW3" s="48" t="str">
        <f t="shared" si="15"/>
        <v/>
      </c>
      <c r="CX3" s="48" t="str">
        <f t="shared" si="15"/>
        <v/>
      </c>
      <c r="CY3" s="48" t="str">
        <f t="shared" si="15"/>
        <v/>
      </c>
      <c r="CZ3" s="48" t="str">
        <f t="shared" si="15"/>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"lets14",</v>
      </c>
      <c r="DE3" s="48" t="str">
        <f>CHAR(34)&amp;"start"&amp;IFERROR(LEFT(SUBSTITUTE(A3,"["&amp;MID(A3,FIND("[",A3)+1,FIND("]",A3)-FIND("[",A3)-1)&amp;"] ",""),1),LEFT(A3,1))&amp;CHAR(34)&amp;","</f>
        <v>"startC",</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"with_z",</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"dgband",</v>
      </c>
      <c r="DS3" s="6" t="str">
        <f>IF(W3="y",IF(AND(V3="n",BY3&lt;&gt;"y"),CHAR(34)&amp;"allver"&amp;CHAR(34)&amp;",",""),"")</f>
        <v/>
      </c>
      <c r="DT3" s="6" t="str">
        <f>IF(V3="y",IF(AND(W3="n",BY3&lt;&gt;"y"),CHAR(34)&amp;"allhor"&amp;CHAR(34)&amp;",",""),"")</f>
        <v/>
      </c>
      <c r="DU3" s="6" t="str">
        <f>IF(BY3="y",IF(AND(W3="n",V3="n"),CHAR(34)&amp;"alldia"&amp;CHAR(34)&amp;",",""),"")</f>
        <v/>
      </c>
      <c r="DW3" s="48" t="str">
        <f t="shared" si="33"/>
        <v/>
      </c>
      <c r="DX3" s="48" t="str">
        <f t="shared" si="33"/>
        <v/>
      </c>
      <c r="DY3" s="48" t="str">
        <f t="shared" si="33"/>
        <v>"3Bands",</v>
      </c>
      <c r="DZ3" s="48" t="str">
        <f t="shared" si="33"/>
        <v/>
      </c>
      <c r="EA3" s="48" t="str">
        <f t="shared" si="34"/>
        <v/>
      </c>
      <c r="EB3" s="48" t="str">
        <f t="shared" si="34"/>
        <v/>
      </c>
      <c r="EC3" s="48" t="str">
        <f t="shared" si="34"/>
        <v>"Horizo",</v>
      </c>
      <c r="ED3" s="48" t="str">
        <f t="shared" si="34"/>
        <v/>
      </c>
      <c r="EE3" s="48" t="str">
        <f t="shared" si="34"/>
        <v/>
      </c>
      <c r="EF3" s="48" t="str">
        <f>IF(AND(Y3&lt;&gt;"n",Y3&lt;&gt;""),CHAR(34)&amp;Y$1&amp;CHAR(34)&amp;",","")</f>
        <v/>
      </c>
      <c r="EG3" s="48" t="str">
        <f t="shared" si="36"/>
        <v/>
      </c>
      <c r="EH3" s="48" t="str">
        <f t="shared" si="36"/>
        <v/>
      </c>
      <c r="EI3" s="48" t="str">
        <f t="shared" si="36"/>
        <v/>
      </c>
      <c r="EJ3" s="48" t="str">
        <f t="shared" si="36"/>
        <v/>
      </c>
      <c r="EK3" s="48" t="str">
        <f t="shared" si="36"/>
        <v/>
      </c>
      <c r="EL3" s="48" t="str">
        <f t="shared" si="36"/>
        <v/>
      </c>
      <c r="EM3" s="48" t="str">
        <f t="shared" si="36"/>
        <v/>
      </c>
      <c r="EN3" s="48" t="str">
        <f t="shared" si="36"/>
        <v/>
      </c>
      <c r="EO3" s="48" t="str">
        <f t="shared" si="36"/>
        <v/>
      </c>
      <c r="EP3" s="48" t="str">
        <f t="shared" si="36"/>
        <v/>
      </c>
      <c r="EQ3" s="48" t="str">
        <f t="shared" si="36"/>
        <v/>
      </c>
      <c r="ER3" s="48" t="str">
        <f t="shared" si="36"/>
        <v>"OnlyBa",</v>
      </c>
      <c r="ES3" s="48" t="str">
        <f t="shared" si="36"/>
        <v/>
      </c>
      <c r="ET3" s="48" t="str">
        <f t="shared" si="36"/>
        <v/>
      </c>
      <c r="EU3" s="48" t="str">
        <f t="shared" si="36"/>
        <v/>
      </c>
      <c r="EV3" s="48" t="str">
        <f t="shared" si="36"/>
        <v/>
      </c>
      <c r="EW3" s="48" t="str">
        <f t="shared" si="36"/>
        <v/>
      </c>
      <c r="EX3" s="48" t="str">
        <f t="shared" si="36"/>
        <v/>
      </c>
      <c r="EY3" s="48" t="str">
        <f t="shared" si="36"/>
        <v/>
      </c>
      <c r="EZ3" s="48" t="str">
        <f t="shared" si="36"/>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"002BLA",</v>
      </c>
      <c r="FS3" s="48" t="str">
        <f>IF(LEN(BH3)=3,CHAR(34)&amp;"003"&amp;BH3&amp;CHAR(34)&amp;",","")</f>
        <v>"003YEL",</v>
      </c>
      <c r="FT3" s="48" t="str">
        <f>CHAR(34)&amp;"myr"&amp;BD3&amp;CHAR(34)&amp;","</f>
        <v>"myrYEL",</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 t="shared" si="69"/>
        <v/>
      </c>
      <c r="GM3" s="48" t="str">
        <f t="shared" si="69"/>
        <v/>
      </c>
      <c r="GN3" s="48" t="str">
        <f t="shared" si="69"/>
        <v/>
      </c>
      <c r="GP3" s="48" t="str">
        <f>CHAR(34)&amp;AU3&amp;CHAR(34)</f>
        <v>"Region"</v>
      </c>
      <c r="GS3" s="48" t="str">
        <f>SUBSTITUTE("["&amp;_xlfn.CONCAT(CW3:GN3)&amp;"]",",]","]")</f>
        <v>["5+Colo","words2","lets14","startC","with_y","with_z","dgband","3Bands","Horizo","OnlyBa","001BLU","002BLA","003YEL","myrYEL","NoStar"]</v>
      </c>
      <c r="GT3" s="48" t="str">
        <f t="shared" si="72"/>
        <v>"cl_BLA",</v>
      </c>
      <c r="GU3" s="48" t="str">
        <f t="shared" si="72"/>
        <v>"cl_BLU",</v>
      </c>
      <c r="GV3" s="48" t="str">
        <f t="shared" si="72"/>
        <v>"cl_GRE",</v>
      </c>
      <c r="GW3" s="48" t="str">
        <f t="shared" si="72"/>
        <v>"cl_RED",</v>
      </c>
      <c r="GX3" s="48" t="str">
        <f t="shared" si="72"/>
        <v>"cl_YEL",</v>
      </c>
      <c r="GY3" s="48" t="str">
        <f t="shared" si="72"/>
        <v/>
      </c>
      <c r="GZ3" s="48" t="str">
        <f t="shared" si="72"/>
        <v/>
      </c>
      <c r="HA3" s="48" t="str">
        <f t="shared" si="72"/>
        <v/>
      </c>
      <c r="HB3" s="48" t="str">
        <f t="shared" si="72"/>
        <v>"cl_WHI",</v>
      </c>
      <c r="HC3" s="48" t="str">
        <f>SUBSTITUTE("["&amp;_xlfn.CONCAT(GT3:HB3)&amp;"]",",]","]")</f>
        <v>["cl_BLA","cl_BLU","cl_GRE","cl_RED","cl_YEL","cl_WHI"]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{couname:"[GUY] Cuyuni-Mazaruni",year:"???",region:"rgn_South America",Colors:["cl_BLA","cl_BLU","cl_GRE","cl_RED","cl_YEL","cl_WHI"],Items:["5+Colo","words2","lets14","startC","with_y","with_z","dgband","3Bands","Horizo","OnlyBa","001BLU","002BLA","003YEL","myrYEL","NoStar"],Flag:"https://upload.wikimedia.org/wikipedia/commons/thumb/7/7f/Yellow%2C_white%2C_green_flag.svg/800px-Yellow%2C_white%2C_green_flag.svg.png",HDFlag:"https://upload.wikimedia.org/wikipedia/commons/thumb/7/7f/Yellow%2C_white%2C_green_flag.svg/1500px-Yellow%2C_white%2C_green_flag.svg.png",type:"Region", describe: "\nN/A", isnew:".", links: "https://en.wikipedia.org/wiki/Cuyuni-Mazaruni"},</v>
      </c>
      <c r="HG3" s="73" t="str">
        <f>"{couname:"&amp;CT3&amp;(IF(HK3&lt;&gt;"",",subtype:"&amp;CHAR(34)&amp;HK3&amp;CHAR(34),""))&amp;",year:"&amp;HJ3&amp;",region:"&amp;CU3&amp;",Colors:"&amp;HC3&amp;",Items:"&amp;GS3&amp;",Flag:"&amp;CV3&amp;",HDFlag:"&amp;CHAR(34)&amp;E3&amp;CHAR(34)&amp;",type:"&amp;GP3&amp;", describe: "&amp;HI3&amp;", links: "&amp;HL3&amp;"},"</f>
        <v>{couname:"[GUY] Cuyuni-Mazaruni",year:"???",region:"rgn_South America",Colors:["cl_BLA","cl_BLU","cl_GRE","cl_RED","cl_YEL","cl_WHI"],Items:["5+Colo","words2","lets14","startC","with_y","with_z","dgband","3Bands","Horizo","OnlyBa","001BLU","002BLA","003YEL","myrYEL","NoStar"],Flag:"https://upload.wikimedia.org/wikipedia/commons/thumb/7/7f/Yellow%2C_white%2C_green_flag.svg/800px-Yellow%2C_white%2C_green_flag.svg.png",HDFlag:"https://upload.wikimedia.org/wikipedia/commons/thumb/7/7f/Yellow%2C_white%2C_green_flag.svg/1500px-Yellow%2C_white%2C_green_flag.svg.png",type:"Region", describe: "\nN/A", links: "https://en.wikipedia.org/wiki/Cuyuni-Mazaruni"},</v>
      </c>
      <c r="HH3" s="48" t="str">
        <f>IF(P3&lt;&gt;"",CHAR(34)&amp;"\n"&amp;P3&amp;CHAR(34),CHAR(34)&amp;CHAR(34))</f>
        <v>"\nN/A"</v>
      </c>
      <c r="HI3" s="48" t="str">
        <f>IF(J3=0,CHAR(34)&amp;CHAR(34),HH3)</f>
        <v>"\nN/A"</v>
      </c>
      <c r="HJ3" s="48" t="str">
        <f>CHAR(34)&amp;O3&amp;CHAR(34)</f>
        <v>"???"</v>
      </c>
      <c r="HL3" s="48" t="str">
        <f>CHAR(34)&amp;I3&amp;CHAR(34)</f>
        <v>"https://en.wikipedia.org/wiki/Cuyuni-Mazaruni"</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{"couname":"[GUY] Cuyuni-Mazaruni","year":"???","region":"rgn_South America","Colors":["cl_BLA","cl_BLU","cl_GRE","cl_RED","cl_YEL","cl_WHI"],"Items":["5+Colo","words2","lets14","startC","with_y","with_z","dgband","3Bands","Horizo","OnlyBa","001BLU","002BLA","003YEL","myrYEL","NoStar"],"Flag":"https://upload.wikimedia.org/wikipedia/commons/thumb/7/7f/Yellow%2C_white%2C_green_flag.svg/800px-Yellow%2C_white%2C_green_flag.svg.png","HDFlag":"https://upload.wikimedia.org/wikipedia/commons/thumb/7/7f/Yellow%2C_white%2C_green_flag.svg/1500px-Yellow%2C_white%2C_green_flag.svg.png","type":"Region", "describe": "\nN/A", "isnew": ".", "links": "https://en.wikipedia.org/wiki/Cuyuni-Mazaruni"},</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{"couname":"[GUY] Cuyuni-Mazaruni","year":"???","region":"rgn_South America","Colors":["cl_BLA","cl_BLU","cl_GRE","cl_RED","cl_YEL","cl_WHI"],"Items":["5+Colo","words2","lets14","startC","with_y","with_z","dgband","3Bands","Horizo","OnlyBa","001BLU","002BLA","003YEL","myrYEL","NoStar"],"Flag":"https://upload.wikimedia.org/wikipedia/commons/thumb/7/7f/Yellow%2C_white%2C_green_flag.svg/800px-Yellow%2C_white%2C_green_flag.svg.png","HDFlag":"https://upload.wikimedia.org/wikipedia/commons/thumb/7/7f/Yellow%2C_white%2C_green_flag.svg/1500px-Yellow%2C_white%2C_green_flag.svg.png","type":"Region", "describe": "\nN/A", "isnew": ".", "links": "https://en.wikipedia.org/wiki/Cuyuni-Mazaruni"},</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-6</v>
      </c>
      <c r="IN3" s="78" t="str">
        <f>"http://mkweb.bcgsc.ca/color-summarizer/?url="&amp;D3&amp;"&amp;precision=low&amp;num_clusters="&amp;CG3&amp;"&amp;text=1"</f>
        <v>http://mkweb.bcgsc.ca/color-summarizer/?url=https://upload.wikimedia.org/wikipedia/commons/thumb/7/7f/Yellow%2C_white%2C_green_flag.svg/800px-Yellow%2C_white%2C_green_flag.svg.png&amp;precision=low&amp;num_clusters=6&amp;text=1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{"url":"http://mkweb.bcgsc.ca/color-summarizer/?url=https://upload.wikimedia.org/wikipedia/commons/thumb/7/7f/Yellow%2C_white%2C_green_flag.svg/800px-Yellow%2C_white%2C_green_flag.svg.png&amp;precision=low&amp;num_clusters=6&amp;text=1","name":"[GUY] Cuyuni-Mazaruni"},</v>
      </c>
      <c r="IY3" s="48">
        <v>1492</v>
      </c>
    </row>
  </sheetData>
  <conditionalFormatting sqref="H1 CW1:GS1 IA1:IB1">
    <cfRule type="cellIs" dxfId="4009" priority="107" operator="greaterThan">
      <formula>0</formula>
    </cfRule>
  </conditionalFormatting>
  <conditionalFormatting sqref="H1">
    <cfRule type="cellIs" dxfId="4008" priority="73" stopIfTrue="1" operator="notEqual">
      <formula>""</formula>
    </cfRule>
  </conditionalFormatting>
  <conditionalFormatting sqref="T1:BK1">
    <cfRule type="cellIs" dxfId="4007" priority="110" operator="greaterThan">
      <formula>0</formula>
    </cfRule>
  </conditionalFormatting>
  <conditionalFormatting sqref="BV1:BW1">
    <cfRule type="cellIs" dxfId="4006" priority="109" operator="equal">
      <formula>"nc"</formula>
    </cfRule>
  </conditionalFormatting>
  <conditionalFormatting sqref="HF1:HG1">
    <cfRule type="cellIs" dxfId="4005" priority="111" operator="greaterThan">
      <formula>0</formula>
    </cfRule>
  </conditionalFormatting>
  <conditionalFormatting sqref="HK1">
    <cfRule type="cellIs" dxfId="4004" priority="108" operator="greaterThan">
      <formula>0</formula>
    </cfRule>
  </conditionalFormatting>
  <conditionalFormatting sqref="HP1:HX1">
    <cfRule type="cellIs" dxfId="4003" priority="85" operator="equal">
      <formula>"PIN"</formula>
    </cfRule>
    <cfRule type="cellIs" dxfId="4002" priority="86" operator="equal">
      <formula>"ORA"</formula>
    </cfRule>
    <cfRule type="cellIs" dxfId="4001" priority="87" operator="equal">
      <formula>"GRA"</formula>
    </cfRule>
    <cfRule type="cellIs" dxfId="4000" priority="88" operator="equal">
      <formula>"PUR"</formula>
    </cfRule>
    <cfRule type="cellIs" dxfId="3999" priority="89" operator="equal">
      <formula>"BRO"</formula>
    </cfRule>
    <cfRule type="cellIs" dxfId="3998" priority="90" operator="equal">
      <formula>"YEL"</formula>
    </cfRule>
    <cfRule type="cellIs" dxfId="3997" priority="91" operator="equal">
      <formula>"BLU"</formula>
    </cfRule>
    <cfRule type="cellIs" dxfId="3996" priority="92" operator="equal">
      <formula>"WHI"</formula>
    </cfRule>
    <cfRule type="cellIs" dxfId="3995" priority="93" operator="equal">
      <formula>"GRE"</formula>
    </cfRule>
    <cfRule type="cellIs" dxfId="3994" priority="94" operator="equal">
      <formula>"RED"</formula>
    </cfRule>
    <cfRule type="cellIs" dxfId="3993" priority="95" operator="equal">
      <formula>"BLA"</formula>
    </cfRule>
  </conditionalFormatting>
  <conditionalFormatting sqref="IC1:IK1">
    <cfRule type="cellIs" dxfId="3992" priority="96" operator="equal">
      <formula>"PIN"</formula>
    </cfRule>
    <cfRule type="cellIs" dxfId="3991" priority="97" operator="equal">
      <formula>"ORA"</formula>
    </cfRule>
    <cfRule type="cellIs" dxfId="3990" priority="98" operator="equal">
      <formula>"GRA"</formula>
    </cfRule>
    <cfRule type="cellIs" dxfId="3989" priority="99" operator="equal">
      <formula>"PUR"</formula>
    </cfRule>
    <cfRule type="cellIs" dxfId="3988" priority="100" operator="equal">
      <formula>"BRO"</formula>
    </cfRule>
    <cfRule type="cellIs" dxfId="3987" priority="101" operator="equal">
      <formula>"YEL"</formula>
    </cfRule>
    <cfRule type="cellIs" dxfId="3986" priority="102" operator="equal">
      <formula>"BLU"</formula>
    </cfRule>
    <cfRule type="cellIs" dxfId="3985" priority="103" operator="equal">
      <formula>"WHI"</formula>
    </cfRule>
    <cfRule type="cellIs" dxfId="3984" priority="104" operator="equal">
      <formula>"GRE"</formula>
    </cfRule>
    <cfRule type="cellIs" dxfId="3983" priority="105" operator="equal">
      <formula>"RED"</formula>
    </cfRule>
    <cfRule type="cellIs" dxfId="3982" priority="106" operator="equal">
      <formula>"BLA"</formula>
    </cfRule>
  </conditionalFormatting>
  <conditionalFormatting sqref="IO1:IW1">
    <cfRule type="cellIs" dxfId="3981" priority="74" operator="equal">
      <formula>"PIN"</formula>
    </cfRule>
    <cfRule type="cellIs" dxfId="3980" priority="75" operator="equal">
      <formula>"ORA"</formula>
    </cfRule>
    <cfRule type="cellIs" dxfId="3979" priority="76" operator="equal">
      <formula>"GRA"</formula>
    </cfRule>
    <cfRule type="cellIs" dxfId="3978" priority="77" operator="equal">
      <formula>"PUR"</formula>
    </cfRule>
    <cfRule type="cellIs" dxfId="3977" priority="78" operator="equal">
      <formula>"BRO"</formula>
    </cfRule>
    <cfRule type="cellIs" dxfId="3976" priority="79" operator="equal">
      <formula>"YEL"</formula>
    </cfRule>
    <cfRule type="cellIs" dxfId="3975" priority="80" operator="equal">
      <formula>"BLU"</formula>
    </cfRule>
    <cfRule type="cellIs" dxfId="3974" priority="81" operator="equal">
      <formula>"WHI"</formula>
    </cfRule>
    <cfRule type="cellIs" dxfId="3973" priority="82" operator="equal">
      <formula>"GRE"</formula>
    </cfRule>
    <cfRule type="cellIs" dxfId="3972" priority="83" operator="equal">
      <formula>"RED"</formula>
    </cfRule>
    <cfRule type="cellIs" dxfId="3971" priority="84" operator="equal">
      <formula>"BLA"</formula>
    </cfRule>
  </conditionalFormatting>
  <conditionalFormatting sqref="H2">
    <cfRule type="cellIs" dxfId="3970" priority="42" stopIfTrue="1" operator="notEqual">
      <formula>""</formula>
    </cfRule>
  </conditionalFormatting>
  <conditionalFormatting sqref="R2 CU2">
    <cfRule type="cellIs" dxfId="3969" priority="44" operator="greaterThan">
      <formula>0</formula>
    </cfRule>
  </conditionalFormatting>
  <conditionalFormatting sqref="T2:AS2 CH2:CS2">
    <cfRule type="cellIs" dxfId="3968" priority="39" stopIfTrue="1" operator="equal">
      <formula>"n"</formula>
    </cfRule>
    <cfRule type="cellIs" dxfId="3967" priority="40" stopIfTrue="1" operator="equal">
      <formula>"y"</formula>
    </cfRule>
    <cfRule type="cellIs" dxfId="3966" priority="41" operator="greaterThan">
      <formula>0</formula>
    </cfRule>
  </conditionalFormatting>
  <conditionalFormatting sqref="AZ2:BB2">
    <cfRule type="expression" dxfId="3965" priority="38">
      <formula>$AT2=0</formula>
    </cfRule>
  </conditionalFormatting>
  <conditionalFormatting sqref="AZ2:BU2">
    <cfRule type="cellIs" dxfId="3964" priority="47" operator="equal">
      <formula>"PIN"</formula>
    </cfRule>
    <cfRule type="cellIs" dxfId="3963" priority="48" operator="equal">
      <formula>"ORA"</formula>
    </cfRule>
    <cfRule type="cellIs" dxfId="3962" priority="49" operator="equal">
      <formula>"GRA"</formula>
    </cfRule>
    <cfRule type="cellIs" dxfId="3961" priority="50" operator="equal">
      <formula>"PUR"</formula>
    </cfRule>
    <cfRule type="cellIs" dxfId="3960" priority="51" operator="equal">
      <formula>"BRO"</formula>
    </cfRule>
    <cfRule type="cellIs" dxfId="3959" priority="52" operator="equal">
      <formula>"YEL"</formula>
    </cfRule>
    <cfRule type="cellIs" dxfId="3958" priority="53" operator="equal">
      <formula>"BLU"</formula>
    </cfRule>
    <cfRule type="cellIs" dxfId="3957" priority="54" operator="equal">
      <formula>"WHI"</formula>
    </cfRule>
    <cfRule type="cellIs" dxfId="3956" priority="55" operator="equal">
      <formula>"GRE"</formula>
    </cfRule>
    <cfRule type="cellIs" dxfId="3955" priority="56" operator="equal">
      <formula>"RED"</formula>
    </cfRule>
    <cfRule type="cellIs" dxfId="3954" priority="57" operator="equal">
      <formula>"BLA"</formula>
    </cfRule>
  </conditionalFormatting>
  <conditionalFormatting sqref="BV2:BW2">
    <cfRule type="cellIs" dxfId="3953" priority="69" operator="equal">
      <formula>"nc"</formula>
    </cfRule>
  </conditionalFormatting>
  <conditionalFormatting sqref="BX2:CA2 CD2:CF2">
    <cfRule type="cellIs" dxfId="3952" priority="43" operator="equal">
      <formula>"y"</formula>
    </cfRule>
    <cfRule type="cellIs" dxfId="3951" priority="58" operator="equal">
      <formula>"PIN"</formula>
    </cfRule>
    <cfRule type="cellIs" dxfId="3950" priority="59" operator="equal">
      <formula>"ORA"</formula>
    </cfRule>
    <cfRule type="cellIs" dxfId="3949" priority="60" operator="equal">
      <formula>"GRA"</formula>
    </cfRule>
    <cfRule type="cellIs" dxfId="3948" priority="61" operator="equal">
      <formula>"PUR"</formula>
    </cfRule>
    <cfRule type="cellIs" dxfId="3947" priority="62" operator="equal">
      <formula>"BRO"</formula>
    </cfRule>
    <cfRule type="cellIs" dxfId="3946" priority="63" operator="equal">
      <formula>"YEL"</formula>
    </cfRule>
    <cfRule type="cellIs" dxfId="3945" priority="64" operator="equal">
      <formula>"BLU"</formula>
    </cfRule>
    <cfRule type="cellIs" dxfId="3944" priority="65" operator="equal">
      <formula>"WHI"</formula>
    </cfRule>
    <cfRule type="cellIs" dxfId="3943" priority="66" operator="equal">
      <formula>"GRE"</formula>
    </cfRule>
    <cfRule type="cellIs" dxfId="3942" priority="67" operator="equal">
      <formula>"RED"</formula>
    </cfRule>
    <cfRule type="cellIs" dxfId="3941" priority="68" operator="equal">
      <formula>"BLA"</formula>
    </cfRule>
  </conditionalFormatting>
  <conditionalFormatting sqref="BZ2:CA2 CD2:CF2">
    <cfRule type="cellIs" dxfId="3940" priority="45" operator="greaterThan">
      <formula>0</formula>
    </cfRule>
  </conditionalFormatting>
  <conditionalFormatting sqref="IC2:IK2">
    <cfRule type="expression" dxfId="3939"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1503" priority="6" stopIfTrue="1" operator="notEqual">
      <formula>""</formula>
    </cfRule>
  </conditionalFormatting>
  <conditionalFormatting sqref="R3 CU3">
    <cfRule type="cellIs" dxfId="1502" priority="8" operator="greaterThan">
      <formula>0</formula>
    </cfRule>
  </conditionalFormatting>
  <conditionalFormatting sqref="T3:AS3 CH3:CS3">
    <cfRule type="cellIs" dxfId="1501" priority="3" stopIfTrue="1" operator="equal">
      <formula>"n"</formula>
    </cfRule>
    <cfRule type="cellIs" dxfId="1500" priority="4" stopIfTrue="1" operator="equal">
      <formula>"y"</formula>
    </cfRule>
    <cfRule type="cellIs" dxfId="1499" priority="5" operator="greaterThan">
      <formula>0</formula>
    </cfRule>
  </conditionalFormatting>
  <conditionalFormatting sqref="AZ3:BB3">
    <cfRule type="expression" dxfId="1498" priority="2">
      <formula>$AT3=0</formula>
    </cfRule>
  </conditionalFormatting>
  <conditionalFormatting sqref="AZ3:BU3">
    <cfRule type="cellIs" dxfId="1497" priority="11" operator="equal">
      <formula>"PIN"</formula>
    </cfRule>
    <cfRule type="cellIs" dxfId="1496" priority="12" operator="equal">
      <formula>"ORA"</formula>
    </cfRule>
    <cfRule type="cellIs" dxfId="1495" priority="13" operator="equal">
      <formula>"GRA"</formula>
    </cfRule>
    <cfRule type="cellIs" dxfId="1494" priority="14" operator="equal">
      <formula>"PUR"</formula>
    </cfRule>
    <cfRule type="cellIs" dxfId="1493" priority="15" operator="equal">
      <formula>"BRO"</formula>
    </cfRule>
    <cfRule type="cellIs" dxfId="1492" priority="16" operator="equal">
      <formula>"YEL"</formula>
    </cfRule>
    <cfRule type="cellIs" dxfId="1491" priority="17" operator="equal">
      <formula>"BLU"</formula>
    </cfRule>
    <cfRule type="cellIs" dxfId="1490" priority="18" operator="equal">
      <formula>"WHI"</formula>
    </cfRule>
    <cfRule type="cellIs" dxfId="1489" priority="19" operator="equal">
      <formula>"GRE"</formula>
    </cfRule>
    <cfRule type="cellIs" dxfId="1488" priority="20" operator="equal">
      <formula>"RED"</formula>
    </cfRule>
    <cfRule type="cellIs" dxfId="1487" priority="21" operator="equal">
      <formula>"BLA"</formula>
    </cfRule>
  </conditionalFormatting>
  <conditionalFormatting sqref="BV3:BW3">
    <cfRule type="cellIs" dxfId="1486" priority="33" operator="equal">
      <formula>"nc"</formula>
    </cfRule>
  </conditionalFormatting>
  <conditionalFormatting sqref="BX3:CA3 CD3:CF3">
    <cfRule type="cellIs" dxfId="1485" priority="7" operator="equal">
      <formula>"y"</formula>
    </cfRule>
    <cfRule type="cellIs" dxfId="1484" priority="22" operator="equal">
      <formula>"PIN"</formula>
    </cfRule>
    <cfRule type="cellIs" dxfId="1483" priority="23" operator="equal">
      <formula>"ORA"</formula>
    </cfRule>
    <cfRule type="cellIs" dxfId="1482" priority="24" operator="equal">
      <formula>"GRA"</formula>
    </cfRule>
    <cfRule type="cellIs" dxfId="1481" priority="25" operator="equal">
      <formula>"PUR"</formula>
    </cfRule>
    <cfRule type="cellIs" dxfId="1480" priority="26" operator="equal">
      <formula>"BRO"</formula>
    </cfRule>
    <cfRule type="cellIs" dxfId="1479" priority="27" operator="equal">
      <formula>"YEL"</formula>
    </cfRule>
    <cfRule type="cellIs" dxfId="1478" priority="28" operator="equal">
      <formula>"BLU"</formula>
    </cfRule>
    <cfRule type="cellIs" dxfId="1477" priority="29" operator="equal">
      <formula>"WHI"</formula>
    </cfRule>
    <cfRule type="cellIs" dxfId="1476" priority="30" operator="equal">
      <formula>"GRE"</formula>
    </cfRule>
    <cfRule type="cellIs" dxfId="1475" priority="31" operator="equal">
      <formula>"RED"</formula>
    </cfRule>
    <cfRule type="cellIs" dxfId="1474" priority="32" operator="equal">
      <formula>"BLA"</formula>
    </cfRule>
  </conditionalFormatting>
  <conditionalFormatting sqref="BZ3:CA3 CD3:CF3">
    <cfRule type="cellIs" dxfId="1473" priority="9" operator="greaterThan">
      <formula>0</formula>
    </cfRule>
  </conditionalFormatting>
  <conditionalFormatting sqref="IC3:IK3">
    <cfRule type="expression" dxfId="1472" priority="10">
      <formula>$IL3&gt;0</formula>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conditionalFormatting sqref="J3">
    <cfRule type="colorScale" priority="1">
      <colorScale>
        <cfvo type="min"/>
        <cfvo type="percentile" val="50"/>
        <cfvo type="max"/>
        <color rgb="FFF8696B"/>
        <color rgb="FFFFEB84"/>
        <color rgb="FF63BE7B"/>
      </colorScale>
    </cfRule>
  </conditionalFormatting>
  <hyperlinks>
    <hyperlink ref="E2" r:id="rId1" xr:uid="{2A33F769-50F4-4701-9B84-BCF803C59D0C}"/>
    <hyperlink ref="A2" r:id="rId2" display="https://fbref.com/en/country/GUY/Guyana-Football" xr:uid="{E665DBFF-D1D7-432A-AA1A-A4C045E5623B}"/>
    <hyperlink ref="I3" r:id="rId3" xr:uid="{81C821A5-635E-42F1-9219-5C0D2462BD0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2925B-8E97-4132-9E32-26544EDA0FC1}">
  <dimension ref="A1:IY4"/>
  <sheetViews>
    <sheetView zoomScale="70" zoomScaleNormal="70" workbookViewId="0">
      <selection activeCell="A4" sqref="A4:XFD4"/>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232</v>
      </c>
      <c r="B2" s="40" t="e" vm="85">
        <v>#VALUE!</v>
      </c>
      <c r="C2" s="41">
        <v>1</v>
      </c>
      <c r="D2" s="42" t="s">
        <v>233</v>
      </c>
      <c r="E2" s="43" t="s">
        <v>234</v>
      </c>
      <c r="F2" s="44" t="s">
        <v>166</v>
      </c>
      <c r="G2" s="45">
        <f>COUNTIF($A$1:$A$8281,A2)</f>
        <v>1</v>
      </c>
      <c r="H2" s="46"/>
      <c r="I2" s="47" t="s">
        <v>235</v>
      </c>
      <c r="J2" s="48" t="str">
        <f>""</f>
        <v/>
      </c>
      <c r="K2" s="49">
        <v>6861000</v>
      </c>
      <c r="L2" s="50">
        <v>1200000</v>
      </c>
      <c r="M2" s="50" t="s">
        <v>236</v>
      </c>
      <c r="N2" s="51" t="s">
        <v>169</v>
      </c>
      <c r="O2" s="52" t="s">
        <v>237</v>
      </c>
      <c r="P2" s="53" t="s">
        <v>238</v>
      </c>
      <c r="Q2" s="54">
        <v>1</v>
      </c>
      <c r="R2" s="55" t="s">
        <v>169</v>
      </c>
      <c r="S2" s="56">
        <v>3</v>
      </c>
      <c r="T2" s="57" t="s">
        <v>172</v>
      </c>
      <c r="U2" s="58" t="s">
        <v>172</v>
      </c>
      <c r="V2" s="58" t="s">
        <v>173</v>
      </c>
      <c r="W2" s="58" t="s">
        <v>172</v>
      </c>
      <c r="X2" s="58" t="s">
        <v>173</v>
      </c>
      <c r="Y2" s="58" t="s">
        <v>172</v>
      </c>
      <c r="Z2" s="58" t="s">
        <v>172</v>
      </c>
      <c r="AA2" s="58" t="s">
        <v>173</v>
      </c>
      <c r="AB2" s="58" t="s">
        <v>173</v>
      </c>
      <c r="AC2" s="58" t="s">
        <v>172</v>
      </c>
      <c r="AD2" s="58" t="s">
        <v>172</v>
      </c>
      <c r="AE2" s="58" t="s">
        <v>172</v>
      </c>
      <c r="AF2" s="59" t="s">
        <v>172</v>
      </c>
      <c r="AG2" s="59" t="s">
        <v>172</v>
      </c>
      <c r="AH2" s="59" t="s">
        <v>173</v>
      </c>
      <c r="AI2" s="59" t="s">
        <v>172</v>
      </c>
      <c r="AJ2" s="59" t="s">
        <v>172</v>
      </c>
      <c r="AK2" s="59" t="s">
        <v>172</v>
      </c>
      <c r="AL2" s="59" t="s">
        <v>172</v>
      </c>
      <c r="AM2" s="59" t="s">
        <v>172</v>
      </c>
      <c r="AN2" s="59" t="s">
        <v>172</v>
      </c>
      <c r="AO2" s="59" t="s">
        <v>172</v>
      </c>
      <c r="AP2" s="59" t="s">
        <v>172</v>
      </c>
      <c r="AQ2" s="59" t="s">
        <v>172</v>
      </c>
      <c r="AR2" s="59" t="s">
        <v>172</v>
      </c>
      <c r="AS2" s="59" t="s">
        <v>172</v>
      </c>
      <c r="AT2" s="60">
        <v>1</v>
      </c>
      <c r="AU2" s="59"/>
      <c r="AV2" s="59" t="str">
        <f>IF(LEFT(A2,1)="[",LEFT(A2,5)&amp;AU2&amp;A2,"")</f>
        <v/>
      </c>
      <c r="AW2" s="59" t="str">
        <f>C2&amp;A2</f>
        <v>1Paraguay</v>
      </c>
      <c r="AX2" s="61"/>
      <c r="AY2" s="61"/>
      <c r="AZ2" s="62" t="s">
        <v>152</v>
      </c>
      <c r="BA2" s="62" t="s">
        <v>174</v>
      </c>
      <c r="BB2" s="62"/>
      <c r="BC2" s="63"/>
      <c r="BD2" s="64" t="s">
        <v>154</v>
      </c>
      <c r="BE2" s="47"/>
      <c r="BF2" s="64" t="s">
        <v>154</v>
      </c>
      <c r="BG2" s="64" t="s">
        <v>159</v>
      </c>
      <c r="BH2" s="64" t="s">
        <v>154</v>
      </c>
      <c r="BI2" s="64"/>
      <c r="BJ2" s="64"/>
      <c r="BK2" s="47"/>
      <c r="BL2" s="64" t="s">
        <v>174</v>
      </c>
      <c r="BM2" s="64" t="s">
        <v>152</v>
      </c>
      <c r="BN2" s="64" t="s">
        <v>174</v>
      </c>
      <c r="BO2" s="64" t="s">
        <v>154</v>
      </c>
      <c r="BP2" s="64" t="s">
        <v>174</v>
      </c>
      <c r="BQ2" s="64" t="s">
        <v>174</v>
      </c>
      <c r="BR2" s="64" t="s">
        <v>174</v>
      </c>
      <c r="BS2" s="64" t="s">
        <v>174</v>
      </c>
      <c r="BT2" s="64" t="s">
        <v>159</v>
      </c>
      <c r="BU2" s="65" t="s">
        <v>173</v>
      </c>
      <c r="BV2" s="66"/>
      <c r="BW2" s="66">
        <v>0</v>
      </c>
      <c r="BX2" s="47"/>
      <c r="BY2" s="48" t="s">
        <v>172</v>
      </c>
      <c r="CB2" s="6"/>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n</v>
      </c>
      <c r="CQ2" s="59" t="str">
        <f>IF(AT2=1,"y","n")</f>
        <v>y</v>
      </c>
      <c r="CR2" s="59" t="str">
        <f>IF(AT2=2,"y","n")</f>
        <v>n</v>
      </c>
      <c r="CS2" s="59" t="str">
        <f>IF(AT2&gt;=3,"y","n")</f>
        <v>n</v>
      </c>
      <c r="CT2" s="69" t="str">
        <f>CHAR(34)&amp;A2&amp;CHAR(34)</f>
        <v>"Paraguay"</v>
      </c>
      <c r="CU2" s="70" t="str">
        <f>CHAR(34)&amp;"rgn_"&amp;R2&amp;CHAR(34)</f>
        <v>"rgn_South America"</v>
      </c>
      <c r="CV2" s="48" t="str">
        <f>CHAR(34)&amp;D2&amp;CHAR(34)</f>
        <v>"https://i.ibb.co/fvh22wm/Paraguay-Flag.png"</v>
      </c>
      <c r="CW2" s="48" t="str">
        <f t="shared" ref="CW2:CZ4" si="0">IF(CH2="y",CHAR(34)&amp;CH$1&amp;CHAR(34)&amp;",","")</f>
        <v/>
      </c>
      <c r="CX2" s="48" t="str">
        <f t="shared" si="0"/>
        <v>"3Color",</v>
      </c>
      <c r="CY2" s="48" t="str">
        <f t="shared" si="0"/>
        <v/>
      </c>
      <c r="CZ2" s="48" t="str">
        <f t="shared" si="0"/>
        <v/>
      </c>
      <c r="DA2" s="48" t="str">
        <f>IF(Q2&gt;1,CHAR(34)&amp;"words2"&amp;CHAR(34)&amp;",","")</f>
        <v/>
      </c>
      <c r="DB2" s="48" t="str">
        <f>IF(Q2&gt;2,CHAR(34)&amp;"words3"&amp;CHAR(34)&amp;",","")</f>
        <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"lets08",</v>
      </c>
      <c r="DE2" s="48" t="str">
        <f>CHAR(34)&amp;"start"&amp;IFERROR(LEFT(SUBSTITUTE(A2,"["&amp;MID(A2,FIND("[",A2)+1,FIND("]",A2)-FIND("[",A2)-1)&amp;"] ",""),1),LEFT(A2,1))&amp;CHAR(34)&amp;","</f>
        <v>"startP",</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"with_y",</v>
      </c>
      <c r="DK2" s="48" t="str">
        <f>IFERROR(IF(SEARCH("z",A2)&gt;0,CHAR(34)&amp;"with_z"&amp;CHAR(34)&amp;",",""),"")</f>
        <v/>
      </c>
      <c r="DL2" s="48" t="str">
        <f>IF(CG2=2, CHAR(34) &amp; _xlfn.TEXTJOIN("", TRUE, _xlfn._xlws.SORT(HP2:HX2)) &amp; CHAR(34) &amp; ",", "")</f>
        <v/>
      </c>
      <c r="DM2" s="48" t="str" cm="1">
        <f t="array" ref="DM2">IF(CG2=3,CHAR(34) &amp; _xlfn.TEXTJOIN("", TRUE, RIGHT(HP2:HX2, 2)) &amp; CHAR(34) &amp; ",", "")</f>
        <v>"LUEDHI",</v>
      </c>
      <c r="DN2" s="48" t="str">
        <f>IF(AND(ISNUMBER(SEARCH("18", O2)), ISERROR(SEARCH("1918", O2)), ISERROR(SEARCH("2018", O2))), CHAR(34) &amp; "year18" &amp; CHAR(34) &amp; ",", "")</f>
        <v>"year18",</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W2" s="48" t="str">
        <f t="shared" ref="DW2:DZ4" si="1">IF(CL2="y",CHAR(34)&amp;CL$1&amp;CHAR(34)&amp;",","")</f>
        <v/>
      </c>
      <c r="DX2" s="48" t="str">
        <f t="shared" si="1"/>
        <v/>
      </c>
      <c r="DY2" s="48" t="str">
        <f t="shared" si="1"/>
        <v>"3Bands",</v>
      </c>
      <c r="DZ2" s="48" t="str">
        <f t="shared" si="1"/>
        <v/>
      </c>
      <c r="EA2" s="48" t="str">
        <f t="shared" ref="EA2:EE4" si="2">IF(T2="y",CHAR(34)&amp;T$1&amp;CHAR(34)&amp;",","")</f>
        <v/>
      </c>
      <c r="EB2" s="48" t="str">
        <f t="shared" si="2"/>
        <v/>
      </c>
      <c r="EC2" s="48" t="str">
        <f t="shared" si="2"/>
        <v>"Horizo",</v>
      </c>
      <c r="ED2" s="48" t="str">
        <f t="shared" si="2"/>
        <v/>
      </c>
      <c r="EE2" s="48" t="str">
        <f t="shared" si="2"/>
        <v>"Circle",</v>
      </c>
      <c r="EF2" s="48" t="str">
        <f>IF(AND(Y2&lt;&gt;"n",Y2&lt;&gt;""),CHAR(34)&amp;Y$1&amp;CHAR(34)&amp;",","")</f>
        <v/>
      </c>
      <c r="EG2" s="48" t="str">
        <f t="shared" ref="EG2:EZ4" si="3">IF(Z2="y",CHAR(34)&amp;Z$1&amp;CHAR(34)&amp;",","")</f>
        <v/>
      </c>
      <c r="EH2" s="48" t="str">
        <f t="shared" si="3"/>
        <v>"Plants",</v>
      </c>
      <c r="EI2" s="48" t="str">
        <f t="shared" si="3"/>
        <v>"Texted",</v>
      </c>
      <c r="EJ2" s="48" t="str">
        <f t="shared" si="3"/>
        <v/>
      </c>
      <c r="EK2" s="48" t="str">
        <f t="shared" si="3"/>
        <v/>
      </c>
      <c r="EL2" s="48" t="str">
        <f t="shared" si="3"/>
        <v/>
      </c>
      <c r="EM2" s="48" t="str">
        <f t="shared" si="3"/>
        <v/>
      </c>
      <c r="EN2" s="48" t="str">
        <f t="shared" si="3"/>
        <v/>
      </c>
      <c r="EO2" s="48" t="str">
        <f t="shared" si="3"/>
        <v>"Center",</v>
      </c>
      <c r="EP2" s="48" t="str">
        <f t="shared" si="3"/>
        <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"staBLU",</v>
      </c>
      <c r="FB2" s="48" t="str">
        <f>IF(AND(AT2&gt;0,BA2&lt;&gt;""),CHAR(34)&amp;"sta"&amp;BA2&amp;CHAR(34)&amp;",","")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"002WHI",</v>
      </c>
      <c r="FS2" s="48" t="str">
        <f>IF(LEN(BH2)=3,CHAR(34)&amp;"003"&amp;BH2&amp;CHAR(34)&amp;",","")</f>
        <v>"003RED",</v>
      </c>
      <c r="FT2" s="48" t="str">
        <f>CHAR(34)&amp;"myr"&amp;BD2&amp;CHAR(34)&amp;","</f>
        <v>"myrRED",</v>
      </c>
      <c r="FU2" s="48" t="str">
        <f>IF(AY2="y",CHAR(34)&amp;"island"&amp;CHAR(34)&amp;",","")</f>
        <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E2" s="48" t="str">
        <f>IFERROR(IF(SEARCH("Dutch",CB2)&gt;0,CHAR(34)&amp;"dutchs"&amp;CHAR(34)&amp;",",""),"")</f>
        <v/>
      </c>
      <c r="GF2" s="48" t="str">
        <f>IFERROR(IF(SEARCH("Historical",AU2)&gt;0,CHAR(34)&amp;"histor"&amp;CHAR(34)&amp;",",""),"")</f>
        <v/>
      </c>
      <c r="GG2" s="48" t="str">
        <f>IF(BU2="y",CHAR(34)&amp;"unjack"&amp;CHAR(34)&amp;",","")</f>
        <v>"unjack",</v>
      </c>
      <c r="GH2" s="48" t="str">
        <f>IF(CD2=1,CHAR(34)&amp;"southc"&amp;CHAR(34)&amp;",","")</f>
        <v/>
      </c>
      <c r="GI2" s="48" t="str">
        <f>IF(CE2=1,CHAR(34)&amp;"hasmap"&amp;CHAR(34)&amp;",","")</f>
        <v/>
      </c>
      <c r="GJ2" s="48" t="str">
        <f>IF(CP2="y",CHAR(34)&amp;CP$1&amp;CHAR(34)&amp;",","")</f>
        <v/>
      </c>
      <c r="GK2" s="48" t="str">
        <f>IF(GJ2="",CHAR(34)&amp;"HasSta"&amp;CHAR(34)&amp;",","")</f>
        <v>"HasSta",</v>
      </c>
      <c r="GL2" s="48" t="str">
        <f t="shared" ref="GL2:GN4" si="4">IF(CQ2="y",CHAR(34)&amp;CQ$1&amp;CHAR(34)&amp;",","")</f>
        <v>"1Stars",</v>
      </c>
      <c r="GM2" s="48" t="str">
        <f t="shared" si="4"/>
        <v/>
      </c>
      <c r="GN2" s="48" t="str">
        <f t="shared" si="4"/>
        <v/>
      </c>
      <c r="GP2" s="48" t="str">
        <f>CHAR(34)&amp;AU2&amp;CHAR(34)</f>
        <v>""</v>
      </c>
      <c r="GS2" s="48" t="str">
        <f>SUBSTITUTE("["&amp;_xlfn.CONCAT(CW2:GN2)&amp;"]",",]","]")</f>
        <v>["3Color","lets08","startP","with_y","LUEDHI","year18","year00","allhor","3Bands","Horizo","Circle","Plants","Texted","Center","staBLU","NO_GRE","NO_YEL","NO_BLA","001RED","002WHI","003RED","myrRED","unjack","HasSta","1Stars"]</v>
      </c>
      <c r="GT2" s="48" t="str">
        <f t="shared" ref="GT2:HB4" si="5">IF(BL2&lt;&gt;"",CHAR(34)&amp;"cl_"&amp;BL2&amp;CHAR(34)&amp;",","")</f>
        <v/>
      </c>
      <c r="GU2" s="48" t="str">
        <f t="shared" si="5"/>
        <v>"cl_BLU",</v>
      </c>
      <c r="GV2" s="48" t="str">
        <f t="shared" si="5"/>
        <v/>
      </c>
      <c r="GW2" s="48" t="str">
        <f t="shared" si="5"/>
        <v>"cl_RED",</v>
      </c>
      <c r="GX2" s="48" t="str">
        <f t="shared" si="5"/>
        <v/>
      </c>
      <c r="GY2" s="48" t="str">
        <f t="shared" si="5"/>
        <v/>
      </c>
      <c r="GZ2" s="48" t="str">
        <f t="shared" si="5"/>
        <v/>
      </c>
      <c r="HA2" s="48" t="str">
        <f t="shared" si="5"/>
        <v/>
      </c>
      <c r="HB2" s="48" t="str">
        <f t="shared" si="5"/>
        <v>"cl_WHI",</v>
      </c>
      <c r="HC2" s="48" t="str">
        <f>SUBSTITUTE("["&amp;_xlfn.CONCAT(GT2:HB2)&amp;"]",",]","]")</f>
        <v>["cl_BLU","cl_RED","cl_WHI"]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{couname:"Paraguay",year:"1842, 2013 ",region:"rgn_South America",Colors:["cl_BLU","cl_RED","cl_WHI"],Items:["3Color","lets08","startP","with_y","LUEDHI","year18","year00","allhor","3Bands","Horizo","Circle","Plants","Texted","Center","staBLU","NO_GRE","NO_YEL","NO_BLA","001RED","002WHI","003RED","myrRED","unjack","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isnew:".", links: "https://en.wikipedia.org/wiki/Flag_of_Paraguay"},</v>
      </c>
      <c r="HG2" s="73" t="str">
        <f>"{couname:"&amp;CT2&amp;(IF(HK2&lt;&gt;"",",subtype:"&amp;CHAR(34)&amp;HK2&amp;CHAR(34),""))&amp;",year:"&amp;HJ2&amp;",region:"&amp;CU2&amp;",Colors:"&amp;HC2&amp;",Items:"&amp;GS2&amp;",Flag:"&amp;CV2&amp;",HDFlag:"&amp;CHAR(34)&amp;E2&amp;CHAR(34)&amp;",type:"&amp;GP2&amp;", describe: "&amp;HI2&amp;", links: "&amp;HL2&amp;"},"</f>
        <v>{couname:"Paraguay",year:"1842, 2013 ",region:"rgn_South America",Colors:["cl_BLU","cl_RED","cl_WHI"],Items:["3Color","lets08","startP","with_y","LUEDHI","year18","year00","allhor","3Bands","Horizo","Circle","Plants","Texted","Center","staBLU","NO_GRE","NO_YEL","NO_BLA","001RED","002WHI","003RED","myrRED","unjack","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links: "https://en.wikipedia.org/wiki/Flag_of_Paraguay"},</v>
      </c>
      <c r="HH2" s="48" t="str">
        <f>IF(P2&lt;&gt;"",CHAR(34)&amp;"\n"&amp;P2&amp;CHAR(34),CHAR(34)&amp;CHAR(34))</f>
        <v>"\nThe colours of the flag are believed to be inspired from the flag of France to show independence and liberty, and the coat of arms represents the independence of Paraguay."</v>
      </c>
      <c r="HI2" s="48" t="str">
        <f>IF(J2=0,CHAR(34)&amp;CHAR(34),HH2)</f>
        <v>"\nThe colours of the flag are believed to be inspired from the flag of France to show independence and liberty, and the coat of arms represents the independence of Paraguay."</v>
      </c>
      <c r="HJ2" s="48" t="str">
        <f>CHAR(34)&amp;O2&amp;CHAR(34)</f>
        <v>"1842, 2013 "</v>
      </c>
      <c r="HL2" s="48" t="str">
        <f>CHAR(34)&amp;I2&amp;CHAR(34)</f>
        <v>"https://en.wikipedia.org/wiki/Flag_of_Paraguay"</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{"couname":"Paraguay","year":"1842, 2013 ","region":"rgn_South America","Colors":["cl_BLU","cl_RED","cl_WHI"],"Items":["3Color","lets08","startP","with_y","LUEDHI","year18","year00","allhor","3Bands","Horizo","Circle","Plants","Texted","Center","staBLU","NO_GRE","NO_YEL","NO_BLA","001RED","002WHI","003RED","myrRED","unjack","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"isnew": ".", "links": "https://en.wikipedia.org/wiki/Flag_of_Paraguay"},</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{"couname":"Paraguay","year":"1842, 2013 ","region":"rgn_South America","Colors":["cl_BLU","cl_RED","cl_WHI"],"Items":["3Color","lets08","startP","with_y","LUEDHI","year18","year00","allhor","3Bands","Horizo","Circle","Plants","Texted","Center","staBLU","NO_GRE","NO_YEL","NO_BLA","001RED","002WHI","003RED","myrRED","unjack","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"isnew": ".", "links": "https://en.wikipedia.org/wiki/Flag_of_Paraguay"},</v>
      </c>
      <c r="HO2" s="75">
        <v>45618</v>
      </c>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M2" s="45">
        <f>COUNTIF(IC2:IK2,"&gt;0")-CG2</f>
        <v>-3</v>
      </c>
      <c r="IN2" s="78" t="str">
        <f>"http://mkweb.bcgsc.ca/color-summarizer/?url="&amp;D2&amp;"&amp;precision=low&amp;num_clusters="&amp;CG2&amp;"&amp;text=1"</f>
        <v>http://mkweb.bcgsc.ca/color-summarizer/?url=https://i.ibb.co/fvh22wm/Paraguay-Flag.png&amp;precision=low&amp;num_clusters=3&amp;text=1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{"url":"http://mkweb.bcgsc.ca/color-summarizer/?url=https://i.ibb.co/fvh22wm/Paraguay-Flag.png&amp;precision=low&amp;num_clusters=3&amp;text=1","name":"Paraguay"},</v>
      </c>
      <c r="IY2" s="48">
        <v>970</v>
      </c>
    </row>
    <row r="3" spans="1:259" s="48" customFormat="1" ht="38.4" customHeight="1" thickBot="1" x14ac:dyDescent="0.35">
      <c r="A3" s="79" t="s">
        <v>658</v>
      </c>
      <c r="B3" s="40" t="e" vm="86">
        <v>#VALUE!</v>
      </c>
      <c r="C3" s="41">
        <v>2</v>
      </c>
      <c r="D3" s="42" t="s">
        <v>659</v>
      </c>
      <c r="E3" s="43" t="s">
        <v>660</v>
      </c>
      <c r="F3" s="44" t="s">
        <v>166</v>
      </c>
      <c r="G3" s="45">
        <f>COUNTIF($A$1:$A$8281,A3)</f>
        <v>1</v>
      </c>
      <c r="H3" s="46"/>
      <c r="I3" s="47" t="s">
        <v>661</v>
      </c>
      <c r="J3" s="48" t="str">
        <f>""</f>
        <v/>
      </c>
      <c r="K3" s="49"/>
      <c r="L3" s="50"/>
      <c r="M3" s="50"/>
      <c r="N3" s="51" t="s">
        <v>169</v>
      </c>
      <c r="O3" s="52">
        <v>1961</v>
      </c>
      <c r="P3" s="53" t="s">
        <v>662</v>
      </c>
      <c r="Q3" s="54">
        <v>1</v>
      </c>
      <c r="R3" s="55" t="s">
        <v>169</v>
      </c>
      <c r="S3" s="56">
        <v>3</v>
      </c>
      <c r="T3" s="57" t="s">
        <v>172</v>
      </c>
      <c r="U3" s="58" t="s">
        <v>173</v>
      </c>
      <c r="V3" s="58" t="s">
        <v>173</v>
      </c>
      <c r="W3" s="58" t="s">
        <v>172</v>
      </c>
      <c r="X3" s="58" t="s">
        <v>172</v>
      </c>
      <c r="Y3" s="58" t="s">
        <v>173</v>
      </c>
      <c r="Z3" s="58" t="s">
        <v>172</v>
      </c>
      <c r="AA3" s="58" t="s">
        <v>173</v>
      </c>
      <c r="AB3" s="58" t="s">
        <v>172</v>
      </c>
      <c r="AC3" s="58" t="s">
        <v>172</v>
      </c>
      <c r="AD3" s="58" t="s">
        <v>172</v>
      </c>
      <c r="AE3" s="58" t="s">
        <v>172</v>
      </c>
      <c r="AF3" s="59" t="s">
        <v>172</v>
      </c>
      <c r="AG3" s="59" t="s">
        <v>173</v>
      </c>
      <c r="AH3" s="59" t="s">
        <v>173</v>
      </c>
      <c r="AI3" s="59" t="s">
        <v>172</v>
      </c>
      <c r="AJ3" s="59" t="s">
        <v>172</v>
      </c>
      <c r="AK3" s="59" t="s">
        <v>172</v>
      </c>
      <c r="AL3" s="59" t="s">
        <v>172</v>
      </c>
      <c r="AM3" s="59" t="s">
        <v>172</v>
      </c>
      <c r="AN3" s="59" t="s">
        <v>173</v>
      </c>
      <c r="AO3" s="59" t="s">
        <v>173</v>
      </c>
      <c r="AP3" s="59" t="s">
        <v>172</v>
      </c>
      <c r="AQ3" s="59" t="s">
        <v>172</v>
      </c>
      <c r="AR3" s="59" t="s">
        <v>172</v>
      </c>
      <c r="AS3" s="59" t="s">
        <v>172</v>
      </c>
      <c r="AT3" s="60">
        <v>0</v>
      </c>
      <c r="AU3" s="59" t="s">
        <v>663</v>
      </c>
      <c r="AV3" s="59" t="str">
        <f>IF(LEFT(A3,1)="[",LEFT(A3,5)&amp;AU3&amp;A3,"")</f>
        <v>[PRY]Capital City[PRY] Asunción</v>
      </c>
      <c r="AW3" s="59" t="str">
        <f>C3&amp;A3</f>
        <v>2[PRY] Asunción</v>
      </c>
      <c r="AX3" s="61"/>
      <c r="AY3" s="61"/>
      <c r="AZ3" s="62" t="s">
        <v>155</v>
      </c>
      <c r="BA3" s="62"/>
      <c r="BB3" s="62"/>
      <c r="BC3" s="63"/>
      <c r="BD3" s="64" t="s">
        <v>152</v>
      </c>
      <c r="BE3" s="47"/>
      <c r="BF3" s="64" t="s">
        <v>153</v>
      </c>
      <c r="BG3" s="64" t="s">
        <v>159</v>
      </c>
      <c r="BH3" s="64" t="s">
        <v>152</v>
      </c>
      <c r="BI3" s="64"/>
      <c r="BJ3" s="64"/>
      <c r="BK3" s="47"/>
      <c r="BL3" s="64" t="s">
        <v>153</v>
      </c>
      <c r="BM3" s="64" t="s">
        <v>159</v>
      </c>
      <c r="BN3" s="64" t="s">
        <v>152</v>
      </c>
      <c r="BO3" s="64" t="s">
        <v>155</v>
      </c>
      <c r="BP3" s="64"/>
      <c r="BQ3" s="64"/>
      <c r="BR3" s="64"/>
      <c r="BS3" s="64"/>
      <c r="BT3" s="64"/>
      <c r="BU3" s="65"/>
      <c r="BV3" s="66"/>
      <c r="BW3" s="66">
        <v>0</v>
      </c>
      <c r="BX3" s="47"/>
      <c r="BY3" s="48" t="s">
        <v>173</v>
      </c>
      <c r="CB3" s="6"/>
      <c r="CC3" s="6"/>
      <c r="CD3" s="67">
        <v>0</v>
      </c>
      <c r="CE3" s="67">
        <v>0</v>
      </c>
      <c r="CF3" s="67" t="e">
        <v>#REF!</v>
      </c>
      <c r="CG3" s="68" cm="1">
        <f t="array" ref="CG3">SUMPRODUCT(--(LEN(TRIM(BL3:BT3))&gt;0))</f>
        <v>4</v>
      </c>
      <c r="CH3" s="59" t="str">
        <f t="shared" ref="CH3:CH4" si="6">IF(CG3=2,"y","n")</f>
        <v>n</v>
      </c>
      <c r="CI3" s="59" t="str">
        <f t="shared" ref="CI3:CI4" si="7">IF(CG3=3,"y","n")</f>
        <v>n</v>
      </c>
      <c r="CJ3" s="59" t="str">
        <f t="shared" ref="CJ3:CJ4" si="8">IF(CG3=4,"y","n")</f>
        <v>y</v>
      </c>
      <c r="CK3" s="59" t="str">
        <f t="shared" ref="CK3:CK4" si="9">IF(CG3&gt;4,"y","n")</f>
        <v>n</v>
      </c>
      <c r="CL3" s="59" t="str">
        <f t="shared" ref="CL3:CL4" si="10">IF(S3=0,"y","n")</f>
        <v>n</v>
      </c>
      <c r="CM3" s="59" t="str">
        <f t="shared" ref="CM3:CM4" si="11">IF(S3=2,"y","n")</f>
        <v>n</v>
      </c>
      <c r="CN3" s="59" t="str">
        <f t="shared" ref="CN3:CN4" si="12">IF(S3=3,"y","n")</f>
        <v>y</v>
      </c>
      <c r="CO3" s="59" t="str">
        <f t="shared" ref="CO3:CO4" si="13">IF(S3&gt;=4,"y","n")</f>
        <v>n</v>
      </c>
      <c r="CP3" s="59" t="str">
        <f t="shared" ref="CP3:CP4" si="14">IF(AT3=0,"y","n")</f>
        <v>y</v>
      </c>
      <c r="CQ3" s="59" t="str">
        <f t="shared" ref="CQ3:CQ4" si="15">IF(AT3=1,"y","n")</f>
        <v>n</v>
      </c>
      <c r="CR3" s="59" t="str">
        <f t="shared" ref="CR3:CR4" si="16">IF(AT3=2,"y","n")</f>
        <v>n</v>
      </c>
      <c r="CS3" s="59" t="str">
        <f t="shared" ref="CS3:CS4" si="17">IF(AT3&gt;=3,"y","n")</f>
        <v>n</v>
      </c>
      <c r="CT3" s="69" t="str">
        <f t="shared" ref="CT3:CT4" si="18">CHAR(34)&amp;A3&amp;CHAR(34)</f>
        <v>"[PRY] Asunción"</v>
      </c>
      <c r="CU3" s="70" t="str">
        <f t="shared" ref="CU3:CU4" si="19">CHAR(34)&amp;"rgn_"&amp;R3&amp;CHAR(34)</f>
        <v>"rgn_South America"</v>
      </c>
      <c r="CV3" s="48" t="str">
        <f t="shared" ref="CV3:CV4" si="20">CHAR(34)&amp;D3&amp;CHAR(34)</f>
        <v>"https://upload.wikimedia.org/wikipedia/commons/thumb/d/d5/Flag_of_Asunci%C3%B3n.svg/320px-Flag_of_Asunci%C3%B3n.svg.png"</v>
      </c>
      <c r="CW3" s="48" t="str">
        <f t="shared" si="0"/>
        <v/>
      </c>
      <c r="CX3" s="48" t="str">
        <f t="shared" si="0"/>
        <v/>
      </c>
      <c r="CY3" s="48" t="str">
        <f t="shared" si="0"/>
        <v>"4Color",</v>
      </c>
      <c r="CZ3" s="48" t="str">
        <f t="shared" si="0"/>
        <v/>
      </c>
      <c r="DA3" s="48" t="str">
        <f t="shared" ref="DA3:DA4" si="21">IF(Q3&gt;1,CHAR(34)&amp;"words2"&amp;CHAR(34)&amp;",","")</f>
        <v/>
      </c>
      <c r="DB3" s="48" t="str">
        <f t="shared" ref="DB3:DB4" si="22">IF(Q3&gt;2,CHAR(34)&amp;"words3"&amp;CHAR(34)&amp;",","")</f>
        <v/>
      </c>
      <c r="DC3" s="48" t="str">
        <f t="shared" ref="DC3:DC4" si="23">IF(Q3=2,CHAR(34)&amp;"exact2"&amp;CHAR(34)&amp;",","")</f>
        <v/>
      </c>
      <c r="DD3" s="48" t="str">
        <f t="shared" ref="DD3:DD4" si="24">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"lets08",</v>
      </c>
      <c r="DE3" s="48" t="str">
        <f t="shared" ref="DE3:DE4" si="25">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8" t="str">
        <f t="shared" ref="DF3:DF4" si="26">IFERROR(IF(SEARCH("tan",A3)&gt;0,CHAR(34)&amp;"withtn"&amp;CHAR(34)&amp;",",""),"")</f>
        <v/>
      </c>
      <c r="DG3" s="48" t="str">
        <f t="shared" ref="DG3:DG4" si="27">IFERROR(IF(SEARCH("q",A3)&gt;0,CHAR(34)&amp;"with_q"&amp;CHAR(34)&amp;",",""),"")</f>
        <v/>
      </c>
      <c r="DH3" s="48" t="str">
        <f t="shared" ref="DH3:DH4" si="28">IFERROR(IF(SEARCH("v",A3)&gt;0,CHAR(34)&amp;"with_v"&amp;CHAR(34)&amp;",",""),"")</f>
        <v/>
      </c>
      <c r="DI3" s="48" t="str">
        <f t="shared" ref="DI3:DI4" si="29">IFERROR(IF(SEARCH("w",A3)&gt;0,CHAR(34)&amp;"with_w"&amp;CHAR(34)&amp;",",""),"")</f>
        <v/>
      </c>
      <c r="DJ3" s="48" t="str">
        <f t="shared" ref="DJ3:DJ4" si="30">IFERROR(IF(SEARCH("y",A3)&gt;0,CHAR(34)&amp;"with_y"&amp;CHAR(34)&amp;",",""),"")</f>
        <v>"with_y",</v>
      </c>
      <c r="DK3" s="48" t="str">
        <f t="shared" ref="DK3:DK4" si="31">IFERROR(IF(SEARCH("z",A3)&gt;0,CHAR(34)&amp;"with_z"&amp;CHAR(34)&amp;",",""),"")</f>
        <v/>
      </c>
      <c r="DL3" s="48" t="str">
        <f t="shared" ref="DL3:DL4" si="32">IF(CG3=2, CHAR(34) &amp; _xlfn.TEXTJOIN("", TRUE, _xlfn._xlws.SORT(HP3:HX3)) &amp; CHAR(34) &amp; ",", "")</f>
        <v/>
      </c>
      <c r="DM3" s="48" t="str" cm="1">
        <f t="array" ref="DM3">IF(CG3=3,CHAR(34) &amp; _xlfn.TEXTJOIN("", TRUE, RIGHT(HP3:HX3, 2)) &amp; CHAR(34) &amp; ",", "")</f>
        <v/>
      </c>
      <c r="DN3" s="48" t="str">
        <f t="shared" ref="DN3:DN4" si="33">IF(AND(ISNUMBER(SEARCH("18", O3)), ISERROR(SEARCH("1918", O3)), ISERROR(SEARCH("2018", O3))), CHAR(34) &amp; "year18" &amp; CHAR(34) &amp; ",", "")</f>
        <v/>
      </c>
      <c r="DO3" s="48" t="str">
        <f t="shared" ref="DO3:DO4" si="34">IF(AND(ISNUMBER(SEARCH("19", O3)), ISERROR(SEARCH("1819", O3)),  ISERROR(SEARCH("1219", O3)),ISERROR(SEARCH("1119", O3)),ISERROR(SEARCH("1190", O3)),ISERROR(SEARCH("2019", O3))), CHAR(34) &amp; "year19" &amp; CHAR(34) &amp; ",", "")</f>
        <v>"year19",</v>
      </c>
      <c r="DP3" s="6" t="str">
        <f t="shared" ref="DP3:DP4" si="35">IF(AND(ISNUMBER(SEARCH("20", O3)), ISERROR(SEARCH("1920", O3))), CHAR(34)&amp;"year00"&amp;CHAR(34)&amp;",", "")</f>
        <v/>
      </c>
      <c r="DQ3" s="6" t="str">
        <f t="shared" ref="DQ3:DQ4" si="36">IF(CC3="y",CHAR(34)&amp;"soviet"&amp;CHAR(34)&amp;",","")</f>
        <v/>
      </c>
      <c r="DR3" s="6" t="str">
        <f t="shared" ref="DR3:DR4" si="37">IF(BY3="y",CHAR(34)&amp;"dgband"&amp;CHAR(34)&amp;",","")</f>
        <v>"dgband",</v>
      </c>
      <c r="DS3" s="6" t="str">
        <f t="shared" ref="DS3:DS4" si="38">IF(W3="y",IF(AND(V3="n",BY3&lt;&gt;"y"),CHAR(34)&amp;"allver"&amp;CHAR(34)&amp;",",""),"")</f>
        <v/>
      </c>
      <c r="DT3" s="6" t="str">
        <f t="shared" ref="DT3:DT4" si="39">IF(V3="y",IF(AND(W3="n",BY3&lt;&gt;"y"),CHAR(34)&amp;"allhor"&amp;CHAR(34)&amp;",",""),"")</f>
        <v/>
      </c>
      <c r="DU3" s="6" t="str">
        <f t="shared" ref="DU3:DU4" si="40">IF(BY3="y",IF(AND(W3="n",V3="n"),CHAR(34)&amp;"alldia"&amp;CHAR(34)&amp;",",""),"")</f>
        <v/>
      </c>
      <c r="DV3" s="48" t="str">
        <f t="shared" ref="DV3:DV4" si="41">IF(IA3&lt;&gt;"",(IF(IA3="y",CHAR(34)&amp;"largec"&amp;CHAR(34)&amp;",",CHAR(34)&amp;"smallc"&amp;CHAR(34)&amp;",")),"")</f>
        <v/>
      </c>
      <c r="DW3" s="48" t="str">
        <f t="shared" si="1"/>
        <v/>
      </c>
      <c r="DX3" s="48" t="str">
        <f t="shared" si="1"/>
        <v/>
      </c>
      <c r="DY3" s="48" t="str">
        <f t="shared" si="1"/>
        <v>"3Bands",</v>
      </c>
      <c r="DZ3" s="48" t="str">
        <f t="shared" si="1"/>
        <v/>
      </c>
      <c r="EA3" s="48" t="str">
        <f t="shared" si="2"/>
        <v/>
      </c>
      <c r="EB3" s="48" t="str">
        <f t="shared" si="2"/>
        <v>"Crosse",</v>
      </c>
      <c r="EC3" s="48" t="str">
        <f t="shared" si="2"/>
        <v>"Horizo",</v>
      </c>
      <c r="ED3" s="48" t="str">
        <f t="shared" si="2"/>
        <v/>
      </c>
      <c r="EE3" s="48" t="str">
        <f t="shared" si="2"/>
        <v/>
      </c>
      <c r="EF3" s="48" t="str">
        <f t="shared" ref="EF3:EF4" si="42">IF(AND(Y3&lt;&gt;"n",Y3&lt;&gt;""),CHAR(34)&amp;Y$1&amp;CHAR(34)&amp;",","")</f>
        <v>"Animal",</v>
      </c>
      <c r="EG3" s="48" t="str">
        <f t="shared" si="3"/>
        <v/>
      </c>
      <c r="EH3" s="48" t="str">
        <f t="shared" si="3"/>
        <v>"Plants",</v>
      </c>
      <c r="EI3" s="48" t="str">
        <f t="shared" si="3"/>
        <v/>
      </c>
      <c r="EJ3" s="48" t="str">
        <f t="shared" si="3"/>
        <v/>
      </c>
      <c r="EK3" s="48" t="str">
        <f t="shared" si="3"/>
        <v/>
      </c>
      <c r="EL3" s="48" t="str">
        <f t="shared" si="3"/>
        <v/>
      </c>
      <c r="EM3" s="48" t="str">
        <f t="shared" si="3"/>
        <v/>
      </c>
      <c r="EN3" s="48" t="str">
        <f t="shared" si="3"/>
        <v>"Unequa",</v>
      </c>
      <c r="EO3" s="48" t="str">
        <f t="shared" si="3"/>
        <v>"Center",</v>
      </c>
      <c r="EP3" s="48" t="str">
        <f t="shared" si="3"/>
        <v/>
      </c>
      <c r="EQ3" s="48" t="str">
        <f t="shared" si="3"/>
        <v/>
      </c>
      <c r="ER3" s="48" t="str">
        <f t="shared" si="3"/>
        <v/>
      </c>
      <c r="ES3" s="48" t="str">
        <f t="shared" si="3"/>
        <v/>
      </c>
      <c r="ET3" s="48" t="str">
        <f t="shared" si="3"/>
        <v/>
      </c>
      <c r="EU3" s="48" t="str">
        <f t="shared" si="3"/>
        <v>"Humans",</v>
      </c>
      <c r="EV3" s="48" t="str">
        <f t="shared" si="3"/>
        <v>"Builds",</v>
      </c>
      <c r="EW3" s="48" t="str">
        <f t="shared" si="3"/>
        <v/>
      </c>
      <c r="EX3" s="48" t="str">
        <f t="shared" si="3"/>
        <v/>
      </c>
      <c r="EY3" s="48" t="str">
        <f t="shared" si="3"/>
        <v/>
      </c>
      <c r="EZ3" s="48" t="str">
        <f t="shared" si="3"/>
        <v/>
      </c>
      <c r="FA3" s="48" t="str">
        <f t="shared" ref="FA3:FA4" si="43">IF(AT3&gt;0,CHAR(34)&amp;"sta"&amp;AZ3&amp;CHAR(34)&amp;",","")</f>
        <v/>
      </c>
      <c r="FB3" s="48" t="str">
        <f t="shared" ref="FB3:FB4" si="44">IF(AND(AT3&gt;0,BA3&lt;&gt;""),CHAR(34)&amp;"sta"&amp;BA3&amp;CHAR(34)&amp;",","")</f>
        <v/>
      </c>
      <c r="FC3" s="48" t="str">
        <f t="shared" ref="FC3:FC4" si="45">IF(AND(AT3&gt;0,BB3&lt;&gt;""),CHAR(34)&amp;"sta"&amp;BB3&amp;CHAR(34)&amp;",","")</f>
        <v/>
      </c>
      <c r="FD3" s="48" t="str">
        <f t="shared" ref="FD3:FD4" si="46">IF(BV3="n",CHAR(34)&amp;"tcWHYE"&amp;CHAR(34)&amp;",",IF(BV3="y",CHAR(34)&amp;FD$1&amp;CHAR(34)&amp;",",""))</f>
        <v/>
      </c>
      <c r="FE3" s="48" t="str">
        <f t="shared" ref="FE3:FE4" si="47">IF(COUNTIF(BL3:BT3,"BLU")=0,CHAR(34)&amp;"NO_BLU"&amp;CHAR(34)&amp;",", "")</f>
        <v/>
      </c>
      <c r="FF3" s="48" t="str">
        <f t="shared" ref="FF3:FF4" si="48">IF(COUNTIF(BL3:BT3,"WHI")=0,CHAR(34)&amp;"NO_WHI"&amp;CHAR(34)&amp;",", "")</f>
        <v/>
      </c>
      <c r="FG3" s="48" t="str">
        <f t="shared" ref="FG3:FG4" si="49">IF(COUNTIF(BL3:BT3,"RED")=0,CHAR(34)&amp;"NO_RED"&amp;CHAR(34)&amp;",", "")</f>
        <v>"NO_RED",</v>
      </c>
      <c r="FH3" s="48" t="str">
        <f t="shared" ref="FH3:FH4" si="50">IF(COUNTIF(BL3:BS3,"GRE")=0,CHAR(34)&amp;"NO_GRE"&amp;CHAR(34)&amp;",", "")</f>
        <v/>
      </c>
      <c r="FI3" s="48" t="str">
        <f t="shared" ref="FI3:FI4" si="51">IF(COUNTIF(BL3:BT3,"YEL")=0,CHAR(34)&amp;"NO_YEL"&amp;CHAR(34)&amp;",", "")</f>
        <v/>
      </c>
      <c r="FJ3" s="48" t="str">
        <f t="shared" ref="FJ3:FJ4" si="52">IF(COUNTIF(BL3:BT3,"BLA")=0,CHAR(34)&amp;"NO_BLA"&amp;CHAR(34)&amp;",", "")</f>
        <v>"NO_BLA",</v>
      </c>
      <c r="FK3" s="48" t="str">
        <f t="shared" ref="FK3:FK4" si="53">IF(AND(FH3&lt;&gt;"",FF3&lt;&gt;""),CHAR(34)&amp;"WHGRNO"&amp;CHAR(34)&amp;",","")</f>
        <v/>
      </c>
      <c r="FL3" s="48" t="str">
        <f t="shared" ref="FL3:FL4" si="54">IF(AND(FI3&lt;&gt;"",FF3&lt;&gt;""),CHAR(34)&amp;"WHYENO"&amp;CHAR(34)&amp;",","")</f>
        <v/>
      </c>
      <c r="FM3" s="48" t="str">
        <f t="shared" ref="FM3:FM4" si="55">IF(AND(FJ3&lt;&gt;"",FF3&lt;&gt;""),CHAR(34)&amp;"BAWHNO"&amp;CHAR(34)&amp;",","")</f>
        <v/>
      </c>
      <c r="FN3" s="48" t="str">
        <f t="shared" ref="FN3:FN4" si="56">IF(AND(FE3&lt;&gt;"",FF3&lt;&gt;""),CHAR(34)&amp;"BLWHNO"&amp;CHAR(34)&amp;",","")</f>
        <v/>
      </c>
      <c r="FO3" s="48" t="str">
        <f t="shared" ref="FO3:FO4" si="57">IF(AND(FE3&lt;&gt;"",FG3&lt;&gt;""),CHAR(34)&amp;"BLRENO"&amp;CHAR(34)&amp;",","")</f>
        <v/>
      </c>
      <c r="FP3" s="48" t="str">
        <f t="shared" ref="FP3:FP4" si="58">IF(AND(FF3&lt;&gt;"",FF3&lt;&gt;""),CHAR(34)&amp;"WHRENO"&amp;CHAR(34)&amp;",","")</f>
        <v/>
      </c>
      <c r="FQ3" s="48" t="str">
        <f t="shared" ref="FQ3:FQ4" si="59">IF(LEN(BF3)=3,CHAR(34)&amp;"001"&amp;BF3&amp;CHAR(34)&amp;",","")</f>
        <v>"001GRE",</v>
      </c>
      <c r="FR3" s="48" t="str">
        <f t="shared" ref="FR3:FR4" si="60">IF(LEN(BG3)=3,CHAR(34)&amp;"002"&amp;BG3&amp;CHAR(34)&amp;",","")</f>
        <v>"002WHI",</v>
      </c>
      <c r="FS3" s="48" t="str">
        <f t="shared" ref="FS3:FS4" si="61">IF(LEN(BH3)=3,CHAR(34)&amp;"003"&amp;BH3&amp;CHAR(34)&amp;",","")</f>
        <v>"003BLU",</v>
      </c>
      <c r="FT3" s="48" t="str">
        <f t="shared" ref="FT3:FT4" si="62">CHAR(34)&amp;"myr"&amp;BD3&amp;CHAR(34)&amp;","</f>
        <v>"myrBLU",</v>
      </c>
      <c r="FU3" s="48" t="str">
        <f t="shared" ref="FU3:FU4" si="63">IF(AY3="y",CHAR(34)&amp;"island"&amp;CHAR(34)&amp;",","")</f>
        <v/>
      </c>
      <c r="FV3" s="48" t="str">
        <f t="shared" ref="FV3:FV4" si="64">IF(BZ3="y",CHAR(34)&amp;"landlo"&amp;CHAR(34)&amp;",","")</f>
        <v/>
      </c>
      <c r="FW3" s="48" t="str">
        <f t="shared" ref="FW3:FW4" si="65">IF(CA3="y",CHAR(34)&amp;"eunion"&amp;CHAR(34)&amp;",","")</f>
        <v/>
      </c>
      <c r="FX3" s="48" t="str">
        <f t="shared" ref="FX3:FX4" si="66">SUBSTITUTE(IFERROR(SEARCH("[",A3),IFERROR(IF(AND(CA3&lt;&gt;"y",SEARCH("Europe",R3)&gt;0),CHAR(34)&amp;"noeuni"&amp;CHAR(34)&amp;",",""),"")),"1","")</f>
        <v/>
      </c>
      <c r="FY3" s="48" t="str">
        <f t="shared" ref="FY3:FY4" si="67">IFERROR(IF(SEARCH("Arabic",CB3)&gt;0,CHAR(34)&amp;"arabic"&amp;CHAR(34)&amp;",",""),"")</f>
        <v/>
      </c>
      <c r="FZ3" s="48" t="str">
        <f t="shared" ref="FZ3:FZ4" si="68">IFERROR(IF(SEARCH("English",CB3)&gt;0,CHAR(34)&amp;"englis"&amp;CHAR(34)&amp;",",""),"")</f>
        <v/>
      </c>
      <c r="GA3" s="48" t="str">
        <f t="shared" ref="GA3:GA4" si="69">IFERROR(IF(SEARCH("French",CB3)&gt;0,CHAR(34)&amp;"french"&amp;CHAR(34)&amp;",",""),"")</f>
        <v/>
      </c>
      <c r="GB3" s="48" t="str">
        <f t="shared" ref="GB3:GB4" si="70">IFERROR(IF(SEARCH("Spanish",CB3)&gt;0,CHAR(34)&amp;"spanis"&amp;CHAR(34)&amp;",",""),"")</f>
        <v/>
      </c>
      <c r="GC3" s="48" t="str">
        <f t="shared" ref="GC3:GC4" si="71">IFERROR(IF(SEARCH("Portuguese",CB3)&gt;0,CHAR(34)&amp;"portug"&amp;CHAR(34)&amp;",",""),"")</f>
        <v/>
      </c>
      <c r="GD3" s="48" t="str">
        <f t="shared" ref="GD3:GD4" si="72">IFERROR(IF(SEARCH("German",CB3)&gt;0,CHAR(34)&amp;"german"&amp;CHAR(34)&amp;",",""),"")</f>
        <v/>
      </c>
      <c r="GE3" s="48" t="str">
        <f t="shared" ref="GE3:GE4" si="73">IFERROR(IF(SEARCH("Dutch",CB3)&gt;0,CHAR(34)&amp;"dutchs"&amp;CHAR(34)&amp;",",""),"")</f>
        <v/>
      </c>
      <c r="GF3" s="48" t="str">
        <f t="shared" ref="GF3:GF4" si="74">IFERROR(IF(SEARCH("Historical",AU3)&gt;0,CHAR(34)&amp;"histor"&amp;CHAR(34)&amp;",",""),"")</f>
        <v/>
      </c>
      <c r="GG3" s="48" t="str">
        <f t="shared" ref="GG3:GG4" si="75">IF(BU3="y",CHAR(34)&amp;"unjack"&amp;CHAR(34)&amp;",","")</f>
        <v/>
      </c>
      <c r="GH3" s="48" t="str">
        <f t="shared" ref="GH3:GH4" si="76">IF(CD3=1,CHAR(34)&amp;"southc"&amp;CHAR(34)&amp;",","")</f>
        <v/>
      </c>
      <c r="GI3" s="48" t="str">
        <f t="shared" ref="GI3:GI4" si="77">IF(CE3=1,CHAR(34)&amp;"hasmap"&amp;CHAR(34)&amp;",","")</f>
        <v/>
      </c>
      <c r="GJ3" s="48" t="str">
        <f t="shared" ref="GJ3:GJ4" si="78">IF(CP3="y",CHAR(34)&amp;CP$1&amp;CHAR(34)&amp;",","")</f>
        <v>"NoStar",</v>
      </c>
      <c r="GK3" s="48" t="str">
        <f t="shared" ref="GK3:GK4" si="79">IF(GJ3="",CHAR(34)&amp;"HasSta"&amp;CHAR(34)&amp;",","")</f>
        <v/>
      </c>
      <c r="GL3" s="48" t="str">
        <f t="shared" si="4"/>
        <v/>
      </c>
      <c r="GM3" s="48" t="str">
        <f t="shared" si="4"/>
        <v/>
      </c>
      <c r="GN3" s="48" t="str">
        <f t="shared" si="4"/>
        <v/>
      </c>
      <c r="GP3" s="48" t="str">
        <f t="shared" ref="GP3:GP4" si="80">CHAR(34)&amp;AU3&amp;CHAR(34)</f>
        <v>"Capital City"</v>
      </c>
      <c r="GS3" s="48" t="str">
        <f t="shared" ref="GS3:GS4" si="81">SUBSTITUTE("["&amp;_xlfn.CONCAT(CW3:GN3)&amp;"]",",]","]")</f>
        <v>["4Color","lets08","startA","with_y","year19","dgband","3Bands","Crosse","Horizo","Animal","Plants","Unequa","Center","Humans","Builds","NO_RED","NO_BLA","001GRE","002WHI","003BLU","myrBLU","NoStar"]</v>
      </c>
      <c r="GT3" s="48" t="str">
        <f t="shared" si="5"/>
        <v>"cl_GRE",</v>
      </c>
      <c r="GU3" s="48" t="str">
        <f t="shared" si="5"/>
        <v>"cl_WHI",</v>
      </c>
      <c r="GV3" s="48" t="str">
        <f t="shared" si="5"/>
        <v>"cl_BLU",</v>
      </c>
      <c r="GW3" s="48" t="str">
        <f t="shared" si="5"/>
        <v>"cl_YEL",</v>
      </c>
      <c r="GX3" s="48" t="str">
        <f t="shared" si="5"/>
        <v/>
      </c>
      <c r="GY3" s="48" t="str">
        <f t="shared" si="5"/>
        <v/>
      </c>
      <c r="GZ3" s="48" t="str">
        <f t="shared" si="5"/>
        <v/>
      </c>
      <c r="HA3" s="48" t="str">
        <f t="shared" si="5"/>
        <v/>
      </c>
      <c r="HB3" s="48" t="str">
        <f t="shared" si="5"/>
        <v/>
      </c>
      <c r="HC3" s="48" t="str">
        <f t="shared" ref="HC3:HC4" si="82">SUBSTITUTE("["&amp;_xlfn.CONCAT(GT3:HB3)&amp;"]",",]","]")</f>
        <v>["cl_GRE","cl_WHI","cl_BLU","cl_YEL"]</v>
      </c>
      <c r="HE3" s="71"/>
      <c r="HF3" s="72" t="str">
        <f t="shared" ref="HF3:HF4" si="83">"{couname:"&amp;CT3&amp;(IF(HK3&lt;&gt;"",",subtype:"&amp;CHAR(34)&amp;HK3&amp;CHAR(34),""))&amp;",year:"&amp;HJ3&amp;",region:"&amp;CU3&amp;",Colors:"&amp;HC3&amp;",Items:"&amp;GS3&amp;",Flag:"&amp;CV3&amp;",HDFlag:"&amp;CHAR(34)&amp;E3&amp;CHAR(34)&amp;",type:"&amp;GP3&amp;", describe: "&amp;HH3&amp;", isnew:"&amp;CHAR(34)&amp;F3&amp;CHAR(34)&amp;", links: "&amp;HL3&amp;"},"</f>
        <v>{couname:"[PRY] Asunción",year:"1961",region:"rgn_South America",Colors:["cl_GRE","cl_WHI","cl_BLU","cl_YEL"],Items:["4Color","lets08","startA","with_y","year19","dgband","3Bands","Crosse","Horizo","Animal","Plants","Unequa","Center","Humans","Builds","NO_RED","NO_BLA","001GRE","002WHI","003BLU","myrBLU","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isnew:".", links: "https://www.crwflags.com/fotw/flags/py-as.html"},</v>
      </c>
      <c r="HG3" s="73" t="str">
        <f t="shared" ref="HG3:HG4" si="84">"{couname:"&amp;CT3&amp;(IF(HK3&lt;&gt;"",",subtype:"&amp;CHAR(34)&amp;HK3&amp;CHAR(34),""))&amp;",year:"&amp;HJ3&amp;",region:"&amp;CU3&amp;",Colors:"&amp;HC3&amp;",Items:"&amp;GS3&amp;",Flag:"&amp;CV3&amp;",HDFlag:"&amp;CHAR(34)&amp;E3&amp;CHAR(34)&amp;",type:"&amp;GP3&amp;", describe: "&amp;HI3&amp;", links: "&amp;HL3&amp;"},"</f>
        <v>{couname:"[PRY] Asunción",year:"1961",region:"rgn_South America",Colors:["cl_GRE","cl_WHI","cl_BLU","cl_YEL"],Items:["4Color","lets08","startA","with_y","year19","dgband","3Bands","Crosse","Horizo","Animal","Plants","Unequa","Center","Humans","Builds","NO_RED","NO_BLA","001GRE","002WHI","003BLU","myrBLU","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links: "https://www.crwflags.com/fotw/flags/py-as.html"},</v>
      </c>
      <c r="HH3" s="48" t="str">
        <f t="shared" ref="HH3:HH4" si="85">IF(P3&lt;&gt;"",CHAR(34)&amp;"\n"&amp;P3&amp;CHAR(34),CHAR(34)&amp;CHAR(34))</f>
        <v>"\nThe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v>
      </c>
      <c r="HI3" s="48" t="str">
        <f t="shared" ref="HI3:HI4" si="86">IF(J3=0,CHAR(34)&amp;CHAR(34),HH3)</f>
        <v>"\nThe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v>
      </c>
      <c r="HJ3" s="48" t="str">
        <f t="shared" ref="HJ3:HJ4" si="87">CHAR(34)&amp;O3&amp;CHAR(34)</f>
        <v>"1961"</v>
      </c>
      <c r="HL3" s="48" t="str">
        <f t="shared" ref="HL3:HL4" si="88">CHAR(34)&amp;I3&amp;CHAR(34)</f>
        <v>"https://www.crwflags.com/fotw/flags/py-as.html"</v>
      </c>
      <c r="HM3" s="72" t="str">
        <f t="shared" ref="HM3:HM4" si="89">"{"&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{"couname":"[PRY] Asunción","year":"1961","region":"rgn_South America","Colors":["cl_GRE","cl_WHI","cl_BLU","cl_YEL"],"Items":["4Color","lets08","startA","with_y","year19","dgband","3Bands","Crosse","Horizo","Animal","Plants","Unequa","Center","Humans","Builds","NO_RED","NO_BLA","001GRE","002WHI","003BLU","myrBLU","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"isnew": ".", "links": "https://www.crwflags.com/fotw/flags/py-as.html"},</v>
      </c>
      <c r="HN3" s="74" t="str">
        <f t="shared" ref="HN3:HN4" si="90">"{"&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{"couname":"[PRY] Asunción","year":"1961","region":"rgn_South America","Colors":["cl_GRE","cl_WHI","cl_BLU","cl_YEL"],"Items":["4Color","lets08","startA","with_y","year19","dgband","3Bands","Crosse","Horizo","Animal","Plants","Unequa","Center","Humans","Builds","NO_RED","NO_BLA","001GRE","002WHI","003BLU","myrBLU","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"isnew": ".", "links": "https://www.crwflags.com/fotw/flags/py-as.html"},</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 t="shared" ref="IL3:IL4" si="91">SUM(IC3:IK3)</f>
        <v>0</v>
      </c>
      <c r="IM3" s="45">
        <f t="shared" ref="IM3:IM4" si="92">COUNTIF(IC3:IK3,"&gt;0")-CG3</f>
        <v>-4</v>
      </c>
      <c r="IN3" s="78" t="str">
        <f t="shared" ref="IN3:IN4" si="93">"http://mkweb.bcgsc.ca/color-summarizer/?url="&amp;D3&amp;"&amp;precision=low&amp;num_clusters="&amp;CG3&amp;"&amp;text=1"</f>
        <v>http://mkweb.bcgsc.ca/color-summarizer/?url=https://upload.wikimedia.org/wikipedia/commons/thumb/d/d5/Flag_of_Asunci%C3%B3n.svg/320px-Flag_of_Asunci%C3%B3n.svg.png&amp;precision=low&amp;num_clusters=4&amp;text=1</v>
      </c>
      <c r="IO3" s="48" t="str">
        <f t="shared" ref="IO3:IO4" si="94">IF(HP3&lt;&gt;"",CHAR(34)&amp;"black"&amp;CHAR(34),"")</f>
        <v/>
      </c>
      <c r="IP3" s="48" t="str">
        <f t="shared" ref="IP3:IP4" si="95">IF(HQ3&lt;&gt;"",CHAR(34)&amp;"blue"&amp;CHAR(34),"")</f>
        <v>"blue"</v>
      </c>
      <c r="IQ3" s="48" t="str">
        <f t="shared" ref="IQ3:IQ4" si="96">IF(HR3&lt;&gt;"",CHAR(34)&amp;"green"&amp;CHAR(34),"")</f>
        <v>"green"</v>
      </c>
      <c r="IR3" s="48" t="str">
        <f t="shared" ref="IR3:IR4" si="97">IF(HS3&lt;&gt;"",CHAR(34)&amp;"red"&amp;CHAR(34),"")</f>
        <v/>
      </c>
      <c r="IS3" s="48" t="str">
        <f t="shared" ref="IS3:IS4" si="98">IF(HT3&lt;&gt;"",CHAR(34)&amp;"yellow"&amp;CHAR(34),"")</f>
        <v>"yellow"</v>
      </c>
      <c r="IT3" s="48" t="str">
        <f t="shared" ref="IT3:IT4" si="99">IF(HU3&lt;&gt;"",CHAR(34)&amp;"orange"&amp;CHAR(34),"")</f>
        <v/>
      </c>
      <c r="IU3" s="48" t="str">
        <f t="shared" ref="IU3:IU4" si="100">IF(HV3&lt;&gt;"",CHAR(34)&amp;"brown"&amp;CHAR(34),"")</f>
        <v/>
      </c>
      <c r="IV3" s="48" t="str">
        <f t="shared" ref="IV3:IV4" si="101">IF(HW3&lt;&gt;"",CHAR(34)&amp;"purple"&amp;CHAR(34),"")</f>
        <v/>
      </c>
      <c r="IW3" s="48" t="str">
        <f t="shared" ref="IW3:IW4" si="102">IF(HX3&lt;&gt;"",CHAR(34)&amp;"white"&amp;CHAR(34),"")</f>
        <v>"white"</v>
      </c>
      <c r="IX3" s="48" t="str">
        <f t="shared" ref="IX3:IX4" si="103">"{"&amp;CHAR(34)&amp;"url"&amp;CHAR(34)&amp;":"&amp;CHAR(34)&amp;IN3&amp;CHAR(34)&amp;","&amp;CHAR(34)&amp;"name"&amp;CHAR(34)&amp;":"&amp;CHAR(34)&amp;A3&amp;CHAR(34)&amp;"},"</f>
        <v>{"url":"http://mkweb.bcgsc.ca/color-summarizer/?url=https://upload.wikimedia.org/wikipedia/commons/thumb/d/d5/Flag_of_Asunci%C3%B3n.svg/320px-Flag_of_Asunci%C3%B3n.svg.png&amp;precision=low&amp;num_clusters=4&amp;text=1","name":"[PRY] Asunción"},</v>
      </c>
      <c r="IY3" s="48">
        <v>338</v>
      </c>
    </row>
    <row r="4" spans="1:259" s="48" customFormat="1" ht="38.4" customHeight="1" thickBot="1" x14ac:dyDescent="0.35">
      <c r="A4" s="79" t="s">
        <v>664</v>
      </c>
      <c r="B4" s="40" t="e" vm="87">
        <v>#VALUE!</v>
      </c>
      <c r="C4" s="41">
        <v>2</v>
      </c>
      <c r="D4" s="42" t="s">
        <v>665</v>
      </c>
      <c r="E4" s="43" t="s">
        <v>665</v>
      </c>
      <c r="F4" s="44" t="s">
        <v>166</v>
      </c>
      <c r="G4" s="45">
        <f>COUNTIF($A$1:$A$8281,A4)</f>
        <v>1</v>
      </c>
      <c r="H4" s="46"/>
      <c r="I4" s="47" t="s">
        <v>235</v>
      </c>
      <c r="J4" s="48" t="str">
        <f>""</f>
        <v/>
      </c>
      <c r="K4" s="49"/>
      <c r="L4" s="50"/>
      <c r="M4" s="50"/>
      <c r="N4" s="51" t="s">
        <v>169</v>
      </c>
      <c r="O4" s="52" t="s">
        <v>237</v>
      </c>
      <c r="P4" s="53" t="s">
        <v>666</v>
      </c>
      <c r="Q4" s="54">
        <v>1</v>
      </c>
      <c r="R4" s="55" t="s">
        <v>169</v>
      </c>
      <c r="S4" s="56">
        <v>3</v>
      </c>
      <c r="T4" s="57" t="s">
        <v>172</v>
      </c>
      <c r="U4" s="58" t="s">
        <v>172</v>
      </c>
      <c r="V4" s="58" t="s">
        <v>173</v>
      </c>
      <c r="W4" s="58" t="s">
        <v>172</v>
      </c>
      <c r="X4" s="58" t="s">
        <v>173</v>
      </c>
      <c r="Y4" s="58" t="s">
        <v>173</v>
      </c>
      <c r="Z4" s="58" t="s">
        <v>172</v>
      </c>
      <c r="AA4" s="58" t="s">
        <v>172</v>
      </c>
      <c r="AB4" s="58" t="s">
        <v>173</v>
      </c>
      <c r="AC4" s="58" t="s">
        <v>172</v>
      </c>
      <c r="AD4" s="58" t="s">
        <v>172</v>
      </c>
      <c r="AE4" s="58" t="s">
        <v>172</v>
      </c>
      <c r="AF4" s="59" t="s">
        <v>172</v>
      </c>
      <c r="AG4" s="59" t="s">
        <v>172</v>
      </c>
      <c r="AH4" s="59" t="s">
        <v>173</v>
      </c>
      <c r="AI4" s="59" t="s">
        <v>172</v>
      </c>
      <c r="AJ4" s="59" t="s">
        <v>172</v>
      </c>
      <c r="AK4" s="59" t="s">
        <v>172</v>
      </c>
      <c r="AL4" s="59" t="s">
        <v>172</v>
      </c>
      <c r="AM4" s="59" t="s">
        <v>172</v>
      </c>
      <c r="AN4" s="59" t="s">
        <v>172</v>
      </c>
      <c r="AO4" s="59" t="s">
        <v>172</v>
      </c>
      <c r="AP4" s="59" t="s">
        <v>172</v>
      </c>
      <c r="AQ4" s="59" t="s">
        <v>172</v>
      </c>
      <c r="AR4" s="59" t="s">
        <v>172</v>
      </c>
      <c r="AS4" s="59" t="s">
        <v>172</v>
      </c>
      <c r="AT4" s="60">
        <v>0</v>
      </c>
      <c r="AU4" s="59" t="s">
        <v>667</v>
      </c>
      <c r="AV4" s="59" t="str">
        <f>IF(LEFT(A4,1)="[",LEFT(A4,5)&amp;AU4&amp;A4,"")</f>
        <v>[PRY]Other[PRY] Paraguay (Reverse)</v>
      </c>
      <c r="AW4" s="59" t="str">
        <f>C4&amp;A4</f>
        <v>2[PRY] Paraguay (Reverse)</v>
      </c>
      <c r="AX4" s="61"/>
      <c r="AY4" s="61"/>
      <c r="AZ4" s="62"/>
      <c r="BA4" s="62"/>
      <c r="BB4" s="62"/>
      <c r="BC4" s="63"/>
      <c r="BD4" s="64" t="s">
        <v>159</v>
      </c>
      <c r="BE4" s="47"/>
      <c r="BF4" s="64"/>
      <c r="BG4" s="64"/>
      <c r="BH4" s="64"/>
      <c r="BI4" s="64"/>
      <c r="BJ4" s="64"/>
      <c r="BK4" s="47"/>
      <c r="BL4" s="64" t="s">
        <v>154</v>
      </c>
      <c r="BM4" s="64" t="s">
        <v>159</v>
      </c>
      <c r="BN4" s="64" t="s">
        <v>151</v>
      </c>
      <c r="BO4" s="64"/>
      <c r="BP4" s="64"/>
      <c r="BQ4" s="64"/>
      <c r="BR4" s="64"/>
      <c r="BS4" s="64"/>
      <c r="BT4" s="64"/>
      <c r="BU4" s="65"/>
      <c r="BV4" s="66"/>
      <c r="BW4" s="66">
        <v>0</v>
      </c>
      <c r="BX4" s="47"/>
      <c r="BY4" s="48" t="s">
        <v>172</v>
      </c>
      <c r="CB4" s="6"/>
      <c r="CC4" s="6"/>
      <c r="CD4" s="67">
        <v>0</v>
      </c>
      <c r="CE4" s="67">
        <v>0</v>
      </c>
      <c r="CF4" s="67" t="e">
        <v>#REF!</v>
      </c>
      <c r="CG4" s="68" cm="1">
        <f t="array" ref="CG4">SUMPRODUCT(--(LEN(TRIM(BL4:BT4))&gt;0))</f>
        <v>3</v>
      </c>
      <c r="CH4" s="59" t="str">
        <f t="shared" si="6"/>
        <v>n</v>
      </c>
      <c r="CI4" s="59" t="str">
        <f t="shared" si="7"/>
        <v>y</v>
      </c>
      <c r="CJ4" s="59" t="str">
        <f t="shared" si="8"/>
        <v>n</v>
      </c>
      <c r="CK4" s="59" t="str">
        <f t="shared" si="9"/>
        <v>n</v>
      </c>
      <c r="CL4" s="59" t="str">
        <f t="shared" si="10"/>
        <v>n</v>
      </c>
      <c r="CM4" s="59" t="str">
        <f t="shared" si="11"/>
        <v>n</v>
      </c>
      <c r="CN4" s="59" t="str">
        <f t="shared" si="12"/>
        <v>y</v>
      </c>
      <c r="CO4" s="59" t="str">
        <f t="shared" si="13"/>
        <v>n</v>
      </c>
      <c r="CP4" s="59" t="str">
        <f t="shared" si="14"/>
        <v>y</v>
      </c>
      <c r="CQ4" s="59" t="str">
        <f t="shared" si="15"/>
        <v>n</v>
      </c>
      <c r="CR4" s="59" t="str">
        <f t="shared" si="16"/>
        <v>n</v>
      </c>
      <c r="CS4" s="59" t="str">
        <f t="shared" si="17"/>
        <v>n</v>
      </c>
      <c r="CT4" s="69" t="str">
        <f t="shared" si="18"/>
        <v>"[PRY] Paraguay (Reverse)"</v>
      </c>
      <c r="CU4" s="70" t="str">
        <f t="shared" si="19"/>
        <v>"rgn_South America"</v>
      </c>
      <c r="CV4" s="48" t="str">
        <f t="shared" si="20"/>
        <v>"https://upload.wikimedia.org/wikipedia/commons/thumb/f/f1/Flag_of_Paraguay_%28reverse%29.svg/2560px-Flag_of_Paraguay_%28reverse%29.svg.png"</v>
      </c>
      <c r="CW4" s="48" t="str">
        <f t="shared" si="0"/>
        <v/>
      </c>
      <c r="CX4" s="48" t="str">
        <f t="shared" si="0"/>
        <v>"3Color",</v>
      </c>
      <c r="CY4" s="48" t="str">
        <f t="shared" si="0"/>
        <v/>
      </c>
      <c r="CZ4" s="48" t="str">
        <f t="shared" si="0"/>
        <v/>
      </c>
      <c r="DA4" s="48" t="str">
        <f t="shared" si="21"/>
        <v/>
      </c>
      <c r="DB4" s="48" t="str">
        <f t="shared" si="22"/>
        <v/>
      </c>
      <c r="DC4" s="48" t="str">
        <f t="shared" si="23"/>
        <v/>
      </c>
      <c r="DD4" s="48" t="str">
        <f t="shared" si="24"/>
        <v>"lets08",</v>
      </c>
      <c r="DE4" s="48" t="str">
        <f t="shared" si="25"/>
        <v>"startP",</v>
      </c>
      <c r="DF4" s="48" t="str">
        <f t="shared" si="26"/>
        <v/>
      </c>
      <c r="DG4" s="48" t="str">
        <f t="shared" si="27"/>
        <v/>
      </c>
      <c r="DH4" s="48" t="str">
        <f t="shared" si="28"/>
        <v>"with_v",</v>
      </c>
      <c r="DI4" s="48" t="str">
        <f t="shared" si="29"/>
        <v/>
      </c>
      <c r="DJ4" s="48" t="str">
        <f t="shared" si="30"/>
        <v>"with_y",</v>
      </c>
      <c r="DK4" s="48" t="str">
        <f t="shared" si="31"/>
        <v/>
      </c>
      <c r="DL4" s="48" t="str">
        <f t="shared" si="32"/>
        <v/>
      </c>
      <c r="DM4" s="48" t="str" cm="1">
        <f t="array" ref="DM4">IF(CG4=3,CHAR(34) &amp; _xlfn.TEXTJOIN("", TRUE, RIGHT(HP4:HX4, 2)) &amp; CHAR(34) &amp; ",", "")</f>
        <v>"LAEDHI",</v>
      </c>
      <c r="DN4" s="48" t="str">
        <f t="shared" si="33"/>
        <v>"year18",</v>
      </c>
      <c r="DO4" s="48" t="str">
        <f t="shared" si="34"/>
        <v/>
      </c>
      <c r="DP4" s="6" t="str">
        <f t="shared" si="35"/>
        <v>"year00",</v>
      </c>
      <c r="DQ4" s="6" t="str">
        <f t="shared" si="36"/>
        <v/>
      </c>
      <c r="DR4" s="6" t="str">
        <f t="shared" si="37"/>
        <v/>
      </c>
      <c r="DS4" s="6" t="str">
        <f t="shared" si="38"/>
        <v/>
      </c>
      <c r="DT4" s="6" t="str">
        <f t="shared" si="39"/>
        <v>"allhor",</v>
      </c>
      <c r="DU4" s="6" t="str">
        <f t="shared" si="40"/>
        <v/>
      </c>
      <c r="DV4" s="48" t="str">
        <f t="shared" si="41"/>
        <v/>
      </c>
      <c r="DW4" s="48" t="str">
        <f t="shared" si="1"/>
        <v/>
      </c>
      <c r="DX4" s="48" t="str">
        <f t="shared" si="1"/>
        <v/>
      </c>
      <c r="DY4" s="48" t="str">
        <f t="shared" si="1"/>
        <v>"3Bands",</v>
      </c>
      <c r="DZ4" s="48" t="str">
        <f t="shared" si="1"/>
        <v/>
      </c>
      <c r="EA4" s="48" t="str">
        <f t="shared" si="2"/>
        <v/>
      </c>
      <c r="EB4" s="48" t="str">
        <f t="shared" si="2"/>
        <v/>
      </c>
      <c r="EC4" s="48" t="str">
        <f t="shared" si="2"/>
        <v>"Horizo",</v>
      </c>
      <c r="ED4" s="48" t="str">
        <f t="shared" si="2"/>
        <v/>
      </c>
      <c r="EE4" s="48" t="str">
        <f t="shared" si="2"/>
        <v>"Circle",</v>
      </c>
      <c r="EF4" s="48" t="str">
        <f t="shared" si="42"/>
        <v>"Animal",</v>
      </c>
      <c r="EG4" s="48" t="str">
        <f t="shared" si="3"/>
        <v/>
      </c>
      <c r="EH4" s="48" t="str">
        <f t="shared" si="3"/>
        <v/>
      </c>
      <c r="EI4" s="48" t="str">
        <f t="shared" si="3"/>
        <v>"Texted",</v>
      </c>
      <c r="EJ4" s="48" t="str">
        <f t="shared" si="3"/>
        <v/>
      </c>
      <c r="EK4" s="48" t="str">
        <f t="shared" si="3"/>
        <v/>
      </c>
      <c r="EL4" s="48" t="str">
        <f t="shared" si="3"/>
        <v/>
      </c>
      <c r="EM4" s="48" t="str">
        <f t="shared" si="3"/>
        <v/>
      </c>
      <c r="EN4" s="48" t="str">
        <f t="shared" si="3"/>
        <v/>
      </c>
      <c r="EO4" s="48" t="str">
        <f t="shared" si="3"/>
        <v>"Center",</v>
      </c>
      <c r="EP4" s="48" t="str">
        <f t="shared" si="3"/>
        <v/>
      </c>
      <c r="EQ4" s="48" t="str">
        <f t="shared" si="3"/>
        <v/>
      </c>
      <c r="ER4" s="48" t="str">
        <f t="shared" si="3"/>
        <v/>
      </c>
      <c r="ES4" s="48" t="str">
        <f t="shared" si="3"/>
        <v/>
      </c>
      <c r="ET4" s="48" t="str">
        <f t="shared" si="3"/>
        <v/>
      </c>
      <c r="EU4" s="48" t="str">
        <f t="shared" si="3"/>
        <v/>
      </c>
      <c r="EV4" s="48" t="str">
        <f t="shared" si="3"/>
        <v/>
      </c>
      <c r="EW4" s="48" t="str">
        <f t="shared" si="3"/>
        <v/>
      </c>
      <c r="EX4" s="48" t="str">
        <f t="shared" si="3"/>
        <v/>
      </c>
      <c r="EY4" s="48" t="str">
        <f t="shared" si="3"/>
        <v/>
      </c>
      <c r="EZ4" s="48" t="str">
        <f t="shared" si="3"/>
        <v/>
      </c>
      <c r="FA4" s="48" t="str">
        <f t="shared" si="43"/>
        <v/>
      </c>
      <c r="FB4" s="48" t="str">
        <f t="shared" si="44"/>
        <v/>
      </c>
      <c r="FC4" s="48" t="str">
        <f t="shared" si="45"/>
        <v/>
      </c>
      <c r="FD4" s="48" t="str">
        <f t="shared" si="46"/>
        <v/>
      </c>
      <c r="FE4" s="48" t="str">
        <f t="shared" si="47"/>
        <v>"NO_BLU",</v>
      </c>
      <c r="FF4" s="48" t="str">
        <f t="shared" si="48"/>
        <v/>
      </c>
      <c r="FG4" s="48" t="str">
        <f t="shared" si="49"/>
        <v/>
      </c>
      <c r="FH4" s="48" t="str">
        <f t="shared" si="50"/>
        <v>"NO_GRE",</v>
      </c>
      <c r="FI4" s="48" t="str">
        <f t="shared" si="51"/>
        <v>"NO_YEL",</v>
      </c>
      <c r="FJ4" s="48" t="str">
        <f t="shared" si="52"/>
        <v/>
      </c>
      <c r="FK4" s="48" t="str">
        <f t="shared" si="53"/>
        <v/>
      </c>
      <c r="FL4" s="48" t="str">
        <f t="shared" si="54"/>
        <v/>
      </c>
      <c r="FM4" s="48" t="str">
        <f t="shared" si="55"/>
        <v/>
      </c>
      <c r="FN4" s="48" t="str">
        <f t="shared" si="56"/>
        <v/>
      </c>
      <c r="FO4" s="48" t="str">
        <f t="shared" si="57"/>
        <v/>
      </c>
      <c r="FP4" s="48" t="str">
        <f t="shared" si="58"/>
        <v/>
      </c>
      <c r="FQ4" s="48" t="str">
        <f t="shared" si="59"/>
        <v/>
      </c>
      <c r="FR4" s="48" t="str">
        <f t="shared" si="60"/>
        <v/>
      </c>
      <c r="FS4" s="48" t="str">
        <f t="shared" si="61"/>
        <v/>
      </c>
      <c r="FT4" s="48" t="str">
        <f t="shared" si="62"/>
        <v>"myrWHI",</v>
      </c>
      <c r="FU4" s="48" t="str">
        <f t="shared" si="63"/>
        <v/>
      </c>
      <c r="FV4" s="48" t="str">
        <f t="shared" si="64"/>
        <v/>
      </c>
      <c r="FW4" s="48" t="str">
        <f t="shared" si="65"/>
        <v/>
      </c>
      <c r="FX4" s="48" t="str">
        <f t="shared" si="66"/>
        <v/>
      </c>
      <c r="FY4" s="48" t="str">
        <f t="shared" si="67"/>
        <v/>
      </c>
      <c r="FZ4" s="48" t="str">
        <f t="shared" si="68"/>
        <v/>
      </c>
      <c r="GA4" s="48" t="str">
        <f t="shared" si="69"/>
        <v/>
      </c>
      <c r="GB4" s="48" t="str">
        <f t="shared" si="70"/>
        <v/>
      </c>
      <c r="GC4" s="48" t="str">
        <f t="shared" si="71"/>
        <v/>
      </c>
      <c r="GD4" s="48" t="str">
        <f t="shared" si="72"/>
        <v/>
      </c>
      <c r="GE4" s="48" t="str">
        <f t="shared" si="73"/>
        <v/>
      </c>
      <c r="GF4" s="48" t="str">
        <f t="shared" si="74"/>
        <v/>
      </c>
      <c r="GG4" s="48" t="str">
        <f t="shared" si="75"/>
        <v/>
      </c>
      <c r="GH4" s="48" t="str">
        <f t="shared" si="76"/>
        <v/>
      </c>
      <c r="GI4" s="48" t="str">
        <f t="shared" si="77"/>
        <v/>
      </c>
      <c r="GJ4" s="48" t="str">
        <f t="shared" si="78"/>
        <v>"NoStar",</v>
      </c>
      <c r="GK4" s="48" t="str">
        <f t="shared" si="79"/>
        <v/>
      </c>
      <c r="GL4" s="48" t="str">
        <f t="shared" si="4"/>
        <v/>
      </c>
      <c r="GM4" s="48" t="str">
        <f t="shared" si="4"/>
        <v/>
      </c>
      <c r="GN4" s="48" t="str">
        <f t="shared" si="4"/>
        <v/>
      </c>
      <c r="GP4" s="48" t="str">
        <f t="shared" si="80"/>
        <v>"Other"</v>
      </c>
      <c r="GS4" s="48" t="str">
        <f t="shared" si="81"/>
        <v>["3Color","lets08","startP","with_v","with_y","LAEDHI","year18","year00","allhor","3Bands","Horizo","Circle","Animal","Texted","Center","NO_BLU","NO_GRE","NO_YEL","myrWHI","NoStar"]</v>
      </c>
      <c r="GT4" s="48" t="str">
        <f t="shared" si="5"/>
        <v>"cl_RED",</v>
      </c>
      <c r="GU4" s="48" t="str">
        <f t="shared" si="5"/>
        <v>"cl_WHI",</v>
      </c>
      <c r="GV4" s="48" t="str">
        <f t="shared" si="5"/>
        <v>"cl_BLA",</v>
      </c>
      <c r="GW4" s="48" t="str">
        <f t="shared" si="5"/>
        <v/>
      </c>
      <c r="GX4" s="48" t="str">
        <f t="shared" si="5"/>
        <v/>
      </c>
      <c r="GY4" s="48" t="str">
        <f t="shared" si="5"/>
        <v/>
      </c>
      <c r="GZ4" s="48" t="str">
        <f t="shared" si="5"/>
        <v/>
      </c>
      <c r="HA4" s="48" t="str">
        <f t="shared" si="5"/>
        <v/>
      </c>
      <c r="HB4" s="48" t="str">
        <f t="shared" si="5"/>
        <v/>
      </c>
      <c r="HC4" s="48" t="str">
        <f t="shared" si="82"/>
        <v>["cl_RED","cl_WHI","cl_BLA"]</v>
      </c>
      <c r="HE4" s="71"/>
      <c r="HF4" s="72" t="str">
        <f t="shared" si="83"/>
        <v>{couname:"[PRY] Paraguay (Reverse)",year:"1842, 2013 ",region:"rgn_South America",Colors:["cl_RED","cl_WHI","cl_BLA"],Items:["3Color","lets08","startP","with_v","with_y","LAEDHI","year18","year00","allhor","3Bands","Horizo","Circle","Animal","Texted","Center","NO_BLU","NO_GRE","NO_YEL","myrWHI","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isnew:".", links: "https://en.wikipedia.org/wiki/Flag_of_Paraguay"},</v>
      </c>
      <c r="HG4" s="73" t="str">
        <f t="shared" si="84"/>
        <v>{couname:"[PRY] Paraguay (Reverse)",year:"1842, 2013 ",region:"rgn_South America",Colors:["cl_RED","cl_WHI","cl_BLA"],Items:["3Color","lets08","startP","with_v","with_y","LAEDHI","year18","year00","allhor","3Bands","Horizo","Circle","Animal","Texted","Center","NO_BLU","NO_GRE","NO_YEL","myrWHI","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links: "https://en.wikipedia.org/wiki/Flag_of_Paraguay"},</v>
      </c>
      <c r="HH4" s="48" t="str">
        <f t="shared" si="85"/>
        <v>"\nThe emblem on the reverse side is the seal of the treasury: a yellow lion below a red Phrygian cap on the top of a pole (symbolising courage) and the words Paz y Justicia ('Peace and Justice')."</v>
      </c>
      <c r="HI4" s="48" t="str">
        <f t="shared" si="86"/>
        <v>"\nThe emblem on the reverse side is the seal of the treasury: a yellow lion below a red Phrygian cap on the top of a pole (symbolising courage) and the words Paz y Justicia ('Peace and Justice')."</v>
      </c>
      <c r="HJ4" s="48" t="str">
        <f t="shared" si="87"/>
        <v>"1842, 2013 "</v>
      </c>
      <c r="HL4" s="48" t="str">
        <f t="shared" si="88"/>
        <v>"https://en.wikipedia.org/wiki/Flag_of_Paraguay"</v>
      </c>
      <c r="HM4" s="72" t="str">
        <f t="shared" si="89"/>
        <v>{"couname":"[PRY] Paraguay (Reverse)","year":"1842, 2013 ","region":"rgn_South America","Colors":["cl_RED","cl_WHI","cl_BLA"],"Items":["3Color","lets08","startP","with_v","with_y","LAEDHI","year18","year00","allhor","3Bands","Horizo","Circle","Animal","Texted","Center","NO_BLU","NO_GRE","NO_YEL","myrWHI","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"isnew": ".", "links": "https://en.wikipedia.org/wiki/Flag_of_Paraguay"},</v>
      </c>
      <c r="HN4" s="74" t="str">
        <f t="shared" si="90"/>
        <v>{"couname":"[PRY] Paraguay (Reverse)","year":"1842, 2013 ","region":"rgn_South America","Colors":["cl_RED","cl_WHI","cl_BLA"],"Items":["3Color","lets08","startP","with_v","with_y","LAEDHI","year18","year00","allhor","3Bands","Horizo","Circle","Animal","Texted","Center","NO_BLU","NO_GRE","NO_YEL","myrWHI","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"isnew": ".", "links": "https://en.wikipedia.org/wiki/Flag_of_Paraguay"},</v>
      </c>
      <c r="HO4" s="75"/>
      <c r="HP4" s="48" t="str" cm="1">
        <f t="array" ref="HP4">IF(_xlfn.TEXTJOIN(", ", TRUE, IF(ISNUMBER(SEARCH("BLA", BL4:BT4)), COLUMN(BL4:BT4) - COLUMN(BL4) + 1, ""))&lt;&gt;"","BLA","")</f>
        <v>BLA</v>
      </c>
      <c r="HQ4" s="48" t="str" cm="1">
        <f t="array" ref="HQ4">IF(_xlfn.TEXTJOIN(", ", TRUE, IF(ISNUMBER(SEARCH("BLU", BL4:BT4)), COLUMN(BL4:BT4) - COLUMN(BL4) + 1, ""))&lt;&gt;"","BLU","")</f>
        <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L4" s="48">
        <f t="shared" si="91"/>
        <v>0</v>
      </c>
      <c r="IM4" s="45">
        <f t="shared" si="92"/>
        <v>-3</v>
      </c>
      <c r="IN4" s="78" t="str">
        <f t="shared" si="93"/>
        <v>http://mkweb.bcgsc.ca/color-summarizer/?url=https://upload.wikimedia.org/wikipedia/commons/thumb/f/f1/Flag_of_Paraguay_%28reverse%29.svg/2560px-Flag_of_Paraguay_%28reverse%29.svg.png&amp;precision=low&amp;num_clusters=3&amp;text=1</v>
      </c>
      <c r="IO4" s="48" t="str">
        <f t="shared" si="94"/>
        <v>"black"</v>
      </c>
      <c r="IP4" s="48" t="str">
        <f t="shared" si="95"/>
        <v/>
      </c>
      <c r="IQ4" s="48" t="str">
        <f t="shared" si="96"/>
        <v/>
      </c>
      <c r="IR4" s="48" t="str">
        <f t="shared" si="97"/>
        <v>"red"</v>
      </c>
      <c r="IS4" s="48" t="str">
        <f t="shared" si="98"/>
        <v/>
      </c>
      <c r="IT4" s="48" t="str">
        <f t="shared" si="99"/>
        <v/>
      </c>
      <c r="IU4" s="48" t="str">
        <f t="shared" si="100"/>
        <v/>
      </c>
      <c r="IV4" s="48" t="str">
        <f t="shared" si="101"/>
        <v/>
      </c>
      <c r="IW4" s="48" t="str">
        <f t="shared" si="102"/>
        <v>"white"</v>
      </c>
      <c r="IX4" s="48" t="str">
        <f t="shared" si="103"/>
        <v>{"url":"http://mkweb.bcgsc.ca/color-summarizer/?url=https://upload.wikimedia.org/wikipedia/commons/thumb/f/f1/Flag_of_Paraguay_%28reverse%29.svg/2560px-Flag_of_Paraguay_%28reverse%29.svg.png&amp;precision=low&amp;num_clusters=3&amp;text=1","name":"[PRY] Paraguay (Reverse)"},</v>
      </c>
      <c r="IY4" s="48">
        <v>339</v>
      </c>
    </row>
  </sheetData>
  <conditionalFormatting sqref="H1 CW1:GS1 IA1:IB1">
    <cfRule type="cellIs" dxfId="3938" priority="143" operator="greaterThan">
      <formula>0</formula>
    </cfRule>
  </conditionalFormatting>
  <conditionalFormatting sqref="H1">
    <cfRule type="cellIs" dxfId="3937" priority="109" stopIfTrue="1" operator="notEqual">
      <formula>""</formula>
    </cfRule>
  </conditionalFormatting>
  <conditionalFormatting sqref="T1:BK1">
    <cfRule type="cellIs" dxfId="3936" priority="146" operator="greaterThan">
      <formula>0</formula>
    </cfRule>
  </conditionalFormatting>
  <conditionalFormatting sqref="BV1:BW1">
    <cfRule type="cellIs" dxfId="3935" priority="145" operator="equal">
      <formula>"nc"</formula>
    </cfRule>
  </conditionalFormatting>
  <conditionalFormatting sqref="HF1:HG1">
    <cfRule type="cellIs" dxfId="3934" priority="147" operator="greaterThan">
      <formula>0</formula>
    </cfRule>
  </conditionalFormatting>
  <conditionalFormatting sqref="HK1">
    <cfRule type="cellIs" dxfId="3933" priority="144" operator="greaterThan">
      <formula>0</formula>
    </cfRule>
  </conditionalFormatting>
  <conditionalFormatting sqref="HP1:HX1">
    <cfRule type="cellIs" dxfId="3932" priority="121" operator="equal">
      <formula>"PIN"</formula>
    </cfRule>
    <cfRule type="cellIs" dxfId="3931" priority="122" operator="equal">
      <formula>"ORA"</formula>
    </cfRule>
    <cfRule type="cellIs" dxfId="3930" priority="123" operator="equal">
      <formula>"GRA"</formula>
    </cfRule>
    <cfRule type="cellIs" dxfId="3929" priority="124" operator="equal">
      <formula>"PUR"</formula>
    </cfRule>
    <cfRule type="cellIs" dxfId="3928" priority="125" operator="equal">
      <formula>"BRO"</formula>
    </cfRule>
    <cfRule type="cellIs" dxfId="3927" priority="126" operator="equal">
      <formula>"YEL"</formula>
    </cfRule>
    <cfRule type="cellIs" dxfId="3926" priority="127" operator="equal">
      <formula>"BLU"</formula>
    </cfRule>
    <cfRule type="cellIs" dxfId="3925" priority="128" operator="equal">
      <formula>"WHI"</formula>
    </cfRule>
    <cfRule type="cellIs" dxfId="3924" priority="129" operator="equal">
      <formula>"GRE"</formula>
    </cfRule>
    <cfRule type="cellIs" dxfId="3923" priority="130" operator="equal">
      <formula>"RED"</formula>
    </cfRule>
    <cfRule type="cellIs" dxfId="3922" priority="131" operator="equal">
      <formula>"BLA"</formula>
    </cfRule>
  </conditionalFormatting>
  <conditionalFormatting sqref="IC1:IK1">
    <cfRule type="cellIs" dxfId="3921" priority="132" operator="equal">
      <formula>"PIN"</formula>
    </cfRule>
    <cfRule type="cellIs" dxfId="3920" priority="133" operator="equal">
      <formula>"ORA"</formula>
    </cfRule>
    <cfRule type="cellIs" dxfId="3919" priority="134" operator="equal">
      <formula>"GRA"</formula>
    </cfRule>
    <cfRule type="cellIs" dxfId="3918" priority="135" operator="equal">
      <formula>"PUR"</formula>
    </cfRule>
    <cfRule type="cellIs" dxfId="3917" priority="136" operator="equal">
      <formula>"BRO"</formula>
    </cfRule>
    <cfRule type="cellIs" dxfId="3916" priority="137" operator="equal">
      <formula>"YEL"</formula>
    </cfRule>
    <cfRule type="cellIs" dxfId="3915" priority="138" operator="equal">
      <formula>"BLU"</formula>
    </cfRule>
    <cfRule type="cellIs" dxfId="3914" priority="139" operator="equal">
      <formula>"WHI"</formula>
    </cfRule>
    <cfRule type="cellIs" dxfId="3913" priority="140" operator="equal">
      <formula>"GRE"</formula>
    </cfRule>
    <cfRule type="cellIs" dxfId="3912" priority="141" operator="equal">
      <formula>"RED"</formula>
    </cfRule>
    <cfRule type="cellIs" dxfId="3911" priority="142" operator="equal">
      <formula>"BLA"</formula>
    </cfRule>
  </conditionalFormatting>
  <conditionalFormatting sqref="IO1:IW1">
    <cfRule type="cellIs" dxfId="3910" priority="110" operator="equal">
      <formula>"PIN"</formula>
    </cfRule>
    <cfRule type="cellIs" dxfId="3909" priority="111" operator="equal">
      <formula>"ORA"</formula>
    </cfRule>
    <cfRule type="cellIs" dxfId="3908" priority="112" operator="equal">
      <formula>"GRA"</formula>
    </cfRule>
    <cfRule type="cellIs" dxfId="3907" priority="113" operator="equal">
      <formula>"PUR"</formula>
    </cfRule>
    <cfRule type="cellIs" dxfId="3906" priority="114" operator="equal">
      <formula>"BRO"</formula>
    </cfRule>
    <cfRule type="cellIs" dxfId="3905" priority="115" operator="equal">
      <formula>"YEL"</formula>
    </cfRule>
    <cfRule type="cellIs" dxfId="3904" priority="116" operator="equal">
      <formula>"BLU"</formula>
    </cfRule>
    <cfRule type="cellIs" dxfId="3903" priority="117" operator="equal">
      <formula>"WHI"</formula>
    </cfRule>
    <cfRule type="cellIs" dxfId="3902" priority="118" operator="equal">
      <formula>"GRE"</formula>
    </cfRule>
    <cfRule type="cellIs" dxfId="3901" priority="119" operator="equal">
      <formula>"RED"</formula>
    </cfRule>
    <cfRule type="cellIs" dxfId="3900" priority="120" operator="equal">
      <formula>"BLA"</formula>
    </cfRule>
  </conditionalFormatting>
  <conditionalFormatting sqref="H2">
    <cfRule type="cellIs" dxfId="3899" priority="78" stopIfTrue="1" operator="notEqual">
      <formula>""</formula>
    </cfRule>
  </conditionalFormatting>
  <conditionalFormatting sqref="R2 CU2">
    <cfRule type="cellIs" dxfId="3898" priority="80" operator="greaterThan">
      <formula>0</formula>
    </cfRule>
  </conditionalFormatting>
  <conditionalFormatting sqref="T2:AS2 CH2:CS2">
    <cfRule type="cellIs" dxfId="3897" priority="75" stopIfTrue="1" operator="equal">
      <formula>"n"</formula>
    </cfRule>
    <cfRule type="cellIs" dxfId="3896" priority="76" stopIfTrue="1" operator="equal">
      <formula>"y"</formula>
    </cfRule>
    <cfRule type="cellIs" dxfId="3895" priority="77" operator="greaterThan">
      <formula>0</formula>
    </cfRule>
  </conditionalFormatting>
  <conditionalFormatting sqref="AZ2:BB2">
    <cfRule type="expression" dxfId="3894" priority="74">
      <formula>$AT2=0</formula>
    </cfRule>
  </conditionalFormatting>
  <conditionalFormatting sqref="AZ2:BU2">
    <cfRule type="cellIs" dxfId="3893" priority="83" operator="equal">
      <formula>"PIN"</formula>
    </cfRule>
    <cfRule type="cellIs" dxfId="3892" priority="84" operator="equal">
      <formula>"ORA"</formula>
    </cfRule>
    <cfRule type="cellIs" dxfId="3891" priority="85" operator="equal">
      <formula>"GRA"</formula>
    </cfRule>
    <cfRule type="cellIs" dxfId="3890" priority="86" operator="equal">
      <formula>"PUR"</formula>
    </cfRule>
    <cfRule type="cellIs" dxfId="3889" priority="87" operator="equal">
      <formula>"BRO"</formula>
    </cfRule>
    <cfRule type="cellIs" dxfId="3888" priority="88" operator="equal">
      <formula>"YEL"</formula>
    </cfRule>
    <cfRule type="cellIs" dxfId="3887" priority="89" operator="equal">
      <formula>"BLU"</formula>
    </cfRule>
    <cfRule type="cellIs" dxfId="3886" priority="90" operator="equal">
      <formula>"WHI"</formula>
    </cfRule>
    <cfRule type="cellIs" dxfId="3885" priority="91" operator="equal">
      <formula>"GRE"</formula>
    </cfRule>
    <cfRule type="cellIs" dxfId="3884" priority="92" operator="equal">
      <formula>"RED"</formula>
    </cfRule>
    <cfRule type="cellIs" dxfId="3883" priority="93" operator="equal">
      <formula>"BLA"</formula>
    </cfRule>
  </conditionalFormatting>
  <conditionalFormatting sqref="BV2:BW2">
    <cfRule type="cellIs" dxfId="3882" priority="105" operator="equal">
      <formula>"nc"</formula>
    </cfRule>
  </conditionalFormatting>
  <conditionalFormatting sqref="BX2:CA2 CD2:CF2">
    <cfRule type="cellIs" dxfId="3881" priority="79" operator="equal">
      <formula>"y"</formula>
    </cfRule>
    <cfRule type="cellIs" dxfId="3880" priority="94" operator="equal">
      <formula>"PIN"</formula>
    </cfRule>
    <cfRule type="cellIs" dxfId="3879" priority="95" operator="equal">
      <formula>"ORA"</formula>
    </cfRule>
    <cfRule type="cellIs" dxfId="3878" priority="96" operator="equal">
      <formula>"GRA"</formula>
    </cfRule>
    <cfRule type="cellIs" dxfId="3877" priority="97" operator="equal">
      <formula>"PUR"</formula>
    </cfRule>
    <cfRule type="cellIs" dxfId="3876" priority="98" operator="equal">
      <formula>"BRO"</formula>
    </cfRule>
    <cfRule type="cellIs" dxfId="3875" priority="99" operator="equal">
      <formula>"YEL"</formula>
    </cfRule>
    <cfRule type="cellIs" dxfId="3874" priority="100" operator="equal">
      <formula>"BLU"</formula>
    </cfRule>
    <cfRule type="cellIs" dxfId="3873" priority="101" operator="equal">
      <formula>"WHI"</formula>
    </cfRule>
    <cfRule type="cellIs" dxfId="3872" priority="102" operator="equal">
      <formula>"GRE"</formula>
    </cfRule>
    <cfRule type="cellIs" dxfId="3871" priority="103" operator="equal">
      <formula>"RED"</formula>
    </cfRule>
    <cfRule type="cellIs" dxfId="3870" priority="104" operator="equal">
      <formula>"BLA"</formula>
    </cfRule>
  </conditionalFormatting>
  <conditionalFormatting sqref="BZ2:CA2 CD2:CF2">
    <cfRule type="cellIs" dxfId="3869" priority="81" operator="greaterThan">
      <formula>0</formula>
    </cfRule>
  </conditionalFormatting>
  <conditionalFormatting sqref="IC2:IK2">
    <cfRule type="expression" dxfId="3868" priority="82">
      <formula>$IL2&gt;0</formula>
    </cfRule>
  </conditionalFormatting>
  <conditionalFormatting sqref="S2">
    <cfRule type="colorScale" priority="106">
      <colorScale>
        <cfvo type="min"/>
        <cfvo type="max"/>
        <color rgb="FFFCFCFF"/>
        <color rgb="FF754BFB"/>
      </colorScale>
    </cfRule>
  </conditionalFormatting>
  <conditionalFormatting sqref="AT2">
    <cfRule type="colorScale" priority="107">
      <colorScale>
        <cfvo type="min"/>
        <cfvo type="max"/>
        <color rgb="FFFCFCFF"/>
        <color theme="8" tint="0.39997558519241921"/>
      </colorScale>
    </cfRule>
  </conditionalFormatting>
  <conditionalFormatting sqref="CG2">
    <cfRule type="colorScale" priority="108">
      <colorScale>
        <cfvo type="min"/>
        <cfvo type="max"/>
        <color rgb="FFFCFCFF"/>
        <color rgb="FF63BE7B"/>
      </colorScale>
    </cfRule>
  </conditionalFormatting>
  <conditionalFormatting sqref="J2">
    <cfRule type="colorScale" priority="73">
      <colorScale>
        <cfvo type="min"/>
        <cfvo type="percentile" val="50"/>
        <cfvo type="max"/>
        <color rgb="FFF8696B"/>
        <color rgb="FFFFEB84"/>
        <color rgb="FF63BE7B"/>
      </colorScale>
    </cfRule>
  </conditionalFormatting>
  <conditionalFormatting sqref="H3">
    <cfRule type="cellIs" dxfId="1407" priority="41" stopIfTrue="1" operator="notEqual">
      <formula>""</formula>
    </cfRule>
  </conditionalFormatting>
  <conditionalFormatting sqref="R3 CU3">
    <cfRule type="cellIs" dxfId="1406" priority="43" operator="greaterThan">
      <formula>0</formula>
    </cfRule>
  </conditionalFormatting>
  <conditionalFormatting sqref="T3:AS3 CH3:CS3">
    <cfRule type="cellIs" dxfId="1405" priority="38" stopIfTrue="1" operator="equal">
      <formula>"n"</formula>
    </cfRule>
    <cfRule type="cellIs" dxfId="1404" priority="39" stopIfTrue="1" operator="equal">
      <formula>"y"</formula>
    </cfRule>
    <cfRule type="cellIs" dxfId="1403" priority="40" operator="greaterThan">
      <formula>0</formula>
    </cfRule>
  </conditionalFormatting>
  <conditionalFormatting sqref="AZ3:BB3">
    <cfRule type="expression" dxfId="1402" priority="37">
      <formula>$AT3=0</formula>
    </cfRule>
  </conditionalFormatting>
  <conditionalFormatting sqref="AZ3:BU3">
    <cfRule type="cellIs" dxfId="1401" priority="46" operator="equal">
      <formula>"PIN"</formula>
    </cfRule>
    <cfRule type="cellIs" dxfId="1400" priority="47" operator="equal">
      <formula>"ORA"</formula>
    </cfRule>
    <cfRule type="cellIs" dxfId="1399" priority="48" operator="equal">
      <formula>"GRA"</formula>
    </cfRule>
    <cfRule type="cellIs" dxfId="1398" priority="49" operator="equal">
      <formula>"PUR"</formula>
    </cfRule>
    <cfRule type="cellIs" dxfId="1397" priority="50" operator="equal">
      <formula>"BRO"</formula>
    </cfRule>
    <cfRule type="cellIs" dxfId="1396" priority="51" operator="equal">
      <formula>"YEL"</formula>
    </cfRule>
    <cfRule type="cellIs" dxfId="1395" priority="52" operator="equal">
      <formula>"BLU"</formula>
    </cfRule>
    <cfRule type="cellIs" dxfId="1394" priority="53" operator="equal">
      <formula>"WHI"</formula>
    </cfRule>
    <cfRule type="cellIs" dxfId="1393" priority="54" operator="equal">
      <formula>"GRE"</formula>
    </cfRule>
    <cfRule type="cellIs" dxfId="1392" priority="55" operator="equal">
      <formula>"RED"</formula>
    </cfRule>
    <cfRule type="cellIs" dxfId="1391" priority="56" operator="equal">
      <formula>"BLA"</formula>
    </cfRule>
  </conditionalFormatting>
  <conditionalFormatting sqref="BV3">
    <cfRule type="cellIs" dxfId="1390" priority="68" operator="equal">
      <formula>"nc"</formula>
    </cfRule>
  </conditionalFormatting>
  <conditionalFormatting sqref="BX3:CA3 CD3:CF3">
    <cfRule type="cellIs" dxfId="1389" priority="42" operator="equal">
      <formula>"y"</formula>
    </cfRule>
    <cfRule type="cellIs" dxfId="1388" priority="57" operator="equal">
      <formula>"PIN"</formula>
    </cfRule>
    <cfRule type="cellIs" dxfId="1387" priority="58" operator="equal">
      <formula>"ORA"</formula>
    </cfRule>
    <cfRule type="cellIs" dxfId="1386" priority="59" operator="equal">
      <formula>"GRA"</formula>
    </cfRule>
    <cfRule type="cellIs" dxfId="1385" priority="60" operator="equal">
      <formula>"PUR"</formula>
    </cfRule>
    <cfRule type="cellIs" dxfId="1384" priority="61" operator="equal">
      <formula>"BRO"</formula>
    </cfRule>
    <cfRule type="cellIs" dxfId="1383" priority="62" operator="equal">
      <formula>"YEL"</formula>
    </cfRule>
    <cfRule type="cellIs" dxfId="1382" priority="63" operator="equal">
      <formula>"BLU"</formula>
    </cfRule>
    <cfRule type="cellIs" dxfId="1381" priority="64" operator="equal">
      <formula>"WHI"</formula>
    </cfRule>
    <cfRule type="cellIs" dxfId="1380" priority="65" operator="equal">
      <formula>"GRE"</formula>
    </cfRule>
    <cfRule type="cellIs" dxfId="1379" priority="66" operator="equal">
      <formula>"RED"</formula>
    </cfRule>
    <cfRule type="cellIs" dxfId="1378" priority="67" operator="equal">
      <formula>"BLA"</formula>
    </cfRule>
  </conditionalFormatting>
  <conditionalFormatting sqref="BZ3:CA3 CD3:CF3">
    <cfRule type="cellIs" dxfId="1377" priority="44" operator="greaterThan">
      <formula>0</formula>
    </cfRule>
  </conditionalFormatting>
  <conditionalFormatting sqref="IC3:IK3">
    <cfRule type="expression" dxfId="1376" priority="45">
      <formula>$IL3&gt;0</formula>
    </cfRule>
  </conditionalFormatting>
  <conditionalFormatting sqref="J3">
    <cfRule type="colorScale" priority="69">
      <colorScale>
        <cfvo type="min"/>
        <cfvo type="percentile" val="50"/>
        <cfvo type="max"/>
        <color rgb="FFF8696B"/>
        <color rgb="FFFFEB84"/>
        <color rgb="FF63BE7B"/>
      </colorScale>
    </cfRule>
  </conditionalFormatting>
  <conditionalFormatting sqref="S3">
    <cfRule type="colorScale" priority="70">
      <colorScale>
        <cfvo type="min"/>
        <cfvo type="max"/>
        <color rgb="FFFCFCFF"/>
        <color rgb="FF754BFB"/>
      </colorScale>
    </cfRule>
  </conditionalFormatting>
  <conditionalFormatting sqref="AT3">
    <cfRule type="colorScale" priority="71">
      <colorScale>
        <cfvo type="min"/>
        <cfvo type="max"/>
        <color rgb="FFFCFCFF"/>
        <color theme="8" tint="0.39997558519241921"/>
      </colorScale>
    </cfRule>
  </conditionalFormatting>
  <conditionalFormatting sqref="CG3">
    <cfRule type="colorScale" priority="72">
      <colorScale>
        <cfvo type="min"/>
        <cfvo type="max"/>
        <color rgb="FFFCFCFF"/>
        <color rgb="FF63BE7B"/>
      </colorScale>
    </cfRule>
  </conditionalFormatting>
  <conditionalFormatting sqref="H4">
    <cfRule type="cellIs" dxfId="1375" priority="5" stopIfTrue="1" operator="notEqual">
      <formula>""</formula>
    </cfRule>
  </conditionalFormatting>
  <conditionalFormatting sqref="R4 CU4">
    <cfRule type="cellIs" dxfId="1374" priority="7" operator="greaterThan">
      <formula>0</formula>
    </cfRule>
  </conditionalFormatting>
  <conditionalFormatting sqref="T4:AS4 CH4:CS4">
    <cfRule type="cellIs" dxfId="1373" priority="2" stopIfTrue="1" operator="equal">
      <formula>"n"</formula>
    </cfRule>
    <cfRule type="cellIs" dxfId="1372" priority="3" stopIfTrue="1" operator="equal">
      <formula>"y"</formula>
    </cfRule>
    <cfRule type="cellIs" dxfId="1371" priority="4" operator="greaterThan">
      <formula>0</formula>
    </cfRule>
  </conditionalFormatting>
  <conditionalFormatting sqref="AZ4:BB4">
    <cfRule type="expression" dxfId="1370" priority="1">
      <formula>$AT4=0</formula>
    </cfRule>
  </conditionalFormatting>
  <conditionalFormatting sqref="AZ4:BU4">
    <cfRule type="cellIs" dxfId="1369" priority="10" operator="equal">
      <formula>"PIN"</formula>
    </cfRule>
    <cfRule type="cellIs" dxfId="1368" priority="11" operator="equal">
      <formula>"ORA"</formula>
    </cfRule>
    <cfRule type="cellIs" dxfId="1367" priority="12" operator="equal">
      <formula>"GRA"</formula>
    </cfRule>
    <cfRule type="cellIs" dxfId="1366" priority="13" operator="equal">
      <formula>"PUR"</formula>
    </cfRule>
    <cfRule type="cellIs" dxfId="1365" priority="14" operator="equal">
      <formula>"BRO"</formula>
    </cfRule>
    <cfRule type="cellIs" dxfId="1364" priority="15" operator="equal">
      <formula>"YEL"</formula>
    </cfRule>
    <cfRule type="cellIs" dxfId="1363" priority="16" operator="equal">
      <formula>"BLU"</formula>
    </cfRule>
    <cfRule type="cellIs" dxfId="1362" priority="17" operator="equal">
      <formula>"WHI"</formula>
    </cfRule>
    <cfRule type="cellIs" dxfId="1361" priority="18" operator="equal">
      <formula>"GRE"</formula>
    </cfRule>
    <cfRule type="cellIs" dxfId="1360" priority="19" operator="equal">
      <formula>"RED"</formula>
    </cfRule>
    <cfRule type="cellIs" dxfId="1359" priority="20" operator="equal">
      <formula>"BLA"</formula>
    </cfRule>
  </conditionalFormatting>
  <conditionalFormatting sqref="BV4">
    <cfRule type="cellIs" dxfId="1358" priority="32" operator="equal">
      <formula>"nc"</formula>
    </cfRule>
  </conditionalFormatting>
  <conditionalFormatting sqref="BX4:CA4 CD4:CF4">
    <cfRule type="cellIs" dxfId="1357" priority="6" operator="equal">
      <formula>"y"</formula>
    </cfRule>
    <cfRule type="cellIs" dxfId="1356" priority="21" operator="equal">
      <formula>"PIN"</formula>
    </cfRule>
    <cfRule type="cellIs" dxfId="1355" priority="22" operator="equal">
      <formula>"ORA"</formula>
    </cfRule>
    <cfRule type="cellIs" dxfId="1354" priority="23" operator="equal">
      <formula>"GRA"</formula>
    </cfRule>
    <cfRule type="cellIs" dxfId="1353" priority="24" operator="equal">
      <formula>"PUR"</formula>
    </cfRule>
    <cfRule type="cellIs" dxfId="1352" priority="25" operator="equal">
      <formula>"BRO"</formula>
    </cfRule>
    <cfRule type="cellIs" dxfId="1351" priority="26" operator="equal">
      <formula>"YEL"</formula>
    </cfRule>
    <cfRule type="cellIs" dxfId="1350" priority="27" operator="equal">
      <formula>"BLU"</formula>
    </cfRule>
    <cfRule type="cellIs" dxfId="1349" priority="28" operator="equal">
      <formula>"WHI"</formula>
    </cfRule>
    <cfRule type="cellIs" dxfId="1348" priority="29" operator="equal">
      <formula>"GRE"</formula>
    </cfRule>
    <cfRule type="cellIs" dxfId="1347" priority="30" operator="equal">
      <formula>"RED"</formula>
    </cfRule>
    <cfRule type="cellIs" dxfId="1346" priority="31" operator="equal">
      <formula>"BLA"</formula>
    </cfRule>
  </conditionalFormatting>
  <conditionalFormatting sqref="BZ4:CA4 CD4:CF4">
    <cfRule type="cellIs" dxfId="1345" priority="8" operator="greaterThan">
      <formula>0</formula>
    </cfRule>
  </conditionalFormatting>
  <conditionalFormatting sqref="IC4:IK4">
    <cfRule type="expression" dxfId="1344" priority="9">
      <formula>$IL4&gt;0</formula>
    </cfRule>
  </conditionalFormatting>
  <conditionalFormatting sqref="J4">
    <cfRule type="colorScale" priority="33">
      <colorScale>
        <cfvo type="min"/>
        <cfvo type="percentile" val="50"/>
        <cfvo type="max"/>
        <color rgb="FFF8696B"/>
        <color rgb="FFFFEB84"/>
        <color rgb="FF63BE7B"/>
      </colorScale>
    </cfRule>
  </conditionalFormatting>
  <conditionalFormatting sqref="S4">
    <cfRule type="colorScale" priority="34">
      <colorScale>
        <cfvo type="min"/>
        <cfvo type="max"/>
        <color rgb="FFFCFCFF"/>
        <color rgb="FF754BFB"/>
      </colorScale>
    </cfRule>
  </conditionalFormatting>
  <conditionalFormatting sqref="AT4">
    <cfRule type="colorScale" priority="35">
      <colorScale>
        <cfvo type="min"/>
        <cfvo type="max"/>
        <color rgb="FFFCFCFF"/>
        <color theme="8" tint="0.39997558519241921"/>
      </colorScale>
    </cfRule>
  </conditionalFormatting>
  <conditionalFormatting sqref="CG4">
    <cfRule type="colorScale" priority="36">
      <colorScale>
        <cfvo type="min"/>
        <cfvo type="max"/>
        <color rgb="FFFCFCFF"/>
        <color rgb="FF63BE7B"/>
      </colorScale>
    </cfRule>
  </conditionalFormatting>
  <hyperlinks>
    <hyperlink ref="A2" r:id="rId1" display="https://fbref.com/en/country/PAR/Paraguay-Football" xr:uid="{53CE3AFB-6014-4560-82D5-3B37C736EEA8}"/>
    <hyperlink ref="I4" r:id="rId2" xr:uid="{904BBB55-42E5-4DC2-8233-49F07B4FF00B}"/>
    <hyperlink ref="E4" r:id="rId3" xr:uid="{4865D1AA-EBF3-4B42-9EC9-F54C0E8F4EDB}"/>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9F6AD-C213-4EB9-9FA9-D34402A9083C}">
  <dimension ref="A1:IY4"/>
  <sheetViews>
    <sheetView zoomScale="70" zoomScaleNormal="70" workbookViewId="0">
      <selection activeCell="A4" sqref="A4:XFD4"/>
    </sheetView>
  </sheetViews>
  <sheetFormatPr defaultRowHeight="14.4" x14ac:dyDescent="0.3"/>
  <cols>
    <col min="1" max="1" width="24.33203125" customWidth="1"/>
    <col min="2" max="2" width="10.109375" customWidth="1"/>
    <col min="3" max="3" width="9" bestFit="1" customWidth="1"/>
    <col min="7" max="7" width="9" bestFit="1" customWidth="1"/>
    <col min="11" max="11" width="9.88671875" bestFit="1" customWidth="1"/>
    <col min="12" max="12" width="9" bestFit="1" customWidth="1"/>
    <col min="17" max="17" width="9" bestFit="1" customWidth="1"/>
    <col min="19" max="19" width="9" bestFit="1"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239</v>
      </c>
      <c r="B2" s="40" t="e" vm="88">
        <v>#VALUE!</v>
      </c>
      <c r="C2" s="41">
        <v>1</v>
      </c>
      <c r="D2" s="42" t="s">
        <v>240</v>
      </c>
      <c r="E2" s="43" t="s">
        <v>241</v>
      </c>
      <c r="F2" s="44" t="s">
        <v>166</v>
      </c>
      <c r="G2" s="45">
        <f>COUNTIF($A$1:$A$8283,A2)</f>
        <v>1</v>
      </c>
      <c r="H2" s="46"/>
      <c r="I2" s="47" t="s">
        <v>242</v>
      </c>
      <c r="J2" s="48" t="str">
        <f>""</f>
        <v/>
      </c>
      <c r="K2" s="49">
        <v>34352000</v>
      </c>
      <c r="L2" s="50">
        <v>2500000</v>
      </c>
      <c r="M2" s="50" t="s">
        <v>243</v>
      </c>
      <c r="N2" s="51" t="s">
        <v>169</v>
      </c>
      <c r="O2" s="52" t="s">
        <v>244</v>
      </c>
      <c r="P2" s="53" t="s">
        <v>245</v>
      </c>
      <c r="Q2" s="54">
        <v>1</v>
      </c>
      <c r="R2" s="55" t="s">
        <v>169</v>
      </c>
      <c r="S2" s="56">
        <v>3</v>
      </c>
      <c r="T2" s="57" t="s">
        <v>172</v>
      </c>
      <c r="U2" s="58" t="s">
        <v>172</v>
      </c>
      <c r="V2" s="58" t="s">
        <v>172</v>
      </c>
      <c r="W2" s="58" t="s">
        <v>173</v>
      </c>
      <c r="X2" s="58" t="s">
        <v>172</v>
      </c>
      <c r="Y2" s="58" t="s">
        <v>172</v>
      </c>
      <c r="Z2" s="58" t="s">
        <v>172</v>
      </c>
      <c r="AA2" s="58" t="s">
        <v>172</v>
      </c>
      <c r="AB2" s="58" t="s">
        <v>172</v>
      </c>
      <c r="AC2" s="58" t="s">
        <v>172</v>
      </c>
      <c r="AD2" s="58" t="s">
        <v>172</v>
      </c>
      <c r="AE2" s="58" t="s">
        <v>172</v>
      </c>
      <c r="AF2" s="59" t="s">
        <v>172</v>
      </c>
      <c r="AG2" s="59" t="s">
        <v>172</v>
      </c>
      <c r="AH2" s="59" t="s">
        <v>172</v>
      </c>
      <c r="AI2" s="59" t="s">
        <v>172</v>
      </c>
      <c r="AJ2" s="59" t="s">
        <v>172</v>
      </c>
      <c r="AK2" s="59" t="s">
        <v>173</v>
      </c>
      <c r="AL2" s="59" t="s">
        <v>172</v>
      </c>
      <c r="AM2" s="59" t="s">
        <v>172</v>
      </c>
      <c r="AN2" s="59" t="s">
        <v>172</v>
      </c>
      <c r="AO2" s="59" t="s">
        <v>172</v>
      </c>
      <c r="AP2" s="59" t="s">
        <v>172</v>
      </c>
      <c r="AQ2" s="59" t="s">
        <v>172</v>
      </c>
      <c r="AR2" s="59" t="s">
        <v>173</v>
      </c>
      <c r="AS2" s="59" t="s">
        <v>172</v>
      </c>
      <c r="AT2" s="60">
        <v>0</v>
      </c>
      <c r="AU2" s="59"/>
      <c r="AV2" s="59" t="str">
        <f>IF(LEFT(A2,1)="[",LEFT(A2,5)&amp;AU2&amp;A2,"")</f>
        <v/>
      </c>
      <c r="AW2" s="59" t="str">
        <f>C2&amp;A2</f>
        <v>1Peru</v>
      </c>
      <c r="AX2" s="61" t="str">
        <f>_xlfn.TEXTJOIN(";",TRUE,AU2:AW2)</f>
        <v>1Peru</v>
      </c>
      <c r="AY2" s="61" t="s">
        <v>173</v>
      </c>
      <c r="AZ2" s="62" t="s">
        <v>159</v>
      </c>
      <c r="BA2" s="62"/>
      <c r="BB2" s="62"/>
      <c r="BC2" s="63"/>
      <c r="BD2" s="64" t="s">
        <v>217</v>
      </c>
      <c r="BE2" s="47"/>
      <c r="BF2" s="64" t="s">
        <v>153</v>
      </c>
      <c r="BG2" s="64"/>
      <c r="BH2" s="64" t="s">
        <v>152</v>
      </c>
      <c r="BI2" s="64"/>
      <c r="BJ2" s="64"/>
      <c r="BK2" s="47"/>
      <c r="BL2" s="64" t="s">
        <v>152</v>
      </c>
      <c r="BM2" s="64" t="s">
        <v>153</v>
      </c>
      <c r="BN2" s="64" t="s">
        <v>155</v>
      </c>
      <c r="BO2" s="64" t="s">
        <v>159</v>
      </c>
      <c r="BP2" s="64"/>
      <c r="BQ2" s="64"/>
      <c r="BR2" s="64"/>
      <c r="BS2" s="64"/>
      <c r="BT2" s="64"/>
      <c r="BU2" s="65"/>
      <c r="BV2" s="66" t="s">
        <v>173</v>
      </c>
      <c r="BW2" s="66">
        <v>0</v>
      </c>
      <c r="BX2" s="47"/>
      <c r="BY2" s="48" t="s">
        <v>173</v>
      </c>
      <c r="CB2" s="6" t="s">
        <v>246</v>
      </c>
      <c r="CC2" s="6"/>
      <c r="CD2" s="67">
        <v>1</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"Peru"</v>
      </c>
      <c r="CU2" s="70" t="str">
        <f>CHAR(34)&amp;"rgn_"&amp;R2&amp;CHAR(34)</f>
        <v>"rgn_South America"</v>
      </c>
      <c r="CV2" s="48" t="str">
        <f>CHAR(34)&amp;D2&amp;CHAR(34)</f>
        <v>"https://i.ibb.co/YNcYq42/Peru-Flag.png"</v>
      </c>
      <c r="CW2" s="48" t="str">
        <f t="shared" ref="CW2:CZ4" si="0">IF(CH2="y",CHAR(34)&amp;CH$1&amp;CHAR(34)&amp;",","")</f>
        <v/>
      </c>
      <c r="CX2" s="48" t="str">
        <f t="shared" si="0"/>
        <v/>
      </c>
      <c r="CY2" s="48" t="str">
        <f t="shared" si="0"/>
        <v>"4Color",</v>
      </c>
      <c r="CZ2" s="48" t="str">
        <f t="shared" si="0"/>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"lets04",</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"startP",</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"year18",</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"dgband",</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 t="shared" ref="DW2:DZ4" si="1">IF(CL2="y",CHAR(34)&amp;CL$1&amp;CHAR(34)&amp;",","")</f>
        <v/>
      </c>
      <c r="DX2" s="48" t="str">
        <f t="shared" si="1"/>
        <v/>
      </c>
      <c r="DY2" s="48" t="str">
        <f t="shared" si="1"/>
        <v>"3Bands",</v>
      </c>
      <c r="DZ2" s="48" t="str">
        <f t="shared" si="1"/>
        <v/>
      </c>
      <c r="EA2" s="48" t="str">
        <f t="shared" ref="EA2:EE4" si="2">IF(T2="y",CHAR(34)&amp;T$1&amp;CHAR(34)&amp;",","")</f>
        <v/>
      </c>
      <c r="EB2" s="48" t="str">
        <f t="shared" si="2"/>
        <v/>
      </c>
      <c r="EC2" s="48" t="str">
        <f t="shared" si="2"/>
        <v/>
      </c>
      <c r="ED2" s="48" t="str">
        <f t="shared" si="2"/>
        <v>"Vertic",</v>
      </c>
      <c r="EE2" s="48" t="str">
        <f t="shared" si="2"/>
        <v/>
      </c>
      <c r="EF2" s="48" t="str">
        <f>IF(AND(Y2&lt;&gt;"n",Y2&lt;&gt;""),CHAR(34)&amp;Y$1&amp;CHAR(34)&amp;",","")</f>
        <v/>
      </c>
      <c r="EG2" s="48" t="str">
        <f t="shared" ref="EG2:EZ4" si="3">IF(Z2="y",CHAR(34)&amp;Z$1&amp;CHAR(34)&amp;",","")</f>
        <v/>
      </c>
      <c r="EH2" s="48" t="str">
        <f t="shared" si="3"/>
        <v/>
      </c>
      <c r="EI2" s="48" t="str">
        <f t="shared" si="3"/>
        <v/>
      </c>
      <c r="EJ2" s="48" t="str">
        <f t="shared" si="3"/>
        <v/>
      </c>
      <c r="EK2" s="48" t="str">
        <f t="shared" si="3"/>
        <v/>
      </c>
      <c r="EL2" s="48" t="str">
        <f t="shared" si="3"/>
        <v/>
      </c>
      <c r="EM2" s="48" t="str">
        <f t="shared" si="3"/>
        <v/>
      </c>
      <c r="EN2" s="48" t="str">
        <f t="shared" si="3"/>
        <v/>
      </c>
      <c r="EO2" s="48" t="str">
        <f t="shared" si="3"/>
        <v/>
      </c>
      <c r="EP2" s="48" t="str">
        <f t="shared" si="3"/>
        <v/>
      </c>
      <c r="EQ2" s="48" t="str">
        <f t="shared" si="3"/>
        <v/>
      </c>
      <c r="ER2" s="48" t="str">
        <f t="shared" si="3"/>
        <v>"OnlyBa",</v>
      </c>
      <c r="ES2" s="48" t="str">
        <f t="shared" si="3"/>
        <v/>
      </c>
      <c r="ET2" s="48" t="str">
        <f t="shared" si="3"/>
        <v/>
      </c>
      <c r="EU2" s="48" t="str">
        <f t="shared" si="3"/>
        <v/>
      </c>
      <c r="EV2" s="48" t="str">
        <f t="shared" si="3"/>
        <v/>
      </c>
      <c r="EW2" s="48" t="str">
        <f t="shared" si="3"/>
        <v/>
      </c>
      <c r="EX2" s="48" t="str">
        <f t="shared" si="3"/>
        <v/>
      </c>
      <c r="EY2" s="48" t="str">
        <f t="shared" si="3"/>
        <v>"Rotate",</v>
      </c>
      <c r="EZ2" s="48" t="str">
        <f t="shared" si="3"/>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"NO_RED",</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"001GRE",</v>
      </c>
      <c r="FR2" s="48" t="str">
        <f>IF(LEN(BG2)=3,CHAR(34)&amp;"002"&amp;BG2&amp;CHAR(34)&amp;",","")</f>
        <v/>
      </c>
      <c r="FS2" s="48" t="str">
        <f>IF(LEN(BH2)=3,CHAR(34)&amp;"003"&amp;BH2&amp;CHAR(34)&amp;",","")</f>
        <v>"003BLU",</v>
      </c>
      <c r="FT2" s="48" t="str">
        <f>CHAR(34)&amp;"myr"&amp;BD2&amp;CHAR(34)&amp;","</f>
        <v>"myrEQ",</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"southc",</v>
      </c>
      <c r="GI2" s="48" t="str">
        <f>IF(CE2=1,CHAR(34)&amp;"hasmap"&amp;CHAR(34)&amp;",","")</f>
        <v/>
      </c>
      <c r="GJ2" s="48" t="str">
        <f>IF(CP2="y",CHAR(34)&amp;CP$1&amp;CHAR(34)&amp;",","")</f>
        <v>"NoStar",</v>
      </c>
      <c r="GK2" s="48" t="str">
        <f>IF(GJ2="",CHAR(34)&amp;"HasSta"&amp;CHAR(34)&amp;",","")</f>
        <v/>
      </c>
      <c r="GL2" s="48" t="str">
        <f t="shared" ref="GL2:GN4" si="4">IF(CQ2="y",CHAR(34)&amp;CQ$1&amp;CHAR(34)&amp;",","")</f>
        <v/>
      </c>
      <c r="GM2" s="48" t="str">
        <f t="shared" si="4"/>
        <v/>
      </c>
      <c r="GN2" s="48" t="str">
        <f t="shared" si="4"/>
        <v/>
      </c>
      <c r="GP2" s="48" t="str">
        <f>CHAR(34)&amp;AU2&amp;CHAR(34)</f>
        <v>""</v>
      </c>
      <c r="GS2" s="48" t="str">
        <f>SUBSTITUTE("["&amp;_xlfn.CONCAT(CW2:GN2)&amp;"]",",]","]")</f>
        <v>["4Color","lets04","startP","year18","year19","dgband","3Bands","Vertic","OnlyBa","Rotate","ntWHYE","NO_RED","NO_BLA","001GRE","003BLU","myrEQ","island","englis","southc","NoStar"]</v>
      </c>
      <c r="GT2" s="48" t="str">
        <f t="shared" ref="GT2:HB4" si="5">IF(BL2&lt;&gt;"",CHAR(34)&amp;"cl_"&amp;BL2&amp;CHAR(34)&amp;",","")</f>
        <v>"cl_BLU",</v>
      </c>
      <c r="GU2" s="48" t="str">
        <f t="shared" si="5"/>
        <v>"cl_GRE",</v>
      </c>
      <c r="GV2" s="48" t="str">
        <f t="shared" si="5"/>
        <v>"cl_YEL",</v>
      </c>
      <c r="GW2" s="48" t="str">
        <f t="shared" si="5"/>
        <v>"cl_WHI",</v>
      </c>
      <c r="GX2" s="48" t="str">
        <f t="shared" si="5"/>
        <v/>
      </c>
      <c r="GY2" s="48" t="str">
        <f t="shared" si="5"/>
        <v/>
      </c>
      <c r="GZ2" s="48" t="str">
        <f t="shared" si="5"/>
        <v/>
      </c>
      <c r="HA2" s="48" t="str">
        <f t="shared" si="5"/>
        <v/>
      </c>
      <c r="HB2" s="48" t="str">
        <f t="shared" si="5"/>
        <v/>
      </c>
      <c r="HC2" s="48" t="str">
        <f>SUBSTITUTE("["&amp;_xlfn.CONCAT(GT2:HB2)&amp;"]",",]","]")</f>
        <v>["cl_BLU","cl_GRE","cl_YEL","cl_WHI"]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{couname:"Peru",year:"1825, 1950 ",region:"rgn_South America",Colors:["cl_BLU","cl_GRE","cl_YEL","cl_WHI"],Items:["4Color","lets04","startP","year18","year19","dgband","3Bands","Vertic","OnlyBa","Rotate","ntWHYE","NO_RED","NO_BLA","001GRE","003BLU","myrEQ","island","englis","southc","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isnew:".", links: "https://en.wikipedia.org/wiki/Flag_of_Peru"},</v>
      </c>
      <c r="HG2" s="73" t="str">
        <f>"{couname:"&amp;CT2&amp;(IF(HK2&lt;&gt;"",",subtype:"&amp;CHAR(34)&amp;HK2&amp;CHAR(34),""))&amp;",year:"&amp;HJ2&amp;",region:"&amp;CU2&amp;",Colors:"&amp;HC2&amp;",Items:"&amp;GS2&amp;",Flag:"&amp;CV2&amp;",HDFlag:"&amp;CHAR(34)&amp;E2&amp;CHAR(34)&amp;",type:"&amp;GP2&amp;", describe: "&amp;HI2&amp;", links: "&amp;HL2&amp;"},"</f>
        <v>{couname:"Peru",year:"1825, 1950 ",region:"rgn_South America",Colors:["cl_BLU","cl_GRE","cl_YEL","cl_WHI"],Items:["4Color","lets04","startP","year18","year19","dgband","3Bands","Vertic","OnlyBa","Rotate","ntWHYE","NO_RED","NO_BLA","001GRE","003BLU","myrEQ","island","englis","southc","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links: "https://en.wikipedia.org/wiki/Flag_of_Peru"},</v>
      </c>
      <c r="HH2" s="48" t="str">
        <f>IF(P2&lt;&gt;"",CHAR(34)&amp;"\n"&amp;P2&amp;CHAR(34),CHAR(34)&amp;CHAR(34))</f>
        <v>"\nRed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v>
      </c>
      <c r="HI2" s="48" t="str">
        <f>IF(J2=0,CHAR(34)&amp;CHAR(34),HH2)</f>
        <v>"\nRed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v>
      </c>
      <c r="HJ2" s="48" t="str">
        <f>CHAR(34)&amp;O2&amp;CHAR(34)</f>
        <v>"1825, 1950 "</v>
      </c>
      <c r="HL2" s="48" t="str">
        <f>CHAR(34)&amp;I2&amp;CHAR(34)</f>
        <v>"https://en.wikipedia.org/wiki/Flag_of_Peru"</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{"couname":"Peru","year":"1825, 1950 ","region":"rgn_South America","Colors":["cl_BLU","cl_GRE","cl_YEL","cl_WHI"],"Items":["4Color","lets04","startP","year18","year19","dgband","3Bands","Vertic","OnlyBa","Rotate","ntWHYE","NO_RED","NO_BLA","001GRE","003BLU","myrEQ","island","englis","southc","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"isnew": ".", "links": "https://en.wikipedia.org/wiki/Flag_of_Peru"},</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{"couname":"Peru","year":"1825, 1950 ","region":"rgn_South America","Colors":["cl_BLU","cl_GRE","cl_YEL","cl_WHI"],"Items":["4Color","lets04","startP","year18","year19","dgband","3Bands","Vertic","OnlyBa","Rotate","ntWHYE","NO_RED","NO_BLA","001GRE","003BLU","myrEQ","island","englis","southc","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"isnew": ".", "links": "https://en.wikipedia.org/wiki/Flag_of_Peru"},</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http://mkweb.bcgsc.ca/color-summarizer/?url=https://i.ibb.co/YNcYq42/Peru-Flag.png&amp;precision=low&amp;num_clusters=4&amp;text=1</v>
      </c>
      <c r="IO2" s="48" t="str">
        <f>IF(HP2&lt;&gt;"",CHAR(34)&amp;"black"&amp;CHAR(34),"")</f>
        <v/>
      </c>
      <c r="IP2" s="48" t="str">
        <f>IF(HQ2&lt;&gt;"",CHAR(34)&amp;"blue"&amp;CHAR(34),"")</f>
        <v>"blue"</v>
      </c>
      <c r="IQ2" s="48" t="str">
        <f>IF(HR2&lt;&gt;"",CHAR(34)&amp;"green"&amp;CHAR(34),"")</f>
        <v>"green"</v>
      </c>
      <c r="IR2" s="48" t="str">
        <f>IF(HS2&lt;&gt;"",CHAR(34)&amp;"red"&amp;CHAR(34),"")</f>
        <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{"url":"http://mkweb.bcgsc.ca/color-summarizer/?url=https://i.ibb.co/YNcYq42/Peru-Flag.png&amp;precision=low&amp;num_clusters=4&amp;text=1","name":"Peru"},</v>
      </c>
      <c r="IY2" s="48">
        <v>47</v>
      </c>
    </row>
    <row r="3" spans="1:259" s="48" customFormat="1" ht="38.4" customHeight="1" thickBot="1" x14ac:dyDescent="0.35">
      <c r="A3" s="79" t="s">
        <v>647</v>
      </c>
      <c r="B3" s="40" t="e" vm="89">
        <v>#VALUE!</v>
      </c>
      <c r="C3" s="41">
        <v>2</v>
      </c>
      <c r="D3" s="42" t="s">
        <v>648</v>
      </c>
      <c r="E3" s="43" t="s">
        <v>649</v>
      </c>
      <c r="F3" s="44" t="s">
        <v>166</v>
      </c>
      <c r="G3" s="45">
        <f>COUNTIF($A$1:$A$8283,A3)</f>
        <v>1</v>
      </c>
      <c r="H3" s="46"/>
      <c r="I3" s="47" t="s">
        <v>650</v>
      </c>
      <c r="J3" s="48" t="str">
        <f>""</f>
        <v/>
      </c>
      <c r="K3" s="49"/>
      <c r="L3" s="50"/>
      <c r="M3" s="50"/>
      <c r="N3" s="51" t="s">
        <v>169</v>
      </c>
      <c r="O3" s="52">
        <v>2021</v>
      </c>
      <c r="P3" s="53" t="s">
        <v>651</v>
      </c>
      <c r="Q3" s="54">
        <v>1</v>
      </c>
      <c r="R3" s="55" t="s">
        <v>169</v>
      </c>
      <c r="S3" s="56">
        <v>7</v>
      </c>
      <c r="T3" s="57" t="s">
        <v>172</v>
      </c>
      <c r="U3" s="58" t="s">
        <v>172</v>
      </c>
      <c r="V3" s="58" t="s">
        <v>173</v>
      </c>
      <c r="W3" s="58" t="s">
        <v>172</v>
      </c>
      <c r="X3" s="58" t="s">
        <v>173</v>
      </c>
      <c r="Y3" s="58" t="s">
        <v>172</v>
      </c>
      <c r="Z3" s="58" t="s">
        <v>172</v>
      </c>
      <c r="AA3" s="58" t="s">
        <v>172</v>
      </c>
      <c r="AB3" s="58" t="s">
        <v>172</v>
      </c>
      <c r="AC3" s="58" t="s">
        <v>172</v>
      </c>
      <c r="AD3" s="58" t="s">
        <v>173</v>
      </c>
      <c r="AE3" s="58" t="s">
        <v>172</v>
      </c>
      <c r="AF3" s="59" t="s">
        <v>172</v>
      </c>
      <c r="AG3" s="59" t="s">
        <v>173</v>
      </c>
      <c r="AH3" s="59" t="s">
        <v>173</v>
      </c>
      <c r="AI3" s="59" t="s">
        <v>172</v>
      </c>
      <c r="AJ3" s="59" t="s">
        <v>172</v>
      </c>
      <c r="AK3" s="59" t="s">
        <v>172</v>
      </c>
      <c r="AL3" s="59" t="s">
        <v>172</v>
      </c>
      <c r="AM3" s="59" t="s">
        <v>172</v>
      </c>
      <c r="AN3" s="59" t="s">
        <v>173</v>
      </c>
      <c r="AO3" s="59" t="s">
        <v>172</v>
      </c>
      <c r="AP3" s="59" t="s">
        <v>172</v>
      </c>
      <c r="AQ3" s="59" t="s">
        <v>172</v>
      </c>
      <c r="AR3" s="59" t="s">
        <v>172</v>
      </c>
      <c r="AS3" s="59" t="s">
        <v>172</v>
      </c>
      <c r="AT3" s="60">
        <v>0</v>
      </c>
      <c r="AU3" s="59" t="s">
        <v>607</v>
      </c>
      <c r="AV3" s="59" t="str">
        <f>IF(LEFT(A3,1)="[",LEFT(A3,5)&amp;AU3&amp;A3,"")</f>
        <v>[PER]Department[PER] Cusco</v>
      </c>
      <c r="AW3" s="59" t="str">
        <f>C3&amp;A3</f>
        <v>2[PER] Cusco</v>
      </c>
      <c r="AX3" s="61"/>
      <c r="AY3" s="61"/>
      <c r="AZ3" s="62" t="s">
        <v>159</v>
      </c>
      <c r="BA3" s="62"/>
      <c r="BB3" s="62"/>
      <c r="BC3" s="63"/>
      <c r="BD3" s="64" t="s">
        <v>217</v>
      </c>
      <c r="BE3" s="47"/>
      <c r="BF3" s="64" t="s">
        <v>154</v>
      </c>
      <c r="BG3" s="64" t="s">
        <v>159</v>
      </c>
      <c r="BH3" s="64" t="s">
        <v>152</v>
      </c>
      <c r="BI3" s="64"/>
      <c r="BJ3" s="64"/>
      <c r="BK3" s="47"/>
      <c r="BL3" s="64" t="s">
        <v>154</v>
      </c>
      <c r="BM3" s="64" t="s">
        <v>159</v>
      </c>
      <c r="BN3" s="64" t="s">
        <v>152</v>
      </c>
      <c r="BO3" s="64" t="s">
        <v>153</v>
      </c>
      <c r="BP3" s="64" t="s">
        <v>155</v>
      </c>
      <c r="BQ3" s="64" t="s">
        <v>151</v>
      </c>
      <c r="BR3" s="64"/>
      <c r="BS3" s="64"/>
      <c r="BT3" s="64"/>
      <c r="BU3" s="65"/>
      <c r="BV3" s="66"/>
      <c r="BW3" s="66">
        <v>0</v>
      </c>
      <c r="BX3" s="47"/>
      <c r="CB3" s="6"/>
      <c r="CC3" s="6"/>
      <c r="CD3" s="67">
        <v>0</v>
      </c>
      <c r="CE3" s="67">
        <v>0</v>
      </c>
      <c r="CF3" s="67" t="e">
        <v>#REF!</v>
      </c>
      <c r="CG3" s="68" cm="1">
        <f t="array" ref="CG3">SUMPRODUCT(--(LEN(TRIM(BL3:BT3))&gt;0))</f>
        <v>6</v>
      </c>
      <c r="CH3" s="59" t="str">
        <f t="shared" ref="CH3:CH4" si="6">IF(CG3=2,"y","n")</f>
        <v>n</v>
      </c>
      <c r="CI3" s="59" t="str">
        <f t="shared" ref="CI3:CI4" si="7">IF(CG3=3,"y","n")</f>
        <v>n</v>
      </c>
      <c r="CJ3" s="59" t="str">
        <f t="shared" ref="CJ3:CJ4" si="8">IF(CG3=4,"y","n")</f>
        <v>n</v>
      </c>
      <c r="CK3" s="59" t="str">
        <f t="shared" ref="CK3:CK4" si="9">IF(CG3&gt;4,"y","n")</f>
        <v>y</v>
      </c>
      <c r="CL3" s="59" t="str">
        <f t="shared" ref="CL3:CL4" si="10">IF(S3=0,"y","n")</f>
        <v>n</v>
      </c>
      <c r="CM3" s="59" t="str">
        <f t="shared" ref="CM3:CM4" si="11">IF(S3=2,"y","n")</f>
        <v>n</v>
      </c>
      <c r="CN3" s="59" t="str">
        <f t="shared" ref="CN3:CN4" si="12">IF(S3=3,"y","n")</f>
        <v>n</v>
      </c>
      <c r="CO3" s="59" t="str">
        <f t="shared" ref="CO3:CO4" si="13">IF(S3&gt;=4,"y","n")</f>
        <v>y</v>
      </c>
      <c r="CP3" s="59" t="str">
        <f t="shared" ref="CP3:CP4" si="14">IF(AT3=0,"y","n")</f>
        <v>y</v>
      </c>
      <c r="CQ3" s="59" t="str">
        <f t="shared" ref="CQ3:CQ4" si="15">IF(AT3=1,"y","n")</f>
        <v>n</v>
      </c>
      <c r="CR3" s="59" t="str">
        <f t="shared" ref="CR3:CR4" si="16">IF(AT3=2,"y","n")</f>
        <v>n</v>
      </c>
      <c r="CS3" s="59" t="str">
        <f t="shared" ref="CS3:CS4" si="17">IF(AT3&gt;=3,"y","n")</f>
        <v>n</v>
      </c>
      <c r="CT3" s="69" t="str">
        <f t="shared" ref="CT3:CT4" si="18">CHAR(34)&amp;A3&amp;CHAR(34)</f>
        <v>"[PER] Cusco"</v>
      </c>
      <c r="CU3" s="70" t="str">
        <f t="shared" ref="CU3:CU4" si="19">CHAR(34)&amp;"rgn_"&amp;R3&amp;CHAR(34)</f>
        <v>"rgn_South America"</v>
      </c>
      <c r="CV3" s="48" t="str">
        <f t="shared" ref="CV3:CV4" si="20">CHAR(34)&amp;D3&amp;CHAR(34)</f>
        <v>"https://upload.wikimedia.org/wikipedia/commons/thumb/f/ff/Flag_of_Cusco_%282021%29.svg/640px-Flag_of_Cusco_%282021%29.svg.png"</v>
      </c>
      <c r="CW3" s="48" t="str">
        <f t="shared" si="0"/>
        <v/>
      </c>
      <c r="CX3" s="48" t="str">
        <f t="shared" si="0"/>
        <v/>
      </c>
      <c r="CY3" s="48" t="str">
        <f t="shared" si="0"/>
        <v/>
      </c>
      <c r="CZ3" s="48" t="str">
        <f t="shared" si="0"/>
        <v>"5+Colo",</v>
      </c>
      <c r="DA3" s="48" t="str">
        <f t="shared" ref="DA3:DA4" si="21">IF(Q3&gt;1,CHAR(34)&amp;"words2"&amp;CHAR(34)&amp;",","")</f>
        <v/>
      </c>
      <c r="DB3" s="48" t="str">
        <f t="shared" ref="DB3:DB4" si="22">IF(Q3&gt;2,CHAR(34)&amp;"words3"&amp;CHAR(34)&amp;",","")</f>
        <v/>
      </c>
      <c r="DC3" s="48" t="str">
        <f t="shared" ref="DC3:DC4" si="23">IF(Q3=2,CHAR(34)&amp;"exact2"&amp;CHAR(34)&amp;",","")</f>
        <v/>
      </c>
      <c r="DD3" s="48" t="str">
        <f t="shared" ref="DD3:DD4" si="24">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"lets05",</v>
      </c>
      <c r="DE3" s="48" t="str">
        <f t="shared" ref="DE3:DE4" si="25">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"startC",</v>
      </c>
      <c r="DF3" s="48" t="str">
        <f t="shared" ref="DF3:DF4" si="26">IFERROR(IF(SEARCH("tan",A3)&gt;0,CHAR(34)&amp;"withtn"&amp;CHAR(34)&amp;",",""),"")</f>
        <v/>
      </c>
      <c r="DG3" s="48" t="str">
        <f t="shared" ref="DG3:DG4" si="27">IFERROR(IF(SEARCH("q",A3)&gt;0,CHAR(34)&amp;"with_q"&amp;CHAR(34)&amp;",",""),"")</f>
        <v/>
      </c>
      <c r="DH3" s="48" t="str">
        <f t="shared" ref="DH3:DH4" si="28">IFERROR(IF(SEARCH("v",A3)&gt;0,CHAR(34)&amp;"with_v"&amp;CHAR(34)&amp;",",""),"")</f>
        <v/>
      </c>
      <c r="DI3" s="48" t="str">
        <f t="shared" ref="DI3:DI4" si="29">IFERROR(IF(SEARCH("w",A3)&gt;0,CHAR(34)&amp;"with_w"&amp;CHAR(34)&amp;",",""),"")</f>
        <v/>
      </c>
      <c r="DJ3" s="48" t="str">
        <f t="shared" ref="DJ3:DJ4" si="30">IFERROR(IF(SEARCH("y",A3)&gt;0,CHAR(34)&amp;"with_y"&amp;CHAR(34)&amp;",",""),"")</f>
        <v/>
      </c>
      <c r="DK3" s="48" t="str">
        <f t="shared" ref="DK3:DK4" si="31">IFERROR(IF(SEARCH("z",A3)&gt;0,CHAR(34)&amp;"with_z"&amp;CHAR(34)&amp;",",""),"")</f>
        <v/>
      </c>
      <c r="DL3" s="48" t="str">
        <f t="shared" ref="DL3:DL4" si="32">IF(CG3=2, CHAR(34) &amp; _xlfn.TEXTJOIN("", TRUE, _xlfn._xlws.SORT(HP3:HX3)) &amp; CHAR(34) &amp; ",", "")</f>
        <v/>
      </c>
      <c r="DM3" s="48" t="str" cm="1">
        <f t="array" ref="DM3">IF(CG3=3,CHAR(34) &amp; _xlfn.TEXTJOIN("", TRUE, RIGHT(HP3:HX3, 2)) &amp; CHAR(34) &amp; ",", "")</f>
        <v/>
      </c>
      <c r="DN3" s="48" t="str">
        <f t="shared" ref="DN3:DN4" si="33">IF(AND(ISNUMBER(SEARCH("18", O3)), ISERROR(SEARCH("1918", O3)), ISERROR(SEARCH("2018", O3))), CHAR(34) &amp; "year18" &amp; CHAR(34) &amp; ",", "")</f>
        <v/>
      </c>
      <c r="DO3" s="48" t="str">
        <f t="shared" ref="DO3:DO4" si="34">IF(AND(ISNUMBER(SEARCH("19", O3)), ISERROR(SEARCH("1819", O3)),  ISERROR(SEARCH("1219", O3)),ISERROR(SEARCH("1119", O3)),ISERROR(SEARCH("1190", O3)),ISERROR(SEARCH("2019", O3))), CHAR(34) &amp; "year19" &amp; CHAR(34) &amp; ",", "")</f>
        <v/>
      </c>
      <c r="DP3" s="6" t="str">
        <f t="shared" ref="DP3:DP4" si="35">IF(AND(ISNUMBER(SEARCH("20", O3)), ISERROR(SEARCH("1920", O3))), CHAR(34)&amp;"year00"&amp;CHAR(34)&amp;",", "")</f>
        <v>"year00",</v>
      </c>
      <c r="DQ3" s="6" t="str">
        <f t="shared" ref="DQ3:DQ4" si="36">IF(CC3="y",CHAR(34)&amp;"soviet"&amp;CHAR(34)&amp;",","")</f>
        <v/>
      </c>
      <c r="DR3" s="6" t="str">
        <f t="shared" ref="DR3:DR4" si="37">IF(BY3="y",CHAR(34)&amp;"dgband"&amp;CHAR(34)&amp;",","")</f>
        <v/>
      </c>
      <c r="DS3" s="6" t="str">
        <f t="shared" ref="DS3:DS4" si="38">IF(W3="y",IF(AND(V3="n",BY3&lt;&gt;"y"),CHAR(34)&amp;"allver"&amp;CHAR(34)&amp;",",""),"")</f>
        <v/>
      </c>
      <c r="DT3" s="6" t="str">
        <f t="shared" ref="DT3:DT4" si="39">IF(V3="y",IF(AND(W3="n",BY3&lt;&gt;"y"),CHAR(34)&amp;"allhor"&amp;CHAR(34)&amp;",",""),"")</f>
        <v>"allhor",</v>
      </c>
      <c r="DU3" s="6" t="str">
        <f t="shared" ref="DU3:DU4" si="40">IF(BY3="y",IF(AND(W3="n",V3="n"),CHAR(34)&amp;"alldia"&amp;CHAR(34)&amp;",",""),"")</f>
        <v/>
      </c>
      <c r="DV3" s="48" t="str">
        <f t="shared" ref="DV3:DV4" si="41">IF(IA3&lt;&gt;"",(IF(IA3="y",CHAR(34)&amp;"largec"&amp;CHAR(34)&amp;",",CHAR(34)&amp;"smallc"&amp;CHAR(34)&amp;",")),"")</f>
        <v/>
      </c>
      <c r="DW3" s="48" t="str">
        <f t="shared" si="1"/>
        <v/>
      </c>
      <c r="DX3" s="48" t="str">
        <f t="shared" si="1"/>
        <v/>
      </c>
      <c r="DY3" s="48" t="str">
        <f t="shared" si="1"/>
        <v/>
      </c>
      <c r="DZ3" s="48" t="str">
        <f t="shared" si="1"/>
        <v>"4+Band",</v>
      </c>
      <c r="EA3" s="48" t="str">
        <f t="shared" si="2"/>
        <v/>
      </c>
      <c r="EB3" s="48" t="str">
        <f t="shared" si="2"/>
        <v/>
      </c>
      <c r="EC3" s="48" t="str">
        <f t="shared" si="2"/>
        <v>"Horizo",</v>
      </c>
      <c r="ED3" s="48" t="str">
        <f t="shared" si="2"/>
        <v/>
      </c>
      <c r="EE3" s="48" t="str">
        <f t="shared" si="2"/>
        <v>"Circle",</v>
      </c>
      <c r="EF3" s="48" t="str">
        <f t="shared" ref="EF3:EF4" si="42">IF(AND(Y3&lt;&gt;"n",Y3&lt;&gt;""),CHAR(34)&amp;Y$1&amp;CHAR(34)&amp;",","")</f>
        <v/>
      </c>
      <c r="EG3" s="48" t="str">
        <f t="shared" si="3"/>
        <v/>
      </c>
      <c r="EH3" s="48" t="str">
        <f t="shared" si="3"/>
        <v/>
      </c>
      <c r="EI3" s="48" t="str">
        <f t="shared" si="3"/>
        <v/>
      </c>
      <c r="EJ3" s="48" t="str">
        <f t="shared" si="3"/>
        <v/>
      </c>
      <c r="EK3" s="48" t="str">
        <f t="shared" si="3"/>
        <v>"HasSun",</v>
      </c>
      <c r="EL3" s="48" t="str">
        <f t="shared" si="3"/>
        <v/>
      </c>
      <c r="EM3" s="48" t="str">
        <f t="shared" si="3"/>
        <v/>
      </c>
      <c r="EN3" s="48" t="str">
        <f t="shared" si="3"/>
        <v>"Unequa",</v>
      </c>
      <c r="EO3" s="48" t="str">
        <f t="shared" si="3"/>
        <v>"Center",</v>
      </c>
      <c r="EP3" s="48" t="str">
        <f t="shared" si="3"/>
        <v/>
      </c>
      <c r="EQ3" s="48" t="str">
        <f t="shared" si="3"/>
        <v/>
      </c>
      <c r="ER3" s="48" t="str">
        <f t="shared" si="3"/>
        <v/>
      </c>
      <c r="ES3" s="48" t="str">
        <f t="shared" si="3"/>
        <v/>
      </c>
      <c r="ET3" s="48" t="str">
        <f t="shared" si="3"/>
        <v/>
      </c>
      <c r="EU3" s="48" t="str">
        <f t="shared" si="3"/>
        <v>"Humans",</v>
      </c>
      <c r="EV3" s="48" t="str">
        <f t="shared" si="3"/>
        <v/>
      </c>
      <c r="EW3" s="48" t="str">
        <f t="shared" si="3"/>
        <v/>
      </c>
      <c r="EX3" s="48" t="str">
        <f t="shared" si="3"/>
        <v/>
      </c>
      <c r="EY3" s="48" t="str">
        <f t="shared" si="3"/>
        <v/>
      </c>
      <c r="EZ3" s="48" t="str">
        <f t="shared" si="3"/>
        <v/>
      </c>
      <c r="FA3" s="48" t="str">
        <f t="shared" ref="FA3:FA4" si="43">IF(AT3&gt;0,CHAR(34)&amp;"sta"&amp;AZ3&amp;CHAR(34)&amp;",","")</f>
        <v/>
      </c>
      <c r="FB3" s="48" t="str">
        <f t="shared" ref="FB3:FB4" si="44">IF(AND(AT3&gt;0,BA3&lt;&gt;""),CHAR(34)&amp;"sta"&amp;BA3&amp;CHAR(34)&amp;",","")</f>
        <v/>
      </c>
      <c r="FC3" s="48" t="str">
        <f t="shared" ref="FC3:FC4" si="45">IF(AND(AT3&gt;0,BB3&lt;&gt;""),CHAR(34)&amp;"sta"&amp;BB3&amp;CHAR(34)&amp;",","")</f>
        <v/>
      </c>
      <c r="FD3" s="48" t="str">
        <f t="shared" ref="FD3:FD4" si="46">IF(BV3="n",CHAR(34)&amp;"tcWHYE"&amp;CHAR(34)&amp;",",IF(BV3="y",CHAR(34)&amp;FD$1&amp;CHAR(34)&amp;",",""))</f>
        <v/>
      </c>
      <c r="FE3" s="48" t="str">
        <f t="shared" ref="FE3:FE4" si="47">IF(COUNTIF(BL3:BT3,"BLU")=0,CHAR(34)&amp;"NO_BLU"&amp;CHAR(34)&amp;",", "")</f>
        <v/>
      </c>
      <c r="FF3" s="48" t="str">
        <f t="shared" ref="FF3:FF4" si="48">IF(COUNTIF(BL3:BT3,"WHI")=0,CHAR(34)&amp;"NO_WHI"&amp;CHAR(34)&amp;",", "")</f>
        <v/>
      </c>
      <c r="FG3" s="48" t="str">
        <f t="shared" ref="FG3:FG4" si="49">IF(COUNTIF(BL3:BT3,"RED")=0,CHAR(34)&amp;"NO_RED"&amp;CHAR(34)&amp;",", "")</f>
        <v/>
      </c>
      <c r="FH3" s="48" t="str">
        <f t="shared" ref="FH3:FH4" si="50">IF(COUNTIF(BL3:BS3,"GRE")=0,CHAR(34)&amp;"NO_GRE"&amp;CHAR(34)&amp;",", "")</f>
        <v/>
      </c>
      <c r="FI3" s="48" t="str">
        <f t="shared" ref="FI3:FI4" si="51">IF(COUNTIF(BL3:BT3,"YEL")=0,CHAR(34)&amp;"NO_YEL"&amp;CHAR(34)&amp;",", "")</f>
        <v/>
      </c>
      <c r="FJ3" s="48" t="str">
        <f t="shared" ref="FJ3:FJ4" si="52">IF(COUNTIF(BL3:BT3,"BLA")=0,CHAR(34)&amp;"NO_BLA"&amp;CHAR(34)&amp;",", "")</f>
        <v/>
      </c>
      <c r="FK3" s="48" t="str">
        <f t="shared" ref="FK3:FK4" si="53">IF(AND(FH3&lt;&gt;"",FF3&lt;&gt;""),CHAR(34)&amp;"WHGRNO"&amp;CHAR(34)&amp;",","")</f>
        <v/>
      </c>
      <c r="FL3" s="48" t="str">
        <f t="shared" ref="FL3:FL4" si="54">IF(AND(FI3&lt;&gt;"",FF3&lt;&gt;""),CHAR(34)&amp;"WHYENO"&amp;CHAR(34)&amp;",","")</f>
        <v/>
      </c>
      <c r="FM3" s="48" t="str">
        <f t="shared" ref="FM3:FM4" si="55">IF(AND(FJ3&lt;&gt;"",FF3&lt;&gt;""),CHAR(34)&amp;"BAWHNO"&amp;CHAR(34)&amp;",","")</f>
        <v/>
      </c>
      <c r="FN3" s="48" t="str">
        <f t="shared" ref="FN3:FN4" si="56">IF(AND(FE3&lt;&gt;"",FF3&lt;&gt;""),CHAR(34)&amp;"BLWHNO"&amp;CHAR(34)&amp;",","")</f>
        <v/>
      </c>
      <c r="FO3" s="48" t="str">
        <f t="shared" ref="FO3:FO4" si="57">IF(AND(FE3&lt;&gt;"",FG3&lt;&gt;""),CHAR(34)&amp;"BLRENO"&amp;CHAR(34)&amp;",","")</f>
        <v/>
      </c>
      <c r="FP3" s="48" t="str">
        <f t="shared" ref="FP3:FP4" si="58">IF(AND(FF3&lt;&gt;"",FF3&lt;&gt;""),CHAR(34)&amp;"WHRENO"&amp;CHAR(34)&amp;",","")</f>
        <v/>
      </c>
      <c r="FQ3" s="48" t="str">
        <f t="shared" ref="FQ3:FQ4" si="59">IF(LEN(BF3)=3,CHAR(34)&amp;"001"&amp;BF3&amp;CHAR(34)&amp;",","")</f>
        <v>"001RED",</v>
      </c>
      <c r="FR3" s="48" t="str">
        <f t="shared" ref="FR3:FR4" si="60">IF(LEN(BG3)=3,CHAR(34)&amp;"002"&amp;BG3&amp;CHAR(34)&amp;",","")</f>
        <v>"002WHI",</v>
      </c>
      <c r="FS3" s="48" t="str">
        <f t="shared" ref="FS3:FS4" si="61">IF(LEN(BH3)=3,CHAR(34)&amp;"003"&amp;BH3&amp;CHAR(34)&amp;",","")</f>
        <v>"003BLU",</v>
      </c>
      <c r="FT3" s="48" t="str">
        <f t="shared" ref="FT3:FT4" si="62">CHAR(34)&amp;"myr"&amp;BD3&amp;CHAR(34)&amp;","</f>
        <v>"myrEQ",</v>
      </c>
      <c r="FU3" s="48" t="str">
        <f t="shared" ref="FU3:FU4" si="63">IF(AY3="y",CHAR(34)&amp;"island"&amp;CHAR(34)&amp;",","")</f>
        <v/>
      </c>
      <c r="FV3" s="48" t="str">
        <f t="shared" ref="FV3:FV4" si="64">IF(BZ3="y",CHAR(34)&amp;"landlo"&amp;CHAR(34)&amp;",","")</f>
        <v/>
      </c>
      <c r="FW3" s="48" t="str">
        <f t="shared" ref="FW3:FW4" si="65">IF(CA3="y",CHAR(34)&amp;"eunion"&amp;CHAR(34)&amp;",","")</f>
        <v/>
      </c>
      <c r="FX3" s="48" t="str">
        <f t="shared" ref="FX3:FX4" si="66">SUBSTITUTE(IFERROR(SEARCH("[",A3),IFERROR(IF(AND(CA3&lt;&gt;"y",SEARCH("Europe",R3)&gt;0),CHAR(34)&amp;"noeuni"&amp;CHAR(34)&amp;",",""),"")),"1","")</f>
        <v/>
      </c>
      <c r="FY3" s="48" t="str">
        <f t="shared" ref="FY3:FY4" si="67">IFERROR(IF(SEARCH("Arabic",CB3)&gt;0,CHAR(34)&amp;"arabic"&amp;CHAR(34)&amp;",",""),"")</f>
        <v/>
      </c>
      <c r="FZ3" s="48" t="str">
        <f t="shared" ref="FZ3:FZ4" si="68">IFERROR(IF(SEARCH("English",CB3)&gt;0,CHAR(34)&amp;"englis"&amp;CHAR(34)&amp;",",""),"")</f>
        <v/>
      </c>
      <c r="GA3" s="48" t="str">
        <f t="shared" ref="GA3:GA4" si="69">IFERROR(IF(SEARCH("French",CB3)&gt;0,CHAR(34)&amp;"french"&amp;CHAR(34)&amp;",",""),"")</f>
        <v/>
      </c>
      <c r="GB3" s="48" t="str">
        <f t="shared" ref="GB3:GB4" si="70">IFERROR(IF(SEARCH("Spanish",CB3)&gt;0,CHAR(34)&amp;"spanis"&amp;CHAR(34)&amp;",",""),"")</f>
        <v/>
      </c>
      <c r="GC3" s="48" t="str">
        <f t="shared" ref="GC3:GC4" si="71">IFERROR(IF(SEARCH("Portuguese",CB3)&gt;0,CHAR(34)&amp;"portug"&amp;CHAR(34)&amp;",",""),"")</f>
        <v/>
      </c>
      <c r="GD3" s="48" t="str">
        <f t="shared" ref="GD3:GD4" si="72">IFERROR(IF(SEARCH("German",CB3)&gt;0,CHAR(34)&amp;"german"&amp;CHAR(34)&amp;",",""),"")</f>
        <v/>
      </c>
      <c r="GE3" s="48" t="str">
        <f t="shared" ref="GE3:GE4" si="73">IFERROR(IF(SEARCH("Dutch",CB3)&gt;0,CHAR(34)&amp;"dutchs"&amp;CHAR(34)&amp;",",""),"")</f>
        <v/>
      </c>
      <c r="GF3" s="48" t="str">
        <f t="shared" ref="GF3:GF4" si="74">IFERROR(IF(SEARCH("Historical",AU3)&gt;0,CHAR(34)&amp;"histor"&amp;CHAR(34)&amp;",",""),"")</f>
        <v/>
      </c>
      <c r="GG3" s="48" t="str">
        <f t="shared" ref="GG3:GG4" si="75">IF(BU3="y",CHAR(34)&amp;"unjack"&amp;CHAR(34)&amp;",","")</f>
        <v/>
      </c>
      <c r="GH3" s="48" t="str">
        <f t="shared" ref="GH3:GH4" si="76">IF(CD3=1,CHAR(34)&amp;"southc"&amp;CHAR(34)&amp;",","")</f>
        <v/>
      </c>
      <c r="GI3" s="48" t="str">
        <f t="shared" ref="GI3:GI4" si="77">IF(CE3=1,CHAR(34)&amp;"hasmap"&amp;CHAR(34)&amp;",","")</f>
        <v/>
      </c>
      <c r="GJ3" s="48" t="str">
        <f t="shared" ref="GJ3:GJ4" si="78">IF(CP3="y",CHAR(34)&amp;CP$1&amp;CHAR(34)&amp;",","")</f>
        <v>"NoStar",</v>
      </c>
      <c r="GK3" s="48" t="str">
        <f t="shared" ref="GK3:GK4" si="79">IF(GJ3="",CHAR(34)&amp;"HasSta"&amp;CHAR(34)&amp;",","")</f>
        <v/>
      </c>
      <c r="GL3" s="48" t="str">
        <f t="shared" si="4"/>
        <v/>
      </c>
      <c r="GM3" s="48" t="str">
        <f t="shared" si="4"/>
        <v/>
      </c>
      <c r="GN3" s="48" t="str">
        <f t="shared" si="4"/>
        <v/>
      </c>
      <c r="GP3" s="48" t="str">
        <f t="shared" ref="GP3:GP4" si="80">CHAR(34)&amp;AU3&amp;CHAR(34)</f>
        <v>"Department"</v>
      </c>
      <c r="GS3" s="48" t="str">
        <f t="shared" ref="GS3:GS4" si="81">SUBSTITUTE("["&amp;_xlfn.CONCAT(CW3:GN3)&amp;"]",",]","]")</f>
        <v>["5+Colo","lets05","startC","year00","allhor","4+Band","Horizo","Circle","HasSun","Unequa","Center","Humans","001RED","002WHI","003BLU","myrEQ","NoStar"]</v>
      </c>
      <c r="GT3" s="48" t="str">
        <f t="shared" si="5"/>
        <v>"cl_RED",</v>
      </c>
      <c r="GU3" s="48" t="str">
        <f t="shared" si="5"/>
        <v>"cl_WHI",</v>
      </c>
      <c r="GV3" s="48" t="str">
        <f t="shared" si="5"/>
        <v>"cl_BLU",</v>
      </c>
      <c r="GW3" s="48" t="str">
        <f t="shared" si="5"/>
        <v>"cl_GRE",</v>
      </c>
      <c r="GX3" s="48" t="str">
        <f t="shared" si="5"/>
        <v>"cl_YEL",</v>
      </c>
      <c r="GY3" s="48" t="str">
        <f t="shared" si="5"/>
        <v>"cl_BLA",</v>
      </c>
      <c r="GZ3" s="48" t="str">
        <f t="shared" si="5"/>
        <v/>
      </c>
      <c r="HA3" s="48" t="str">
        <f t="shared" si="5"/>
        <v/>
      </c>
      <c r="HB3" s="48" t="str">
        <f t="shared" si="5"/>
        <v/>
      </c>
      <c r="HC3" s="48" t="str">
        <f t="shared" ref="HC3:HC4" si="82">SUBSTITUTE("["&amp;_xlfn.CONCAT(GT3:HB3)&amp;"]",",]","]")</f>
        <v>["cl_RED","cl_WHI","cl_BLU","cl_GRE","cl_YEL","cl_BLA"]</v>
      </c>
      <c r="HE3" s="71"/>
      <c r="HF3" s="72" t="str">
        <f t="shared" ref="HF3:HF4" si="83">"{couname:"&amp;CT3&amp;(IF(HK3&lt;&gt;"",",subtype:"&amp;CHAR(34)&amp;HK3&amp;CHAR(34),""))&amp;",year:"&amp;HJ3&amp;",region:"&amp;CU3&amp;",Colors:"&amp;HC3&amp;",Items:"&amp;GS3&amp;",Flag:"&amp;CV3&amp;",HDFlag:"&amp;CHAR(34)&amp;E3&amp;CHAR(34)&amp;",type:"&amp;GP3&amp;", describe: "&amp;HH3&amp;", isnew:"&amp;CHAR(34)&amp;F3&amp;CHAR(34)&amp;", links: "&amp;HL3&amp;"},"</f>
        <v>{couname:"[PER] Cusco",year:"2021",region:"rgn_South America",Colors:["cl_RED","cl_WHI","cl_BLU","cl_GRE","cl_YEL","cl_BLA"],Items:["5+Colo","lets05","startC","year00","allhor","4+Band","Horizo","Circle","HasSun","Unequa","Center","Humans","001RED","002WHI","003BLU","myrEQ","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isnew:".", links: "https://en.wikipedia.org/wiki/Flag_of_Cusco"},</v>
      </c>
      <c r="HG3" s="73" t="str">
        <f t="shared" ref="HG3:HG4" si="84">"{couname:"&amp;CT3&amp;(IF(HK3&lt;&gt;"",",subtype:"&amp;CHAR(34)&amp;HK3&amp;CHAR(34),""))&amp;",year:"&amp;HJ3&amp;",region:"&amp;CU3&amp;",Colors:"&amp;HC3&amp;",Items:"&amp;GS3&amp;",Flag:"&amp;CV3&amp;",HDFlag:"&amp;CHAR(34)&amp;E3&amp;CHAR(34)&amp;",type:"&amp;GP3&amp;", describe: "&amp;HI3&amp;", links: "&amp;HL3&amp;"},"</f>
        <v>{couname:"[PER] Cusco",year:"2021",region:"rgn_South America",Colors:["cl_RED","cl_WHI","cl_BLU","cl_GRE","cl_YEL","cl_BLA"],Items:["5+Colo","lets05","startC","year00","allhor","4+Band","Horizo","Circle","HasSun","Unequa","Center","Humans","001RED","002WHI","003BLU","myrEQ","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links: "https://en.wikipedia.org/wiki/Flag_of_Cusco"},</v>
      </c>
      <c r="HH3" s="48" t="str">
        <f t="shared" ref="HH3:HH4" si="85">IF(P3&lt;&gt;"",CHAR(34)&amp;"\n"&amp;P3&amp;CHAR(34),CHAR(34)&amp;CHAR(34))</f>
        <v>"\nIt's a rainbow flag formed by 7 horizontal stripes. It was first introduced in 1973 and officially adopted in 1978. Since 2021, the flag has also featured the golden Echenique's sun."</v>
      </c>
      <c r="HI3" s="48" t="str">
        <f t="shared" ref="HI3:HI4" si="86">IF(J3=0,CHAR(34)&amp;CHAR(34),HH3)</f>
        <v>"\nIt's a rainbow flag formed by 7 horizontal stripes. It was first introduced in 1973 and officially adopted in 1978. Since 2021, the flag has also featured the golden Echenique's sun."</v>
      </c>
      <c r="HJ3" s="48" t="str">
        <f t="shared" ref="HJ3:HJ4" si="87">CHAR(34)&amp;O3&amp;CHAR(34)</f>
        <v>"2021"</v>
      </c>
      <c r="HL3" s="48" t="str">
        <f t="shared" ref="HL3:HL4" si="88">CHAR(34)&amp;I3&amp;CHAR(34)</f>
        <v>"https://en.wikipedia.org/wiki/Flag_of_Cusco"</v>
      </c>
      <c r="HM3" s="72" t="str">
        <f t="shared" ref="HM3:HM4" si="89">"{"&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{"couname":"[PER] Cusco","year":"2021","region":"rgn_South America","Colors":["cl_RED","cl_WHI","cl_BLU","cl_GRE","cl_YEL","cl_BLA"],"Items":["5+Colo","lets05","startC","year00","allhor","4+Band","Horizo","Circle","HasSun","Unequa","Center","Humans","001RED","002WHI","003BLU","myrEQ","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"isnew": ".", "links": "https://en.wikipedia.org/wiki/Flag_of_Cusco"},</v>
      </c>
      <c r="HN3" s="74" t="str">
        <f t="shared" ref="HN3:HN4" si="90">"{"&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{"couname":"[PER] Cusco","year":"2021","region":"rgn_South America","Colors":["cl_RED","cl_WHI","cl_BLU","cl_GRE","cl_YEL","cl_BLA"],"Items":["5+Colo","lets05","startC","year00","allhor","4+Band","Horizo","Circle","HasSun","Unequa","Center","Humans","001RED","002WHI","003BLU","myrEQ","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"isnew": ".", "links": "https://en.wikipedia.org/wiki/Flag_of_Cusco"},</v>
      </c>
      <c r="HO3" s="75"/>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 t="shared" ref="IL3:IL4" si="91">SUM(IC3:IK3)</f>
        <v>0</v>
      </c>
      <c r="IM3" s="45">
        <f t="shared" ref="IM3:IM4" si="92">COUNTIF(IC3:IK3,"&gt;0")-CG3</f>
        <v>-6</v>
      </c>
      <c r="IN3" s="78" t="str">
        <f t="shared" ref="IN3:IN4" si="93">"http://mkweb.bcgsc.ca/color-summarizer/?url="&amp;D3&amp;"&amp;precision=low&amp;num_clusters="&amp;CG3&amp;"&amp;text=1"</f>
        <v>http://mkweb.bcgsc.ca/color-summarizer/?url=https://upload.wikimedia.org/wikipedia/commons/thumb/f/ff/Flag_of_Cusco_%282021%29.svg/640px-Flag_of_Cusco_%282021%29.svg.png&amp;precision=low&amp;num_clusters=6&amp;text=1</v>
      </c>
      <c r="IO3" s="48" t="str">
        <f t="shared" ref="IO3:IO4" si="94">IF(HP3&lt;&gt;"",CHAR(34)&amp;"black"&amp;CHAR(34),"")</f>
        <v>"black"</v>
      </c>
      <c r="IP3" s="48" t="str">
        <f t="shared" ref="IP3:IP4" si="95">IF(HQ3&lt;&gt;"",CHAR(34)&amp;"blue"&amp;CHAR(34),"")</f>
        <v>"blue"</v>
      </c>
      <c r="IQ3" s="48" t="str">
        <f t="shared" ref="IQ3:IQ4" si="96">IF(HR3&lt;&gt;"",CHAR(34)&amp;"green"&amp;CHAR(34),"")</f>
        <v>"green"</v>
      </c>
      <c r="IR3" s="48" t="str">
        <f t="shared" ref="IR3:IR4" si="97">IF(HS3&lt;&gt;"",CHAR(34)&amp;"red"&amp;CHAR(34),"")</f>
        <v>"red"</v>
      </c>
      <c r="IS3" s="48" t="str">
        <f t="shared" ref="IS3:IS4" si="98">IF(HT3&lt;&gt;"",CHAR(34)&amp;"yellow"&amp;CHAR(34),"")</f>
        <v>"yellow"</v>
      </c>
      <c r="IT3" s="48" t="str">
        <f t="shared" ref="IT3:IT4" si="99">IF(HU3&lt;&gt;"",CHAR(34)&amp;"orange"&amp;CHAR(34),"")</f>
        <v/>
      </c>
      <c r="IU3" s="48" t="str">
        <f t="shared" ref="IU3:IU4" si="100">IF(HV3&lt;&gt;"",CHAR(34)&amp;"brown"&amp;CHAR(34),"")</f>
        <v/>
      </c>
      <c r="IV3" s="48" t="str">
        <f t="shared" ref="IV3:IV4" si="101">IF(HW3&lt;&gt;"",CHAR(34)&amp;"purple"&amp;CHAR(34),"")</f>
        <v/>
      </c>
      <c r="IW3" s="48" t="str">
        <f t="shared" ref="IW3:IW4" si="102">IF(HX3&lt;&gt;"",CHAR(34)&amp;"white"&amp;CHAR(34),"")</f>
        <v>"white"</v>
      </c>
      <c r="IX3" s="48" t="str">
        <f t="shared" ref="IX3:IX4" si="103">"{"&amp;CHAR(34)&amp;"url"&amp;CHAR(34)&amp;":"&amp;CHAR(34)&amp;IN3&amp;CHAR(34)&amp;","&amp;CHAR(34)&amp;"name"&amp;CHAR(34)&amp;":"&amp;CHAR(34)&amp;A3&amp;CHAR(34)&amp;"},"</f>
        <v>{"url":"http://mkweb.bcgsc.ca/color-summarizer/?url=https://upload.wikimedia.org/wikipedia/commons/thumb/f/ff/Flag_of_Cusco_%282021%29.svg/640px-Flag_of_Cusco_%282021%29.svg.png&amp;precision=low&amp;num_clusters=6&amp;text=1","name":"[PER] Cusco"},</v>
      </c>
      <c r="IY3" s="48">
        <v>328</v>
      </c>
    </row>
    <row r="4" spans="1:259" s="48" customFormat="1" ht="38.4" customHeight="1" thickBot="1" x14ac:dyDescent="0.35">
      <c r="A4" s="79" t="s">
        <v>652</v>
      </c>
      <c r="B4" s="40" t="e" vm="90">
        <v>#VALUE!</v>
      </c>
      <c r="C4" s="41">
        <v>2</v>
      </c>
      <c r="D4" s="42" t="s">
        <v>653</v>
      </c>
      <c r="E4" s="43" t="s">
        <v>654</v>
      </c>
      <c r="F4" s="44" t="s">
        <v>166</v>
      </c>
      <c r="G4" s="45">
        <f>COUNTIF($A$1:$A$8283,A4)</f>
        <v>1</v>
      </c>
      <c r="H4" s="46"/>
      <c r="I4" s="47" t="s">
        <v>655</v>
      </c>
      <c r="J4" s="48" t="str">
        <f>""</f>
        <v/>
      </c>
      <c r="K4" s="49"/>
      <c r="L4" s="50"/>
      <c r="M4" s="50"/>
      <c r="N4" s="51" t="s">
        <v>169</v>
      </c>
      <c r="O4" s="52" t="s">
        <v>557</v>
      </c>
      <c r="P4" s="53" t="s">
        <v>656</v>
      </c>
      <c r="Q4" s="54">
        <v>1</v>
      </c>
      <c r="R4" s="55" t="s">
        <v>169</v>
      </c>
      <c r="S4" s="56">
        <v>0</v>
      </c>
      <c r="T4" s="57" t="s">
        <v>172</v>
      </c>
      <c r="U4" s="58" t="s">
        <v>172</v>
      </c>
      <c r="V4" s="58" t="s">
        <v>172</v>
      </c>
      <c r="W4" s="58" t="s">
        <v>172</v>
      </c>
      <c r="X4" s="58" t="s">
        <v>172</v>
      </c>
      <c r="Y4" s="58" t="s">
        <v>173</v>
      </c>
      <c r="Z4" s="58" t="s">
        <v>173</v>
      </c>
      <c r="AA4" s="58" t="s">
        <v>172</v>
      </c>
      <c r="AB4" s="58" t="s">
        <v>173</v>
      </c>
      <c r="AC4" s="58" t="s">
        <v>172</v>
      </c>
      <c r="AD4" s="58" t="s">
        <v>172</v>
      </c>
      <c r="AE4" s="58" t="s">
        <v>172</v>
      </c>
      <c r="AF4" s="59" t="s">
        <v>172</v>
      </c>
      <c r="AG4" s="59" t="s">
        <v>172</v>
      </c>
      <c r="AH4" s="59" t="s">
        <v>173</v>
      </c>
      <c r="AI4" s="59" t="s">
        <v>172</v>
      </c>
      <c r="AJ4" s="59" t="s">
        <v>172</v>
      </c>
      <c r="AK4" s="59" t="s">
        <v>172</v>
      </c>
      <c r="AL4" s="59" t="s">
        <v>172</v>
      </c>
      <c r="AM4" s="59" t="s">
        <v>172</v>
      </c>
      <c r="AN4" s="59" t="s">
        <v>172</v>
      </c>
      <c r="AO4" s="59" t="s">
        <v>172</v>
      </c>
      <c r="AP4" s="59" t="s">
        <v>172</v>
      </c>
      <c r="AQ4" s="59" t="s">
        <v>173</v>
      </c>
      <c r="AR4" s="59" t="s">
        <v>172</v>
      </c>
      <c r="AS4" s="59" t="s">
        <v>172</v>
      </c>
      <c r="AT4" s="60">
        <v>2</v>
      </c>
      <c r="AU4" s="59" t="s">
        <v>657</v>
      </c>
      <c r="AV4" s="59" t="str">
        <f>IF(LEFT(A4,1)="[",LEFT(A4,5)&amp;AU4&amp;A4,"")</f>
        <v>[PER]City[PER] Lima</v>
      </c>
      <c r="AW4" s="59" t="str">
        <f>C4&amp;A4</f>
        <v>2[PER] Lima</v>
      </c>
      <c r="AX4" s="61"/>
      <c r="AY4" s="61"/>
      <c r="AZ4" s="62"/>
      <c r="BA4" s="62"/>
      <c r="BB4" s="62"/>
      <c r="BC4" s="63"/>
      <c r="BD4" s="64" t="s">
        <v>153</v>
      </c>
      <c r="BE4" s="47"/>
      <c r="BF4" s="64" t="s">
        <v>152</v>
      </c>
      <c r="BG4" s="64" t="s">
        <v>153</v>
      </c>
      <c r="BH4" s="64" t="s">
        <v>155</v>
      </c>
      <c r="BI4" s="64" t="s">
        <v>159</v>
      </c>
      <c r="BJ4" s="64" t="s">
        <v>151</v>
      </c>
      <c r="BK4" s="47"/>
      <c r="BL4" s="64" t="s">
        <v>153</v>
      </c>
      <c r="BM4" s="64" t="s">
        <v>159</v>
      </c>
      <c r="BN4" s="64" t="s">
        <v>152</v>
      </c>
      <c r="BO4" s="64" t="s">
        <v>155</v>
      </c>
      <c r="BP4" s="64" t="s">
        <v>151</v>
      </c>
      <c r="BQ4" s="64"/>
      <c r="BR4" s="64"/>
      <c r="BS4" s="64"/>
      <c r="BT4" s="64"/>
      <c r="BU4" s="65"/>
      <c r="BV4" s="66"/>
      <c r="BW4" s="66">
        <v>0</v>
      </c>
      <c r="BX4" s="47"/>
      <c r="BY4" s="48" t="s">
        <v>172</v>
      </c>
      <c r="CB4" s="6"/>
      <c r="CC4" s="6"/>
      <c r="CD4" s="67">
        <v>0</v>
      </c>
      <c r="CE4" s="67">
        <v>0</v>
      </c>
      <c r="CF4" s="67" t="e">
        <v>#REF!</v>
      </c>
      <c r="CG4" s="68" cm="1">
        <f t="array" ref="CG4">SUMPRODUCT(--(LEN(TRIM(BL4:BT4))&gt;0))</f>
        <v>5</v>
      </c>
      <c r="CH4" s="59" t="str">
        <f t="shared" si="6"/>
        <v>n</v>
      </c>
      <c r="CI4" s="59" t="str">
        <f t="shared" si="7"/>
        <v>n</v>
      </c>
      <c r="CJ4" s="59" t="str">
        <f t="shared" si="8"/>
        <v>n</v>
      </c>
      <c r="CK4" s="59" t="str">
        <f t="shared" si="9"/>
        <v>y</v>
      </c>
      <c r="CL4" s="59" t="str">
        <f t="shared" si="10"/>
        <v>y</v>
      </c>
      <c r="CM4" s="59" t="str">
        <f t="shared" si="11"/>
        <v>n</v>
      </c>
      <c r="CN4" s="59" t="str">
        <f t="shared" si="12"/>
        <v>n</v>
      </c>
      <c r="CO4" s="59" t="str">
        <f t="shared" si="13"/>
        <v>n</v>
      </c>
      <c r="CP4" s="59" t="str">
        <f t="shared" si="14"/>
        <v>n</v>
      </c>
      <c r="CQ4" s="59" t="str">
        <f t="shared" si="15"/>
        <v>n</v>
      </c>
      <c r="CR4" s="59" t="str">
        <f t="shared" si="16"/>
        <v>y</v>
      </c>
      <c r="CS4" s="59" t="str">
        <f t="shared" si="17"/>
        <v>n</v>
      </c>
      <c r="CT4" s="69" t="str">
        <f t="shared" si="18"/>
        <v>"[PER] Lima"</v>
      </c>
      <c r="CU4" s="70" t="str">
        <f t="shared" si="19"/>
        <v>"rgn_South America"</v>
      </c>
      <c r="CV4" s="48" t="str">
        <f t="shared" si="20"/>
        <v>"https://upload.wikimedia.org/wikipedia/commons/thumb/c/c2/Flag_of_Lima.svg/255px-Flag_of_Lima.svg.png"</v>
      </c>
      <c r="CW4" s="48" t="str">
        <f t="shared" si="0"/>
        <v/>
      </c>
      <c r="CX4" s="48" t="str">
        <f t="shared" si="0"/>
        <v/>
      </c>
      <c r="CY4" s="48" t="str">
        <f t="shared" si="0"/>
        <v/>
      </c>
      <c r="CZ4" s="48" t="str">
        <f t="shared" si="0"/>
        <v>"5+Colo",</v>
      </c>
      <c r="DA4" s="48" t="str">
        <f t="shared" si="21"/>
        <v/>
      </c>
      <c r="DB4" s="48" t="str">
        <f t="shared" si="22"/>
        <v/>
      </c>
      <c r="DC4" s="48" t="str">
        <f t="shared" si="23"/>
        <v/>
      </c>
      <c r="DD4" s="48" t="str">
        <f t="shared" si="24"/>
        <v>"lets04",</v>
      </c>
      <c r="DE4" s="48" t="str">
        <f t="shared" si="25"/>
        <v>"startL",</v>
      </c>
      <c r="DF4" s="48" t="str">
        <f t="shared" si="26"/>
        <v/>
      </c>
      <c r="DG4" s="48" t="str">
        <f t="shared" si="27"/>
        <v/>
      </c>
      <c r="DH4" s="48" t="str">
        <f t="shared" si="28"/>
        <v/>
      </c>
      <c r="DI4" s="48" t="str">
        <f t="shared" si="29"/>
        <v/>
      </c>
      <c r="DJ4" s="48" t="str">
        <f t="shared" si="30"/>
        <v/>
      </c>
      <c r="DK4" s="48" t="str">
        <f t="shared" si="31"/>
        <v/>
      </c>
      <c r="DL4" s="48" t="str">
        <f t="shared" si="32"/>
        <v/>
      </c>
      <c r="DM4" s="48" t="str" cm="1">
        <f t="array" ref="DM4">IF(CG4=3,CHAR(34) &amp; _xlfn.TEXTJOIN("", TRUE, RIGHT(HP4:HX4, 2)) &amp; CHAR(34) &amp; ",", "")</f>
        <v/>
      </c>
      <c r="DN4" s="48" t="str">
        <f t="shared" si="33"/>
        <v/>
      </c>
      <c r="DO4" s="48" t="str">
        <f t="shared" si="34"/>
        <v/>
      </c>
      <c r="DP4" s="6" t="str">
        <f t="shared" si="35"/>
        <v/>
      </c>
      <c r="DQ4" s="6" t="str">
        <f t="shared" si="36"/>
        <v/>
      </c>
      <c r="DR4" s="6" t="str">
        <f t="shared" si="37"/>
        <v/>
      </c>
      <c r="DS4" s="6" t="str">
        <f t="shared" si="38"/>
        <v/>
      </c>
      <c r="DT4" s="6" t="str">
        <f t="shared" si="39"/>
        <v/>
      </c>
      <c r="DU4" s="6" t="str">
        <f t="shared" si="40"/>
        <v/>
      </c>
      <c r="DV4" s="48" t="str">
        <f t="shared" si="41"/>
        <v/>
      </c>
      <c r="DW4" s="48" t="str">
        <f t="shared" si="1"/>
        <v>"NoBand",</v>
      </c>
      <c r="DX4" s="48" t="str">
        <f t="shared" si="1"/>
        <v/>
      </c>
      <c r="DY4" s="48" t="str">
        <f t="shared" si="1"/>
        <v/>
      </c>
      <c r="DZ4" s="48" t="str">
        <f t="shared" si="1"/>
        <v/>
      </c>
      <c r="EA4" s="48" t="str">
        <f t="shared" si="2"/>
        <v/>
      </c>
      <c r="EB4" s="48" t="str">
        <f t="shared" si="2"/>
        <v/>
      </c>
      <c r="EC4" s="48" t="str">
        <f t="shared" si="2"/>
        <v/>
      </c>
      <c r="ED4" s="48" t="str">
        <f t="shared" si="2"/>
        <v/>
      </c>
      <c r="EE4" s="48" t="str">
        <f t="shared" si="2"/>
        <v/>
      </c>
      <c r="EF4" s="48" t="str">
        <f t="shared" si="42"/>
        <v>"Animal",</v>
      </c>
      <c r="EG4" s="48" t="str">
        <f t="shared" si="3"/>
        <v>"Bird",</v>
      </c>
      <c r="EH4" s="48" t="str">
        <f t="shared" si="3"/>
        <v/>
      </c>
      <c r="EI4" s="48" t="str">
        <f t="shared" si="3"/>
        <v>"Texted",</v>
      </c>
      <c r="EJ4" s="48" t="str">
        <f t="shared" si="3"/>
        <v/>
      </c>
      <c r="EK4" s="48" t="str">
        <f t="shared" si="3"/>
        <v/>
      </c>
      <c r="EL4" s="48" t="str">
        <f t="shared" si="3"/>
        <v/>
      </c>
      <c r="EM4" s="48" t="str">
        <f t="shared" si="3"/>
        <v/>
      </c>
      <c r="EN4" s="48" t="str">
        <f t="shared" si="3"/>
        <v/>
      </c>
      <c r="EO4" s="48" t="str">
        <f t="shared" si="3"/>
        <v>"Center",</v>
      </c>
      <c r="EP4" s="48" t="str">
        <f t="shared" si="3"/>
        <v/>
      </c>
      <c r="EQ4" s="48" t="str">
        <f t="shared" si="3"/>
        <v/>
      </c>
      <c r="ER4" s="48" t="str">
        <f t="shared" si="3"/>
        <v/>
      </c>
      <c r="ES4" s="48" t="str">
        <f t="shared" si="3"/>
        <v/>
      </c>
      <c r="ET4" s="48" t="str">
        <f t="shared" si="3"/>
        <v/>
      </c>
      <c r="EU4" s="48" t="str">
        <f t="shared" si="3"/>
        <v/>
      </c>
      <c r="EV4" s="48" t="str">
        <f t="shared" si="3"/>
        <v/>
      </c>
      <c r="EW4" s="48" t="str">
        <f t="shared" si="3"/>
        <v/>
      </c>
      <c r="EX4" s="48" t="str">
        <f t="shared" si="3"/>
        <v>"Crowns",</v>
      </c>
      <c r="EY4" s="48" t="str">
        <f t="shared" si="3"/>
        <v/>
      </c>
      <c r="EZ4" s="48" t="str">
        <f t="shared" si="3"/>
        <v/>
      </c>
      <c r="FA4" s="48" t="str">
        <f t="shared" si="43"/>
        <v>"sta",</v>
      </c>
      <c r="FB4" s="48" t="str">
        <f t="shared" si="44"/>
        <v/>
      </c>
      <c r="FC4" s="48" t="str">
        <f t="shared" si="45"/>
        <v/>
      </c>
      <c r="FD4" s="48" t="str">
        <f t="shared" si="46"/>
        <v/>
      </c>
      <c r="FE4" s="48" t="str">
        <f t="shared" si="47"/>
        <v/>
      </c>
      <c r="FF4" s="48" t="str">
        <f t="shared" si="48"/>
        <v/>
      </c>
      <c r="FG4" s="48" t="str">
        <f t="shared" si="49"/>
        <v>"NO_RED",</v>
      </c>
      <c r="FH4" s="48" t="str">
        <f t="shared" si="50"/>
        <v/>
      </c>
      <c r="FI4" s="48" t="str">
        <f t="shared" si="51"/>
        <v/>
      </c>
      <c r="FJ4" s="48" t="str">
        <f t="shared" si="52"/>
        <v/>
      </c>
      <c r="FK4" s="48" t="str">
        <f t="shared" si="53"/>
        <v/>
      </c>
      <c r="FL4" s="48" t="str">
        <f t="shared" si="54"/>
        <v/>
      </c>
      <c r="FM4" s="48" t="str">
        <f t="shared" si="55"/>
        <v/>
      </c>
      <c r="FN4" s="48" t="str">
        <f t="shared" si="56"/>
        <v/>
      </c>
      <c r="FO4" s="48" t="str">
        <f t="shared" si="57"/>
        <v/>
      </c>
      <c r="FP4" s="48" t="str">
        <f t="shared" si="58"/>
        <v/>
      </c>
      <c r="FQ4" s="48" t="str">
        <f t="shared" si="59"/>
        <v>"001BLU",</v>
      </c>
      <c r="FR4" s="48" t="str">
        <f t="shared" si="60"/>
        <v>"002GRE",</v>
      </c>
      <c r="FS4" s="48" t="str">
        <f t="shared" si="61"/>
        <v>"003YEL",</v>
      </c>
      <c r="FT4" s="48" t="str">
        <f t="shared" si="62"/>
        <v>"myrGRE",</v>
      </c>
      <c r="FU4" s="48" t="str">
        <f t="shared" si="63"/>
        <v/>
      </c>
      <c r="FV4" s="48" t="str">
        <f t="shared" si="64"/>
        <v/>
      </c>
      <c r="FW4" s="48" t="str">
        <f t="shared" si="65"/>
        <v/>
      </c>
      <c r="FX4" s="48" t="str">
        <f t="shared" si="66"/>
        <v/>
      </c>
      <c r="FY4" s="48" t="str">
        <f t="shared" si="67"/>
        <v/>
      </c>
      <c r="FZ4" s="48" t="str">
        <f t="shared" si="68"/>
        <v/>
      </c>
      <c r="GA4" s="48" t="str">
        <f t="shared" si="69"/>
        <v/>
      </c>
      <c r="GB4" s="48" t="str">
        <f t="shared" si="70"/>
        <v/>
      </c>
      <c r="GC4" s="48" t="str">
        <f t="shared" si="71"/>
        <v/>
      </c>
      <c r="GD4" s="48" t="str">
        <f t="shared" si="72"/>
        <v/>
      </c>
      <c r="GE4" s="48" t="str">
        <f t="shared" si="73"/>
        <v/>
      </c>
      <c r="GF4" s="48" t="str">
        <f t="shared" si="74"/>
        <v/>
      </c>
      <c r="GG4" s="48" t="str">
        <f t="shared" si="75"/>
        <v/>
      </c>
      <c r="GH4" s="48" t="str">
        <f t="shared" si="76"/>
        <v/>
      </c>
      <c r="GI4" s="48" t="str">
        <f t="shared" si="77"/>
        <v/>
      </c>
      <c r="GJ4" s="48" t="str">
        <f t="shared" si="78"/>
        <v/>
      </c>
      <c r="GK4" s="48" t="str">
        <f t="shared" si="79"/>
        <v>"HasSta",</v>
      </c>
      <c r="GL4" s="48" t="str">
        <f t="shared" si="4"/>
        <v/>
      </c>
      <c r="GM4" s="48" t="str">
        <f t="shared" si="4"/>
        <v>"2Stars",</v>
      </c>
      <c r="GN4" s="48" t="str">
        <f t="shared" si="4"/>
        <v/>
      </c>
      <c r="GP4" s="48" t="str">
        <f t="shared" si="80"/>
        <v>"City"</v>
      </c>
      <c r="GS4" s="48" t="str">
        <f t="shared" si="81"/>
        <v>["5+Colo","lets04","startL","NoBand","Animal","Bird","Texted","Center","Crowns","sta","NO_RED","001BLU","002GRE","003YEL","myrGRE","HasSta","2Stars"]</v>
      </c>
      <c r="GT4" s="48" t="str">
        <f t="shared" si="5"/>
        <v>"cl_GRE",</v>
      </c>
      <c r="GU4" s="48" t="str">
        <f t="shared" si="5"/>
        <v>"cl_WHI",</v>
      </c>
      <c r="GV4" s="48" t="str">
        <f t="shared" si="5"/>
        <v>"cl_BLU",</v>
      </c>
      <c r="GW4" s="48" t="str">
        <f t="shared" si="5"/>
        <v>"cl_YEL",</v>
      </c>
      <c r="GX4" s="48" t="str">
        <f t="shared" si="5"/>
        <v>"cl_BLA",</v>
      </c>
      <c r="GY4" s="48" t="str">
        <f t="shared" si="5"/>
        <v/>
      </c>
      <c r="GZ4" s="48" t="str">
        <f t="shared" si="5"/>
        <v/>
      </c>
      <c r="HA4" s="48" t="str">
        <f t="shared" si="5"/>
        <v/>
      </c>
      <c r="HB4" s="48" t="str">
        <f t="shared" si="5"/>
        <v/>
      </c>
      <c r="HC4" s="48" t="str">
        <f t="shared" si="82"/>
        <v>["cl_GRE","cl_WHI","cl_BLU","cl_YEL","cl_BLA"]</v>
      </c>
      <c r="HE4" s="71"/>
      <c r="HF4" s="72" t="str">
        <f t="shared" si="83"/>
        <v>{couname:"[PER] Lima",year:"???",region:"rgn_South America",Colors:["cl_GRE","cl_WHI","cl_BLU","cl_YEL","cl_BLA"],Items:["5+Colo","lets04","startL","NoBand","Animal","Bird","Texted","Center","Crowns","sta","NO_RED","001BLU","002GRE","003YEL","myrGRE","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isnew:".", links: "https://en.wikipedia.org/wiki/Flag_of_Lima"},</v>
      </c>
      <c r="HG4" s="73" t="str">
        <f t="shared" si="84"/>
        <v>{couname:"[PER] Lima",year:"???",region:"rgn_South America",Colors:["cl_GRE","cl_WHI","cl_BLU","cl_YEL","cl_BLA"],Items:["5+Colo","lets04","startL","NoBand","Animal","Bird","Texted","Center","Crowns","sta","NO_RED","001BLU","002GRE","003YEL","myrGRE","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links: "https://en.wikipedia.org/wiki/Flag_of_Lima"},</v>
      </c>
      <c r="HH4" s="48" t="str">
        <f t="shared" si="85"/>
        <v>"\nIt consists of a gold background with the coat of arms in the center. The coat of arms consists of a blue shield with tree crowns and a star, surrounded by a red border with the motto Hoc signum vere regum est, loosely translated from Latin as Truly this is the sign of the king."</v>
      </c>
      <c r="HI4" s="48" t="str">
        <f t="shared" si="86"/>
        <v>"\nIt consists of a gold background with the coat of arms in the center. The coat of arms consists of a blue shield with tree crowns and a star, surrounded by a red border with the motto Hoc signum vere regum est, loosely translated from Latin as Truly this is the sign of the king."</v>
      </c>
      <c r="HJ4" s="48" t="str">
        <f t="shared" si="87"/>
        <v>"???"</v>
      </c>
      <c r="HL4" s="48" t="str">
        <f t="shared" si="88"/>
        <v>"https://en.wikipedia.org/wiki/Flag_of_Lima"</v>
      </c>
      <c r="HM4" s="72" t="str">
        <f t="shared" si="89"/>
        <v>{"couname":"[PER] Lima","year":"???","region":"rgn_South America","Colors":["cl_GRE","cl_WHI","cl_BLU","cl_YEL","cl_BLA"],"Items":["5+Colo","lets04","startL","NoBand","Animal","Bird","Texted","Center","Crowns","sta","NO_RED","001BLU","002GRE","003YEL","myrGRE","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"isnew": ".", "links": "https://en.wikipedia.org/wiki/Flag_of_Lima"},</v>
      </c>
      <c r="HN4" s="74" t="str">
        <f t="shared" si="90"/>
        <v>{"couname":"[PER] Lima","year":"???","region":"rgn_South America","Colors":["cl_GRE","cl_WHI","cl_BLU","cl_YEL","cl_BLA"],"Items":["5+Colo","lets04","startL","NoBand","Animal","Bird","Texted","Center","Crowns","sta","NO_RED","001BLU","002GRE","003YEL","myrGRE","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"isnew": ".", "links": "https://en.wikipedia.org/wiki/Flag_of_Lima"},</v>
      </c>
      <c r="HO4" s="75"/>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L4" s="48">
        <f t="shared" si="91"/>
        <v>0</v>
      </c>
      <c r="IM4" s="45">
        <f t="shared" si="92"/>
        <v>-5</v>
      </c>
      <c r="IN4" s="78" t="str">
        <f t="shared" si="93"/>
        <v>http://mkweb.bcgsc.ca/color-summarizer/?url=https://upload.wikimedia.org/wikipedia/commons/thumb/c/c2/Flag_of_Lima.svg/255px-Flag_of_Lima.svg.png&amp;precision=low&amp;num_clusters=5&amp;text=1</v>
      </c>
      <c r="IO4" s="48" t="str">
        <f t="shared" si="94"/>
        <v>"black"</v>
      </c>
      <c r="IP4" s="48" t="str">
        <f t="shared" si="95"/>
        <v>"blue"</v>
      </c>
      <c r="IQ4" s="48" t="str">
        <f t="shared" si="96"/>
        <v>"green"</v>
      </c>
      <c r="IR4" s="48" t="str">
        <f t="shared" si="97"/>
        <v/>
      </c>
      <c r="IS4" s="48" t="str">
        <f t="shared" si="98"/>
        <v>"yellow"</v>
      </c>
      <c r="IT4" s="48" t="str">
        <f t="shared" si="99"/>
        <v/>
      </c>
      <c r="IU4" s="48" t="str">
        <f t="shared" si="100"/>
        <v/>
      </c>
      <c r="IV4" s="48" t="str">
        <f t="shared" si="101"/>
        <v/>
      </c>
      <c r="IW4" s="48" t="str">
        <f t="shared" si="102"/>
        <v>"white"</v>
      </c>
      <c r="IX4" s="48" t="str">
        <f t="shared" si="103"/>
        <v>{"url":"http://mkweb.bcgsc.ca/color-summarizer/?url=https://upload.wikimedia.org/wikipedia/commons/thumb/c/c2/Flag_of_Lima.svg/255px-Flag_of_Lima.svg.png&amp;precision=low&amp;num_clusters=5&amp;text=1","name":"[PER] Lima"},</v>
      </c>
      <c r="IY4" s="48">
        <v>329</v>
      </c>
    </row>
  </sheetData>
  <conditionalFormatting sqref="H1 CW1:GS1 IA1:IB1">
    <cfRule type="cellIs" dxfId="3867" priority="143" operator="greaterThan">
      <formula>0</formula>
    </cfRule>
  </conditionalFormatting>
  <conditionalFormatting sqref="H1">
    <cfRule type="cellIs" dxfId="3866" priority="109" stopIfTrue="1" operator="notEqual">
      <formula>""</formula>
    </cfRule>
  </conditionalFormatting>
  <conditionalFormatting sqref="T1:BK1">
    <cfRule type="cellIs" dxfId="3865" priority="146" operator="greaterThan">
      <formula>0</formula>
    </cfRule>
  </conditionalFormatting>
  <conditionalFormatting sqref="BV1:BW1">
    <cfRule type="cellIs" dxfId="3864" priority="145" operator="equal">
      <formula>"nc"</formula>
    </cfRule>
  </conditionalFormatting>
  <conditionalFormatting sqref="HF1:HG1">
    <cfRule type="cellIs" dxfId="3863" priority="147" operator="greaterThan">
      <formula>0</formula>
    </cfRule>
  </conditionalFormatting>
  <conditionalFormatting sqref="HK1">
    <cfRule type="cellIs" dxfId="3862" priority="144" operator="greaterThan">
      <formula>0</formula>
    </cfRule>
  </conditionalFormatting>
  <conditionalFormatting sqref="HP1:HX1">
    <cfRule type="cellIs" dxfId="3861" priority="121" operator="equal">
      <formula>"PIN"</formula>
    </cfRule>
    <cfRule type="cellIs" dxfId="3860" priority="122" operator="equal">
      <formula>"ORA"</formula>
    </cfRule>
    <cfRule type="cellIs" dxfId="3859" priority="123" operator="equal">
      <formula>"GRA"</formula>
    </cfRule>
    <cfRule type="cellIs" dxfId="3858" priority="124" operator="equal">
      <formula>"PUR"</formula>
    </cfRule>
    <cfRule type="cellIs" dxfId="3857" priority="125" operator="equal">
      <formula>"BRO"</formula>
    </cfRule>
    <cfRule type="cellIs" dxfId="3856" priority="126" operator="equal">
      <formula>"YEL"</formula>
    </cfRule>
    <cfRule type="cellIs" dxfId="3855" priority="127" operator="equal">
      <formula>"BLU"</formula>
    </cfRule>
    <cfRule type="cellIs" dxfId="3854" priority="128" operator="equal">
      <formula>"WHI"</formula>
    </cfRule>
    <cfRule type="cellIs" dxfId="3853" priority="129" operator="equal">
      <formula>"GRE"</formula>
    </cfRule>
    <cfRule type="cellIs" dxfId="3852" priority="130" operator="equal">
      <formula>"RED"</formula>
    </cfRule>
    <cfRule type="cellIs" dxfId="3851" priority="131" operator="equal">
      <formula>"BLA"</formula>
    </cfRule>
  </conditionalFormatting>
  <conditionalFormatting sqref="IC1:IK1">
    <cfRule type="cellIs" dxfId="3850" priority="132" operator="equal">
      <formula>"PIN"</formula>
    </cfRule>
    <cfRule type="cellIs" dxfId="3849" priority="133" operator="equal">
      <formula>"ORA"</formula>
    </cfRule>
    <cfRule type="cellIs" dxfId="3848" priority="134" operator="equal">
      <formula>"GRA"</formula>
    </cfRule>
    <cfRule type="cellIs" dxfId="3847" priority="135" operator="equal">
      <formula>"PUR"</formula>
    </cfRule>
    <cfRule type="cellIs" dxfId="3846" priority="136" operator="equal">
      <formula>"BRO"</formula>
    </cfRule>
    <cfRule type="cellIs" dxfId="3845" priority="137" operator="equal">
      <formula>"YEL"</formula>
    </cfRule>
    <cfRule type="cellIs" dxfId="3844" priority="138" operator="equal">
      <formula>"BLU"</formula>
    </cfRule>
    <cfRule type="cellIs" dxfId="3843" priority="139" operator="equal">
      <formula>"WHI"</formula>
    </cfRule>
    <cfRule type="cellIs" dxfId="3842" priority="140" operator="equal">
      <formula>"GRE"</formula>
    </cfRule>
    <cfRule type="cellIs" dxfId="3841" priority="141" operator="equal">
      <formula>"RED"</formula>
    </cfRule>
    <cfRule type="cellIs" dxfId="3840" priority="142" operator="equal">
      <formula>"BLA"</formula>
    </cfRule>
  </conditionalFormatting>
  <conditionalFormatting sqref="IO1:IW1">
    <cfRule type="cellIs" dxfId="3839" priority="110" operator="equal">
      <formula>"PIN"</formula>
    </cfRule>
    <cfRule type="cellIs" dxfId="3838" priority="111" operator="equal">
      <formula>"ORA"</formula>
    </cfRule>
    <cfRule type="cellIs" dxfId="3837" priority="112" operator="equal">
      <formula>"GRA"</formula>
    </cfRule>
    <cfRule type="cellIs" dxfId="3836" priority="113" operator="equal">
      <formula>"PUR"</formula>
    </cfRule>
    <cfRule type="cellIs" dxfId="3835" priority="114" operator="equal">
      <formula>"BRO"</formula>
    </cfRule>
    <cfRule type="cellIs" dxfId="3834" priority="115" operator="equal">
      <formula>"YEL"</formula>
    </cfRule>
    <cfRule type="cellIs" dxfId="3833" priority="116" operator="equal">
      <formula>"BLU"</formula>
    </cfRule>
    <cfRule type="cellIs" dxfId="3832" priority="117" operator="equal">
      <formula>"WHI"</formula>
    </cfRule>
    <cfRule type="cellIs" dxfId="3831" priority="118" operator="equal">
      <formula>"GRE"</formula>
    </cfRule>
    <cfRule type="cellIs" dxfId="3830" priority="119" operator="equal">
      <formula>"RED"</formula>
    </cfRule>
    <cfRule type="cellIs" dxfId="3829" priority="120" operator="equal">
      <formula>"BLA"</formula>
    </cfRule>
  </conditionalFormatting>
  <conditionalFormatting sqref="H2">
    <cfRule type="cellIs" dxfId="3828" priority="78" stopIfTrue="1" operator="notEqual">
      <formula>""</formula>
    </cfRule>
  </conditionalFormatting>
  <conditionalFormatting sqref="R2 CU2">
    <cfRule type="cellIs" dxfId="3827" priority="80" operator="greaterThan">
      <formula>0</formula>
    </cfRule>
  </conditionalFormatting>
  <conditionalFormatting sqref="T2:AS2 CH2:CS2">
    <cfRule type="cellIs" dxfId="3826" priority="75" stopIfTrue="1" operator="equal">
      <formula>"n"</formula>
    </cfRule>
    <cfRule type="cellIs" dxfId="3825" priority="76" stopIfTrue="1" operator="equal">
      <formula>"y"</formula>
    </cfRule>
    <cfRule type="cellIs" dxfId="3824" priority="77" operator="greaterThan">
      <formula>0</formula>
    </cfRule>
  </conditionalFormatting>
  <conditionalFormatting sqref="AZ2:BB2">
    <cfRule type="expression" dxfId="3823" priority="74">
      <formula>$AT2=0</formula>
    </cfRule>
  </conditionalFormatting>
  <conditionalFormatting sqref="AZ2:BU2">
    <cfRule type="cellIs" dxfId="3822" priority="83" operator="equal">
      <formula>"PIN"</formula>
    </cfRule>
    <cfRule type="cellIs" dxfId="3821" priority="84" operator="equal">
      <formula>"ORA"</formula>
    </cfRule>
    <cfRule type="cellIs" dxfId="3820" priority="85" operator="equal">
      <formula>"GRA"</formula>
    </cfRule>
    <cfRule type="cellIs" dxfId="3819" priority="86" operator="equal">
      <formula>"PUR"</formula>
    </cfRule>
    <cfRule type="cellIs" dxfId="3818" priority="87" operator="equal">
      <formula>"BRO"</formula>
    </cfRule>
    <cfRule type="cellIs" dxfId="3817" priority="88" operator="equal">
      <formula>"YEL"</formula>
    </cfRule>
    <cfRule type="cellIs" dxfId="3816" priority="89" operator="equal">
      <formula>"BLU"</formula>
    </cfRule>
    <cfRule type="cellIs" dxfId="3815" priority="90" operator="equal">
      <formula>"WHI"</formula>
    </cfRule>
    <cfRule type="cellIs" dxfId="3814" priority="91" operator="equal">
      <formula>"GRE"</formula>
    </cfRule>
    <cfRule type="cellIs" dxfId="3813" priority="92" operator="equal">
      <formula>"RED"</formula>
    </cfRule>
    <cfRule type="cellIs" dxfId="3812" priority="93" operator="equal">
      <formula>"BLA"</formula>
    </cfRule>
  </conditionalFormatting>
  <conditionalFormatting sqref="BV2">
    <cfRule type="cellIs" dxfId="3811" priority="105" operator="equal">
      <formula>"nc"</formula>
    </cfRule>
  </conditionalFormatting>
  <conditionalFormatting sqref="BX2:CA2 CD2:CF2">
    <cfRule type="cellIs" dxfId="3810" priority="79" operator="equal">
      <formula>"y"</formula>
    </cfRule>
    <cfRule type="cellIs" dxfId="3809" priority="94" operator="equal">
      <formula>"PIN"</formula>
    </cfRule>
    <cfRule type="cellIs" dxfId="3808" priority="95" operator="equal">
      <formula>"ORA"</formula>
    </cfRule>
    <cfRule type="cellIs" dxfId="3807" priority="96" operator="equal">
      <formula>"GRA"</formula>
    </cfRule>
    <cfRule type="cellIs" dxfId="3806" priority="97" operator="equal">
      <formula>"PUR"</formula>
    </cfRule>
    <cfRule type="cellIs" dxfId="3805" priority="98" operator="equal">
      <formula>"BRO"</formula>
    </cfRule>
    <cfRule type="cellIs" dxfId="3804" priority="99" operator="equal">
      <formula>"YEL"</formula>
    </cfRule>
    <cfRule type="cellIs" dxfId="3803" priority="100" operator="equal">
      <formula>"BLU"</formula>
    </cfRule>
    <cfRule type="cellIs" dxfId="3802" priority="101" operator="equal">
      <formula>"WHI"</formula>
    </cfRule>
    <cfRule type="cellIs" dxfId="3801" priority="102" operator="equal">
      <formula>"GRE"</formula>
    </cfRule>
    <cfRule type="cellIs" dxfId="3800" priority="103" operator="equal">
      <formula>"RED"</formula>
    </cfRule>
    <cfRule type="cellIs" dxfId="3799" priority="104" operator="equal">
      <formula>"BLA"</formula>
    </cfRule>
  </conditionalFormatting>
  <conditionalFormatting sqref="BZ2:CA2 CD2:CF2">
    <cfRule type="cellIs" dxfId="3798" priority="81" operator="greaterThan">
      <formula>0</formula>
    </cfRule>
  </conditionalFormatting>
  <conditionalFormatting sqref="IC2:IK2">
    <cfRule type="expression" dxfId="3797" priority="82">
      <formula>$IL2&gt;0</formula>
    </cfRule>
  </conditionalFormatting>
  <conditionalFormatting sqref="S2">
    <cfRule type="colorScale" priority="106">
      <colorScale>
        <cfvo type="min"/>
        <cfvo type="max"/>
        <color rgb="FFFCFCFF"/>
        <color rgb="FF754BFB"/>
      </colorScale>
    </cfRule>
  </conditionalFormatting>
  <conditionalFormatting sqref="AT2">
    <cfRule type="colorScale" priority="107">
      <colorScale>
        <cfvo type="min"/>
        <cfvo type="max"/>
        <color rgb="FFFCFCFF"/>
        <color theme="8" tint="0.39997558519241921"/>
      </colorScale>
    </cfRule>
  </conditionalFormatting>
  <conditionalFormatting sqref="CG2">
    <cfRule type="colorScale" priority="108">
      <colorScale>
        <cfvo type="min"/>
        <cfvo type="max"/>
        <color rgb="FFFCFCFF"/>
        <color rgb="FF63BE7B"/>
      </colorScale>
    </cfRule>
  </conditionalFormatting>
  <conditionalFormatting sqref="J2">
    <cfRule type="colorScale" priority="73">
      <colorScale>
        <cfvo type="min"/>
        <cfvo type="percentile" val="50"/>
        <cfvo type="max"/>
        <color rgb="FFF8696B"/>
        <color rgb="FFFFEB84"/>
        <color rgb="FF63BE7B"/>
      </colorScale>
    </cfRule>
  </conditionalFormatting>
  <conditionalFormatting sqref="H3">
    <cfRule type="cellIs" dxfId="1471" priority="41" stopIfTrue="1" operator="notEqual">
      <formula>""</formula>
    </cfRule>
  </conditionalFormatting>
  <conditionalFormatting sqref="R3 CU3">
    <cfRule type="cellIs" dxfId="1470" priority="43" operator="greaterThan">
      <formula>0</formula>
    </cfRule>
  </conditionalFormatting>
  <conditionalFormatting sqref="T3:AS3 CH3:CS3">
    <cfRule type="cellIs" dxfId="1469" priority="38" stopIfTrue="1" operator="equal">
      <formula>"n"</formula>
    </cfRule>
    <cfRule type="cellIs" dxfId="1468" priority="39" stopIfTrue="1" operator="equal">
      <formula>"y"</formula>
    </cfRule>
    <cfRule type="cellIs" dxfId="1467" priority="40" operator="greaterThan">
      <formula>0</formula>
    </cfRule>
  </conditionalFormatting>
  <conditionalFormatting sqref="AZ3:BB3">
    <cfRule type="expression" dxfId="1466" priority="37">
      <formula>$AT3=0</formula>
    </cfRule>
  </conditionalFormatting>
  <conditionalFormatting sqref="AZ3:BU3">
    <cfRule type="cellIs" dxfId="1465" priority="46" operator="equal">
      <formula>"PIN"</formula>
    </cfRule>
    <cfRule type="cellIs" dxfId="1464" priority="47" operator="equal">
      <formula>"ORA"</formula>
    </cfRule>
    <cfRule type="cellIs" dxfId="1463" priority="48" operator="equal">
      <formula>"GRA"</formula>
    </cfRule>
    <cfRule type="cellIs" dxfId="1462" priority="49" operator="equal">
      <formula>"PUR"</formula>
    </cfRule>
    <cfRule type="cellIs" dxfId="1461" priority="50" operator="equal">
      <formula>"BRO"</formula>
    </cfRule>
    <cfRule type="cellIs" dxfId="1460" priority="51" operator="equal">
      <formula>"YEL"</formula>
    </cfRule>
    <cfRule type="cellIs" dxfId="1459" priority="52" operator="equal">
      <formula>"BLU"</formula>
    </cfRule>
    <cfRule type="cellIs" dxfId="1458" priority="53" operator="equal">
      <formula>"WHI"</formula>
    </cfRule>
    <cfRule type="cellIs" dxfId="1457" priority="54" operator="equal">
      <formula>"GRE"</formula>
    </cfRule>
    <cfRule type="cellIs" dxfId="1456" priority="55" operator="equal">
      <formula>"RED"</formula>
    </cfRule>
    <cfRule type="cellIs" dxfId="1455" priority="56" operator="equal">
      <formula>"BLA"</formula>
    </cfRule>
  </conditionalFormatting>
  <conditionalFormatting sqref="BV3">
    <cfRule type="cellIs" dxfId="1454" priority="68" operator="equal">
      <formula>"nc"</formula>
    </cfRule>
  </conditionalFormatting>
  <conditionalFormatting sqref="BX3:CA3 CD3:CF3">
    <cfRule type="cellIs" dxfId="1453" priority="42" operator="equal">
      <formula>"y"</formula>
    </cfRule>
    <cfRule type="cellIs" dxfId="1452" priority="57" operator="equal">
      <formula>"PIN"</formula>
    </cfRule>
    <cfRule type="cellIs" dxfId="1451" priority="58" operator="equal">
      <formula>"ORA"</formula>
    </cfRule>
    <cfRule type="cellIs" dxfId="1450" priority="59" operator="equal">
      <formula>"GRA"</formula>
    </cfRule>
    <cfRule type="cellIs" dxfId="1449" priority="60" operator="equal">
      <formula>"PUR"</formula>
    </cfRule>
    <cfRule type="cellIs" dxfId="1448" priority="61" operator="equal">
      <formula>"BRO"</formula>
    </cfRule>
    <cfRule type="cellIs" dxfId="1447" priority="62" operator="equal">
      <formula>"YEL"</formula>
    </cfRule>
    <cfRule type="cellIs" dxfId="1446" priority="63" operator="equal">
      <formula>"BLU"</formula>
    </cfRule>
    <cfRule type="cellIs" dxfId="1445" priority="64" operator="equal">
      <formula>"WHI"</formula>
    </cfRule>
    <cfRule type="cellIs" dxfId="1444" priority="65" operator="equal">
      <formula>"GRE"</formula>
    </cfRule>
    <cfRule type="cellIs" dxfId="1443" priority="66" operator="equal">
      <formula>"RED"</formula>
    </cfRule>
    <cfRule type="cellIs" dxfId="1442" priority="67" operator="equal">
      <formula>"BLA"</formula>
    </cfRule>
  </conditionalFormatting>
  <conditionalFormatting sqref="BZ3:CA3 CD3:CF3">
    <cfRule type="cellIs" dxfId="1441" priority="44" operator="greaterThan">
      <formula>0</formula>
    </cfRule>
  </conditionalFormatting>
  <conditionalFormatting sqref="IC3:IK3">
    <cfRule type="expression" dxfId="1440" priority="45">
      <formula>$IL3&gt;0</formula>
    </cfRule>
  </conditionalFormatting>
  <conditionalFormatting sqref="J3">
    <cfRule type="colorScale" priority="69">
      <colorScale>
        <cfvo type="min"/>
        <cfvo type="percentile" val="50"/>
        <cfvo type="max"/>
        <color rgb="FFF8696B"/>
        <color rgb="FFFFEB84"/>
        <color rgb="FF63BE7B"/>
      </colorScale>
    </cfRule>
  </conditionalFormatting>
  <conditionalFormatting sqref="S3">
    <cfRule type="colorScale" priority="70">
      <colorScale>
        <cfvo type="min"/>
        <cfvo type="max"/>
        <color rgb="FFFCFCFF"/>
        <color rgb="FF754BFB"/>
      </colorScale>
    </cfRule>
  </conditionalFormatting>
  <conditionalFormatting sqref="AT3">
    <cfRule type="colorScale" priority="71">
      <colorScale>
        <cfvo type="min"/>
        <cfvo type="max"/>
        <color rgb="FFFCFCFF"/>
        <color theme="8" tint="0.39997558519241921"/>
      </colorScale>
    </cfRule>
  </conditionalFormatting>
  <conditionalFormatting sqref="CG3">
    <cfRule type="colorScale" priority="72">
      <colorScale>
        <cfvo type="min"/>
        <cfvo type="max"/>
        <color rgb="FFFCFCFF"/>
        <color rgb="FF63BE7B"/>
      </colorScale>
    </cfRule>
  </conditionalFormatting>
  <conditionalFormatting sqref="H4">
    <cfRule type="cellIs" dxfId="1439" priority="5" stopIfTrue="1" operator="notEqual">
      <formula>""</formula>
    </cfRule>
  </conditionalFormatting>
  <conditionalFormatting sqref="R4 CU4">
    <cfRule type="cellIs" dxfId="1438" priority="7" operator="greaterThan">
      <formula>0</formula>
    </cfRule>
  </conditionalFormatting>
  <conditionalFormatting sqref="T4:AS4 CH4:CS4">
    <cfRule type="cellIs" dxfId="1437" priority="2" stopIfTrue="1" operator="equal">
      <formula>"n"</formula>
    </cfRule>
    <cfRule type="cellIs" dxfId="1436" priority="3" stopIfTrue="1" operator="equal">
      <formula>"y"</formula>
    </cfRule>
    <cfRule type="cellIs" dxfId="1435" priority="4" operator="greaterThan">
      <formula>0</formula>
    </cfRule>
  </conditionalFormatting>
  <conditionalFormatting sqref="AZ4:BB4">
    <cfRule type="expression" dxfId="1434" priority="1">
      <formula>$AT4=0</formula>
    </cfRule>
  </conditionalFormatting>
  <conditionalFormatting sqref="AZ4:BU4">
    <cfRule type="cellIs" dxfId="1433" priority="10" operator="equal">
      <formula>"PIN"</formula>
    </cfRule>
    <cfRule type="cellIs" dxfId="1432" priority="11" operator="equal">
      <formula>"ORA"</formula>
    </cfRule>
    <cfRule type="cellIs" dxfId="1431" priority="12" operator="equal">
      <formula>"GRA"</formula>
    </cfRule>
    <cfRule type="cellIs" dxfId="1430" priority="13" operator="equal">
      <formula>"PUR"</formula>
    </cfRule>
    <cfRule type="cellIs" dxfId="1429" priority="14" operator="equal">
      <formula>"BRO"</formula>
    </cfRule>
    <cfRule type="cellIs" dxfId="1428" priority="15" operator="equal">
      <formula>"YEL"</formula>
    </cfRule>
    <cfRule type="cellIs" dxfId="1427" priority="16" operator="equal">
      <formula>"BLU"</formula>
    </cfRule>
    <cfRule type="cellIs" dxfId="1426" priority="17" operator="equal">
      <formula>"WHI"</formula>
    </cfRule>
    <cfRule type="cellIs" dxfId="1425" priority="18" operator="equal">
      <formula>"GRE"</formula>
    </cfRule>
    <cfRule type="cellIs" dxfId="1424" priority="19" operator="equal">
      <formula>"RED"</formula>
    </cfRule>
    <cfRule type="cellIs" dxfId="1423" priority="20" operator="equal">
      <formula>"BLA"</formula>
    </cfRule>
  </conditionalFormatting>
  <conditionalFormatting sqref="BV4">
    <cfRule type="cellIs" dxfId="1422" priority="32" operator="equal">
      <formula>"nc"</formula>
    </cfRule>
  </conditionalFormatting>
  <conditionalFormatting sqref="BX4:CA4 CD4:CF4">
    <cfRule type="cellIs" dxfId="1421" priority="6" operator="equal">
      <formula>"y"</formula>
    </cfRule>
    <cfRule type="cellIs" dxfId="1420" priority="21" operator="equal">
      <formula>"PIN"</formula>
    </cfRule>
    <cfRule type="cellIs" dxfId="1419" priority="22" operator="equal">
      <formula>"ORA"</formula>
    </cfRule>
    <cfRule type="cellIs" dxfId="1418" priority="23" operator="equal">
      <formula>"GRA"</formula>
    </cfRule>
    <cfRule type="cellIs" dxfId="1417" priority="24" operator="equal">
      <formula>"PUR"</formula>
    </cfRule>
    <cfRule type="cellIs" dxfId="1416" priority="25" operator="equal">
      <formula>"BRO"</formula>
    </cfRule>
    <cfRule type="cellIs" dxfId="1415" priority="26" operator="equal">
      <formula>"YEL"</formula>
    </cfRule>
    <cfRule type="cellIs" dxfId="1414" priority="27" operator="equal">
      <formula>"BLU"</formula>
    </cfRule>
    <cfRule type="cellIs" dxfId="1413" priority="28" operator="equal">
      <formula>"WHI"</formula>
    </cfRule>
    <cfRule type="cellIs" dxfId="1412" priority="29" operator="equal">
      <formula>"GRE"</formula>
    </cfRule>
    <cfRule type="cellIs" dxfId="1411" priority="30" operator="equal">
      <formula>"RED"</formula>
    </cfRule>
    <cfRule type="cellIs" dxfId="1410" priority="31" operator="equal">
      <formula>"BLA"</formula>
    </cfRule>
  </conditionalFormatting>
  <conditionalFormatting sqref="BZ4:CA4 CD4:CF4">
    <cfRule type="cellIs" dxfId="1409" priority="8" operator="greaterThan">
      <formula>0</formula>
    </cfRule>
  </conditionalFormatting>
  <conditionalFormatting sqref="IC4:IK4">
    <cfRule type="expression" dxfId="1408" priority="9">
      <formula>$IL4&gt;0</formula>
    </cfRule>
  </conditionalFormatting>
  <conditionalFormatting sqref="J4">
    <cfRule type="colorScale" priority="33">
      <colorScale>
        <cfvo type="min"/>
        <cfvo type="percentile" val="50"/>
        <cfvo type="max"/>
        <color rgb="FFF8696B"/>
        <color rgb="FFFFEB84"/>
        <color rgb="FF63BE7B"/>
      </colorScale>
    </cfRule>
  </conditionalFormatting>
  <conditionalFormatting sqref="S4">
    <cfRule type="colorScale" priority="34">
      <colorScale>
        <cfvo type="min"/>
        <cfvo type="max"/>
        <color rgb="FFFCFCFF"/>
        <color rgb="FF754BFB"/>
      </colorScale>
    </cfRule>
  </conditionalFormatting>
  <conditionalFormatting sqref="AT4">
    <cfRule type="colorScale" priority="35">
      <colorScale>
        <cfvo type="min"/>
        <cfvo type="max"/>
        <color rgb="FFFCFCFF"/>
        <color theme="8" tint="0.39997558519241921"/>
      </colorScale>
    </cfRule>
  </conditionalFormatting>
  <conditionalFormatting sqref="CG4">
    <cfRule type="colorScale" priority="36">
      <colorScale>
        <cfvo type="min"/>
        <cfvo type="max"/>
        <color rgb="FFFCFCFF"/>
        <color rgb="FF63BE7B"/>
      </colorScale>
    </cfRule>
  </conditionalFormatting>
  <hyperlinks>
    <hyperlink ref="A2" r:id="rId1" display="https://fbref.com/en/country/PER/Peru-Football" xr:uid="{8098D2F5-E977-440E-ADFD-4B482CA9E78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87513-6E69-4FF2-B389-5C34A7ACD4C1}">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247</v>
      </c>
      <c r="B2" s="40" t="e" vm="91">
        <v>#VALUE!</v>
      </c>
      <c r="C2" s="41">
        <v>1</v>
      </c>
      <c r="D2" s="42" t="s">
        <v>248</v>
      </c>
      <c r="E2" s="43" t="s">
        <v>249</v>
      </c>
      <c r="F2" s="44" t="s">
        <v>166</v>
      </c>
      <c r="G2" s="45">
        <f>COUNTIF($A$1:$A$8282,A2)</f>
        <v>1</v>
      </c>
      <c r="H2" s="46"/>
      <c r="I2" s="47" t="s">
        <v>250</v>
      </c>
      <c r="J2" s="48" t="str">
        <f>""</f>
        <v/>
      </c>
      <c r="K2" s="49">
        <v>623326</v>
      </c>
      <c r="L2" s="50">
        <v>279000</v>
      </c>
      <c r="M2" s="50" t="s">
        <v>251</v>
      </c>
      <c r="N2" s="51" t="s">
        <v>169</v>
      </c>
      <c r="O2" s="52" t="s">
        <v>252</v>
      </c>
      <c r="P2" s="53" t="s">
        <v>253</v>
      </c>
      <c r="Q2" s="54">
        <v>1</v>
      </c>
      <c r="R2" s="55" t="s">
        <v>169</v>
      </c>
      <c r="S2" s="56">
        <v>5</v>
      </c>
      <c r="T2" s="57" t="s">
        <v>172</v>
      </c>
      <c r="U2" s="58" t="s">
        <v>172</v>
      </c>
      <c r="V2" s="58" t="s">
        <v>173</v>
      </c>
      <c r="W2" s="58" t="s">
        <v>172</v>
      </c>
      <c r="X2" s="58" t="s">
        <v>172</v>
      </c>
      <c r="Y2" s="58" t="s">
        <v>172</v>
      </c>
      <c r="Z2" s="58" t="s">
        <v>172</v>
      </c>
      <c r="AA2" s="58" t="s">
        <v>172</v>
      </c>
      <c r="AB2" s="58" t="s">
        <v>172</v>
      </c>
      <c r="AC2" s="58" t="s">
        <v>172</v>
      </c>
      <c r="AD2" s="58" t="s">
        <v>172</v>
      </c>
      <c r="AE2" s="58" t="s">
        <v>172</v>
      </c>
      <c r="AF2" s="59" t="s">
        <v>172</v>
      </c>
      <c r="AG2" s="59" t="s">
        <v>173</v>
      </c>
      <c r="AH2" s="59" t="s">
        <v>173</v>
      </c>
      <c r="AI2" s="59" t="s">
        <v>172</v>
      </c>
      <c r="AJ2" s="59" t="s">
        <v>172</v>
      </c>
      <c r="AK2" s="59" t="s">
        <v>172</v>
      </c>
      <c r="AL2" s="59" t="s">
        <v>172</v>
      </c>
      <c r="AM2" s="59" t="s">
        <v>172</v>
      </c>
      <c r="AN2" s="59" t="s">
        <v>172</v>
      </c>
      <c r="AO2" s="59" t="s">
        <v>172</v>
      </c>
      <c r="AP2" s="59" t="s">
        <v>172</v>
      </c>
      <c r="AQ2" s="59" t="s">
        <v>172</v>
      </c>
      <c r="AR2" s="59" t="s">
        <v>172</v>
      </c>
      <c r="AS2" s="59" t="s">
        <v>172</v>
      </c>
      <c r="AT2" s="60">
        <v>1</v>
      </c>
      <c r="AU2" s="59"/>
      <c r="AV2" s="59" t="str">
        <f>IF(LEFT(A2,1)="[",LEFT(A2,5)&amp;AU2&amp;A2,"")</f>
        <v/>
      </c>
      <c r="AW2" s="59" t="str">
        <f>C2&amp;A2</f>
        <v>1Suriname</v>
      </c>
      <c r="AX2" s="61"/>
      <c r="AY2" s="61"/>
      <c r="AZ2" s="62" t="s">
        <v>174</v>
      </c>
      <c r="BA2" s="62" t="s">
        <v>174</v>
      </c>
      <c r="BB2" s="62"/>
      <c r="BC2" s="63"/>
      <c r="BD2" s="64" t="s">
        <v>154</v>
      </c>
      <c r="BE2" s="47"/>
      <c r="BF2" s="64" t="s">
        <v>159</v>
      </c>
      <c r="BG2" s="64" t="s">
        <v>174</v>
      </c>
      <c r="BH2" s="64" t="s">
        <v>154</v>
      </c>
      <c r="BI2" s="64"/>
      <c r="BJ2" s="64"/>
      <c r="BK2" s="47"/>
      <c r="BL2" s="64" t="s">
        <v>174</v>
      </c>
      <c r="BM2" s="64" t="s">
        <v>174</v>
      </c>
      <c r="BN2" s="64" t="s">
        <v>174</v>
      </c>
      <c r="BO2" s="64" t="s">
        <v>154</v>
      </c>
      <c r="BP2" s="64" t="s">
        <v>174</v>
      </c>
      <c r="BQ2" s="64" t="s">
        <v>174</v>
      </c>
      <c r="BR2" s="64" t="s">
        <v>174</v>
      </c>
      <c r="BS2" s="64" t="s">
        <v>174</v>
      </c>
      <c r="BT2" s="64" t="s">
        <v>159</v>
      </c>
      <c r="BU2" s="65" t="s">
        <v>172</v>
      </c>
      <c r="BV2" s="66"/>
      <c r="BW2" s="66">
        <v>0</v>
      </c>
      <c r="BX2" s="47"/>
      <c r="CB2" s="6"/>
      <c r="CC2" s="6"/>
      <c r="CD2" s="67">
        <v>0</v>
      </c>
      <c r="CE2" s="67">
        <v>0</v>
      </c>
      <c r="CF2" s="67" t="e">
        <v>#REF!</v>
      </c>
      <c r="CG2" s="68" cm="1">
        <f t="array" ref="CG2">SUMPRODUCT(--(LEN(TRIM(BL2:BT2))&gt;0))</f>
        <v>2</v>
      </c>
      <c r="CH2" s="59" t="str">
        <f>IF(CG2=2,"y","n")</f>
        <v>y</v>
      </c>
      <c r="CI2" s="59" t="str">
        <f>IF(CG2=3,"y","n")</f>
        <v>n</v>
      </c>
      <c r="CJ2" s="59" t="str">
        <f>IF(CG2=4,"y","n")</f>
        <v>n</v>
      </c>
      <c r="CK2" s="59" t="str">
        <f>IF(CG2&gt;4,"y","n")</f>
        <v>n</v>
      </c>
      <c r="CL2" s="59" t="str">
        <f>IF(S2=0,"y","n")</f>
        <v>n</v>
      </c>
      <c r="CM2" s="59" t="str">
        <f>IF(S2=2,"y","n")</f>
        <v>n</v>
      </c>
      <c r="CN2" s="59" t="str">
        <f>IF(S2=3,"y","n")</f>
        <v>n</v>
      </c>
      <c r="CO2" s="59" t="str">
        <f>IF(S2&gt;=4,"y","n")</f>
        <v>y</v>
      </c>
      <c r="CP2" s="59" t="str">
        <f>IF(AT2=0,"y","n")</f>
        <v>n</v>
      </c>
      <c r="CQ2" s="59" t="str">
        <f>IF(AT2=1,"y","n")</f>
        <v>y</v>
      </c>
      <c r="CR2" s="59" t="str">
        <f>IF(AT2=2,"y","n")</f>
        <v>n</v>
      </c>
      <c r="CS2" s="59" t="str">
        <f>IF(AT2&gt;=3,"y","n")</f>
        <v>n</v>
      </c>
      <c r="CT2" s="69" t="str">
        <f>CHAR(34)&amp;A2&amp;CHAR(34)</f>
        <v>"Suriname"</v>
      </c>
      <c r="CU2" s="70" t="str">
        <f>CHAR(34)&amp;"rgn_"&amp;R2&amp;CHAR(34)</f>
        <v>"rgn_South America"</v>
      </c>
      <c r="CV2" s="48" t="str">
        <f>CHAR(34)&amp;D2&amp;CHAR(34)</f>
        <v>"https://i.ibb.co/5Ks9qPr/Suriname-Flag.png"</v>
      </c>
      <c r="CW2" s="48" t="str">
        <f t="shared" ref="CW2:CZ3" si="0">IF(CH2="y",CHAR(34)&amp;CH$1&amp;CHAR(34)&amp;",","")</f>
        <v>"2Color",</v>
      </c>
      <c r="CX2" s="48" t="str">
        <f t="shared" si="0"/>
        <v/>
      </c>
      <c r="CY2" s="48" t="str">
        <f t="shared" si="0"/>
        <v/>
      </c>
      <c r="CZ2" s="48" t="str">
        <f t="shared" si="0"/>
        <v/>
      </c>
      <c r="DA2" s="48" t="str">
        <f>IF(Q2&gt;1,CHAR(34)&amp;"words2"&amp;CHAR(34)&amp;",","")</f>
        <v/>
      </c>
      <c r="DB2" s="48" t="str">
        <f>IF(Q2&gt;2,CHAR(34)&amp;"words3"&amp;CHAR(34)&amp;",","")</f>
        <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"lets08",</v>
      </c>
      <c r="DE2" s="48" t="str">
        <f>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"REDWHI",</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W2" s="48" t="str">
        <f t="shared" ref="DW2:DZ3" si="1">IF(CL2="y",CHAR(34)&amp;CL$1&amp;CHAR(34)&amp;",","")</f>
        <v/>
      </c>
      <c r="DX2" s="48" t="str">
        <f t="shared" si="1"/>
        <v/>
      </c>
      <c r="DY2" s="48" t="str">
        <f t="shared" si="1"/>
        <v/>
      </c>
      <c r="DZ2" s="48" t="str">
        <f t="shared" si="1"/>
        <v>"4+Band",</v>
      </c>
      <c r="EA2" s="48" t="str">
        <f t="shared" ref="EA2:EE3" si="2">IF(T2="y",CHAR(34)&amp;T$1&amp;CHAR(34)&amp;",","")</f>
        <v/>
      </c>
      <c r="EB2" s="48" t="str">
        <f t="shared" si="2"/>
        <v/>
      </c>
      <c r="EC2" s="48" t="str">
        <f t="shared" si="2"/>
        <v>"Horizo",</v>
      </c>
      <c r="ED2" s="48" t="str">
        <f t="shared" si="2"/>
        <v/>
      </c>
      <c r="EE2" s="48" t="str">
        <f t="shared" si="2"/>
        <v/>
      </c>
      <c r="EF2" s="48" t="str">
        <f>IF(AND(Y2&lt;&gt;"n",Y2&lt;&gt;""),CHAR(34)&amp;Y$1&amp;CHAR(34)&amp;",","")</f>
        <v/>
      </c>
      <c r="EG2" s="48" t="str">
        <f t="shared" ref="EG2:EZ3" si="3">IF(Z2="y",CHAR(34)&amp;Z$1&amp;CHAR(34)&amp;",","")</f>
        <v/>
      </c>
      <c r="EH2" s="48" t="str">
        <f t="shared" si="3"/>
        <v/>
      </c>
      <c r="EI2" s="48" t="str">
        <f t="shared" si="3"/>
        <v/>
      </c>
      <c r="EJ2" s="48" t="str">
        <f t="shared" si="3"/>
        <v/>
      </c>
      <c r="EK2" s="48" t="str">
        <f t="shared" si="3"/>
        <v/>
      </c>
      <c r="EL2" s="48" t="str">
        <f t="shared" si="3"/>
        <v/>
      </c>
      <c r="EM2" s="48" t="str">
        <f t="shared" si="3"/>
        <v/>
      </c>
      <c r="EN2" s="48" t="str">
        <f t="shared" si="3"/>
        <v>"Unequa",</v>
      </c>
      <c r="EO2" s="48" t="str">
        <f t="shared" si="3"/>
        <v>"Center",</v>
      </c>
      <c r="EP2" s="48" t="str">
        <f t="shared" si="3"/>
        <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"sta",</v>
      </c>
      <c r="FB2" s="48" t="str">
        <f>IF(AND(AT2&gt;0,BA2&lt;&gt;""),CHAR(34)&amp;"sta"&amp;BA2&amp;CHAR(34)&amp;",","")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"001WHI",</v>
      </c>
      <c r="FR2" s="48" t="str">
        <f>IF(LEN(BG2)=3,CHAR(34)&amp;"002"&amp;BG2&amp;CHAR(34)&amp;",","")</f>
        <v/>
      </c>
      <c r="FS2" s="48" t="str">
        <f>IF(LEN(BH2)=3,CHAR(34)&amp;"003"&amp;BH2&amp;CHAR(34)&amp;",","")</f>
        <v>"003RED",</v>
      </c>
      <c r="FT2" s="48" t="str">
        <f>CHAR(34)&amp;"myr"&amp;BD2&amp;CHAR(34)&amp;","</f>
        <v>"myrRED",</v>
      </c>
      <c r="FU2" s="48" t="str">
        <f>IF(AY2="y",CHAR(34)&amp;"island"&amp;CHAR(34)&amp;",","")</f>
        <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E2" s="48" t="str">
        <f>IFERROR(IF(SEARCH("Dutch",CB2)&gt;0,CHAR(34)&amp;"dutchs"&amp;CHAR(34)&amp;",",""),"")</f>
        <v/>
      </c>
      <c r="GF2" s="48" t="str">
        <f>IFERROR(IF(SEARCH("Historical",AU2)&gt;0,CHAR(34)&amp;"histor"&amp;CHAR(34)&amp;",",""),"")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 t="shared" ref="GL2:GN3" si="4">IF(CQ2="y",CHAR(34)&amp;CQ$1&amp;CHAR(34)&amp;",","")</f>
        <v>"1Stars",</v>
      </c>
      <c r="GM2" s="48" t="str">
        <f t="shared" si="4"/>
        <v/>
      </c>
      <c r="GN2" s="48" t="str">
        <f t="shared" si="4"/>
        <v/>
      </c>
      <c r="GP2" s="48" t="str">
        <f>CHAR(34)&amp;AU2&amp;CHAR(34)</f>
        <v>""</v>
      </c>
      <c r="GS2" s="48" t="str">
        <f>SUBSTITUTE("["&amp;_xlfn.CONCAT(CW2:GN2)&amp;"]",",]","]")</f>
        <v>["2Color","lets08","startS","REDWHI","year19","allhor","4+Band","Horizo","Unequa","Center","sta","NO_BLU","NO_GRE","NO_YEL","NO_BLA","001WHI","003RED","myrRED","HasSta","1Stars"]</v>
      </c>
      <c r="GT2" s="48" t="str">
        <f t="shared" ref="GT2:HB3" si="5">IF(BL2&lt;&gt;"",CHAR(34)&amp;"cl_"&amp;BL2&amp;CHAR(34)&amp;",","")</f>
        <v/>
      </c>
      <c r="GU2" s="48" t="str">
        <f t="shared" si="5"/>
        <v/>
      </c>
      <c r="GV2" s="48" t="str">
        <f t="shared" si="5"/>
        <v/>
      </c>
      <c r="GW2" s="48" t="str">
        <f t="shared" si="5"/>
        <v>"cl_RED",</v>
      </c>
      <c r="GX2" s="48" t="str">
        <f t="shared" si="5"/>
        <v/>
      </c>
      <c r="GY2" s="48" t="str">
        <f t="shared" si="5"/>
        <v/>
      </c>
      <c r="GZ2" s="48" t="str">
        <f t="shared" si="5"/>
        <v/>
      </c>
      <c r="HA2" s="48" t="str">
        <f t="shared" si="5"/>
        <v/>
      </c>
      <c r="HB2" s="48" t="str">
        <f t="shared" si="5"/>
        <v>"cl_WHI",</v>
      </c>
      <c r="HC2" s="48" t="str">
        <f>SUBSTITUTE("["&amp;_xlfn.CONCAT(GT2:HB2)&amp;"]",",]","]")</f>
        <v>["cl_RED","cl_WHI"]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{couname:"Suriname",year:"1975 ",region:"rgn_South America",Colors:["cl_RED","cl_WHI"],Items:["2Color","lets08","startS","REDWHI","year19","allhor","4+Band","Horizo","Unequa","Center","sta","NO_BLU","NO_GRE","NO_YEL","NO_BLA","001WHI","003RED","myrRED","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isnew:".", links: "https://en.wikipedia.org/wiki/Flag_of_Suriname"},</v>
      </c>
      <c r="HG2" s="73" t="str">
        <f>"{couname:"&amp;CT2&amp;(IF(HK2&lt;&gt;"",",subtype:"&amp;CHAR(34)&amp;HK2&amp;CHAR(34),""))&amp;",year:"&amp;HJ2&amp;",region:"&amp;CU2&amp;",Colors:"&amp;HC2&amp;",Items:"&amp;GS2&amp;",Flag:"&amp;CV2&amp;",HDFlag:"&amp;CHAR(34)&amp;E2&amp;CHAR(34)&amp;",type:"&amp;GP2&amp;", describe: "&amp;HI2&amp;", links: "&amp;HL2&amp;"},"</f>
        <v>{couname:"Suriname",year:"1975 ",region:"rgn_South America",Colors:["cl_RED","cl_WHI"],Items:["2Color","lets08","startS","REDWHI","year19","allhor","4+Band","Horizo","Unequa","Center","sta","NO_BLU","NO_GRE","NO_YEL","NO_BLA","001WHI","003RED","myrRED","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links: "https://en.wikipedia.org/wiki/Flag_of_Suriname"},</v>
      </c>
      <c r="HH2" s="48" t="str">
        <f>IF(P2&lt;&gt;"",CHAR(34)&amp;"\n"&amp;P2&amp;CHAR(34),CHAR(34)&amp;CHAR(34))</f>
        <v>"\nThe color red represents progress, white represents freedom and justice and the green represents the fertility of the land. The yellow star represents unity and a golden future."</v>
      </c>
      <c r="HI2" s="48" t="str">
        <f>IF(J2=0,CHAR(34)&amp;CHAR(34),HH2)</f>
        <v>"\nThe color red represents progress, white represents freedom and justice and the green represents the fertility of the land. The yellow star represents unity and a golden future."</v>
      </c>
      <c r="HJ2" s="48" t="str">
        <f>CHAR(34)&amp;O2&amp;CHAR(34)</f>
        <v>"1975 "</v>
      </c>
      <c r="HL2" s="48" t="str">
        <f>CHAR(34)&amp;I2&amp;CHAR(34)</f>
        <v>"https://en.wikipedia.org/wiki/Flag_of_Suriname"</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{"couname":"Suriname","year":"1975 ","region":"rgn_South America","Colors":["cl_RED","cl_WHI"],"Items":["2Color","lets08","startS","REDWHI","year19","allhor","4+Band","Horizo","Unequa","Center","sta","NO_BLU","NO_GRE","NO_YEL","NO_BLA","001WHI","003RED","myrRED","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"isnew": ".", "links": "https://en.wikipedia.org/wiki/Flag_of_Suriname"},</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{"couname":"Suriname","year":"1975 ","region":"rgn_South America","Colors":["cl_RED","cl_WHI"],"Items":["2Color","lets08","startS","REDWHI","year19","allhor","4+Band","Horizo","Unequa","Center","sta","NO_BLU","NO_GRE","NO_YEL","NO_BLA","001WHI","003RED","myrRED","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"isnew": ".", "links": "https://en.wikipedia.org/wiki/Flag_of_Suriname"},</v>
      </c>
      <c r="HO2" s="75">
        <v>45596</v>
      </c>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M2" s="45">
        <f>COUNTIF(IC2:IK2,"&gt;0")-CG2</f>
        <v>-2</v>
      </c>
      <c r="IN2" s="78" t="str">
        <f>"http://mkweb.bcgsc.ca/color-summarizer/?url="&amp;D2&amp;"&amp;precision=low&amp;num_clusters="&amp;CG2&amp;"&amp;text=1"</f>
        <v>http://mkweb.bcgsc.ca/color-summarizer/?url=https://i.ibb.co/5Ks9qPr/Suriname-Flag.png&amp;precision=low&amp;num_clusters=2&amp;text=1</v>
      </c>
      <c r="IO2" s="48" t="str">
        <f>IF(HP2&lt;&gt;"",CHAR(34)&amp;"black"&amp;CHAR(34),"")</f>
        <v/>
      </c>
      <c r="IP2" s="48" t="str">
        <f>IF(HQ2&lt;&gt;"",CHAR(34)&amp;"blue"&amp;CHAR(34),"")</f>
        <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{"url":"http://mkweb.bcgsc.ca/color-summarizer/?url=https://i.ibb.co/5Ks9qPr/Suriname-Flag.png&amp;precision=low&amp;num_clusters=2&amp;text=1","name":"Suriname"},</v>
      </c>
      <c r="IY2" s="48">
        <v>1290</v>
      </c>
    </row>
    <row r="3" spans="1:259" s="48" customFormat="1" ht="38.4" customHeight="1" thickBot="1" x14ac:dyDescent="0.35">
      <c r="A3" s="81" t="s">
        <v>872</v>
      </c>
      <c r="B3" s="40" t="e" vm="92">
        <v>#VALUE!</v>
      </c>
      <c r="C3" s="41">
        <v>3</v>
      </c>
      <c r="D3" s="42" t="s">
        <v>873</v>
      </c>
      <c r="E3" s="43" t="s">
        <v>874</v>
      </c>
      <c r="F3" s="44" t="s">
        <v>166</v>
      </c>
      <c r="G3" s="45">
        <f>COUNTIF($A$1:$A$8282,A3)</f>
        <v>1</v>
      </c>
      <c r="H3" s="46"/>
      <c r="I3" s="47" t="s">
        <v>875</v>
      </c>
      <c r="J3" s="48" t="str">
        <f>""</f>
        <v/>
      </c>
      <c r="K3" s="49"/>
      <c r="L3" s="50"/>
      <c r="M3" s="50"/>
      <c r="N3" s="51" t="s">
        <v>169</v>
      </c>
      <c r="O3" s="52" t="s">
        <v>876</v>
      </c>
      <c r="P3" s="53" t="s">
        <v>877</v>
      </c>
      <c r="Q3" s="54">
        <v>5</v>
      </c>
      <c r="R3" s="55" t="s">
        <v>169</v>
      </c>
      <c r="S3" s="56">
        <v>3</v>
      </c>
      <c r="T3" s="57" t="s">
        <v>172</v>
      </c>
      <c r="U3" s="58" t="s">
        <v>172</v>
      </c>
      <c r="V3" s="58" t="s">
        <v>173</v>
      </c>
      <c r="W3" s="58" t="s">
        <v>172</v>
      </c>
      <c r="X3" s="58" t="s">
        <v>172</v>
      </c>
      <c r="Y3" s="58" t="s">
        <v>172</v>
      </c>
      <c r="Z3" s="58" t="s">
        <v>172</v>
      </c>
      <c r="AA3" s="58" t="s">
        <v>172</v>
      </c>
      <c r="AB3" s="58" t="s">
        <v>172</v>
      </c>
      <c r="AC3" s="58" t="s">
        <v>172</v>
      </c>
      <c r="AD3" s="58" t="s">
        <v>172</v>
      </c>
      <c r="AE3" s="58" t="s">
        <v>172</v>
      </c>
      <c r="AF3" s="59" t="s">
        <v>172</v>
      </c>
      <c r="AG3" s="59" t="s">
        <v>172</v>
      </c>
      <c r="AH3" s="59" t="s">
        <v>173</v>
      </c>
      <c r="AI3" s="59" t="s">
        <v>172</v>
      </c>
      <c r="AJ3" s="59" t="s">
        <v>172</v>
      </c>
      <c r="AK3" s="59" t="s">
        <v>172</v>
      </c>
      <c r="AL3" s="59" t="s">
        <v>172</v>
      </c>
      <c r="AM3" s="59" t="s">
        <v>172</v>
      </c>
      <c r="AN3" s="59" t="s">
        <v>172</v>
      </c>
      <c r="AO3" s="59" t="s">
        <v>172</v>
      </c>
      <c r="AP3" s="59" t="s">
        <v>172</v>
      </c>
      <c r="AQ3" s="59" t="s">
        <v>172</v>
      </c>
      <c r="AR3" s="59" t="s">
        <v>172</v>
      </c>
      <c r="AS3" s="59" t="s">
        <v>172</v>
      </c>
      <c r="AT3" s="60">
        <v>1</v>
      </c>
      <c r="AU3" s="59" t="s">
        <v>871</v>
      </c>
      <c r="AV3" s="59" t="str">
        <f>IF(LEFT(A3,1)="[",LEFT(A3,5)&amp;AU3&amp;A3,"")</f>
        <v>[SUR]Army[SUR] People's Armed Forces of Suriname</v>
      </c>
      <c r="AW3" s="59" t="str">
        <f>C3&amp;A3</f>
        <v>3[SUR] People's Armed Forces of Suriname</v>
      </c>
      <c r="AX3" s="61"/>
      <c r="AY3" s="61"/>
      <c r="AZ3" s="62" t="s">
        <v>159</v>
      </c>
      <c r="BA3" s="62" t="s">
        <v>174</v>
      </c>
      <c r="BB3" s="62"/>
      <c r="BC3" s="63"/>
      <c r="BD3" s="64" t="s">
        <v>154</v>
      </c>
      <c r="BE3" s="47"/>
      <c r="BF3" s="64" t="s">
        <v>155</v>
      </c>
      <c r="BG3" s="64" t="s">
        <v>151</v>
      </c>
      <c r="BH3" s="64" t="s">
        <v>154</v>
      </c>
      <c r="BI3" s="64"/>
      <c r="BJ3" s="64"/>
      <c r="BK3" s="47"/>
      <c r="BL3" s="64" t="s">
        <v>151</v>
      </c>
      <c r="BM3" s="64" t="s">
        <v>174</v>
      </c>
      <c r="BN3" s="64" t="s">
        <v>153</v>
      </c>
      <c r="BO3" s="64" t="s">
        <v>154</v>
      </c>
      <c r="BP3" s="64" t="s">
        <v>155</v>
      </c>
      <c r="BQ3" s="64" t="s">
        <v>174</v>
      </c>
      <c r="BR3" s="64" t="s">
        <v>174</v>
      </c>
      <c r="BS3" s="64" t="s">
        <v>174</v>
      </c>
      <c r="BT3" s="64" t="s">
        <v>159</v>
      </c>
      <c r="BU3" s="65"/>
      <c r="BV3" s="66"/>
      <c r="BW3" s="66">
        <v>0</v>
      </c>
      <c r="BX3" s="47"/>
      <c r="CB3" s="6"/>
      <c r="CC3" s="6"/>
      <c r="CD3" s="67">
        <v>0</v>
      </c>
      <c r="CE3" s="67">
        <v>0</v>
      </c>
      <c r="CF3" s="67" t="e">
        <v>#REF!</v>
      </c>
      <c r="CG3" s="68" cm="1">
        <f t="array" ref="CG3">SUMPRODUCT(--(LEN(TRIM(BL3:BT3))&gt;0))</f>
        <v>5</v>
      </c>
      <c r="CH3" s="59" t="str">
        <f t="shared" ref="CH3" si="6">IF(CG3=2,"y","n")</f>
        <v>n</v>
      </c>
      <c r="CI3" s="59" t="str">
        <f t="shared" ref="CI3" si="7">IF(CG3=3,"y","n")</f>
        <v>n</v>
      </c>
      <c r="CJ3" s="59" t="str">
        <f t="shared" ref="CJ3" si="8">IF(CG3=4,"y","n")</f>
        <v>n</v>
      </c>
      <c r="CK3" s="59" t="str">
        <f t="shared" ref="CK3" si="9">IF(CG3&gt;4,"y","n")</f>
        <v>y</v>
      </c>
      <c r="CL3" s="59" t="str">
        <f t="shared" ref="CL3" si="10">IF(S3=0,"y","n")</f>
        <v>n</v>
      </c>
      <c r="CM3" s="59" t="str">
        <f t="shared" ref="CM3" si="11">IF(S3=2,"y","n")</f>
        <v>n</v>
      </c>
      <c r="CN3" s="59" t="str">
        <f t="shared" ref="CN3" si="12">IF(S3=3,"y","n")</f>
        <v>y</v>
      </c>
      <c r="CO3" s="59" t="str">
        <f t="shared" ref="CO3" si="13">IF(S3&gt;=4,"y","n")</f>
        <v>n</v>
      </c>
      <c r="CP3" s="59" t="str">
        <f t="shared" ref="CP3" si="14">IF(AT3=0,"y","n")</f>
        <v>n</v>
      </c>
      <c r="CQ3" s="59" t="str">
        <f t="shared" ref="CQ3" si="15">IF(AT3=1,"y","n")</f>
        <v>y</v>
      </c>
      <c r="CR3" s="59" t="str">
        <f t="shared" ref="CR3" si="16">IF(AT3=2,"y","n")</f>
        <v>n</v>
      </c>
      <c r="CS3" s="59" t="str">
        <f t="shared" ref="CS3" si="17">IF(AT3&gt;=3,"y","n")</f>
        <v>n</v>
      </c>
      <c r="CT3" s="69" t="str">
        <f t="shared" ref="CT3" si="18">CHAR(34)&amp;A3&amp;CHAR(34)</f>
        <v>"[SUR] People's Armed Forces of Suriname"</v>
      </c>
      <c r="CU3" s="70" t="str">
        <f t="shared" ref="CU3" si="19">CHAR(34)&amp;"rgn_"&amp;R3&amp;CHAR(34)</f>
        <v>"rgn_South America"</v>
      </c>
      <c r="CV3" s="48" t="str">
        <f t="shared" ref="CV3" si="20">CHAR(34)&amp;D3&amp;CHAR(34)</f>
        <v>"https://upload.wikimedia.org/wikipedia/commons/thumb/7/78/People%27s_Armed_Forces_of_Suriname_flag.png/640px-People%27s_Armed_Forces_of_Suriname_flag.png"</v>
      </c>
      <c r="CW3" s="48" t="str">
        <f t="shared" si="0"/>
        <v/>
      </c>
      <c r="CX3" s="48" t="str">
        <f t="shared" si="0"/>
        <v/>
      </c>
      <c r="CY3" s="48" t="str">
        <f t="shared" si="0"/>
        <v/>
      </c>
      <c r="CZ3" s="48" t="str">
        <f t="shared" si="0"/>
        <v>"5+Colo",</v>
      </c>
      <c r="DA3" s="48" t="str">
        <f t="shared" ref="DA3" si="21">IF(Q3&gt;1,CHAR(34)&amp;"words2"&amp;CHAR(34)&amp;",","")</f>
        <v>"words2",</v>
      </c>
      <c r="DB3" s="48" t="str">
        <f t="shared" ref="DB3" si="22">IF(Q3&gt;2,CHAR(34)&amp;"words3"&amp;CHAR(34)&amp;",","")</f>
        <v>"words3",</v>
      </c>
      <c r="DD3" s="48" t="str">
        <f t="shared" ref="DD3" si="23">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"lets29",</v>
      </c>
      <c r="DE3" s="48" t="str">
        <f t="shared" ref="DE3" si="24">CHAR(34)&amp;"start"&amp;IFERROR(LEFT(SUBSTITUTE(A3,"["&amp;MID(A3,FIND("[",A3)+1,FIND("]",A3)-FIND("[",A3)-1)&amp;"] ",""),1),LEFT(A3,1))&amp;CHAR(34)&amp;","</f>
        <v>"startP",</v>
      </c>
      <c r="DF3" s="48" t="str">
        <f t="shared" ref="DF3" si="25">IFERROR(IF(SEARCH("tan",A3)&gt;0,CHAR(34)&amp;"withtn"&amp;CHAR(34)&amp;",",""),"")</f>
        <v/>
      </c>
      <c r="DG3" s="48" t="str">
        <f t="shared" ref="DG3" si="26">IFERROR(IF(SEARCH("q",A3)&gt;0,CHAR(34)&amp;"with_q"&amp;CHAR(34)&amp;",",""),"")</f>
        <v/>
      </c>
      <c r="DH3" s="48" t="str">
        <f t="shared" ref="DH3" si="27">IFERROR(IF(SEARCH("v",A3)&gt;0,CHAR(34)&amp;"with_v"&amp;CHAR(34)&amp;",",""),"")</f>
        <v/>
      </c>
      <c r="DI3" s="48" t="str">
        <f t="shared" ref="DI3" si="28">IFERROR(IF(SEARCH("w",A3)&gt;0,CHAR(34)&amp;"with_w"&amp;CHAR(34)&amp;",",""),"")</f>
        <v/>
      </c>
      <c r="DJ3" s="48" t="str">
        <f t="shared" ref="DJ3" si="29">IFERROR(IF(SEARCH("y",A3)&gt;0,CHAR(34)&amp;"with_y"&amp;CHAR(34)&amp;",",""),"")</f>
        <v/>
      </c>
      <c r="DK3" s="48" t="str">
        <f t="shared" ref="DK3" si="30">IFERROR(IF(SEARCH("z",A3)&gt;0,CHAR(34)&amp;"with_z"&amp;CHAR(34)&amp;",",""),"")</f>
        <v/>
      </c>
      <c r="DL3" s="48" t="str">
        <f t="shared" ref="DL3" si="31">IF(CG3=2, CHAR(34) &amp; _xlfn.TEXTJOIN("", TRUE, _xlfn._xlws.SORT(HP3:HX3)) &amp; CHAR(34) &amp; ",", "")</f>
        <v/>
      </c>
      <c r="DM3" s="48" t="str" cm="1">
        <f t="array" ref="DM3">IF(CG3=3,CHAR(34) &amp; _xlfn.TEXTJOIN("", TRUE, RIGHT(HP3:HX3, 2)) &amp; CHAR(34) &amp; ",", "")</f>
        <v/>
      </c>
      <c r="DN3" s="48" t="str">
        <f t="shared" ref="DN3" si="32">IF(AND(ISNUMBER(SEARCH("18", O3)), ISERROR(SEARCH("1918", O3)), ISERROR(SEARCH("2018", O3))), CHAR(34) &amp; "year18" &amp; CHAR(34) &amp; ",", "")</f>
        <v/>
      </c>
      <c r="DO3" s="48" t="str">
        <f t="shared" ref="DO3" si="33">IF(AND(ISNUMBER(SEARCH("19", O3)), ISERROR(SEARCH("1819", O3)),  ISERROR(SEARCH("1219", O3)),ISERROR(SEARCH("1119", O3)),ISERROR(SEARCH("1190", O3)),ISERROR(SEARCH("2019", O3))), CHAR(34) &amp; "year19" &amp; CHAR(34) &amp; ",", "")</f>
        <v>"year19",</v>
      </c>
      <c r="DP3" s="6" t="str">
        <f t="shared" ref="DP3" si="34">IF(AND(ISNUMBER(SEARCH("20", O3)), ISERROR(SEARCH("1920", O3))), CHAR(34)&amp;"year00"&amp;CHAR(34)&amp;",", "")</f>
        <v/>
      </c>
      <c r="DQ3" s="6" t="str">
        <f t="shared" ref="DQ3" si="35">IF(CC3="y",CHAR(34)&amp;"soviet"&amp;CHAR(34)&amp;",","")</f>
        <v/>
      </c>
      <c r="DR3" s="6" t="str">
        <f t="shared" ref="DR3" si="36">IF(BY3="y",CHAR(34)&amp;"dgband"&amp;CHAR(34)&amp;",","")</f>
        <v/>
      </c>
      <c r="DS3" s="6" t="str">
        <f t="shared" ref="DS3" si="37">IF(W3="y",IF(AND(V3="n",BY3&lt;&gt;"y"),CHAR(34)&amp;"allver"&amp;CHAR(34)&amp;",",""),"")</f>
        <v/>
      </c>
      <c r="DT3" s="6" t="str">
        <f t="shared" ref="DT3" si="38">IF(V3="y",IF(AND(W3="n",BY3&lt;&gt;"y"),CHAR(34)&amp;"allhor"&amp;CHAR(34)&amp;",",""),"")</f>
        <v>"allhor",</v>
      </c>
      <c r="DU3" s="6" t="str">
        <f t="shared" ref="DU3" si="39">IF(BY3="y",IF(AND(W3="n",V3="n"),CHAR(34)&amp;"alldia"&amp;CHAR(34)&amp;",",""),"")</f>
        <v/>
      </c>
      <c r="DW3" s="48" t="str">
        <f t="shared" si="1"/>
        <v/>
      </c>
      <c r="DX3" s="48" t="str">
        <f t="shared" si="1"/>
        <v/>
      </c>
      <c r="DY3" s="48" t="str">
        <f t="shared" si="1"/>
        <v>"3Bands",</v>
      </c>
      <c r="DZ3" s="48" t="str">
        <f t="shared" si="1"/>
        <v/>
      </c>
      <c r="EA3" s="48" t="str">
        <f t="shared" si="2"/>
        <v/>
      </c>
      <c r="EB3" s="48" t="str">
        <f t="shared" si="2"/>
        <v/>
      </c>
      <c r="EC3" s="48" t="str">
        <f t="shared" si="2"/>
        <v>"Horizo",</v>
      </c>
      <c r="ED3" s="48" t="str">
        <f t="shared" si="2"/>
        <v/>
      </c>
      <c r="EE3" s="48" t="str">
        <f t="shared" si="2"/>
        <v/>
      </c>
      <c r="EF3" s="48" t="str">
        <f t="shared" ref="EF3" si="40">IF(AND(Y3&lt;&gt;"n",Y3&lt;&gt;""),CHAR(34)&amp;Y$1&amp;CHAR(34)&amp;",","")</f>
        <v/>
      </c>
      <c r="EG3" s="48" t="str">
        <f t="shared" si="3"/>
        <v/>
      </c>
      <c r="EH3" s="48" t="str">
        <f t="shared" si="3"/>
        <v/>
      </c>
      <c r="EI3" s="48" t="str">
        <f t="shared" si="3"/>
        <v/>
      </c>
      <c r="EJ3" s="48" t="str">
        <f t="shared" si="3"/>
        <v/>
      </c>
      <c r="EK3" s="48" t="str">
        <f t="shared" si="3"/>
        <v/>
      </c>
      <c r="EL3" s="48" t="str">
        <f t="shared" si="3"/>
        <v/>
      </c>
      <c r="EM3" s="48" t="str">
        <f t="shared" si="3"/>
        <v/>
      </c>
      <c r="EN3" s="48" t="str">
        <f t="shared" si="3"/>
        <v/>
      </c>
      <c r="EO3" s="48" t="str">
        <f t="shared" si="3"/>
        <v>"Center",</v>
      </c>
      <c r="EP3" s="48" t="str">
        <f t="shared" si="3"/>
        <v/>
      </c>
      <c r="EQ3" s="48" t="str">
        <f t="shared" si="3"/>
        <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 t="shared" ref="FA3" si="41">IF(AT3&gt;0,CHAR(34)&amp;"sta"&amp;AZ3&amp;CHAR(34)&amp;",","")</f>
        <v>"staWHI",</v>
      </c>
      <c r="FB3" s="48" t="str">
        <f t="shared" ref="FB3" si="42">IF(AND(AT3&gt;0,BA3&lt;&gt;""),CHAR(34)&amp;"sta"&amp;BA3&amp;CHAR(34)&amp;",","")</f>
        <v/>
      </c>
      <c r="FD3" s="48" t="str">
        <f t="shared" ref="FD3" si="43">IF(BV3="n",CHAR(34)&amp;"tcWHYE"&amp;CHAR(34)&amp;",",IF(BV3="y",CHAR(34)&amp;FD$1&amp;CHAR(34)&amp;",",""))</f>
        <v/>
      </c>
      <c r="FE3" s="48" t="str">
        <f t="shared" ref="FE3" si="44">IF(COUNTIF(BL3:BT3,"BLU")=0,CHAR(34)&amp;"NO_BLU"&amp;CHAR(34)&amp;",", "")</f>
        <v>"NO_BLU",</v>
      </c>
      <c r="FF3" s="48" t="str">
        <f t="shared" ref="FF3" si="45">IF(COUNTIF(BL3:BT3,"WHI")=0,CHAR(34)&amp;"NO_WHI"&amp;CHAR(34)&amp;",", "")</f>
        <v/>
      </c>
      <c r="FG3" s="48" t="str">
        <f t="shared" ref="FG3" si="46">IF(COUNTIF(BL3:BT3,"RED")=0,CHAR(34)&amp;"NO_RED"&amp;CHAR(34)&amp;",", "")</f>
        <v/>
      </c>
      <c r="FH3" s="48" t="str">
        <f t="shared" ref="FH3" si="47">IF(COUNTIF(BL3:BS3,"GRE")=0,CHAR(34)&amp;"NO_GRE"&amp;CHAR(34)&amp;",", "")</f>
        <v/>
      </c>
      <c r="FI3" s="48" t="str">
        <f t="shared" ref="FI3" si="48">IF(COUNTIF(BL3:BT3,"YEL")=0,CHAR(34)&amp;"NO_YEL"&amp;CHAR(34)&amp;",", "")</f>
        <v/>
      </c>
      <c r="FJ3" s="48" t="str">
        <f t="shared" ref="FJ3" si="49">IF(COUNTIF(BL3:BT3,"BLA")=0,CHAR(34)&amp;"NO_BLA"&amp;CHAR(34)&amp;",", "")</f>
        <v/>
      </c>
      <c r="FK3" s="48" t="str">
        <f t="shared" ref="FK3" si="50">IF(AND(FH3&lt;&gt;"",FF3&lt;&gt;""),CHAR(34)&amp;"WHGRNO"&amp;CHAR(34)&amp;",","")</f>
        <v/>
      </c>
      <c r="FL3" s="48" t="str">
        <f t="shared" ref="FL3" si="51">IF(AND(FI3&lt;&gt;"",FF3&lt;&gt;""),CHAR(34)&amp;"WHYENO"&amp;CHAR(34)&amp;",","")</f>
        <v/>
      </c>
      <c r="FM3" s="48" t="str">
        <f t="shared" ref="FM3" si="52">IF(AND(FJ3&lt;&gt;"",FF3&lt;&gt;""),CHAR(34)&amp;"BAWHNO"&amp;CHAR(34)&amp;",","")</f>
        <v/>
      </c>
      <c r="FN3" s="48" t="str">
        <f t="shared" ref="FN3" si="53">IF(AND(FE3&lt;&gt;"",FF3&lt;&gt;""),CHAR(34)&amp;"BLWHNO"&amp;CHAR(34)&amp;",","")</f>
        <v/>
      </c>
      <c r="FO3" s="48" t="str">
        <f t="shared" ref="FO3" si="54">IF(AND(FE3&lt;&gt;"",FG3&lt;&gt;""),CHAR(34)&amp;"BLRENO"&amp;CHAR(34)&amp;",","")</f>
        <v/>
      </c>
      <c r="FP3" s="48" t="str">
        <f t="shared" ref="FP3" si="55">IF(AND(FF3&lt;&gt;"",FF3&lt;&gt;""),CHAR(34)&amp;"WHRENO"&amp;CHAR(34)&amp;",","")</f>
        <v/>
      </c>
      <c r="FQ3" s="48" t="str">
        <f t="shared" ref="FQ3" si="56">IF(LEN(BF3)=3,CHAR(34)&amp;"001"&amp;BF3&amp;CHAR(34)&amp;",","")</f>
        <v>"001YEL",</v>
      </c>
      <c r="FR3" s="48" t="str">
        <f t="shared" ref="FR3" si="57">IF(LEN(BG3)=3,CHAR(34)&amp;"002"&amp;BG3&amp;CHAR(34)&amp;",","")</f>
        <v>"002BLA",</v>
      </c>
      <c r="FS3" s="48" t="str">
        <f t="shared" ref="FS3" si="58">IF(LEN(BH3)=3,CHAR(34)&amp;"003"&amp;BH3&amp;CHAR(34)&amp;",","")</f>
        <v>"003RED",</v>
      </c>
      <c r="FT3" s="48" t="str">
        <f t="shared" ref="FT3" si="59">CHAR(34)&amp;"myr"&amp;BD3&amp;CHAR(34)&amp;","</f>
        <v>"myrRED",</v>
      </c>
      <c r="FU3" s="48" t="str">
        <f t="shared" ref="FU3" si="60">IF(AY3="y",CHAR(34)&amp;"island"&amp;CHAR(34)&amp;",","")</f>
        <v/>
      </c>
      <c r="FV3" s="48" t="str">
        <f t="shared" ref="FV3" si="61">IF(BZ3="y",CHAR(34)&amp;"landlo"&amp;CHAR(34)&amp;",","")</f>
        <v/>
      </c>
      <c r="FW3" s="48" t="str">
        <f t="shared" ref="FW3" si="62">IF(CA3="y",CHAR(34)&amp;"eunion"&amp;CHAR(34)&amp;",","")</f>
        <v/>
      </c>
      <c r="FY3" s="48" t="str">
        <f t="shared" ref="FY3" si="63">IFERROR(IF(SEARCH("Arabic",CB3)&gt;0,CHAR(34)&amp;"arabic"&amp;CHAR(34)&amp;",",""),"")</f>
        <v/>
      </c>
      <c r="FZ3" s="48" t="str">
        <f t="shared" ref="FZ3" si="64">IFERROR(IF(SEARCH("English",CB3)&gt;0,CHAR(34)&amp;"englis"&amp;CHAR(34)&amp;",",""),"")</f>
        <v/>
      </c>
      <c r="GA3" s="48" t="str">
        <f t="shared" ref="GA3" si="65">IFERROR(IF(SEARCH("French",CB3)&gt;0,CHAR(34)&amp;"french"&amp;CHAR(34)&amp;",",""),"")</f>
        <v/>
      </c>
      <c r="GB3" s="48" t="str">
        <f t="shared" ref="GB3" si="66">IFERROR(IF(SEARCH("Spanish",CB3)&gt;0,CHAR(34)&amp;"spanis"&amp;CHAR(34)&amp;",",""),"")</f>
        <v/>
      </c>
      <c r="GE3" s="48" t="str">
        <f t="shared" ref="GE3" si="67">IFERROR(IF(SEARCH("Dutch",CB3)&gt;0,CHAR(34)&amp;"dutchs"&amp;CHAR(34)&amp;",",""),"")</f>
        <v/>
      </c>
      <c r="GF3" s="48" t="str">
        <f t="shared" ref="GF3" si="68">IFERROR(IF(SEARCH("Historical",AU3)&gt;0,CHAR(34)&amp;"histor"&amp;CHAR(34)&amp;",",""),"")</f>
        <v/>
      </c>
      <c r="GG3" s="48" t="str">
        <f t="shared" ref="GG3" si="69">IF(BU3="y",CHAR(34)&amp;"unjack"&amp;CHAR(34)&amp;",","")</f>
        <v/>
      </c>
      <c r="GH3" s="48" t="str">
        <f t="shared" ref="GH3" si="70">IF(CD3=1,CHAR(34)&amp;"southc"&amp;CHAR(34)&amp;",","")</f>
        <v/>
      </c>
      <c r="GI3" s="48" t="str">
        <f t="shared" ref="GI3" si="71">IF(CE3=1,CHAR(34)&amp;"hasmap"&amp;CHAR(34)&amp;",","")</f>
        <v/>
      </c>
      <c r="GJ3" s="48" t="str">
        <f t="shared" ref="GJ3" si="72">IF(CP3="y",CHAR(34)&amp;CP$1&amp;CHAR(34)&amp;",","")</f>
        <v/>
      </c>
      <c r="GK3" s="48" t="str">
        <f t="shared" ref="GK3" si="73">IF(GJ3="",CHAR(34)&amp;"HasSta"&amp;CHAR(34)&amp;",","")</f>
        <v>"HasSta",</v>
      </c>
      <c r="GL3" s="48" t="str">
        <f t="shared" si="4"/>
        <v>"1Stars",</v>
      </c>
      <c r="GM3" s="48" t="str">
        <f t="shared" si="4"/>
        <v/>
      </c>
      <c r="GN3" s="48" t="str">
        <f t="shared" si="4"/>
        <v/>
      </c>
      <c r="GP3" s="48" t="str">
        <f t="shared" ref="GP3" si="74">CHAR(34)&amp;AU3&amp;CHAR(34)</f>
        <v>"Army"</v>
      </c>
      <c r="GS3" s="48" t="str">
        <f t="shared" ref="GS3" si="75">SUBSTITUTE("["&amp;_xlfn.CONCAT(CW3:GN3)&amp;"]",",]","]")</f>
        <v>["5+Colo","words2","words3","lets29","startP","year19","allhor","3Bands","Horizo","Center","staWHI","NO_BLU","001YEL","002BLA","003RED","myrRED","HasSta","1Stars"]</v>
      </c>
      <c r="GT3" s="48" t="str">
        <f t="shared" si="5"/>
        <v>"cl_BLA",</v>
      </c>
      <c r="GU3" s="48" t="str">
        <f t="shared" si="5"/>
        <v/>
      </c>
      <c r="GV3" s="48" t="str">
        <f t="shared" si="5"/>
        <v>"cl_GRE",</v>
      </c>
      <c r="GW3" s="48" t="str">
        <f t="shared" si="5"/>
        <v>"cl_RED",</v>
      </c>
      <c r="GX3" s="48" t="str">
        <f t="shared" si="5"/>
        <v>"cl_YEL",</v>
      </c>
      <c r="GY3" s="48" t="str">
        <f t="shared" si="5"/>
        <v/>
      </c>
      <c r="GZ3" s="48" t="str">
        <f t="shared" si="5"/>
        <v/>
      </c>
      <c r="HA3" s="48" t="str">
        <f t="shared" si="5"/>
        <v/>
      </c>
      <c r="HB3" s="48" t="str">
        <f t="shared" si="5"/>
        <v>"cl_WHI",</v>
      </c>
      <c r="HC3" s="48" t="str">
        <f t="shared" ref="HC3" si="76">SUBSTITUTE("["&amp;_xlfn.CONCAT(GT3:HB3)&amp;"]",",]","]")</f>
        <v>["cl_BLA","cl_GRE","cl_RED","cl_YEL","cl_WHI"]</v>
      </c>
      <c r="HE3" s="71"/>
      <c r="HF3" s="72" t="str">
        <f t="shared" ref="HF3" si="77">"{couname:"&amp;CT3&amp;(IF(HK3&lt;&gt;"",",subtype:"&amp;CHAR(34)&amp;HK3&amp;CHAR(34),""))&amp;",year:"&amp;HJ3&amp;",region:"&amp;CU3&amp;",Colors:"&amp;HC3&amp;",Items:"&amp;GS3&amp;",Flag:"&amp;CV3&amp;",HDFlag:"&amp;CHAR(34)&amp;E3&amp;CHAR(34)&amp;",type:"&amp;GP3&amp;", describe: "&amp;HH3&amp;", isnew:"&amp;CHAR(34)&amp;F3&amp;CHAR(34)&amp;", links: "&amp;HL3&amp;"},"</f>
        <v>{couname:"[SUR] People's Armed Forces of Suriname",year:"1975",region:"rgn_South America",Colors:["cl_BLA","cl_GRE","cl_RED","cl_YEL","cl_WHI"],Items:["5+Colo","words2","words3","lets29","startP","year19","allhor","3Bands","Horizo","Center","staWHI","NO_BLU","001YEL","002BLA","003RED","myrRED","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isnew:".", links: "https://en.wikipedia.org/wiki/List_of_Surinamese_flags"},</v>
      </c>
      <c r="HG3" s="73" t="str">
        <f t="shared" ref="HG3" si="78">"{couname:"&amp;CT3&amp;(IF(HK3&lt;&gt;"",",subtype:"&amp;CHAR(34)&amp;HK3&amp;CHAR(34),""))&amp;",year:"&amp;HJ3&amp;",region:"&amp;CU3&amp;",Colors:"&amp;HC3&amp;",Items:"&amp;GS3&amp;",Flag:"&amp;CV3&amp;",HDFlag:"&amp;CHAR(34)&amp;E3&amp;CHAR(34)&amp;",type:"&amp;GP3&amp;", describe: "&amp;HI3&amp;", links: "&amp;HL3&amp;"},"</f>
        <v>{couname:"[SUR] People's Armed Forces of Suriname",year:"1975",region:"rgn_South America",Colors:["cl_BLA","cl_GRE","cl_RED","cl_YEL","cl_WHI"],Items:["5+Colo","words2","words3","lets29","startP","year19","allhor","3Bands","Horizo","Center","staWHI","NO_BLU","001YEL","002BLA","003RED","myrRED","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links: "https://en.wikipedia.org/wiki/List_of_Surinamese_flags"},</v>
      </c>
      <c r="HH3" s="48" t="str">
        <f t="shared" ref="HH3" si="79">IF(P3&lt;&gt;"",CHAR(34)&amp;"\n"&amp;P3&amp;CHAR(34),CHAR(34)&amp;CHAR(34))</f>
        <v>"\nA horizontal tricolour of blue, red and blue with the large yellow five-pointed star centered on the red band."</v>
      </c>
      <c r="HI3" s="48" t="str">
        <f t="shared" ref="HI3" si="80">IF(J3=0,CHAR(34)&amp;CHAR(34),HH3)</f>
        <v>"\nA horizontal tricolour of blue, red and blue with the large yellow five-pointed star centered on the red band."</v>
      </c>
      <c r="HJ3" s="48" t="str">
        <f t="shared" ref="HJ3" si="81">CHAR(34)&amp;O3&amp;CHAR(34)</f>
        <v>"1975"</v>
      </c>
      <c r="HL3" s="48" t="str">
        <f t="shared" ref="HL3" si="82">CHAR(34)&amp;I3&amp;CHAR(34)</f>
        <v>"https://en.wikipedia.org/wiki/List_of_Surinamese_flags"</v>
      </c>
      <c r="HM3" s="72" t="str">
        <f t="shared" ref="HM3" si="83">"{"&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{"couname":"[SUR] People's Armed Forces of Suriname","year":"1975","region":"rgn_South America","Colors":["cl_BLA","cl_GRE","cl_RED","cl_YEL","cl_WHI"],"Items":["5+Colo","words2","words3","lets29","startP","year19","allhor","3Bands","Horizo","Center","staWHI","NO_BLU","001YEL","002BLA","003RED","myrRED","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"isnew": ".", "links": "https://en.wikipedia.org/wiki/List_of_Surinamese_flags"},</v>
      </c>
      <c r="HN3" s="74" t="str">
        <f t="shared" ref="HN3" si="84">"{"&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{"couname":"[SUR] People's Armed Forces of Suriname","year":"1975","region":"rgn_South America","Colors":["cl_BLA","cl_GRE","cl_RED","cl_YEL","cl_WHI"],"Items":["5+Colo","words2","words3","lets29","startP","year19","allhor","3Bands","Horizo","Center","staWHI","NO_BLU","001YEL","002BLA","003RED","myrRED","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"isnew": ".", "links": "https://en.wikipedia.org/wiki/List_of_Surinamese_flags"},</v>
      </c>
      <c r="HO3" s="75">
        <v>45610</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 t="shared" ref="IM3" si="85">COUNTIF(IC3:IK3,"&gt;0")-CG3</f>
        <v>-5</v>
      </c>
      <c r="IN3" s="78" t="str">
        <f t="shared" ref="IN3" si="86">"http://mkweb.bcgsc.ca/color-summarizer/?url="&amp;D3&amp;"&amp;precision=low&amp;num_clusters="&amp;CG3&amp;"&amp;text=1"</f>
        <v>http://mkweb.bcgsc.ca/color-summarizer/?url=https://upload.wikimedia.org/wikipedia/commons/thumb/7/78/People%27s_Armed_Forces_of_Suriname_flag.png/640px-People%27s_Armed_Forces_of_Suriname_flag.png&amp;precision=low&amp;num_clusters=5&amp;text=1</v>
      </c>
      <c r="IO3" s="48" t="str">
        <f t="shared" ref="IO3" si="87">IF(HP3&lt;&gt;"",CHAR(34)&amp;"black"&amp;CHAR(34),"")</f>
        <v>"black"</v>
      </c>
      <c r="IP3" s="48" t="str">
        <f t="shared" ref="IP3" si="88">IF(HQ3&lt;&gt;"",CHAR(34)&amp;"blue"&amp;CHAR(34),"")</f>
        <v/>
      </c>
      <c r="IQ3" s="48" t="str">
        <f t="shared" ref="IQ3" si="89">IF(HR3&lt;&gt;"",CHAR(34)&amp;"green"&amp;CHAR(34),"")</f>
        <v>"green"</v>
      </c>
      <c r="IR3" s="48" t="str">
        <f t="shared" ref="IR3" si="90">IF(HS3&lt;&gt;"",CHAR(34)&amp;"red"&amp;CHAR(34),"")</f>
        <v>"red"</v>
      </c>
      <c r="IS3" s="48" t="str">
        <f t="shared" ref="IS3" si="91">IF(HT3&lt;&gt;"",CHAR(34)&amp;"yellow"&amp;CHAR(34),"")</f>
        <v>"yellow"</v>
      </c>
      <c r="IT3" s="48" t="str">
        <f t="shared" ref="IT3" si="92">IF(HU3&lt;&gt;"",CHAR(34)&amp;"orange"&amp;CHAR(34),"")</f>
        <v/>
      </c>
      <c r="IU3" s="48" t="str">
        <f t="shared" ref="IU3" si="93">IF(HV3&lt;&gt;"",CHAR(34)&amp;"brown"&amp;CHAR(34),"")</f>
        <v/>
      </c>
      <c r="IV3" s="48" t="str">
        <f t="shared" ref="IV3" si="94">IF(HW3&lt;&gt;"",CHAR(34)&amp;"purple"&amp;CHAR(34),"")</f>
        <v/>
      </c>
      <c r="IW3" s="48" t="str">
        <f t="shared" ref="IW3" si="95">IF(HX3&lt;&gt;"",CHAR(34)&amp;"white"&amp;CHAR(34),"")</f>
        <v>"white"</v>
      </c>
      <c r="IX3" s="48" t="str">
        <f t="shared" ref="IX3" si="96">"{"&amp;CHAR(34)&amp;"url"&amp;CHAR(34)&amp;":"&amp;CHAR(34)&amp;IN3&amp;CHAR(34)&amp;","&amp;CHAR(34)&amp;"name"&amp;CHAR(34)&amp;":"&amp;CHAR(34)&amp;A3&amp;CHAR(34)&amp;"},"</f>
        <v>{"url":"http://mkweb.bcgsc.ca/color-summarizer/?url=https://upload.wikimedia.org/wikipedia/commons/thumb/7/78/People%27s_Armed_Forces_of_Suriname_flag.png/640px-People%27s_Armed_Forces_of_Suriname_flag.png&amp;precision=low&amp;num_clusters=5&amp;text=1","name":"[SUR] People's Armed Forces of Suriname"},</v>
      </c>
      <c r="IY3" s="48">
        <v>1487</v>
      </c>
    </row>
  </sheetData>
  <conditionalFormatting sqref="H1 CW1:GS1 IA1:IB1">
    <cfRule type="cellIs" dxfId="3796" priority="107" operator="greaterThan">
      <formula>0</formula>
    </cfRule>
  </conditionalFormatting>
  <conditionalFormatting sqref="H1">
    <cfRule type="cellIs" dxfId="3795" priority="73" stopIfTrue="1" operator="notEqual">
      <formula>""</formula>
    </cfRule>
  </conditionalFormatting>
  <conditionalFormatting sqref="T1:BK1">
    <cfRule type="cellIs" dxfId="3794" priority="110" operator="greaterThan">
      <formula>0</formula>
    </cfRule>
  </conditionalFormatting>
  <conditionalFormatting sqref="BV1:BW1">
    <cfRule type="cellIs" dxfId="3793" priority="109" operator="equal">
      <formula>"nc"</formula>
    </cfRule>
  </conditionalFormatting>
  <conditionalFormatting sqref="HF1:HG1">
    <cfRule type="cellIs" dxfId="3792" priority="111" operator="greaterThan">
      <formula>0</formula>
    </cfRule>
  </conditionalFormatting>
  <conditionalFormatting sqref="HK1">
    <cfRule type="cellIs" dxfId="3791" priority="108" operator="greaterThan">
      <formula>0</formula>
    </cfRule>
  </conditionalFormatting>
  <conditionalFormatting sqref="HP1:HX1">
    <cfRule type="cellIs" dxfId="3790" priority="85" operator="equal">
      <formula>"PIN"</formula>
    </cfRule>
    <cfRule type="cellIs" dxfId="3789" priority="86" operator="equal">
      <formula>"ORA"</formula>
    </cfRule>
    <cfRule type="cellIs" dxfId="3788" priority="87" operator="equal">
      <formula>"GRA"</formula>
    </cfRule>
    <cfRule type="cellIs" dxfId="3787" priority="88" operator="equal">
      <formula>"PUR"</formula>
    </cfRule>
    <cfRule type="cellIs" dxfId="3786" priority="89" operator="equal">
      <formula>"BRO"</formula>
    </cfRule>
    <cfRule type="cellIs" dxfId="3785" priority="90" operator="equal">
      <formula>"YEL"</formula>
    </cfRule>
    <cfRule type="cellIs" dxfId="3784" priority="91" operator="equal">
      <formula>"BLU"</formula>
    </cfRule>
    <cfRule type="cellIs" dxfId="3783" priority="92" operator="equal">
      <formula>"WHI"</formula>
    </cfRule>
    <cfRule type="cellIs" dxfId="3782" priority="93" operator="equal">
      <formula>"GRE"</formula>
    </cfRule>
    <cfRule type="cellIs" dxfId="3781" priority="94" operator="equal">
      <formula>"RED"</formula>
    </cfRule>
    <cfRule type="cellIs" dxfId="3780" priority="95" operator="equal">
      <formula>"BLA"</formula>
    </cfRule>
  </conditionalFormatting>
  <conditionalFormatting sqref="IC1:IK1">
    <cfRule type="cellIs" dxfId="3779" priority="96" operator="equal">
      <formula>"PIN"</formula>
    </cfRule>
    <cfRule type="cellIs" dxfId="3778" priority="97" operator="equal">
      <formula>"ORA"</formula>
    </cfRule>
    <cfRule type="cellIs" dxfId="3777" priority="98" operator="equal">
      <formula>"GRA"</formula>
    </cfRule>
    <cfRule type="cellIs" dxfId="3776" priority="99" operator="equal">
      <formula>"PUR"</formula>
    </cfRule>
    <cfRule type="cellIs" dxfId="3775" priority="100" operator="equal">
      <formula>"BRO"</formula>
    </cfRule>
    <cfRule type="cellIs" dxfId="3774" priority="101" operator="equal">
      <formula>"YEL"</formula>
    </cfRule>
    <cfRule type="cellIs" dxfId="3773" priority="102" operator="equal">
      <formula>"BLU"</formula>
    </cfRule>
    <cfRule type="cellIs" dxfId="3772" priority="103" operator="equal">
      <formula>"WHI"</formula>
    </cfRule>
    <cfRule type="cellIs" dxfId="3771" priority="104" operator="equal">
      <formula>"GRE"</formula>
    </cfRule>
    <cfRule type="cellIs" dxfId="3770" priority="105" operator="equal">
      <formula>"RED"</formula>
    </cfRule>
    <cfRule type="cellIs" dxfId="3769" priority="106" operator="equal">
      <formula>"BLA"</formula>
    </cfRule>
  </conditionalFormatting>
  <conditionalFormatting sqref="IO1:IW1">
    <cfRule type="cellIs" dxfId="3768" priority="74" operator="equal">
      <formula>"PIN"</formula>
    </cfRule>
    <cfRule type="cellIs" dxfId="3767" priority="75" operator="equal">
      <formula>"ORA"</formula>
    </cfRule>
    <cfRule type="cellIs" dxfId="3766" priority="76" operator="equal">
      <formula>"GRA"</formula>
    </cfRule>
    <cfRule type="cellIs" dxfId="3765" priority="77" operator="equal">
      <formula>"PUR"</formula>
    </cfRule>
    <cfRule type="cellIs" dxfId="3764" priority="78" operator="equal">
      <formula>"BRO"</formula>
    </cfRule>
    <cfRule type="cellIs" dxfId="3763" priority="79" operator="equal">
      <formula>"YEL"</formula>
    </cfRule>
    <cfRule type="cellIs" dxfId="3762" priority="80" operator="equal">
      <formula>"BLU"</formula>
    </cfRule>
    <cfRule type="cellIs" dxfId="3761" priority="81" operator="equal">
      <formula>"WHI"</formula>
    </cfRule>
    <cfRule type="cellIs" dxfId="3760" priority="82" operator="equal">
      <formula>"GRE"</formula>
    </cfRule>
    <cfRule type="cellIs" dxfId="3759" priority="83" operator="equal">
      <formula>"RED"</formula>
    </cfRule>
    <cfRule type="cellIs" dxfId="3758" priority="84" operator="equal">
      <formula>"BLA"</formula>
    </cfRule>
  </conditionalFormatting>
  <conditionalFormatting sqref="H2">
    <cfRule type="cellIs" dxfId="3757" priority="42" stopIfTrue="1" operator="notEqual">
      <formula>""</formula>
    </cfRule>
  </conditionalFormatting>
  <conditionalFormatting sqref="R2 CU2">
    <cfRule type="cellIs" dxfId="3756" priority="44" operator="greaterThan">
      <formula>0</formula>
    </cfRule>
  </conditionalFormatting>
  <conditionalFormatting sqref="T2:AS2 CH2:CS2">
    <cfRule type="cellIs" dxfId="3755" priority="39" stopIfTrue="1" operator="equal">
      <formula>"n"</formula>
    </cfRule>
    <cfRule type="cellIs" dxfId="3754" priority="40" stopIfTrue="1" operator="equal">
      <formula>"y"</formula>
    </cfRule>
    <cfRule type="cellIs" dxfId="3753" priority="41" operator="greaterThan">
      <formula>0</formula>
    </cfRule>
  </conditionalFormatting>
  <conditionalFormatting sqref="AZ2:BB2">
    <cfRule type="expression" dxfId="3752" priority="38">
      <formula>$AT2=0</formula>
    </cfRule>
  </conditionalFormatting>
  <conditionalFormatting sqref="AZ2:BU2">
    <cfRule type="cellIs" dxfId="3751" priority="47" operator="equal">
      <formula>"PIN"</formula>
    </cfRule>
    <cfRule type="cellIs" dxfId="3750" priority="48" operator="equal">
      <formula>"ORA"</formula>
    </cfRule>
    <cfRule type="cellIs" dxfId="3749" priority="49" operator="equal">
      <formula>"GRA"</formula>
    </cfRule>
    <cfRule type="cellIs" dxfId="3748" priority="50" operator="equal">
      <formula>"PUR"</formula>
    </cfRule>
    <cfRule type="cellIs" dxfId="3747" priority="51" operator="equal">
      <formula>"BRO"</formula>
    </cfRule>
    <cfRule type="cellIs" dxfId="3746" priority="52" operator="equal">
      <formula>"YEL"</formula>
    </cfRule>
    <cfRule type="cellIs" dxfId="3745" priority="53" operator="equal">
      <formula>"BLU"</formula>
    </cfRule>
    <cfRule type="cellIs" dxfId="3744" priority="54" operator="equal">
      <formula>"WHI"</formula>
    </cfRule>
    <cfRule type="cellIs" dxfId="3743" priority="55" operator="equal">
      <formula>"GRE"</formula>
    </cfRule>
    <cfRule type="cellIs" dxfId="3742" priority="56" operator="equal">
      <formula>"RED"</formula>
    </cfRule>
    <cfRule type="cellIs" dxfId="3741" priority="57" operator="equal">
      <formula>"BLA"</formula>
    </cfRule>
  </conditionalFormatting>
  <conditionalFormatting sqref="BV2">
    <cfRule type="cellIs" dxfId="3740" priority="69" operator="equal">
      <formula>"nc"</formula>
    </cfRule>
  </conditionalFormatting>
  <conditionalFormatting sqref="BX2:CA2 CD2:CF2">
    <cfRule type="cellIs" dxfId="3739" priority="43" operator="equal">
      <formula>"y"</formula>
    </cfRule>
    <cfRule type="cellIs" dxfId="3738" priority="58" operator="equal">
      <formula>"PIN"</formula>
    </cfRule>
    <cfRule type="cellIs" dxfId="3737" priority="59" operator="equal">
      <formula>"ORA"</formula>
    </cfRule>
    <cfRule type="cellIs" dxfId="3736" priority="60" operator="equal">
      <formula>"GRA"</formula>
    </cfRule>
    <cfRule type="cellIs" dxfId="3735" priority="61" operator="equal">
      <formula>"PUR"</formula>
    </cfRule>
    <cfRule type="cellIs" dxfId="3734" priority="62" operator="equal">
      <formula>"BRO"</formula>
    </cfRule>
    <cfRule type="cellIs" dxfId="3733" priority="63" operator="equal">
      <formula>"YEL"</formula>
    </cfRule>
    <cfRule type="cellIs" dxfId="3732" priority="64" operator="equal">
      <formula>"BLU"</formula>
    </cfRule>
    <cfRule type="cellIs" dxfId="3731" priority="65" operator="equal">
      <formula>"WHI"</formula>
    </cfRule>
    <cfRule type="cellIs" dxfId="3730" priority="66" operator="equal">
      <formula>"GRE"</formula>
    </cfRule>
    <cfRule type="cellIs" dxfId="3729" priority="67" operator="equal">
      <formula>"RED"</formula>
    </cfRule>
    <cfRule type="cellIs" dxfId="3728" priority="68" operator="equal">
      <formula>"BLA"</formula>
    </cfRule>
  </conditionalFormatting>
  <conditionalFormatting sqref="BZ2:CA2 CD2:CF2">
    <cfRule type="cellIs" dxfId="3727" priority="45" operator="greaterThan">
      <formula>0</formula>
    </cfRule>
  </conditionalFormatting>
  <conditionalFormatting sqref="IC2:IK2">
    <cfRule type="expression" dxfId="3726"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63" priority="5" stopIfTrue="1" operator="notEqual">
      <formula>""</formula>
    </cfRule>
  </conditionalFormatting>
  <conditionalFormatting sqref="R3 CU3">
    <cfRule type="cellIs" dxfId="62" priority="7" operator="greaterThan">
      <formula>0</formula>
    </cfRule>
  </conditionalFormatting>
  <conditionalFormatting sqref="T3:AS3 CH3:CS3">
    <cfRule type="cellIs" dxfId="61" priority="2" stopIfTrue="1" operator="equal">
      <formula>"n"</formula>
    </cfRule>
    <cfRule type="cellIs" dxfId="60" priority="3" stopIfTrue="1" operator="equal">
      <formula>"y"</formula>
    </cfRule>
    <cfRule type="cellIs" dxfId="59" priority="4" operator="greaterThan">
      <formula>0</formula>
    </cfRule>
  </conditionalFormatting>
  <conditionalFormatting sqref="AZ3:BB3">
    <cfRule type="expression" dxfId="58" priority="1">
      <formula>$AT3=0</formula>
    </cfRule>
  </conditionalFormatting>
  <conditionalFormatting sqref="AZ3:BU3">
    <cfRule type="cellIs" dxfId="57" priority="10" operator="equal">
      <formula>"PIN"</formula>
    </cfRule>
    <cfRule type="cellIs" dxfId="56" priority="11" operator="equal">
      <formula>"ORA"</formula>
    </cfRule>
    <cfRule type="cellIs" dxfId="55" priority="12" operator="equal">
      <formula>"GRA"</formula>
    </cfRule>
    <cfRule type="cellIs" dxfId="54" priority="13" operator="equal">
      <formula>"PUR"</formula>
    </cfRule>
    <cfRule type="cellIs" dxfId="53" priority="14" operator="equal">
      <formula>"BRO"</formula>
    </cfRule>
    <cfRule type="cellIs" dxfId="52" priority="15" operator="equal">
      <formula>"YEL"</formula>
    </cfRule>
    <cfRule type="cellIs" dxfId="51" priority="16" operator="equal">
      <formula>"BLU"</formula>
    </cfRule>
    <cfRule type="cellIs" dxfId="50" priority="17" operator="equal">
      <formula>"WHI"</formula>
    </cfRule>
    <cfRule type="cellIs" dxfId="49" priority="18" operator="equal">
      <formula>"GRE"</formula>
    </cfRule>
    <cfRule type="cellIs" dxfId="48" priority="19" operator="equal">
      <formula>"RED"</formula>
    </cfRule>
    <cfRule type="cellIs" dxfId="47" priority="20" operator="equal">
      <formula>"BLA"</formula>
    </cfRule>
  </conditionalFormatting>
  <conditionalFormatting sqref="BV3">
    <cfRule type="cellIs" dxfId="46" priority="32" operator="equal">
      <formula>"nc"</formula>
    </cfRule>
  </conditionalFormatting>
  <conditionalFormatting sqref="BX3:CA3 CD3:CF3">
    <cfRule type="cellIs" dxfId="45" priority="6" operator="equal">
      <formula>"y"</formula>
    </cfRule>
    <cfRule type="cellIs" dxfId="44" priority="21" operator="equal">
      <formula>"PIN"</formula>
    </cfRule>
    <cfRule type="cellIs" dxfId="43" priority="22" operator="equal">
      <formula>"ORA"</formula>
    </cfRule>
    <cfRule type="cellIs" dxfId="42" priority="23" operator="equal">
      <formula>"GRA"</formula>
    </cfRule>
    <cfRule type="cellIs" dxfId="41" priority="24" operator="equal">
      <formula>"PUR"</formula>
    </cfRule>
    <cfRule type="cellIs" dxfId="40" priority="25" operator="equal">
      <formula>"BRO"</formula>
    </cfRule>
    <cfRule type="cellIs" dxfId="39" priority="26" operator="equal">
      <formula>"YEL"</formula>
    </cfRule>
    <cfRule type="cellIs" dxfId="38" priority="27" operator="equal">
      <formula>"BLU"</formula>
    </cfRule>
    <cfRule type="cellIs" dxfId="37" priority="28" operator="equal">
      <formula>"WHI"</formula>
    </cfRule>
    <cfRule type="cellIs" dxfId="36" priority="29" operator="equal">
      <formula>"GRE"</formula>
    </cfRule>
    <cfRule type="cellIs" dxfId="35" priority="30" operator="equal">
      <formula>"RED"</formula>
    </cfRule>
    <cfRule type="cellIs" dxfId="34" priority="31" operator="equal">
      <formula>"BLA"</formula>
    </cfRule>
  </conditionalFormatting>
  <conditionalFormatting sqref="BZ3:CA3 CD3:CF3">
    <cfRule type="cellIs" dxfId="33" priority="8" operator="greaterThan">
      <formula>0</formula>
    </cfRule>
  </conditionalFormatting>
  <conditionalFormatting sqref="IC3:IK3">
    <cfRule type="expression" dxfId="32" priority="9">
      <formula>$IL3&gt;0</formula>
    </cfRule>
  </conditionalFormatting>
  <conditionalFormatting sqref="J3">
    <cfRule type="colorScale" priority="33">
      <colorScale>
        <cfvo type="min"/>
        <cfvo type="percentile" val="50"/>
        <cfvo type="max"/>
        <color rgb="FFF8696B"/>
        <color rgb="FFFFEB84"/>
        <color rgb="FF63BE7B"/>
      </colorScale>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hyperlinks>
    <hyperlink ref="A2" r:id="rId1" display="https://fbref.com/en/country/SUR/Suriname-Football" xr:uid="{BEC58E17-E8A2-4A56-B525-DC49E93F69C8}"/>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83CCF-5C1B-4F45-9322-0A95C9C8423D}">
  <dimension ref="A1:IY9"/>
  <sheetViews>
    <sheetView zoomScale="70" zoomScaleNormal="70" workbookViewId="0">
      <selection activeCell="A9" sqref="A9:XFD9"/>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254</v>
      </c>
      <c r="B2" s="40" t="e" vm="93">
        <v>#VALUE!</v>
      </c>
      <c r="C2" s="41">
        <v>1</v>
      </c>
      <c r="D2" s="42" t="s">
        <v>255</v>
      </c>
      <c r="E2" s="43" t="s">
        <v>256</v>
      </c>
      <c r="F2" s="44" t="s">
        <v>166</v>
      </c>
      <c r="G2" s="45">
        <f>COUNTIF($A$1:$A$8288,A2)</f>
        <v>1</v>
      </c>
      <c r="H2" s="46"/>
      <c r="I2" s="47" t="s">
        <v>257</v>
      </c>
      <c r="J2" s="48" t="str">
        <f>""</f>
        <v/>
      </c>
      <c r="K2" s="49">
        <v>3423108</v>
      </c>
      <c r="L2" s="50">
        <v>3835000</v>
      </c>
      <c r="M2" s="50" t="s">
        <v>258</v>
      </c>
      <c r="N2" s="51" t="s">
        <v>169</v>
      </c>
      <c r="O2" s="52" t="s">
        <v>259</v>
      </c>
      <c r="P2" s="53" t="s">
        <v>260</v>
      </c>
      <c r="Q2" s="54">
        <v>1</v>
      </c>
      <c r="R2" s="55" t="s">
        <v>169</v>
      </c>
      <c r="S2" s="56">
        <v>9</v>
      </c>
      <c r="T2" s="57" t="s">
        <v>172</v>
      </c>
      <c r="U2" s="58" t="s">
        <v>172</v>
      </c>
      <c r="V2" s="58" t="s">
        <v>173</v>
      </c>
      <c r="W2" s="58" t="s">
        <v>172</v>
      </c>
      <c r="X2" s="58" t="s">
        <v>173</v>
      </c>
      <c r="Y2" s="58" t="s">
        <v>172</v>
      </c>
      <c r="Z2" s="58" t="s">
        <v>172</v>
      </c>
      <c r="AA2" s="58" t="s">
        <v>172</v>
      </c>
      <c r="AB2" s="58" t="s">
        <v>172</v>
      </c>
      <c r="AC2" s="58" t="s">
        <v>172</v>
      </c>
      <c r="AD2" s="58" t="s">
        <v>173</v>
      </c>
      <c r="AE2" s="58" t="s">
        <v>172</v>
      </c>
      <c r="AF2" s="59" t="s">
        <v>172</v>
      </c>
      <c r="AG2" s="59" t="s">
        <v>172</v>
      </c>
      <c r="AH2" s="59" t="s">
        <v>172</v>
      </c>
      <c r="AI2" s="59" t="s">
        <v>173</v>
      </c>
      <c r="AJ2" s="59" t="s">
        <v>172</v>
      </c>
      <c r="AK2" s="59" t="s">
        <v>172</v>
      </c>
      <c r="AL2" s="59" t="s">
        <v>172</v>
      </c>
      <c r="AM2" s="59" t="s">
        <v>172</v>
      </c>
      <c r="AN2" s="59" t="s">
        <v>173</v>
      </c>
      <c r="AO2" s="59" t="s">
        <v>172</v>
      </c>
      <c r="AP2" s="59" t="s">
        <v>172</v>
      </c>
      <c r="AQ2" s="59" t="s">
        <v>172</v>
      </c>
      <c r="AR2" s="59" t="s">
        <v>172</v>
      </c>
      <c r="AS2" s="59" t="s">
        <v>172</v>
      </c>
      <c r="AT2" s="60">
        <v>0</v>
      </c>
      <c r="AU2" s="59"/>
      <c r="AV2" s="59" t="str">
        <f>IF(LEFT(A2,1)="[",LEFT(A2,5)&amp;AU2&amp;A2,"")</f>
        <v/>
      </c>
      <c r="AW2" s="59" t="str">
        <f>C2&amp;A2</f>
        <v>1Uruguay</v>
      </c>
      <c r="AX2" s="61" t="str">
        <f>_xlfn.TEXTJOIN(";",TRUE,AU2:AW2)</f>
        <v>1Uruguay</v>
      </c>
      <c r="AY2" s="61" t="s">
        <v>173</v>
      </c>
      <c r="AZ2" s="62"/>
      <c r="BA2" s="62"/>
      <c r="BB2" s="62"/>
      <c r="BC2" s="63"/>
      <c r="BD2" s="64" t="s">
        <v>152</v>
      </c>
      <c r="BE2" s="47"/>
      <c r="BF2" s="64"/>
      <c r="BG2" s="64"/>
      <c r="BH2" s="64"/>
      <c r="BI2" s="64"/>
      <c r="BJ2" s="64"/>
      <c r="BK2" s="47"/>
      <c r="BL2" s="64" t="s">
        <v>154</v>
      </c>
      <c r="BM2" s="64" t="s">
        <v>152</v>
      </c>
      <c r="BN2" s="64" t="s">
        <v>153</v>
      </c>
      <c r="BO2" s="64" t="s">
        <v>155</v>
      </c>
      <c r="BP2" s="64" t="s">
        <v>159</v>
      </c>
      <c r="BQ2" s="64"/>
      <c r="BR2" s="64"/>
      <c r="BS2" s="64"/>
      <c r="BT2" s="64"/>
      <c r="BU2" s="65"/>
      <c r="BV2" s="66" t="s">
        <v>173</v>
      </c>
      <c r="BW2" s="66" t="s">
        <v>261</v>
      </c>
      <c r="BX2" s="47"/>
      <c r="CB2" s="6" t="s">
        <v>262</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"Uruguay"</v>
      </c>
      <c r="CU2" s="70" t="str">
        <f>CHAR(34)&amp;"rgn_"&amp;R2&amp;CHAR(34)</f>
        <v>"rgn_South America"</v>
      </c>
      <c r="CV2" s="48" t="str">
        <f>CHAR(34)&amp;D2&amp;CHAR(34)</f>
        <v>"https://i.ibb.co/cLPFZhg/Uruguay-Flag.png"</v>
      </c>
      <c r="CW2" s="48" t="str">
        <f t="shared" ref="CW2:CZ9" si="0">IF(CH2="y",CHAR(34)&amp;CH$1&amp;CHAR(34)&amp;",","")</f>
        <v/>
      </c>
      <c r="CX2" s="48" t="str">
        <f t="shared" si="0"/>
        <v/>
      </c>
      <c r="CY2" s="48" t="str">
        <f t="shared" si="0"/>
        <v/>
      </c>
      <c r="CZ2" s="48" t="str">
        <f t="shared" si="0"/>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"startU",</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"with_y",</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"year18",</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 t="shared" ref="DW2:DZ9" si="1">IF(CL2="y",CHAR(34)&amp;CL$1&amp;CHAR(34)&amp;",","")</f>
        <v/>
      </c>
      <c r="DX2" s="48" t="str">
        <f t="shared" si="1"/>
        <v/>
      </c>
      <c r="DY2" s="48" t="str">
        <f t="shared" si="1"/>
        <v/>
      </c>
      <c r="DZ2" s="48" t="str">
        <f t="shared" si="1"/>
        <v>"4+Band",</v>
      </c>
      <c r="EA2" s="48" t="str">
        <f t="shared" ref="EA2:EE9" si="2">IF(T2="y",CHAR(34)&amp;T$1&amp;CHAR(34)&amp;",","")</f>
        <v/>
      </c>
      <c r="EB2" s="48" t="str">
        <f t="shared" si="2"/>
        <v/>
      </c>
      <c r="EC2" s="48" t="str">
        <f t="shared" si="2"/>
        <v>"Horizo",</v>
      </c>
      <c r="ED2" s="48" t="str">
        <f t="shared" si="2"/>
        <v/>
      </c>
      <c r="EE2" s="48" t="str">
        <f t="shared" si="2"/>
        <v>"Circle",</v>
      </c>
      <c r="EF2" s="48" t="str">
        <f>IF(AND(Y2&lt;&gt;"n",Y2&lt;&gt;""),CHAR(34)&amp;Y$1&amp;CHAR(34)&amp;",","")</f>
        <v/>
      </c>
      <c r="EG2" s="48" t="str">
        <f t="shared" ref="EG2:EZ9" si="3">IF(Z2="y",CHAR(34)&amp;Z$1&amp;CHAR(34)&amp;",","")</f>
        <v/>
      </c>
      <c r="EH2" s="48" t="str">
        <f t="shared" si="3"/>
        <v/>
      </c>
      <c r="EI2" s="48" t="str">
        <f t="shared" si="3"/>
        <v/>
      </c>
      <c r="EJ2" s="48" t="str">
        <f t="shared" si="3"/>
        <v/>
      </c>
      <c r="EK2" s="48" t="str">
        <f t="shared" si="3"/>
        <v>"HasSun",</v>
      </c>
      <c r="EL2" s="48" t="str">
        <f t="shared" si="3"/>
        <v/>
      </c>
      <c r="EM2" s="48" t="str">
        <f t="shared" si="3"/>
        <v/>
      </c>
      <c r="EN2" s="48" t="str">
        <f t="shared" si="3"/>
        <v/>
      </c>
      <c r="EO2" s="48" t="str">
        <f t="shared" si="3"/>
        <v/>
      </c>
      <c r="EP2" s="48" t="str">
        <f t="shared" si="3"/>
        <v>"Canton",</v>
      </c>
      <c r="EQ2" s="48" t="str">
        <f t="shared" si="3"/>
        <v/>
      </c>
      <c r="ER2" s="48" t="str">
        <f t="shared" si="3"/>
        <v/>
      </c>
      <c r="ES2" s="48" t="str">
        <f t="shared" si="3"/>
        <v/>
      </c>
      <c r="ET2" s="48" t="str">
        <f t="shared" si="3"/>
        <v/>
      </c>
      <c r="EU2" s="48" t="str">
        <f t="shared" si="3"/>
        <v>"Humans",</v>
      </c>
      <c r="EV2" s="48" t="str">
        <f t="shared" si="3"/>
        <v/>
      </c>
      <c r="EW2" s="48" t="str">
        <f t="shared" si="3"/>
        <v/>
      </c>
      <c r="EX2" s="48" t="str">
        <f t="shared" si="3"/>
        <v/>
      </c>
      <c r="EY2" s="48" t="str">
        <f t="shared" si="3"/>
        <v/>
      </c>
      <c r="EZ2" s="48" t="str">
        <f t="shared" si="3"/>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 t="shared" ref="GL2:GN9" si="4">IF(CQ2="y",CHAR(34)&amp;CQ$1&amp;CHAR(34)&amp;",","")</f>
        <v/>
      </c>
      <c r="GM2" s="48" t="str">
        <f t="shared" si="4"/>
        <v/>
      </c>
      <c r="GN2" s="48" t="str">
        <f t="shared" si="4"/>
        <v/>
      </c>
      <c r="GP2" s="48" t="str">
        <f>CHAR(34)&amp;AU2&amp;CHAR(34)</f>
        <v>""</v>
      </c>
      <c r="GS2" s="48" t="str">
        <f>SUBSTITUTE("["&amp;_xlfn.CONCAT(CW2:GN2)&amp;"]",",]","]")</f>
        <v>["5+Colo","lets07","startU","with_y","year18","allhor","4+Band","Horizo","Circle","HasSun","Canton","Humans","ntWHYE","NO_BLA","myrBLU","island","englis","NoStar"]</v>
      </c>
      <c r="GT2" s="48" t="str">
        <f t="shared" ref="GT2:HB9" si="5">IF(BL2&lt;&gt;"",CHAR(34)&amp;"cl_"&amp;BL2&amp;CHAR(34)&amp;",","")</f>
        <v>"cl_RED",</v>
      </c>
      <c r="GU2" s="48" t="str">
        <f t="shared" si="5"/>
        <v>"cl_BLU",</v>
      </c>
      <c r="GV2" s="48" t="str">
        <f t="shared" si="5"/>
        <v>"cl_GRE",</v>
      </c>
      <c r="GW2" s="48" t="str">
        <f t="shared" si="5"/>
        <v>"cl_YEL",</v>
      </c>
      <c r="GX2" s="48" t="str">
        <f t="shared" si="5"/>
        <v>"cl_WHI",</v>
      </c>
      <c r="GY2" s="48" t="str">
        <f t="shared" si="5"/>
        <v/>
      </c>
      <c r="GZ2" s="48" t="str">
        <f t="shared" si="5"/>
        <v/>
      </c>
      <c r="HA2" s="48" t="str">
        <f t="shared" si="5"/>
        <v/>
      </c>
      <c r="HB2" s="48" t="str">
        <f t="shared" si="5"/>
        <v/>
      </c>
      <c r="HC2" s="48" t="str">
        <f>SUBSTITUTE("["&amp;_xlfn.CONCAT(GT2:HB2)&amp;"]",",]","]")</f>
        <v>["cl_RED","cl_BLU","cl_GRE","cl_YEL","cl_WHI"]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{couname:"Uruguay",year:"1828, 1830 ",region:"rgn_South America",Colors:["cl_RED","cl_BLU","cl_GRE","cl_YEL","cl_WHI"],Items:["5+Colo","lets07","startU","with_y","year18","allhor","4+Band","Horizo","Circle","HasSun","Canton","Humans","ntWHYE","NO_BLA","myrBLU","island","engl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links: "https://en.wikipedia.org/wiki/Flag_of_Uruguay"},</v>
      </c>
      <c r="HG2" s="73" t="str">
        <f>"{couname:"&amp;CT2&amp;(IF(HK2&lt;&gt;"",",subtype:"&amp;CHAR(34)&amp;HK2&amp;CHAR(34),""))&amp;",year:"&amp;HJ2&amp;",region:"&amp;CU2&amp;",Colors:"&amp;HC2&amp;",Items:"&amp;GS2&amp;",Flag:"&amp;CV2&amp;",HDFlag:"&amp;CHAR(34)&amp;E2&amp;CHAR(34)&amp;",type:"&amp;GP2&amp;", describe: "&amp;HI2&amp;", links: "&amp;HL2&amp;"},"</f>
        <v>{couname:"Uruguay",year:"1828, 1830 ",region:"rgn_South America",Colors:["cl_RED","cl_BLU","cl_GRE","cl_YEL","cl_WHI"],Items:["5+Colo","lets07","startU","with_y","year18","allhor","4+Band","Horizo","Circle","HasSun","Canton","Humans","ntWHYE","NO_BLA","myrBLU","island","engl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links: "https://en.wikipedia.org/wiki/Flag_of_Uruguay"},</v>
      </c>
      <c r="HH2" s="48" t="str">
        <f>IF(P2&lt;&gt;"",CHAR(34)&amp;"\n"&amp;P2&amp;CHAR(34),CHAR(34)&amp;CHAR(34))</f>
        <v>"\nThe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v>
      </c>
      <c r="HI2" s="48" t="str">
        <f>IF(J2=0,CHAR(34)&amp;CHAR(34),HH2)</f>
        <v>"\nThe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v>
      </c>
      <c r="HJ2" s="48" t="str">
        <f>CHAR(34)&amp;O2&amp;CHAR(34)</f>
        <v>"1828, 1830 "</v>
      </c>
      <c r="HL2" s="48" t="str">
        <f>CHAR(34)&amp;I2&amp;CHAR(34)</f>
        <v>"https://en.wikipedia.org/wiki/Flag_of_Uruguay"</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{"couname":"Uruguay","year":"1828, 1830 ","region":"rgn_South America","Colors":["cl_RED","cl_BLU","cl_GRE","cl_YEL","cl_WHI"],"Items":["5+Colo","lets07","startU","with_y","year18","allhor","4+Band","Horizo","Circle","HasSun","Canton","Humans","ntWHYE","NO_BLA","myrBLU","island","engl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 "links": "https://en.wikipedia.org/wiki/Flag_of_Uruguay"},</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{"couname":"Uruguay","year":"1828, 1830 ","region":"rgn_South America","Colors":["cl_RED","cl_BLU","cl_GRE","cl_YEL","cl_WHI"],"Items":["5+Colo","lets07","startU","with_y","year18","allhor","4+Band","Horizo","Circle","HasSun","Canton","Humans","ntWHYE","NO_BLA","myrBLU","island","engl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 "links": "https://en.wikipedia.org/wiki/Flag_of_Uruguay"},</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http://mkweb.bcgsc.ca/color-summarizer/?url=https://i.ibb.co/cLPFZhg/Uruguay-Flag.png&amp;precision=low&amp;num_clusters=5&amp;text=1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{"url":"http://mkweb.bcgsc.ca/color-summarizer/?url=https://i.ibb.co/cLPFZhg/Uruguay-Flag.png&amp;precision=low&amp;num_clusters=5&amp;text=1","name":"Uruguay"},</v>
      </c>
      <c r="IY2" s="48">
        <v>89</v>
      </c>
    </row>
    <row r="3" spans="1:259" s="48" customFormat="1" ht="38.4" customHeight="1" thickBot="1" x14ac:dyDescent="0.35">
      <c r="A3" s="79" t="s">
        <v>668</v>
      </c>
      <c r="B3" s="40" t="e" vm="94">
        <v>#VALUE!</v>
      </c>
      <c r="C3" s="41">
        <v>2</v>
      </c>
      <c r="D3" s="42" t="s">
        <v>669</v>
      </c>
      <c r="E3" s="43" t="s">
        <v>670</v>
      </c>
      <c r="F3" s="44" t="s">
        <v>166</v>
      </c>
      <c r="G3" s="45">
        <f>COUNTIF($A$1:$A$8288,A3)</f>
        <v>1</v>
      </c>
      <c r="H3" s="46"/>
      <c r="I3" s="47" t="s">
        <v>671</v>
      </c>
      <c r="J3" s="48" t="str">
        <f>""</f>
        <v/>
      </c>
      <c r="K3" s="49"/>
      <c r="L3" s="50"/>
      <c r="M3" s="50"/>
      <c r="N3" s="51" t="s">
        <v>169</v>
      </c>
      <c r="O3" s="52">
        <v>1952</v>
      </c>
      <c r="P3" s="53" t="s">
        <v>672</v>
      </c>
      <c r="Q3" s="54">
        <v>1</v>
      </c>
      <c r="R3" s="55" t="s">
        <v>169</v>
      </c>
      <c r="S3" s="56">
        <v>4</v>
      </c>
      <c r="T3" s="57" t="s">
        <v>173</v>
      </c>
      <c r="U3" s="58" t="s">
        <v>172</v>
      </c>
      <c r="V3" s="58" t="s">
        <v>173</v>
      </c>
      <c r="W3" s="58" t="s">
        <v>172</v>
      </c>
      <c r="X3" s="58" t="s">
        <v>172</v>
      </c>
      <c r="Y3" s="58" t="s">
        <v>172</v>
      </c>
      <c r="Z3" s="58" t="s">
        <v>172</v>
      </c>
      <c r="AA3" s="58" t="s">
        <v>172</v>
      </c>
      <c r="AB3" s="58" t="s">
        <v>172</v>
      </c>
      <c r="AC3" s="58" t="s">
        <v>172</v>
      </c>
      <c r="AD3" s="58" t="s">
        <v>172</v>
      </c>
      <c r="AE3" s="58" t="s">
        <v>172</v>
      </c>
      <c r="AF3" s="59" t="s">
        <v>172</v>
      </c>
      <c r="AG3" s="59" t="s">
        <v>173</v>
      </c>
      <c r="AH3" s="59" t="s">
        <v>172</v>
      </c>
      <c r="AI3" s="59" t="s">
        <v>172</v>
      </c>
      <c r="AJ3" s="59" t="s">
        <v>172</v>
      </c>
      <c r="AK3" s="59" t="s">
        <v>173</v>
      </c>
      <c r="AL3" s="59" t="s">
        <v>172</v>
      </c>
      <c r="AM3" s="59" t="s">
        <v>172</v>
      </c>
      <c r="AN3" s="59" t="s">
        <v>172</v>
      </c>
      <c r="AO3" s="59" t="s">
        <v>172</v>
      </c>
      <c r="AP3" s="59" t="s">
        <v>172</v>
      </c>
      <c r="AQ3" s="59" t="s">
        <v>172</v>
      </c>
      <c r="AR3" s="59" t="s">
        <v>173</v>
      </c>
      <c r="AS3" s="59" t="s">
        <v>172</v>
      </c>
      <c r="AT3" s="60">
        <v>0</v>
      </c>
      <c r="AU3" s="59" t="s">
        <v>673</v>
      </c>
      <c r="AV3" s="59" t="str">
        <f>IF(LEFT(A3,1)="[",LEFT(A3,5)&amp;AU3&amp;A3,"")</f>
        <v>[URU]National Symbol[URU] Artigas</v>
      </c>
      <c r="AW3" s="59" t="str">
        <f>C3&amp;A3</f>
        <v>2[URU] Artigas</v>
      </c>
      <c r="AX3" s="61"/>
      <c r="AY3" s="61"/>
      <c r="AZ3" s="62" t="s">
        <v>159</v>
      </c>
      <c r="BA3" s="62"/>
      <c r="BB3" s="62"/>
      <c r="BC3" s="63"/>
      <c r="BD3" s="64" t="s">
        <v>153</v>
      </c>
      <c r="BE3" s="47"/>
      <c r="BF3" s="64" t="s">
        <v>153</v>
      </c>
      <c r="BG3" s="64" t="s">
        <v>159</v>
      </c>
      <c r="BH3" s="64" t="s">
        <v>153</v>
      </c>
      <c r="BI3" s="64"/>
      <c r="BJ3" s="64"/>
      <c r="BK3" s="47"/>
      <c r="BL3" s="64" t="s">
        <v>153</v>
      </c>
      <c r="BM3" s="64" t="s">
        <v>159</v>
      </c>
      <c r="BN3" s="64" t="s">
        <v>152</v>
      </c>
      <c r="BO3" s="64"/>
      <c r="BP3" s="64"/>
      <c r="BQ3" s="64"/>
      <c r="BR3" s="64"/>
      <c r="BS3" s="64"/>
      <c r="BT3" s="64"/>
      <c r="BU3" s="65"/>
      <c r="BV3" s="66"/>
      <c r="BW3" s="66">
        <v>0</v>
      </c>
      <c r="BX3" s="47"/>
      <c r="BY3" s="48" t="s">
        <v>173</v>
      </c>
      <c r="CB3" s="6"/>
      <c r="CC3" s="6"/>
      <c r="CD3" s="67">
        <v>1</v>
      </c>
      <c r="CE3" s="67">
        <v>0</v>
      </c>
      <c r="CF3" s="67" t="e">
        <v>#REF!</v>
      </c>
      <c r="CG3" s="68" cm="1">
        <f t="array" ref="CG3">SUMPRODUCT(--(LEN(TRIM(BL3:BT3))&gt;0))</f>
        <v>3</v>
      </c>
      <c r="CH3" s="59" t="str">
        <f t="shared" ref="CH3:CH9" si="6">IF(CG3=2,"y","n")</f>
        <v>n</v>
      </c>
      <c r="CI3" s="59" t="str">
        <f t="shared" ref="CI3:CI9" si="7">IF(CG3=3,"y","n")</f>
        <v>y</v>
      </c>
      <c r="CJ3" s="59" t="str">
        <f t="shared" ref="CJ3:CJ9" si="8">IF(CG3=4,"y","n")</f>
        <v>n</v>
      </c>
      <c r="CK3" s="59" t="str">
        <f t="shared" ref="CK3:CK9" si="9">IF(CG3&gt;4,"y","n")</f>
        <v>n</v>
      </c>
      <c r="CL3" s="59" t="str">
        <f t="shared" ref="CL3:CL9" si="10">IF(S3=0,"y","n")</f>
        <v>n</v>
      </c>
      <c r="CM3" s="59" t="str">
        <f t="shared" ref="CM3:CM9" si="11">IF(S3=2,"y","n")</f>
        <v>n</v>
      </c>
      <c r="CN3" s="59" t="str">
        <f t="shared" ref="CN3:CN9" si="12">IF(S3=3,"y","n")</f>
        <v>n</v>
      </c>
      <c r="CO3" s="59" t="str">
        <f t="shared" ref="CO3:CO9" si="13">IF(S3&gt;=4,"y","n")</f>
        <v>y</v>
      </c>
      <c r="CP3" s="59" t="str">
        <f t="shared" ref="CP3:CP9" si="14">IF(AT3=0,"y","n")</f>
        <v>y</v>
      </c>
      <c r="CQ3" s="59" t="str">
        <f t="shared" ref="CQ3:CQ9" si="15">IF(AT3=1,"y","n")</f>
        <v>n</v>
      </c>
      <c r="CR3" s="59" t="str">
        <f t="shared" ref="CR3:CR9" si="16">IF(AT3=2,"y","n")</f>
        <v>n</v>
      </c>
      <c r="CS3" s="59" t="str">
        <f t="shared" ref="CS3:CS9" si="17">IF(AT3&gt;=3,"y","n")</f>
        <v>n</v>
      </c>
      <c r="CT3" s="69" t="str">
        <f t="shared" ref="CT3:CT9" si="18">CHAR(34)&amp;A3&amp;CHAR(34)</f>
        <v>"[URU] Artigas"</v>
      </c>
      <c r="CU3" s="70" t="str">
        <f t="shared" ref="CU3:CU9" si="19">CHAR(34)&amp;"rgn_"&amp;R3&amp;CHAR(34)</f>
        <v>"rgn_South America"</v>
      </c>
      <c r="CV3" s="48" t="str">
        <f t="shared" ref="CV3:CV9" si="20">CHAR(34)&amp;D3&amp;CHAR(34)</f>
        <v>"https://upload.wikimedia.org/wikipedia/commons/thumb/d/d1/Flag_of_Artigas.svg/640px-Flag_of_Artigas.svg.png"</v>
      </c>
      <c r="CW3" s="48" t="str">
        <f t="shared" si="0"/>
        <v/>
      </c>
      <c r="CX3" s="48" t="str">
        <f t="shared" si="0"/>
        <v>"3Color",</v>
      </c>
      <c r="CY3" s="48" t="str">
        <f t="shared" si="0"/>
        <v/>
      </c>
      <c r="CZ3" s="48" t="str">
        <f t="shared" si="0"/>
        <v/>
      </c>
      <c r="DA3" s="48" t="str">
        <f t="shared" ref="DA3:DA9" si="21">IF(Q3&gt;1,CHAR(34)&amp;"words2"&amp;CHAR(34)&amp;",","")</f>
        <v/>
      </c>
      <c r="DB3" s="48" t="str">
        <f t="shared" ref="DB3:DB9" si="22">IF(Q3&gt;2,CHAR(34)&amp;"words3"&amp;CHAR(34)&amp;",","")</f>
        <v/>
      </c>
      <c r="DC3" s="48" t="str">
        <f t="shared" ref="DC3:DC8" si="23">IF(Q3=2,CHAR(34)&amp;"exact2"&amp;CHAR(34)&amp;",","")</f>
        <v/>
      </c>
      <c r="DD3" s="48" t="str">
        <f t="shared" ref="DD3:DD8" si="24">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"lets07",</v>
      </c>
      <c r="DE3" s="48" t="str">
        <f t="shared" ref="DE3:DE8" si="25">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8" t="str">
        <f t="shared" ref="DF3:DF9" si="26">IFERROR(IF(SEARCH("tan",A3)&gt;0,CHAR(34)&amp;"withtn"&amp;CHAR(34)&amp;",",""),"")</f>
        <v/>
      </c>
      <c r="DG3" s="48" t="str">
        <f t="shared" ref="DG3:DG9" si="27">IFERROR(IF(SEARCH("q",A3)&gt;0,CHAR(34)&amp;"with_q"&amp;CHAR(34)&amp;",",""),"")</f>
        <v/>
      </c>
      <c r="DH3" s="48" t="str">
        <f t="shared" ref="DH3:DH9" si="28">IFERROR(IF(SEARCH("v",A3)&gt;0,CHAR(34)&amp;"with_v"&amp;CHAR(34)&amp;",",""),"")</f>
        <v/>
      </c>
      <c r="DI3" s="48" t="str">
        <f t="shared" ref="DI3:DI9" si="29">IFERROR(IF(SEARCH("w",A3)&gt;0,CHAR(34)&amp;"with_w"&amp;CHAR(34)&amp;",",""),"")</f>
        <v/>
      </c>
      <c r="DJ3" s="48" t="str">
        <f t="shared" ref="DJ3:DJ9" si="30">IFERROR(IF(SEARCH("y",A3)&gt;0,CHAR(34)&amp;"with_y"&amp;CHAR(34)&amp;",",""),"")</f>
        <v/>
      </c>
      <c r="DK3" s="48" t="str">
        <f t="shared" ref="DK3:DK9" si="31">IFERROR(IF(SEARCH("z",A3)&gt;0,CHAR(34)&amp;"with_z"&amp;CHAR(34)&amp;",",""),"")</f>
        <v/>
      </c>
      <c r="DL3" s="48" t="str">
        <f t="shared" ref="DL3:DL9" si="32">IF(CG3=2, CHAR(34) &amp; _xlfn.TEXTJOIN("", TRUE, _xlfn._xlws.SORT(HP3:HX3)) &amp; CHAR(34) &amp; ",", "")</f>
        <v/>
      </c>
      <c r="DM3" s="48" t="str" cm="1">
        <f t="array" ref="DM3">IF(CG3=3,CHAR(34) &amp; _xlfn.TEXTJOIN("", TRUE, RIGHT(HP3:HX3, 2)) &amp; CHAR(34) &amp; ",", "")</f>
        <v>"LUREHI",</v>
      </c>
      <c r="DN3" s="48" t="str">
        <f t="shared" ref="DN3:DN9" si="33">IF(AND(ISNUMBER(SEARCH("18", O3)), ISERROR(SEARCH("1918", O3)), ISERROR(SEARCH("2018", O3))), CHAR(34) &amp; "year18" &amp; CHAR(34) &amp; ",", "")</f>
        <v/>
      </c>
      <c r="DO3" s="48" t="str">
        <f t="shared" ref="DO3:DO9" si="34">IF(AND(ISNUMBER(SEARCH("19", O3)), ISERROR(SEARCH("1819", O3)),  ISERROR(SEARCH("1219", O3)),ISERROR(SEARCH("1119", O3)),ISERROR(SEARCH("1190", O3)),ISERROR(SEARCH("2019", O3))), CHAR(34) &amp; "year19" &amp; CHAR(34) &amp; ",", "")</f>
        <v>"year19",</v>
      </c>
      <c r="DP3" s="6" t="str">
        <f t="shared" ref="DP3:DP9" si="35">IF(AND(ISNUMBER(SEARCH("20", O3)), ISERROR(SEARCH("1920", O3))), CHAR(34)&amp;"year00"&amp;CHAR(34)&amp;",", "")</f>
        <v/>
      </c>
      <c r="DQ3" s="6" t="str">
        <f t="shared" ref="DQ3:DQ9" si="36">IF(CC3="y",CHAR(34)&amp;"soviet"&amp;CHAR(34)&amp;",","")</f>
        <v/>
      </c>
      <c r="DR3" s="6" t="str">
        <f t="shared" ref="DR3:DR9" si="37">IF(BY3="y",CHAR(34)&amp;"dgband"&amp;CHAR(34)&amp;",","")</f>
        <v>"dgband",</v>
      </c>
      <c r="DS3" s="6" t="str">
        <f t="shared" ref="DS3:DS9" si="38">IF(W3="y",IF(AND(V3="n",BY3&lt;&gt;"y"),CHAR(34)&amp;"allver"&amp;CHAR(34)&amp;",",""),"")</f>
        <v/>
      </c>
      <c r="DT3" s="6" t="str">
        <f t="shared" ref="DT3:DT9" si="39">IF(V3="y",IF(AND(W3="n",BY3&lt;&gt;"y"),CHAR(34)&amp;"allhor"&amp;CHAR(34)&amp;",",""),"")</f>
        <v/>
      </c>
      <c r="DU3" s="6" t="str">
        <f t="shared" ref="DU3:DU9" si="40">IF(BY3="y",IF(AND(W3="n",V3="n"),CHAR(34)&amp;"alldia"&amp;CHAR(34)&amp;",",""),"")</f>
        <v/>
      </c>
      <c r="DV3" s="48" t="str">
        <f t="shared" ref="DV3:DV8" si="41">IF(IA3&lt;&gt;"",(IF(IA3="y",CHAR(34)&amp;"largec"&amp;CHAR(34)&amp;",",CHAR(34)&amp;"smallc"&amp;CHAR(34)&amp;",")),"")</f>
        <v/>
      </c>
      <c r="DW3" s="48" t="str">
        <f t="shared" si="1"/>
        <v/>
      </c>
      <c r="DX3" s="48" t="str">
        <f t="shared" si="1"/>
        <v/>
      </c>
      <c r="DY3" s="48" t="str">
        <f t="shared" si="1"/>
        <v/>
      </c>
      <c r="DZ3" s="48" t="str">
        <f t="shared" si="1"/>
        <v>"4+Band",</v>
      </c>
      <c r="EA3" s="48" t="str">
        <f t="shared" si="2"/>
        <v>"Diagon",</v>
      </c>
      <c r="EB3" s="48" t="str">
        <f t="shared" si="2"/>
        <v/>
      </c>
      <c r="EC3" s="48" t="str">
        <f t="shared" si="2"/>
        <v>"Horizo",</v>
      </c>
      <c r="ED3" s="48" t="str">
        <f t="shared" si="2"/>
        <v/>
      </c>
      <c r="EE3" s="48" t="str">
        <f t="shared" si="2"/>
        <v/>
      </c>
      <c r="EF3" s="48" t="str">
        <f t="shared" ref="EF3:EF9" si="42">IF(AND(Y3&lt;&gt;"n",Y3&lt;&gt;""),CHAR(34)&amp;Y$1&amp;CHAR(34)&amp;",","")</f>
        <v/>
      </c>
      <c r="EG3" s="48" t="str">
        <f t="shared" si="3"/>
        <v/>
      </c>
      <c r="EH3" s="48" t="str">
        <f t="shared" si="3"/>
        <v/>
      </c>
      <c r="EI3" s="48" t="str">
        <f t="shared" si="3"/>
        <v/>
      </c>
      <c r="EJ3" s="48" t="str">
        <f t="shared" si="3"/>
        <v/>
      </c>
      <c r="EK3" s="48" t="str">
        <f t="shared" si="3"/>
        <v/>
      </c>
      <c r="EL3" s="48" t="str">
        <f t="shared" si="3"/>
        <v/>
      </c>
      <c r="EM3" s="48" t="str">
        <f t="shared" si="3"/>
        <v/>
      </c>
      <c r="EN3" s="48" t="str">
        <f t="shared" si="3"/>
        <v>"Unequa",</v>
      </c>
      <c r="EO3" s="48" t="str">
        <f t="shared" si="3"/>
        <v/>
      </c>
      <c r="EP3" s="48" t="str">
        <f t="shared" si="3"/>
        <v/>
      </c>
      <c r="EQ3" s="48" t="str">
        <f t="shared" si="3"/>
        <v/>
      </c>
      <c r="ER3" s="48" t="str">
        <f t="shared" si="3"/>
        <v>"OnlyBa",</v>
      </c>
      <c r="ES3" s="48" t="str">
        <f t="shared" si="3"/>
        <v/>
      </c>
      <c r="ET3" s="48" t="str">
        <f t="shared" si="3"/>
        <v/>
      </c>
      <c r="EU3" s="48" t="str">
        <f t="shared" si="3"/>
        <v/>
      </c>
      <c r="EV3" s="48" t="str">
        <f t="shared" si="3"/>
        <v/>
      </c>
      <c r="EW3" s="48" t="str">
        <f t="shared" si="3"/>
        <v/>
      </c>
      <c r="EX3" s="48" t="str">
        <f t="shared" si="3"/>
        <v/>
      </c>
      <c r="EY3" s="48" t="str">
        <f t="shared" si="3"/>
        <v>"Rotate",</v>
      </c>
      <c r="EZ3" s="48" t="str">
        <f t="shared" si="3"/>
        <v/>
      </c>
      <c r="FA3" s="48" t="str">
        <f t="shared" ref="FA3:FA9" si="43">IF(AT3&gt;0,CHAR(34)&amp;"sta"&amp;AZ3&amp;CHAR(34)&amp;",","")</f>
        <v/>
      </c>
      <c r="FB3" s="48" t="str">
        <f t="shared" ref="FB3:FB9" si="44">IF(AND(AT3&gt;0,BA3&lt;&gt;""),CHAR(34)&amp;"sta"&amp;BA3&amp;CHAR(34)&amp;",","")</f>
        <v/>
      </c>
      <c r="FC3" s="48" t="str">
        <f t="shared" ref="FC3:FC8" si="45">IF(AND(AT3&gt;0,BB3&lt;&gt;""),CHAR(34)&amp;"sta"&amp;BB3&amp;CHAR(34)&amp;",","")</f>
        <v/>
      </c>
      <c r="FD3" s="48" t="str">
        <f t="shared" ref="FD3:FD9" si="46">IF(BV3="n",CHAR(34)&amp;"tcWHYE"&amp;CHAR(34)&amp;",",IF(BV3="y",CHAR(34)&amp;FD$1&amp;CHAR(34)&amp;",",""))</f>
        <v/>
      </c>
      <c r="FE3" s="48" t="str">
        <f t="shared" ref="FE3:FE9" si="47">IF(COUNTIF(BL3:BT3,"BLU")=0,CHAR(34)&amp;"NO_BLU"&amp;CHAR(34)&amp;",", "")</f>
        <v/>
      </c>
      <c r="FF3" s="48" t="str">
        <f t="shared" ref="FF3:FF9" si="48">IF(COUNTIF(BL3:BT3,"WHI")=0,CHAR(34)&amp;"NO_WHI"&amp;CHAR(34)&amp;",", "")</f>
        <v/>
      </c>
      <c r="FG3" s="48" t="str">
        <f t="shared" ref="FG3:FG9" si="49">IF(COUNTIF(BL3:BT3,"RED")=0,CHAR(34)&amp;"NO_RED"&amp;CHAR(34)&amp;",", "")</f>
        <v>"NO_RED",</v>
      </c>
      <c r="FH3" s="48" t="str">
        <f t="shared" ref="FH3:FH9" si="50">IF(COUNTIF(BL3:BS3,"GRE")=0,CHAR(34)&amp;"NO_GRE"&amp;CHAR(34)&amp;",", "")</f>
        <v/>
      </c>
      <c r="FI3" s="48" t="str">
        <f t="shared" ref="FI3:FI9" si="51">IF(COUNTIF(BL3:BT3,"YEL")=0,CHAR(34)&amp;"NO_YEL"&amp;CHAR(34)&amp;",", "")</f>
        <v>"NO_YEL",</v>
      </c>
      <c r="FJ3" s="48" t="str">
        <f t="shared" ref="FJ3:FJ9" si="52">IF(COUNTIF(BL3:BT3,"BLA")=0,CHAR(34)&amp;"NO_BLA"&amp;CHAR(34)&amp;",", "")</f>
        <v>"NO_BLA",</v>
      </c>
      <c r="FK3" s="48" t="str">
        <f t="shared" ref="FK3:FK9" si="53">IF(AND(FH3&lt;&gt;"",FF3&lt;&gt;""),CHAR(34)&amp;"WHGRNO"&amp;CHAR(34)&amp;",","")</f>
        <v/>
      </c>
      <c r="FL3" s="48" t="str">
        <f t="shared" ref="FL3:FL9" si="54">IF(AND(FI3&lt;&gt;"",FF3&lt;&gt;""),CHAR(34)&amp;"WHYENO"&amp;CHAR(34)&amp;",","")</f>
        <v/>
      </c>
      <c r="FM3" s="48" t="str">
        <f t="shared" ref="FM3:FM9" si="55">IF(AND(FJ3&lt;&gt;"",FF3&lt;&gt;""),CHAR(34)&amp;"BAWHNO"&amp;CHAR(34)&amp;",","")</f>
        <v/>
      </c>
      <c r="FN3" s="48" t="str">
        <f t="shared" ref="FN3:FN9" si="56">IF(AND(FE3&lt;&gt;"",FF3&lt;&gt;""),CHAR(34)&amp;"BLWHNO"&amp;CHAR(34)&amp;",","")</f>
        <v/>
      </c>
      <c r="FO3" s="48" t="str">
        <f t="shared" ref="FO3:FO9" si="57">IF(AND(FE3&lt;&gt;"",FG3&lt;&gt;""),CHAR(34)&amp;"BLRENO"&amp;CHAR(34)&amp;",","")</f>
        <v/>
      </c>
      <c r="FP3" s="48" t="str">
        <f t="shared" ref="FP3:FP9" si="58">IF(AND(FF3&lt;&gt;"",FF3&lt;&gt;""),CHAR(34)&amp;"WHRENO"&amp;CHAR(34)&amp;",","")</f>
        <v/>
      </c>
      <c r="FQ3" s="48" t="str">
        <f t="shared" ref="FQ3:FQ9" si="59">IF(LEN(BF3)=3,CHAR(34)&amp;"001"&amp;BF3&amp;CHAR(34)&amp;",","")</f>
        <v>"001GRE",</v>
      </c>
      <c r="FR3" s="48" t="str">
        <f t="shared" ref="FR3:FR9" si="60">IF(LEN(BG3)=3,CHAR(34)&amp;"002"&amp;BG3&amp;CHAR(34)&amp;",","")</f>
        <v>"002WHI",</v>
      </c>
      <c r="FS3" s="48" t="str">
        <f t="shared" ref="FS3:FS9" si="61">IF(LEN(BH3)=3,CHAR(34)&amp;"003"&amp;BH3&amp;CHAR(34)&amp;",","")</f>
        <v>"003GRE",</v>
      </c>
      <c r="FT3" s="48" t="str">
        <f t="shared" ref="FT3:FT9" si="62">CHAR(34)&amp;"myr"&amp;BD3&amp;CHAR(34)&amp;","</f>
        <v>"myrGRE",</v>
      </c>
      <c r="FU3" s="48" t="str">
        <f t="shared" ref="FU3:FU9" si="63">IF(AY3="y",CHAR(34)&amp;"island"&amp;CHAR(34)&amp;",","")</f>
        <v/>
      </c>
      <c r="FV3" s="48" t="str">
        <f t="shared" ref="FV3:FV9" si="64">IF(BZ3="y",CHAR(34)&amp;"landlo"&amp;CHAR(34)&amp;",","")</f>
        <v/>
      </c>
      <c r="FW3" s="48" t="str">
        <f t="shared" ref="FW3:FW9" si="65">IF(CA3="y",CHAR(34)&amp;"eunion"&amp;CHAR(34)&amp;",","")</f>
        <v/>
      </c>
      <c r="FX3" s="48" t="str">
        <f t="shared" ref="FX3:FX8" si="66">SUBSTITUTE(IFERROR(SEARCH("[",A3),IFERROR(IF(AND(CA3&lt;&gt;"y",SEARCH("Europe",R3)&gt;0),CHAR(34)&amp;"noeuni"&amp;CHAR(34)&amp;",",""),"")),"1","")</f>
        <v/>
      </c>
      <c r="FY3" s="48" t="str">
        <f t="shared" ref="FY3:FY9" si="67">IFERROR(IF(SEARCH("Arabic",CB3)&gt;0,CHAR(34)&amp;"arabic"&amp;CHAR(34)&amp;",",""),"")</f>
        <v/>
      </c>
      <c r="FZ3" s="48" t="str">
        <f t="shared" ref="FZ3:FZ9" si="68">IFERROR(IF(SEARCH("English",CB3)&gt;0,CHAR(34)&amp;"englis"&amp;CHAR(34)&amp;",",""),"")</f>
        <v/>
      </c>
      <c r="GA3" s="48" t="str">
        <f t="shared" ref="GA3:GA9" si="69">IFERROR(IF(SEARCH("French",CB3)&gt;0,CHAR(34)&amp;"french"&amp;CHAR(34)&amp;",",""),"")</f>
        <v/>
      </c>
      <c r="GB3" s="48" t="str">
        <f t="shared" ref="GB3:GB9" si="70">IFERROR(IF(SEARCH("Spanish",CB3)&gt;0,CHAR(34)&amp;"spanis"&amp;CHAR(34)&amp;",",""),"")</f>
        <v/>
      </c>
      <c r="GC3" s="48" t="str">
        <f t="shared" ref="GC3:GC8" si="71">IFERROR(IF(SEARCH("Portuguese",CB3)&gt;0,CHAR(34)&amp;"portug"&amp;CHAR(34)&amp;",",""),"")</f>
        <v/>
      </c>
      <c r="GD3" s="48" t="str">
        <f t="shared" ref="GD3:GD8" si="72">IFERROR(IF(SEARCH("German",CB3)&gt;0,CHAR(34)&amp;"german"&amp;CHAR(34)&amp;",",""),"")</f>
        <v/>
      </c>
      <c r="GE3" s="48" t="str">
        <f t="shared" ref="GE3:GE9" si="73">IFERROR(IF(SEARCH("Dutch",CB3)&gt;0,CHAR(34)&amp;"dutchs"&amp;CHAR(34)&amp;",",""),"")</f>
        <v/>
      </c>
      <c r="GF3" s="48" t="str">
        <f t="shared" ref="GF3:GF9" si="74">IFERROR(IF(SEARCH("Historical",AU3)&gt;0,CHAR(34)&amp;"histor"&amp;CHAR(34)&amp;",",""),"")</f>
        <v/>
      </c>
      <c r="GG3" s="48" t="str">
        <f t="shared" ref="GG3:GG9" si="75">IF(BU3="y",CHAR(34)&amp;"unjack"&amp;CHAR(34)&amp;",","")</f>
        <v/>
      </c>
      <c r="GH3" s="48" t="str">
        <f t="shared" ref="GH3:GH9" si="76">IF(CD3=1,CHAR(34)&amp;"southc"&amp;CHAR(34)&amp;",","")</f>
        <v>"southc",</v>
      </c>
      <c r="GI3" s="48" t="str">
        <f t="shared" ref="GI3:GI9" si="77">IF(CE3=1,CHAR(34)&amp;"hasmap"&amp;CHAR(34)&amp;",","")</f>
        <v/>
      </c>
      <c r="GJ3" s="48" t="str">
        <f t="shared" ref="GJ3:GJ9" si="78">IF(CP3="y",CHAR(34)&amp;CP$1&amp;CHAR(34)&amp;",","")</f>
        <v>"NoStar",</v>
      </c>
      <c r="GK3" s="48" t="str">
        <f t="shared" ref="GK3:GK9" si="79">IF(GJ3="",CHAR(34)&amp;"HasSta"&amp;CHAR(34)&amp;",","")</f>
        <v/>
      </c>
      <c r="GL3" s="48" t="str">
        <f t="shared" si="4"/>
        <v/>
      </c>
      <c r="GM3" s="48" t="str">
        <f t="shared" si="4"/>
        <v/>
      </c>
      <c r="GN3" s="48" t="str">
        <f t="shared" si="4"/>
        <v/>
      </c>
      <c r="GP3" s="48" t="str">
        <f t="shared" ref="GP3:GP9" si="80">CHAR(34)&amp;AU3&amp;CHAR(34)</f>
        <v>"National Symbol"</v>
      </c>
      <c r="GS3" s="48" t="str">
        <f t="shared" ref="GS3:GS9" si="81">SUBSTITUTE("["&amp;_xlfn.CONCAT(CW3:GN3)&amp;"]",",]","]")</f>
        <v>["3Color","lets07","startA","LUREHI","year19","dgband","4+Band","Diagon","Horizo","Unequa","OnlyBa","Rotate","NO_RED","NO_YEL","NO_BLA","001GRE","002WHI","003GRE","myrGRE","southc","NoStar"]</v>
      </c>
      <c r="GT3" s="48" t="str">
        <f t="shared" si="5"/>
        <v>"cl_GRE",</v>
      </c>
      <c r="GU3" s="48" t="str">
        <f t="shared" si="5"/>
        <v>"cl_WHI",</v>
      </c>
      <c r="GV3" s="48" t="str">
        <f t="shared" si="5"/>
        <v>"cl_BLU",</v>
      </c>
      <c r="GW3" s="48" t="str">
        <f t="shared" si="5"/>
        <v/>
      </c>
      <c r="GX3" s="48" t="str">
        <f t="shared" si="5"/>
        <v/>
      </c>
      <c r="GY3" s="48" t="str">
        <f t="shared" si="5"/>
        <v/>
      </c>
      <c r="GZ3" s="48" t="str">
        <f t="shared" si="5"/>
        <v/>
      </c>
      <c r="HA3" s="48" t="str">
        <f t="shared" si="5"/>
        <v/>
      </c>
      <c r="HB3" s="48" t="str">
        <f t="shared" si="5"/>
        <v/>
      </c>
      <c r="HC3" s="48" t="str">
        <f t="shared" ref="HC3:HC9" si="82">SUBSTITUTE("["&amp;_xlfn.CONCAT(GT3:HB3)&amp;"]",",]","]")</f>
        <v>["cl_GRE","cl_WHI","cl_BLU"]</v>
      </c>
      <c r="HE3" s="71"/>
      <c r="HF3" s="72" t="str">
        <f t="shared" ref="HF3:HF9" si="83">"{couname:"&amp;CT3&amp;(IF(HK3&lt;&gt;"",",subtype:"&amp;CHAR(34)&amp;HK3&amp;CHAR(34),""))&amp;",year:"&amp;HJ3&amp;",region:"&amp;CU3&amp;",Colors:"&amp;HC3&amp;",Items:"&amp;GS3&amp;",Flag:"&amp;CV3&amp;",HDFlag:"&amp;CHAR(34)&amp;E3&amp;CHAR(34)&amp;",type:"&amp;GP3&amp;", describe: "&amp;HH3&amp;", isnew:"&amp;CHAR(34)&amp;F3&amp;CHAR(34)&amp;", links: "&amp;HL3&amp;"},"</f>
        <v>{couname:"[URU] Artigas",year:"1952",region:"rgn_South America",Colors:["cl_GRE","cl_WHI","cl_BLU"],Items:["3Color","lets07","startA","LUREHI","year19","dgband","4+Band","Diagon","Horizo","Unequa","OnlyBa","Rotate","NO_RED","NO_YEL","NO_BLA","001GRE","002WHI","003GRE","myrGRE","southc","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links: "https://en.wikipedia.org/wiki/Flag_of_Artigas"},</v>
      </c>
      <c r="HG3" s="73" t="str">
        <f t="shared" ref="HG3:HG9" si="84">"{couname:"&amp;CT3&amp;(IF(HK3&lt;&gt;"",",subtype:"&amp;CHAR(34)&amp;HK3&amp;CHAR(34),""))&amp;",year:"&amp;HJ3&amp;",region:"&amp;CU3&amp;",Colors:"&amp;HC3&amp;",Items:"&amp;GS3&amp;",Flag:"&amp;CV3&amp;",HDFlag:"&amp;CHAR(34)&amp;E3&amp;CHAR(34)&amp;",type:"&amp;GP3&amp;", describe: "&amp;HI3&amp;", links: "&amp;HL3&amp;"},"</f>
        <v>{couname:"[URU] Artigas",year:"1952",region:"rgn_South America",Colors:["cl_GRE","cl_WHI","cl_BLU"],Items:["3Color","lets07","startA","LUREHI","year19","dgband","4+Band","Diagon","Horizo","Unequa","OnlyBa","Rotate","NO_RED","NO_YEL","NO_BLA","001GRE","002WHI","003GRE","myrGRE","southc","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links: "https://en.wikipedia.org/wiki/Flag_of_Artigas"},</v>
      </c>
      <c r="HH3" s="48" t="str">
        <f t="shared" ref="HH3:HH9" si="85">IF(P3&lt;&gt;"",CHAR(34)&amp;"\n"&amp;P3&amp;CHAR(34),CHAR(34)&amp;CHAR(34))</f>
        <v>"\nIt has three horizontal stripes inspired by the Belgrano's flag, the top and bottom being blue, and the central one white. On top of them, it is crossed by a diagonal red stripe, a symbol of federalism."</v>
      </c>
      <c r="HI3" s="48" t="str">
        <f t="shared" ref="HI3:HI9" si="86">IF(J3=0,CHAR(34)&amp;CHAR(34),HH3)</f>
        <v>"\nIt has three horizontal stripes inspired by the Belgrano's flag, the top and bottom being blue, and the central one white. On top of them, it is crossed by a diagonal red stripe, a symbol of federalism."</v>
      </c>
      <c r="HJ3" s="48" t="str">
        <f t="shared" ref="HJ3:HJ9" si="87">CHAR(34)&amp;O3&amp;CHAR(34)</f>
        <v>"1952"</v>
      </c>
      <c r="HL3" s="48" t="str">
        <f t="shared" ref="HL3:HL9" si="88">CHAR(34)&amp;I3&amp;CHAR(34)</f>
        <v>"https://en.wikipedia.org/wiki/Flag_of_Artigas"</v>
      </c>
      <c r="HM3" s="72" t="str">
        <f t="shared" ref="HM3:HM9" si="89">"{"&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{"couname":"[URU] Artigas","year":"1952","region":"rgn_South America","Colors":["cl_GRE","cl_WHI","cl_BLU"],"Items":["3Color","lets07","startA","LUREHI","year19","dgband","4+Band","Diagon","Horizo","Unequa","OnlyBa","Rotate","NO_RED","NO_YEL","NO_BLA","001GRE","002WHI","003GRE","myrGRE","southc","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 "links": "https://en.wikipedia.org/wiki/Flag_of_Artigas"},</v>
      </c>
      <c r="HN3" s="74" t="str">
        <f t="shared" ref="HN3:HN9" si="90">"{"&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{"couname":"[URU] Artigas","year":"1952","region":"rgn_South America","Colors":["cl_GRE","cl_WHI","cl_BLU"],"Items":["3Color","lets07","startA","LUREHI","year19","dgband","4+Band","Diagon","Horizo","Unequa","OnlyBa","Rotate","NO_RED","NO_YEL","NO_BLA","001GRE","002WHI","003GRE","myrGRE","southc","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 "links": "https://en.wikipedia.org/wiki/Flag_of_Artigas"},</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 t="shared" ref="IL3:IL8" si="91">SUM(IC3:IK3)</f>
        <v>0</v>
      </c>
      <c r="IM3" s="45">
        <f t="shared" ref="IM3:IM9" si="92">COUNTIF(IC3:IK3,"&gt;0")-CG3</f>
        <v>-3</v>
      </c>
      <c r="IN3" s="78" t="str">
        <f t="shared" ref="IN3:IN9" si="93">"http://mkweb.bcgsc.ca/color-summarizer/?url="&amp;D3&amp;"&amp;precision=low&amp;num_clusters="&amp;CG3&amp;"&amp;text=1"</f>
        <v>http://mkweb.bcgsc.ca/color-summarizer/?url=https://upload.wikimedia.org/wikipedia/commons/thumb/d/d1/Flag_of_Artigas.svg/640px-Flag_of_Artigas.svg.png&amp;precision=low&amp;num_clusters=3&amp;text=1</v>
      </c>
      <c r="IO3" s="48" t="str">
        <f t="shared" ref="IO3:IO9" si="94">IF(HP3&lt;&gt;"",CHAR(34)&amp;"black"&amp;CHAR(34),"")</f>
        <v/>
      </c>
      <c r="IP3" s="48" t="str">
        <f t="shared" ref="IP3:IP9" si="95">IF(HQ3&lt;&gt;"",CHAR(34)&amp;"blue"&amp;CHAR(34),"")</f>
        <v>"blue"</v>
      </c>
      <c r="IQ3" s="48" t="str">
        <f t="shared" ref="IQ3:IQ9" si="96">IF(HR3&lt;&gt;"",CHAR(34)&amp;"green"&amp;CHAR(34),"")</f>
        <v>"green"</v>
      </c>
      <c r="IR3" s="48" t="str">
        <f t="shared" ref="IR3:IR9" si="97">IF(HS3&lt;&gt;"",CHAR(34)&amp;"red"&amp;CHAR(34),"")</f>
        <v/>
      </c>
      <c r="IS3" s="48" t="str">
        <f t="shared" ref="IS3:IS9" si="98">IF(HT3&lt;&gt;"",CHAR(34)&amp;"yellow"&amp;CHAR(34),"")</f>
        <v/>
      </c>
      <c r="IT3" s="48" t="str">
        <f t="shared" ref="IT3:IT9" si="99">IF(HU3&lt;&gt;"",CHAR(34)&amp;"orange"&amp;CHAR(34),"")</f>
        <v/>
      </c>
      <c r="IU3" s="48" t="str">
        <f t="shared" ref="IU3:IU9" si="100">IF(HV3&lt;&gt;"",CHAR(34)&amp;"brown"&amp;CHAR(34),"")</f>
        <v/>
      </c>
      <c r="IV3" s="48" t="str">
        <f t="shared" ref="IV3:IV9" si="101">IF(HW3&lt;&gt;"",CHAR(34)&amp;"purple"&amp;CHAR(34),"")</f>
        <v/>
      </c>
      <c r="IW3" s="48" t="str">
        <f t="shared" ref="IW3:IW9" si="102">IF(HX3&lt;&gt;"",CHAR(34)&amp;"white"&amp;CHAR(34),"")</f>
        <v>"white"</v>
      </c>
      <c r="IX3" s="48" t="str">
        <f t="shared" ref="IX3:IX9" si="103">"{"&amp;CHAR(34)&amp;"url"&amp;CHAR(34)&amp;":"&amp;CHAR(34)&amp;IN3&amp;CHAR(34)&amp;","&amp;CHAR(34)&amp;"name"&amp;CHAR(34)&amp;":"&amp;CHAR(34)&amp;A3&amp;CHAR(34)&amp;"},"</f>
        <v>{"url":"http://mkweb.bcgsc.ca/color-summarizer/?url=https://upload.wikimedia.org/wikipedia/commons/thumb/d/d1/Flag_of_Artigas.svg/640px-Flag_of_Artigas.svg.png&amp;precision=low&amp;num_clusters=3&amp;text=1","name":"[URU] Artigas"},</v>
      </c>
      <c r="IY3" s="48">
        <v>342</v>
      </c>
    </row>
    <row r="4" spans="1:259" s="48" customFormat="1" ht="38.4" customHeight="1" thickBot="1" x14ac:dyDescent="0.35">
      <c r="A4" s="79" t="s">
        <v>674</v>
      </c>
      <c r="B4" s="40" t="e" vm="95">
        <v>#VALUE!</v>
      </c>
      <c r="C4" s="41">
        <v>2</v>
      </c>
      <c r="D4" s="42" t="s">
        <v>675</v>
      </c>
      <c r="E4" s="43" t="s">
        <v>675</v>
      </c>
      <c r="F4" s="44" t="s">
        <v>166</v>
      </c>
      <c r="G4" s="45">
        <f>COUNTIF($A$1:$A$8288,A4)</f>
        <v>1</v>
      </c>
      <c r="H4" s="46"/>
      <c r="I4" s="47" t="s">
        <v>676</v>
      </c>
      <c r="J4" s="48" t="str">
        <f>""</f>
        <v/>
      </c>
      <c r="K4" s="49"/>
      <c r="L4" s="50"/>
      <c r="M4" s="50"/>
      <c r="N4" s="51" t="s">
        <v>169</v>
      </c>
      <c r="O4" s="52">
        <v>2010</v>
      </c>
      <c r="P4" s="53" t="s">
        <v>677</v>
      </c>
      <c r="Q4" s="54">
        <v>1</v>
      </c>
      <c r="R4" s="55" t="s">
        <v>169</v>
      </c>
      <c r="S4" s="56">
        <v>19</v>
      </c>
      <c r="T4" s="57" t="s">
        <v>173</v>
      </c>
      <c r="U4" s="58" t="s">
        <v>172</v>
      </c>
      <c r="V4" s="58" t="s">
        <v>173</v>
      </c>
      <c r="W4" s="58" t="s">
        <v>172</v>
      </c>
      <c r="X4" s="58" t="s">
        <v>172</v>
      </c>
      <c r="Y4" s="58" t="s">
        <v>172</v>
      </c>
      <c r="Z4" s="58" t="s">
        <v>172</v>
      </c>
      <c r="AA4" s="58" t="s">
        <v>172</v>
      </c>
      <c r="AB4" s="58" t="s">
        <v>172</v>
      </c>
      <c r="AC4" s="58" t="s">
        <v>172</v>
      </c>
      <c r="AD4" s="58" t="s">
        <v>172</v>
      </c>
      <c r="AE4" s="58" t="s">
        <v>172</v>
      </c>
      <c r="AF4" s="59" t="s">
        <v>172</v>
      </c>
      <c r="AG4" s="59" t="s">
        <v>173</v>
      </c>
      <c r="AH4" s="59" t="s">
        <v>173</v>
      </c>
      <c r="AI4" s="59" t="s">
        <v>172</v>
      </c>
      <c r="AJ4" s="59" t="s">
        <v>172</v>
      </c>
      <c r="AK4" s="59" t="s">
        <v>172</v>
      </c>
      <c r="AL4" s="59" t="s">
        <v>172</v>
      </c>
      <c r="AM4" s="59" t="s">
        <v>172</v>
      </c>
      <c r="AN4" s="59" t="s">
        <v>172</v>
      </c>
      <c r="AO4" s="59" t="s">
        <v>172</v>
      </c>
      <c r="AP4" s="59" t="s">
        <v>172</v>
      </c>
      <c r="AQ4" s="59" t="s">
        <v>172</v>
      </c>
      <c r="AR4" s="59" t="s">
        <v>173</v>
      </c>
      <c r="AS4" s="59" t="s">
        <v>172</v>
      </c>
      <c r="AT4" s="60">
        <v>0</v>
      </c>
      <c r="AU4" s="59" t="s">
        <v>607</v>
      </c>
      <c r="AV4" s="59" t="str">
        <f>IF(LEFT(A4,1)="[",LEFT(A4,5)&amp;AU4&amp;A4,"")</f>
        <v>[URU]Department[URU] Canelones</v>
      </c>
      <c r="AW4" s="59" t="str">
        <f>C4&amp;A4</f>
        <v>2[URU] Canelones</v>
      </c>
      <c r="AX4" s="61"/>
      <c r="AY4" s="61"/>
      <c r="AZ4" s="62" t="s">
        <v>155</v>
      </c>
      <c r="BA4" s="62"/>
      <c r="BB4" s="62"/>
      <c r="BC4" s="63"/>
      <c r="BD4" s="64" t="s">
        <v>152</v>
      </c>
      <c r="BE4" s="47"/>
      <c r="BF4" s="64" t="s">
        <v>152</v>
      </c>
      <c r="BG4" s="64"/>
      <c r="BH4" s="64" t="s">
        <v>159</v>
      </c>
      <c r="BI4" s="64"/>
      <c r="BJ4" s="64"/>
      <c r="BK4" s="47"/>
      <c r="BL4" s="64" t="s">
        <v>152</v>
      </c>
      <c r="BM4" s="64" t="s">
        <v>159</v>
      </c>
      <c r="BN4" s="64" t="s">
        <v>154</v>
      </c>
      <c r="BO4" s="64" t="s">
        <v>155</v>
      </c>
      <c r="BP4" s="64" t="s">
        <v>153</v>
      </c>
      <c r="BQ4" s="64"/>
      <c r="BR4" s="64"/>
      <c r="BS4" s="64"/>
      <c r="BT4" s="64"/>
      <c r="BU4" s="65"/>
      <c r="BV4" s="66"/>
      <c r="BW4" s="66">
        <v>0</v>
      </c>
      <c r="BX4" s="47"/>
      <c r="CB4" s="6"/>
      <c r="CC4" s="6"/>
      <c r="CD4" s="67">
        <v>0</v>
      </c>
      <c r="CE4" s="67">
        <v>0</v>
      </c>
      <c r="CF4" s="67" t="e">
        <v>#REF!</v>
      </c>
      <c r="CG4" s="68" cm="1">
        <f t="array" ref="CG4">SUMPRODUCT(--(LEN(TRIM(BL4:BT4))&gt;0))</f>
        <v>5</v>
      </c>
      <c r="CH4" s="59" t="str">
        <f t="shared" si="6"/>
        <v>n</v>
      </c>
      <c r="CI4" s="59" t="str">
        <f t="shared" si="7"/>
        <v>n</v>
      </c>
      <c r="CJ4" s="59" t="str">
        <f t="shared" si="8"/>
        <v>n</v>
      </c>
      <c r="CK4" s="59" t="str">
        <f t="shared" si="9"/>
        <v>y</v>
      </c>
      <c r="CL4" s="59" t="str">
        <f t="shared" si="10"/>
        <v>n</v>
      </c>
      <c r="CM4" s="59" t="str">
        <f t="shared" si="11"/>
        <v>n</v>
      </c>
      <c r="CN4" s="59" t="str">
        <f t="shared" si="12"/>
        <v>n</v>
      </c>
      <c r="CO4" s="59" t="str">
        <f t="shared" si="13"/>
        <v>y</v>
      </c>
      <c r="CP4" s="59" t="str">
        <f t="shared" si="14"/>
        <v>y</v>
      </c>
      <c r="CQ4" s="59" t="str">
        <f t="shared" si="15"/>
        <v>n</v>
      </c>
      <c r="CR4" s="59" t="str">
        <f t="shared" si="16"/>
        <v>n</v>
      </c>
      <c r="CS4" s="59" t="str">
        <f t="shared" si="17"/>
        <v>n</v>
      </c>
      <c r="CT4" s="69" t="str">
        <f t="shared" si="18"/>
        <v>"[URU] Canelones"</v>
      </c>
      <c r="CU4" s="70" t="str">
        <f t="shared" si="19"/>
        <v>"rgn_South America"</v>
      </c>
      <c r="CV4" s="48" t="str">
        <f t="shared" si="20"/>
        <v>"https://upload.wikimedia.org/wikipedia/commons/thumb/6/6f/Flag_of_Canelones_Department.svg/640px-Flag_of_Canelones_Department.svg.png"</v>
      </c>
      <c r="CW4" s="48" t="str">
        <f t="shared" si="0"/>
        <v/>
      </c>
      <c r="CX4" s="48" t="str">
        <f t="shared" si="0"/>
        <v/>
      </c>
      <c r="CY4" s="48" t="str">
        <f t="shared" si="0"/>
        <v/>
      </c>
      <c r="CZ4" s="48" t="str">
        <f t="shared" si="0"/>
        <v>"5+Colo",</v>
      </c>
      <c r="DA4" s="48" t="str">
        <f t="shared" si="21"/>
        <v/>
      </c>
      <c r="DB4" s="48" t="str">
        <f t="shared" si="22"/>
        <v/>
      </c>
      <c r="DC4" s="48" t="str">
        <f t="shared" si="23"/>
        <v/>
      </c>
      <c r="DD4" s="48" t="str">
        <f t="shared" si="24"/>
        <v>"lets09",</v>
      </c>
      <c r="DE4" s="48" t="str">
        <f t="shared" si="25"/>
        <v>"startC",</v>
      </c>
      <c r="DF4" s="48" t="str">
        <f t="shared" si="26"/>
        <v/>
      </c>
      <c r="DG4" s="48" t="str">
        <f t="shared" si="27"/>
        <v/>
      </c>
      <c r="DH4" s="48" t="str">
        <f t="shared" si="28"/>
        <v/>
      </c>
      <c r="DI4" s="48" t="str">
        <f t="shared" si="29"/>
        <v/>
      </c>
      <c r="DJ4" s="48" t="str">
        <f t="shared" si="30"/>
        <v/>
      </c>
      <c r="DK4" s="48" t="str">
        <f t="shared" si="31"/>
        <v/>
      </c>
      <c r="DL4" s="48" t="str">
        <f t="shared" si="32"/>
        <v/>
      </c>
      <c r="DM4" s="48" t="str" cm="1">
        <f t="array" ref="DM4">IF(CG4=3,CHAR(34) &amp; _xlfn.TEXTJOIN("", TRUE, RIGHT(HP4:HX4, 2)) &amp; CHAR(34) &amp; ",", "")</f>
        <v/>
      </c>
      <c r="DN4" s="48" t="str">
        <f t="shared" si="33"/>
        <v/>
      </c>
      <c r="DO4" s="48" t="str">
        <f t="shared" si="34"/>
        <v/>
      </c>
      <c r="DP4" s="6" t="str">
        <f t="shared" si="35"/>
        <v>"year00",</v>
      </c>
      <c r="DQ4" s="6" t="str">
        <f t="shared" si="36"/>
        <v/>
      </c>
      <c r="DR4" s="6" t="str">
        <f t="shared" si="37"/>
        <v/>
      </c>
      <c r="DS4" s="6" t="str">
        <f t="shared" si="38"/>
        <v/>
      </c>
      <c r="DT4" s="6" t="str">
        <f t="shared" si="39"/>
        <v>"allhor",</v>
      </c>
      <c r="DU4" s="6" t="str">
        <f t="shared" si="40"/>
        <v/>
      </c>
      <c r="DV4" s="48" t="str">
        <f t="shared" si="41"/>
        <v>"smallc",</v>
      </c>
      <c r="DW4" s="48" t="str">
        <f t="shared" si="1"/>
        <v/>
      </c>
      <c r="DX4" s="48" t="str">
        <f t="shared" si="1"/>
        <v/>
      </c>
      <c r="DY4" s="48" t="str">
        <f t="shared" si="1"/>
        <v/>
      </c>
      <c r="DZ4" s="48" t="str">
        <f t="shared" si="1"/>
        <v>"4+Band",</v>
      </c>
      <c r="EA4" s="48" t="str">
        <f t="shared" si="2"/>
        <v>"Diagon",</v>
      </c>
      <c r="EB4" s="48" t="str">
        <f t="shared" si="2"/>
        <v/>
      </c>
      <c r="EC4" s="48" t="str">
        <f t="shared" si="2"/>
        <v>"Horizo",</v>
      </c>
      <c r="ED4" s="48" t="str">
        <f t="shared" si="2"/>
        <v/>
      </c>
      <c r="EE4" s="48" t="str">
        <f t="shared" si="2"/>
        <v/>
      </c>
      <c r="EF4" s="48" t="str">
        <f t="shared" si="42"/>
        <v/>
      </c>
      <c r="EG4" s="48" t="str">
        <f t="shared" si="3"/>
        <v/>
      </c>
      <c r="EH4" s="48" t="str">
        <f t="shared" si="3"/>
        <v/>
      </c>
      <c r="EI4" s="48" t="str">
        <f t="shared" si="3"/>
        <v/>
      </c>
      <c r="EJ4" s="48" t="str">
        <f t="shared" si="3"/>
        <v/>
      </c>
      <c r="EK4" s="48" t="str">
        <f t="shared" si="3"/>
        <v/>
      </c>
      <c r="EL4" s="48" t="str">
        <f t="shared" si="3"/>
        <v/>
      </c>
      <c r="EM4" s="48" t="str">
        <f t="shared" si="3"/>
        <v/>
      </c>
      <c r="EN4" s="48" t="str">
        <f t="shared" si="3"/>
        <v>"Unequa",</v>
      </c>
      <c r="EO4" s="48" t="str">
        <f t="shared" si="3"/>
        <v>"Center",</v>
      </c>
      <c r="EP4" s="48" t="str">
        <f t="shared" si="3"/>
        <v/>
      </c>
      <c r="EQ4" s="48" t="str">
        <f t="shared" si="3"/>
        <v/>
      </c>
      <c r="ER4" s="48" t="str">
        <f t="shared" si="3"/>
        <v/>
      </c>
      <c r="ES4" s="48" t="str">
        <f t="shared" si="3"/>
        <v/>
      </c>
      <c r="ET4" s="48" t="str">
        <f t="shared" si="3"/>
        <v/>
      </c>
      <c r="EU4" s="48" t="str">
        <f t="shared" si="3"/>
        <v/>
      </c>
      <c r="EV4" s="48" t="str">
        <f t="shared" si="3"/>
        <v/>
      </c>
      <c r="EW4" s="48" t="str">
        <f t="shared" si="3"/>
        <v/>
      </c>
      <c r="EX4" s="48" t="str">
        <f t="shared" si="3"/>
        <v/>
      </c>
      <c r="EY4" s="48" t="str">
        <f t="shared" si="3"/>
        <v>"Rotate",</v>
      </c>
      <c r="EZ4" s="48" t="str">
        <f t="shared" si="3"/>
        <v/>
      </c>
      <c r="FA4" s="48" t="str">
        <f t="shared" si="43"/>
        <v/>
      </c>
      <c r="FB4" s="48" t="str">
        <f t="shared" si="44"/>
        <v/>
      </c>
      <c r="FC4" s="48" t="str">
        <f t="shared" si="45"/>
        <v/>
      </c>
      <c r="FD4" s="48" t="str">
        <f t="shared" si="46"/>
        <v/>
      </c>
      <c r="FE4" s="48" t="str">
        <f t="shared" si="47"/>
        <v/>
      </c>
      <c r="FF4" s="48" t="str">
        <f t="shared" si="48"/>
        <v/>
      </c>
      <c r="FG4" s="48" t="str">
        <f t="shared" si="49"/>
        <v/>
      </c>
      <c r="FH4" s="48" t="str">
        <f t="shared" si="50"/>
        <v/>
      </c>
      <c r="FI4" s="48" t="str">
        <f t="shared" si="51"/>
        <v/>
      </c>
      <c r="FJ4" s="48" t="str">
        <f t="shared" si="52"/>
        <v>"NO_BLA",</v>
      </c>
      <c r="FK4" s="48" t="str">
        <f t="shared" si="53"/>
        <v/>
      </c>
      <c r="FL4" s="48" t="str">
        <f t="shared" si="54"/>
        <v/>
      </c>
      <c r="FM4" s="48" t="str">
        <f t="shared" si="55"/>
        <v/>
      </c>
      <c r="FN4" s="48" t="str">
        <f t="shared" si="56"/>
        <v/>
      </c>
      <c r="FO4" s="48" t="str">
        <f t="shared" si="57"/>
        <v/>
      </c>
      <c r="FP4" s="48" t="str">
        <f t="shared" si="58"/>
        <v/>
      </c>
      <c r="FQ4" s="48" t="str">
        <f t="shared" si="59"/>
        <v>"001BLU",</v>
      </c>
      <c r="FR4" s="48" t="str">
        <f t="shared" si="60"/>
        <v/>
      </c>
      <c r="FS4" s="48" t="str">
        <f t="shared" si="61"/>
        <v>"003WHI",</v>
      </c>
      <c r="FT4" s="48" t="str">
        <f t="shared" si="62"/>
        <v>"myrBLU",</v>
      </c>
      <c r="FU4" s="48" t="str">
        <f t="shared" si="63"/>
        <v/>
      </c>
      <c r="FV4" s="48" t="str">
        <f t="shared" si="64"/>
        <v/>
      </c>
      <c r="FW4" s="48" t="str">
        <f t="shared" si="65"/>
        <v/>
      </c>
      <c r="FX4" s="48" t="str">
        <f t="shared" si="66"/>
        <v/>
      </c>
      <c r="FY4" s="48" t="str">
        <f t="shared" si="67"/>
        <v/>
      </c>
      <c r="FZ4" s="48" t="str">
        <f t="shared" si="68"/>
        <v/>
      </c>
      <c r="GA4" s="48" t="str">
        <f t="shared" si="69"/>
        <v/>
      </c>
      <c r="GB4" s="48" t="str">
        <f t="shared" si="70"/>
        <v/>
      </c>
      <c r="GC4" s="48" t="str">
        <f t="shared" si="71"/>
        <v/>
      </c>
      <c r="GD4" s="48" t="str">
        <f t="shared" si="72"/>
        <v/>
      </c>
      <c r="GE4" s="48" t="str">
        <f t="shared" si="73"/>
        <v/>
      </c>
      <c r="GF4" s="48" t="str">
        <f t="shared" si="74"/>
        <v/>
      </c>
      <c r="GG4" s="48" t="str">
        <f t="shared" si="75"/>
        <v/>
      </c>
      <c r="GH4" s="48" t="str">
        <f t="shared" si="76"/>
        <v/>
      </c>
      <c r="GI4" s="48" t="str">
        <f t="shared" si="77"/>
        <v/>
      </c>
      <c r="GJ4" s="48" t="str">
        <f t="shared" si="78"/>
        <v>"NoStar",</v>
      </c>
      <c r="GK4" s="48" t="str">
        <f t="shared" si="79"/>
        <v/>
      </c>
      <c r="GL4" s="48" t="str">
        <f t="shared" si="4"/>
        <v/>
      </c>
      <c r="GM4" s="48" t="str">
        <f t="shared" si="4"/>
        <v/>
      </c>
      <c r="GN4" s="48" t="str">
        <f t="shared" si="4"/>
        <v/>
      </c>
      <c r="GP4" s="48" t="str">
        <f t="shared" si="80"/>
        <v>"Department"</v>
      </c>
      <c r="GS4" s="48" t="str">
        <f t="shared" si="81"/>
        <v>["5+Colo","lets09","startC","year00","allhor","smallc","4+Band","Diagon","Horizo","Unequa","Center","Rotate","NO_BLA","001BLU","003WHI","myrBLU","NoStar"]</v>
      </c>
      <c r="GT4" s="48" t="str">
        <f t="shared" si="5"/>
        <v>"cl_BLU",</v>
      </c>
      <c r="GU4" s="48" t="str">
        <f t="shared" si="5"/>
        <v>"cl_WHI",</v>
      </c>
      <c r="GV4" s="48" t="str">
        <f t="shared" si="5"/>
        <v>"cl_RED",</v>
      </c>
      <c r="GW4" s="48" t="str">
        <f t="shared" si="5"/>
        <v>"cl_YEL",</v>
      </c>
      <c r="GX4" s="48" t="str">
        <f t="shared" si="5"/>
        <v>"cl_GRE",</v>
      </c>
      <c r="GY4" s="48" t="str">
        <f t="shared" si="5"/>
        <v/>
      </c>
      <c r="GZ4" s="48" t="str">
        <f t="shared" si="5"/>
        <v/>
      </c>
      <c r="HA4" s="48" t="str">
        <f t="shared" si="5"/>
        <v/>
      </c>
      <c r="HB4" s="48" t="str">
        <f t="shared" si="5"/>
        <v/>
      </c>
      <c r="HC4" s="48" t="str">
        <f t="shared" si="82"/>
        <v>["cl_BLU","cl_WHI","cl_RED","cl_YEL","cl_GRE"]</v>
      </c>
      <c r="HE4" s="71"/>
      <c r="HF4" s="72" t="str">
        <f t="shared" si="83"/>
        <v>{couname:"[URU] Canelones",year:"2010",region:"rgn_South America",Colors:["cl_BLU","cl_WHI","cl_RED","cl_YEL","cl_GRE"],Items:["5+Colo","lets09","startC","year00","allhor","smallc","4+Band","Diagon","Horizo","Unequa","Center","Rotate","NO_BLA","001BLU","003WHI","myrBLU","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isnew:".", links: "https://vexillology.fandom.com/wiki/Canelones_Department"},</v>
      </c>
      <c r="HG4" s="73" t="str">
        <f t="shared" si="84"/>
        <v>{couname:"[URU] Canelones",year:"2010",region:"rgn_South America",Colors:["cl_BLU","cl_WHI","cl_RED","cl_YEL","cl_GRE"],Items:["5+Colo","lets09","startC","year00","allhor","smallc","4+Band","Diagon","Horizo","Unequa","Center","Rotate","NO_BLA","001BLU","003WHI","myrBLU","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links: "https://vexillology.fandom.com/wiki/Canelones_Department"},</v>
      </c>
      <c r="HH4" s="48" t="str">
        <f t="shared" si="85"/>
        <v>"\nHas a white field with nine blue stripes representing the first flag and a red stripe running through the banner, just like the band that crosses the Artigas flag, for would therefore be a combination of the first flag with the flag of Artigas."</v>
      </c>
      <c r="HI4" s="48" t="str">
        <f t="shared" si="86"/>
        <v>"\nHas a white field with nine blue stripes representing the first flag and a red stripe running through the banner, just like the band that crosses the Artigas flag, for would therefore be a combination of the first flag with the flag of Artigas."</v>
      </c>
      <c r="HJ4" s="48" t="str">
        <f t="shared" si="87"/>
        <v>"2010"</v>
      </c>
      <c r="HL4" s="48" t="str">
        <f t="shared" si="88"/>
        <v>"https://vexillology.fandom.com/wiki/Canelones_Department"</v>
      </c>
      <c r="HM4" s="72" t="str">
        <f t="shared" si="89"/>
        <v>{"couname":"[URU] Canelones","year":"2010","region":"rgn_South America","Colors":["cl_BLU","cl_WHI","cl_RED","cl_YEL","cl_GRE"],"Items":["5+Colo","lets09","startC","year00","allhor","smallc","4+Band","Diagon","Horizo","Unequa","Center","Rotate","NO_BLA","001BLU","003WHI","myrBLU","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"isnew": ".", "links": "https://vexillology.fandom.com/wiki/Canelones_Department"},</v>
      </c>
      <c r="HN4" s="74" t="str">
        <f t="shared" si="90"/>
        <v>{"couname":"[URU] Canelones","year":"2010","region":"rgn_South America","Colors":["cl_BLU","cl_WHI","cl_RED","cl_YEL","cl_GRE"],"Items":["5+Colo","lets09","startC","year00","allhor","smallc","4+Band","Diagon","Horizo","Unequa","Center","Rotate","NO_BLA","001BLU","003WHI","myrBLU","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"isnew": ".", "links": "https://vexillology.fandom.com/wiki/Canelones_Department"},</v>
      </c>
      <c r="HO4" s="75"/>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t="s">
        <v>172</v>
      </c>
      <c r="IB4" s="6"/>
      <c r="IC4" s="77"/>
      <c r="ID4" s="77"/>
      <c r="IE4" s="77"/>
      <c r="IF4" s="77"/>
      <c r="IG4" s="77"/>
      <c r="IH4" s="77"/>
      <c r="II4" s="77"/>
      <c r="IJ4" s="77"/>
      <c r="IK4" s="77"/>
      <c r="IL4" s="48">
        <f t="shared" si="91"/>
        <v>0</v>
      </c>
      <c r="IM4" s="45">
        <f t="shared" si="92"/>
        <v>-5</v>
      </c>
      <c r="IN4" s="78" t="str">
        <f t="shared" si="93"/>
        <v>http://mkweb.bcgsc.ca/color-summarizer/?url=https://upload.wikimedia.org/wikipedia/commons/thumb/6/6f/Flag_of_Canelones_Department.svg/640px-Flag_of_Canelones_Department.svg.png&amp;precision=low&amp;num_clusters=5&amp;text=1</v>
      </c>
      <c r="IO4" s="48" t="str">
        <f t="shared" si="94"/>
        <v/>
      </c>
      <c r="IP4" s="48" t="str">
        <f t="shared" si="95"/>
        <v>"blue"</v>
      </c>
      <c r="IQ4" s="48" t="str">
        <f t="shared" si="96"/>
        <v>"green"</v>
      </c>
      <c r="IR4" s="48" t="str">
        <f t="shared" si="97"/>
        <v>"red"</v>
      </c>
      <c r="IS4" s="48" t="str">
        <f t="shared" si="98"/>
        <v>"yellow"</v>
      </c>
      <c r="IT4" s="48" t="str">
        <f t="shared" si="99"/>
        <v/>
      </c>
      <c r="IU4" s="48" t="str">
        <f t="shared" si="100"/>
        <v/>
      </c>
      <c r="IV4" s="48" t="str">
        <f t="shared" si="101"/>
        <v/>
      </c>
      <c r="IW4" s="48" t="str">
        <f t="shared" si="102"/>
        <v>"white"</v>
      </c>
      <c r="IX4" s="48" t="str">
        <f t="shared" si="103"/>
        <v>{"url":"http://mkweb.bcgsc.ca/color-summarizer/?url=https://upload.wikimedia.org/wikipedia/commons/thumb/6/6f/Flag_of_Canelones_Department.svg/640px-Flag_of_Canelones_Department.svg.png&amp;precision=low&amp;num_clusters=5&amp;text=1","name":"[URU] Canelones"},</v>
      </c>
      <c r="IY4" s="48">
        <v>343</v>
      </c>
    </row>
    <row r="5" spans="1:259" s="48" customFormat="1" ht="38.4" customHeight="1" thickBot="1" x14ac:dyDescent="0.35">
      <c r="A5" s="79" t="s">
        <v>678</v>
      </c>
      <c r="B5" s="40" t="e" vm="96">
        <v>#VALUE!</v>
      </c>
      <c r="C5" s="41">
        <v>2</v>
      </c>
      <c r="D5" s="42" t="s">
        <v>679</v>
      </c>
      <c r="E5" s="43" t="s">
        <v>680</v>
      </c>
      <c r="F5" s="44" t="s">
        <v>166</v>
      </c>
      <c r="G5" s="45">
        <f>COUNTIF($A$1:$A$8288,A5)</f>
        <v>1</v>
      </c>
      <c r="H5" s="46"/>
      <c r="I5" s="47" t="s">
        <v>681</v>
      </c>
      <c r="J5" s="48" t="str">
        <f>""</f>
        <v/>
      </c>
      <c r="K5" s="49"/>
      <c r="L5" s="50"/>
      <c r="M5" s="50"/>
      <c r="N5" s="51" t="s">
        <v>169</v>
      </c>
      <c r="O5" s="52">
        <v>2018</v>
      </c>
      <c r="P5" s="53" t="s">
        <v>682</v>
      </c>
      <c r="Q5" s="54">
        <v>2</v>
      </c>
      <c r="R5" s="55" t="s">
        <v>169</v>
      </c>
      <c r="S5" s="56">
        <v>7</v>
      </c>
      <c r="T5" s="57" t="s">
        <v>172</v>
      </c>
      <c r="U5" s="58" t="s">
        <v>172</v>
      </c>
      <c r="V5" s="58" t="s">
        <v>173</v>
      </c>
      <c r="W5" s="58" t="s">
        <v>172</v>
      </c>
      <c r="X5" s="58" t="s">
        <v>172</v>
      </c>
      <c r="Y5" s="58" t="s">
        <v>172</v>
      </c>
      <c r="Z5" s="58" t="s">
        <v>172</v>
      </c>
      <c r="AA5" s="58" t="s">
        <v>172</v>
      </c>
      <c r="AB5" s="58" t="s">
        <v>172</v>
      </c>
      <c r="AC5" s="58" t="s">
        <v>172</v>
      </c>
      <c r="AD5" s="58" t="s">
        <v>172</v>
      </c>
      <c r="AE5" s="58" t="s">
        <v>172</v>
      </c>
      <c r="AF5" s="59" t="s">
        <v>172</v>
      </c>
      <c r="AG5" s="59" t="s">
        <v>173</v>
      </c>
      <c r="AH5" s="59" t="s">
        <v>172</v>
      </c>
      <c r="AI5" s="59" t="s">
        <v>172</v>
      </c>
      <c r="AJ5" s="59" t="s">
        <v>172</v>
      </c>
      <c r="AK5" s="59" t="s">
        <v>173</v>
      </c>
      <c r="AL5" s="59" t="s">
        <v>172</v>
      </c>
      <c r="AM5" s="59" t="s">
        <v>172</v>
      </c>
      <c r="AN5" s="59" t="s">
        <v>172</v>
      </c>
      <c r="AO5" s="59" t="s">
        <v>172</v>
      </c>
      <c r="AP5" s="59" t="s">
        <v>172</v>
      </c>
      <c r="AQ5" s="59" t="s">
        <v>172</v>
      </c>
      <c r="AR5" s="59" t="s">
        <v>173</v>
      </c>
      <c r="AS5" s="59" t="s">
        <v>172</v>
      </c>
      <c r="AT5" s="60">
        <v>0</v>
      </c>
      <c r="AU5" s="59" t="s">
        <v>607</v>
      </c>
      <c r="AV5" s="59" t="str">
        <f>IF(LEFT(A5,1)="[",LEFT(A5,5)&amp;AU5&amp;A5,"")</f>
        <v>[URU]Department[URU] Cerro Largo</v>
      </c>
      <c r="AW5" s="59" t="str">
        <f>C5&amp;A5</f>
        <v>2[URU] Cerro Largo</v>
      </c>
      <c r="AX5" s="61"/>
      <c r="AY5" s="61"/>
      <c r="AZ5" s="62" t="s">
        <v>159</v>
      </c>
      <c r="BA5" s="62"/>
      <c r="BB5" s="62"/>
      <c r="BC5" s="63"/>
      <c r="BD5" s="64" t="s">
        <v>153</v>
      </c>
      <c r="BE5" s="47"/>
      <c r="BF5" s="64" t="s">
        <v>153</v>
      </c>
      <c r="BG5" s="64" t="s">
        <v>153</v>
      </c>
      <c r="BH5" s="64" t="s">
        <v>153</v>
      </c>
      <c r="BI5" s="64" t="s">
        <v>155</v>
      </c>
      <c r="BJ5" s="64"/>
      <c r="BK5" s="47"/>
      <c r="BL5" s="64" t="s">
        <v>153</v>
      </c>
      <c r="BM5" s="64" t="s">
        <v>155</v>
      </c>
      <c r="BN5" s="64" t="s">
        <v>152</v>
      </c>
      <c r="BO5" s="64" t="s">
        <v>159</v>
      </c>
      <c r="BP5" s="64"/>
      <c r="BQ5" s="64"/>
      <c r="BR5" s="64"/>
      <c r="BS5" s="64"/>
      <c r="BT5" s="64"/>
      <c r="BU5" s="65" t="s">
        <v>172</v>
      </c>
      <c r="BV5" s="66"/>
      <c r="BW5" s="66">
        <v>0</v>
      </c>
      <c r="BX5" s="47"/>
      <c r="CB5" s="6"/>
      <c r="CC5" s="6"/>
      <c r="CD5" s="67">
        <v>0</v>
      </c>
      <c r="CE5" s="67">
        <v>0</v>
      </c>
      <c r="CF5" s="67" t="e">
        <v>#REF!</v>
      </c>
      <c r="CG5" s="68" cm="1">
        <f t="array" ref="CG5">SUMPRODUCT(--(LEN(TRIM(BL5:BT5))&gt;0))</f>
        <v>4</v>
      </c>
      <c r="CH5" s="59" t="str">
        <f t="shared" si="6"/>
        <v>n</v>
      </c>
      <c r="CI5" s="59" t="str">
        <f t="shared" si="7"/>
        <v>n</v>
      </c>
      <c r="CJ5" s="59" t="str">
        <f t="shared" si="8"/>
        <v>y</v>
      </c>
      <c r="CK5" s="59" t="str">
        <f t="shared" si="9"/>
        <v>n</v>
      </c>
      <c r="CL5" s="59" t="str">
        <f t="shared" si="10"/>
        <v>n</v>
      </c>
      <c r="CM5" s="59" t="str">
        <f t="shared" si="11"/>
        <v>n</v>
      </c>
      <c r="CN5" s="59" t="str">
        <f t="shared" si="12"/>
        <v>n</v>
      </c>
      <c r="CO5" s="59" t="str">
        <f t="shared" si="13"/>
        <v>y</v>
      </c>
      <c r="CP5" s="59" t="str">
        <f t="shared" si="14"/>
        <v>y</v>
      </c>
      <c r="CQ5" s="59" t="str">
        <f t="shared" si="15"/>
        <v>n</v>
      </c>
      <c r="CR5" s="59" t="str">
        <f t="shared" si="16"/>
        <v>n</v>
      </c>
      <c r="CS5" s="59" t="str">
        <f t="shared" si="17"/>
        <v>n</v>
      </c>
      <c r="CT5" s="69" t="str">
        <f t="shared" si="18"/>
        <v>"[URU] Cerro Largo"</v>
      </c>
      <c r="CU5" s="70" t="str">
        <f t="shared" si="19"/>
        <v>"rgn_South America"</v>
      </c>
      <c r="CV5" s="48" t="str">
        <f t="shared" si="20"/>
        <v>"https://upload.wikimedia.org/wikipedia/commons/thumb/2/2f/Flag_of_Cerro_Largo_Department.svg/640px-Flag_of_Cerro_Largo_Department.svg.png"</v>
      </c>
      <c r="CW5" s="48" t="str">
        <f t="shared" si="0"/>
        <v/>
      </c>
      <c r="CX5" s="48" t="str">
        <f t="shared" si="0"/>
        <v/>
      </c>
      <c r="CY5" s="48" t="str">
        <f t="shared" si="0"/>
        <v>"4Color",</v>
      </c>
      <c r="CZ5" s="48" t="str">
        <f t="shared" si="0"/>
        <v/>
      </c>
      <c r="DA5" s="48" t="str">
        <f t="shared" si="21"/>
        <v>"words2",</v>
      </c>
      <c r="DB5" s="48" t="str">
        <f t="shared" si="22"/>
        <v/>
      </c>
      <c r="DC5" s="48" t="str">
        <f t="shared" si="23"/>
        <v>"exact2",</v>
      </c>
      <c r="DD5" s="48" t="str">
        <f t="shared" si="24"/>
        <v>"lets10",</v>
      </c>
      <c r="DE5" s="48" t="str">
        <f t="shared" si="25"/>
        <v>"startC",</v>
      </c>
      <c r="DF5" s="48" t="str">
        <f t="shared" si="26"/>
        <v/>
      </c>
      <c r="DG5" s="48" t="str">
        <f t="shared" si="27"/>
        <v/>
      </c>
      <c r="DH5" s="48" t="str">
        <f t="shared" si="28"/>
        <v/>
      </c>
      <c r="DI5" s="48" t="str">
        <f t="shared" si="29"/>
        <v/>
      </c>
      <c r="DJ5" s="48" t="str">
        <f t="shared" si="30"/>
        <v/>
      </c>
      <c r="DK5" s="48" t="str">
        <f t="shared" si="31"/>
        <v/>
      </c>
      <c r="DL5" s="48" t="str">
        <f t="shared" si="32"/>
        <v/>
      </c>
      <c r="DM5" s="48" t="str" cm="1">
        <f t="array" ref="DM5">IF(CG5=3,CHAR(34) &amp; _xlfn.TEXTJOIN("", TRUE, RIGHT(HP5:HX5, 2)) &amp; CHAR(34) &amp; ",", "")</f>
        <v/>
      </c>
      <c r="DN5" s="48" t="str">
        <f t="shared" si="33"/>
        <v/>
      </c>
      <c r="DO5" s="48" t="str">
        <f t="shared" si="34"/>
        <v/>
      </c>
      <c r="DP5" s="6" t="str">
        <f t="shared" si="35"/>
        <v>"year00",</v>
      </c>
      <c r="DQ5" s="6" t="str">
        <f t="shared" si="36"/>
        <v/>
      </c>
      <c r="DR5" s="6" t="str">
        <f t="shared" si="37"/>
        <v/>
      </c>
      <c r="DS5" s="6" t="str">
        <f t="shared" si="38"/>
        <v/>
      </c>
      <c r="DT5" s="6" t="str">
        <f t="shared" si="39"/>
        <v>"allhor",</v>
      </c>
      <c r="DU5" s="6" t="str">
        <f t="shared" si="40"/>
        <v/>
      </c>
      <c r="DV5" s="48" t="str">
        <f t="shared" si="41"/>
        <v/>
      </c>
      <c r="DW5" s="48" t="str">
        <f t="shared" si="1"/>
        <v/>
      </c>
      <c r="DX5" s="48" t="str">
        <f t="shared" si="1"/>
        <v/>
      </c>
      <c r="DY5" s="48" t="str">
        <f t="shared" si="1"/>
        <v/>
      </c>
      <c r="DZ5" s="48" t="str">
        <f t="shared" si="1"/>
        <v>"4+Band",</v>
      </c>
      <c r="EA5" s="48" t="str">
        <f t="shared" si="2"/>
        <v/>
      </c>
      <c r="EB5" s="48" t="str">
        <f t="shared" si="2"/>
        <v/>
      </c>
      <c r="EC5" s="48" t="str">
        <f t="shared" si="2"/>
        <v>"Horizo",</v>
      </c>
      <c r="ED5" s="48" t="str">
        <f t="shared" si="2"/>
        <v/>
      </c>
      <c r="EE5" s="48" t="str">
        <f t="shared" si="2"/>
        <v/>
      </c>
      <c r="EF5" s="48" t="str">
        <f t="shared" si="42"/>
        <v/>
      </c>
      <c r="EG5" s="48" t="str">
        <f t="shared" si="3"/>
        <v/>
      </c>
      <c r="EH5" s="48" t="str">
        <f t="shared" si="3"/>
        <v/>
      </c>
      <c r="EI5" s="48" t="str">
        <f t="shared" si="3"/>
        <v/>
      </c>
      <c r="EJ5" s="48" t="str">
        <f t="shared" si="3"/>
        <v/>
      </c>
      <c r="EK5" s="48" t="str">
        <f t="shared" si="3"/>
        <v/>
      </c>
      <c r="EL5" s="48" t="str">
        <f t="shared" si="3"/>
        <v/>
      </c>
      <c r="EM5" s="48" t="str">
        <f t="shared" si="3"/>
        <v/>
      </c>
      <c r="EN5" s="48" t="str">
        <f t="shared" si="3"/>
        <v>"Unequa",</v>
      </c>
      <c r="EO5" s="48" t="str">
        <f t="shared" si="3"/>
        <v/>
      </c>
      <c r="EP5" s="48" t="str">
        <f t="shared" si="3"/>
        <v/>
      </c>
      <c r="EQ5" s="48" t="str">
        <f t="shared" si="3"/>
        <v/>
      </c>
      <c r="ER5" s="48" t="str">
        <f t="shared" si="3"/>
        <v>"OnlyBa",</v>
      </c>
      <c r="ES5" s="48" t="str">
        <f t="shared" si="3"/>
        <v/>
      </c>
      <c r="ET5" s="48" t="str">
        <f t="shared" si="3"/>
        <v/>
      </c>
      <c r="EU5" s="48" t="str">
        <f t="shared" si="3"/>
        <v/>
      </c>
      <c r="EV5" s="48" t="str">
        <f t="shared" si="3"/>
        <v/>
      </c>
      <c r="EW5" s="48" t="str">
        <f t="shared" si="3"/>
        <v/>
      </c>
      <c r="EX5" s="48" t="str">
        <f t="shared" si="3"/>
        <v/>
      </c>
      <c r="EY5" s="48" t="str">
        <f t="shared" si="3"/>
        <v>"Rotate",</v>
      </c>
      <c r="EZ5" s="48" t="str">
        <f t="shared" si="3"/>
        <v/>
      </c>
      <c r="FA5" s="48" t="str">
        <f t="shared" si="43"/>
        <v/>
      </c>
      <c r="FB5" s="48" t="str">
        <f t="shared" si="44"/>
        <v/>
      </c>
      <c r="FC5" s="48" t="str">
        <f t="shared" si="45"/>
        <v/>
      </c>
      <c r="FD5" s="48" t="str">
        <f t="shared" si="46"/>
        <v/>
      </c>
      <c r="FE5" s="48" t="str">
        <f t="shared" si="47"/>
        <v/>
      </c>
      <c r="FF5" s="48" t="str">
        <f t="shared" si="48"/>
        <v/>
      </c>
      <c r="FG5" s="48" t="str">
        <f t="shared" si="49"/>
        <v>"NO_RED",</v>
      </c>
      <c r="FH5" s="48" t="str">
        <f t="shared" si="50"/>
        <v/>
      </c>
      <c r="FI5" s="48" t="str">
        <f t="shared" si="51"/>
        <v/>
      </c>
      <c r="FJ5" s="48" t="str">
        <f t="shared" si="52"/>
        <v>"NO_BLA",</v>
      </c>
      <c r="FK5" s="48" t="str">
        <f t="shared" si="53"/>
        <v/>
      </c>
      <c r="FL5" s="48" t="str">
        <f t="shared" si="54"/>
        <v/>
      </c>
      <c r="FM5" s="48" t="str">
        <f t="shared" si="55"/>
        <v/>
      </c>
      <c r="FN5" s="48" t="str">
        <f t="shared" si="56"/>
        <v/>
      </c>
      <c r="FO5" s="48" t="str">
        <f t="shared" si="57"/>
        <v/>
      </c>
      <c r="FP5" s="48" t="str">
        <f t="shared" si="58"/>
        <v/>
      </c>
      <c r="FQ5" s="48" t="str">
        <f t="shared" si="59"/>
        <v>"001GRE",</v>
      </c>
      <c r="FR5" s="48" t="str">
        <f t="shared" si="60"/>
        <v>"002GRE",</v>
      </c>
      <c r="FS5" s="48" t="str">
        <f t="shared" si="61"/>
        <v>"003GRE",</v>
      </c>
      <c r="FT5" s="48" t="str">
        <f t="shared" si="62"/>
        <v>"myrGRE",</v>
      </c>
      <c r="FU5" s="48" t="str">
        <f t="shared" si="63"/>
        <v/>
      </c>
      <c r="FV5" s="48" t="str">
        <f t="shared" si="64"/>
        <v/>
      </c>
      <c r="FW5" s="48" t="str">
        <f t="shared" si="65"/>
        <v/>
      </c>
      <c r="FX5" s="48" t="str">
        <f t="shared" si="66"/>
        <v/>
      </c>
      <c r="FY5" s="48" t="str">
        <f t="shared" si="67"/>
        <v/>
      </c>
      <c r="FZ5" s="48" t="str">
        <f t="shared" si="68"/>
        <v/>
      </c>
      <c r="GA5" s="48" t="str">
        <f t="shared" si="69"/>
        <v/>
      </c>
      <c r="GB5" s="48" t="str">
        <f t="shared" si="70"/>
        <v/>
      </c>
      <c r="GC5" s="48" t="str">
        <f t="shared" si="71"/>
        <v/>
      </c>
      <c r="GD5" s="48" t="str">
        <f t="shared" si="72"/>
        <v/>
      </c>
      <c r="GE5" s="48" t="str">
        <f t="shared" si="73"/>
        <v/>
      </c>
      <c r="GF5" s="48" t="str">
        <f t="shared" si="74"/>
        <v/>
      </c>
      <c r="GG5" s="48" t="str">
        <f t="shared" si="75"/>
        <v/>
      </c>
      <c r="GH5" s="48" t="str">
        <f t="shared" si="76"/>
        <v/>
      </c>
      <c r="GI5" s="48" t="str">
        <f t="shared" si="77"/>
        <v/>
      </c>
      <c r="GJ5" s="48" t="str">
        <f t="shared" si="78"/>
        <v>"NoStar",</v>
      </c>
      <c r="GK5" s="48" t="str">
        <f t="shared" si="79"/>
        <v/>
      </c>
      <c r="GL5" s="48" t="str">
        <f t="shared" si="4"/>
        <v/>
      </c>
      <c r="GM5" s="48" t="str">
        <f t="shared" si="4"/>
        <v/>
      </c>
      <c r="GN5" s="48" t="str">
        <f t="shared" si="4"/>
        <v/>
      </c>
      <c r="GP5" s="48" t="str">
        <f t="shared" si="80"/>
        <v>"Department"</v>
      </c>
      <c r="GS5" s="48" t="str">
        <f t="shared" si="81"/>
        <v>["4Color","words2","exact2","lets10","startC","year00","allhor","4+Band","Horizo","Unequa","OnlyBa","Rotate","NO_RED","NO_BLA","001GRE","002GRE","003GRE","myrGRE","NoStar"]</v>
      </c>
      <c r="GT5" s="48" t="str">
        <f t="shared" si="5"/>
        <v>"cl_GRE",</v>
      </c>
      <c r="GU5" s="48" t="str">
        <f t="shared" si="5"/>
        <v>"cl_YEL",</v>
      </c>
      <c r="GV5" s="48" t="str">
        <f t="shared" si="5"/>
        <v>"cl_BLU",</v>
      </c>
      <c r="GW5" s="48" t="str">
        <f t="shared" si="5"/>
        <v>"cl_WHI",</v>
      </c>
      <c r="GX5" s="48" t="str">
        <f t="shared" si="5"/>
        <v/>
      </c>
      <c r="GY5" s="48" t="str">
        <f t="shared" si="5"/>
        <v/>
      </c>
      <c r="GZ5" s="48" t="str">
        <f t="shared" si="5"/>
        <v/>
      </c>
      <c r="HA5" s="48" t="str">
        <f t="shared" si="5"/>
        <v/>
      </c>
      <c r="HB5" s="48" t="str">
        <f t="shared" si="5"/>
        <v/>
      </c>
      <c r="HC5" s="48" t="str">
        <f t="shared" si="82"/>
        <v>["cl_GRE","cl_YEL","cl_BLU","cl_WHI"]</v>
      </c>
      <c r="HE5" s="71"/>
      <c r="HF5" s="72" t="str">
        <f t="shared" si="83"/>
        <v>{couname:"[URU] Cerro Largo",year:"2018",region:"rgn_South America",Colors:["cl_GRE","cl_YEL","cl_BLU","cl_WHI"],Items:["4Color","words2","exact2","lets10","startC","year00","allhor","4+Band","Horizo","Unequa","OnlyBa","Rotate","NO_RED","NO_BLA","001GRE","002GRE","003GRE","myrGRE","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links: "https://vexillology.fandom.com/wiki/Cerro_Largo_Department"},</v>
      </c>
      <c r="HG5" s="73" t="str">
        <f t="shared" si="84"/>
        <v>{couname:"[URU] Cerro Largo",year:"2018",region:"rgn_South America",Colors:["cl_GRE","cl_YEL","cl_BLU","cl_WHI"],Items:["4Color","words2","exact2","lets10","startC","year00","allhor","4+Band","Horizo","Unequa","OnlyBa","Rotate","NO_RED","NO_BLA","001GRE","002GRE","003GRE","myrGRE","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links: "https://vexillology.fandom.com/wiki/Cerro_Largo_Department"},</v>
      </c>
      <c r="HH5" s="48" t="str">
        <f t="shared" si="85"/>
        <v>"\nThe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v>
      </c>
      <c r="HI5" s="48" t="str">
        <f t="shared" si="86"/>
        <v>"\nThe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v>
      </c>
      <c r="HJ5" s="48" t="str">
        <f t="shared" si="87"/>
        <v>"2018"</v>
      </c>
      <c r="HL5" s="48" t="str">
        <f t="shared" si="88"/>
        <v>"https://vexillology.fandom.com/wiki/Cerro_Largo_Department"</v>
      </c>
      <c r="HM5" s="72" t="str">
        <f t="shared" si="89"/>
        <v>{"couname":"[URU] Cerro Largo","year":"2018","region":"rgn_South America","Colors":["cl_GRE","cl_YEL","cl_BLU","cl_WHI"],"Items":["4Color","words2","exact2","lets10","startC","year00","allhor","4+Band","Horizo","Unequa","OnlyBa","Rotate","NO_RED","NO_BLA","001GRE","002GRE","003GRE","myrGRE","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 "links": "https://vexillology.fandom.com/wiki/Cerro_Largo_Department"},</v>
      </c>
      <c r="HN5" s="74" t="str">
        <f t="shared" si="90"/>
        <v>{"couname":"[URU] Cerro Largo","year":"2018","region":"rgn_South America","Colors":["cl_GRE","cl_YEL","cl_BLU","cl_WHI"],"Items":["4Color","words2","exact2","lets10","startC","year00","allhor","4+Band","Horizo","Unequa","OnlyBa","Rotate","NO_RED","NO_BLA","001GRE","002GRE","003GRE","myrGRE","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 "links": "https://vexillology.fandom.com/wiki/Cerro_Largo_Department"},</v>
      </c>
      <c r="HO5" s="75"/>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L5" s="48">
        <f t="shared" si="91"/>
        <v>0</v>
      </c>
      <c r="IM5" s="45">
        <f t="shared" si="92"/>
        <v>-4</v>
      </c>
      <c r="IN5" s="78" t="str">
        <f t="shared" si="93"/>
        <v>http://mkweb.bcgsc.ca/color-summarizer/?url=https://upload.wikimedia.org/wikipedia/commons/thumb/2/2f/Flag_of_Cerro_Largo_Department.svg/640px-Flag_of_Cerro_Largo_Department.svg.png&amp;precision=low&amp;num_clusters=4&amp;text=1</v>
      </c>
      <c r="IO5" s="48" t="str">
        <f t="shared" si="94"/>
        <v/>
      </c>
      <c r="IP5" s="48" t="str">
        <f t="shared" si="95"/>
        <v>"blue"</v>
      </c>
      <c r="IQ5" s="48" t="str">
        <f t="shared" si="96"/>
        <v>"green"</v>
      </c>
      <c r="IR5" s="48" t="str">
        <f t="shared" si="97"/>
        <v/>
      </c>
      <c r="IS5" s="48" t="str">
        <f t="shared" si="98"/>
        <v>"yellow"</v>
      </c>
      <c r="IT5" s="48" t="str">
        <f t="shared" si="99"/>
        <v/>
      </c>
      <c r="IU5" s="48" t="str">
        <f t="shared" si="100"/>
        <v/>
      </c>
      <c r="IV5" s="48" t="str">
        <f t="shared" si="101"/>
        <v/>
      </c>
      <c r="IW5" s="48" t="str">
        <f t="shared" si="102"/>
        <v>"white"</v>
      </c>
      <c r="IX5" s="48" t="str">
        <f t="shared" si="103"/>
        <v>{"url":"http://mkweb.bcgsc.ca/color-summarizer/?url=https://upload.wikimedia.org/wikipedia/commons/thumb/2/2f/Flag_of_Cerro_Largo_Department.svg/640px-Flag_of_Cerro_Largo_Department.svg.png&amp;precision=low&amp;num_clusters=4&amp;text=1","name":"[URU] Cerro Largo"},</v>
      </c>
      <c r="IY5" s="48">
        <v>344</v>
      </c>
    </row>
    <row r="6" spans="1:259" s="48" customFormat="1" ht="38.4" customHeight="1" thickBot="1" x14ac:dyDescent="0.35">
      <c r="A6" s="79" t="s">
        <v>683</v>
      </c>
      <c r="B6" s="40" t="e" vm="97">
        <v>#VALUE!</v>
      </c>
      <c r="C6" s="41">
        <v>2</v>
      </c>
      <c r="D6" s="42" t="s">
        <v>684</v>
      </c>
      <c r="E6" s="43" t="s">
        <v>685</v>
      </c>
      <c r="F6" s="44" t="s">
        <v>166</v>
      </c>
      <c r="G6" s="45">
        <f>COUNTIF($A$1:$A$8288,A6)</f>
        <v>1</v>
      </c>
      <c r="H6" s="46"/>
      <c r="I6" s="47" t="s">
        <v>686</v>
      </c>
      <c r="J6" s="48" t="str">
        <f>""</f>
        <v/>
      </c>
      <c r="K6" s="49"/>
      <c r="L6" s="50"/>
      <c r="M6" s="50"/>
      <c r="N6" s="51" t="s">
        <v>169</v>
      </c>
      <c r="O6" s="52">
        <v>2000</v>
      </c>
      <c r="P6" s="53" t="s">
        <v>687</v>
      </c>
      <c r="Q6" s="54">
        <v>1</v>
      </c>
      <c r="R6" s="55" t="s">
        <v>169</v>
      </c>
      <c r="S6" s="56">
        <v>0</v>
      </c>
      <c r="T6" s="57" t="s">
        <v>172</v>
      </c>
      <c r="U6" s="58" t="s">
        <v>172</v>
      </c>
      <c r="V6" s="58" t="s">
        <v>173</v>
      </c>
      <c r="W6" s="58" t="s">
        <v>172</v>
      </c>
      <c r="X6" s="58" t="s">
        <v>173</v>
      </c>
      <c r="Y6" s="58" t="s">
        <v>172</v>
      </c>
      <c r="Z6" s="58" t="s">
        <v>172</v>
      </c>
      <c r="AA6" s="58" t="s">
        <v>172</v>
      </c>
      <c r="AB6" s="58" t="s">
        <v>172</v>
      </c>
      <c r="AC6" s="58" t="s">
        <v>172</v>
      </c>
      <c r="AD6" s="58" t="s">
        <v>172</v>
      </c>
      <c r="AE6" s="58" t="s">
        <v>172</v>
      </c>
      <c r="AF6" s="59" t="s">
        <v>172</v>
      </c>
      <c r="AG6" s="59" t="s">
        <v>172</v>
      </c>
      <c r="AH6" s="59" t="s">
        <v>173</v>
      </c>
      <c r="AI6" s="59" t="s">
        <v>172</v>
      </c>
      <c r="AJ6" s="59" t="s">
        <v>172</v>
      </c>
      <c r="AK6" s="59" t="s">
        <v>172</v>
      </c>
      <c r="AL6" s="59" t="s">
        <v>172</v>
      </c>
      <c r="AM6" s="59" t="s">
        <v>173</v>
      </c>
      <c r="AN6" s="59" t="s">
        <v>172</v>
      </c>
      <c r="AO6" s="59" t="s">
        <v>172</v>
      </c>
      <c r="AP6" s="59" t="s">
        <v>172</v>
      </c>
      <c r="AQ6" s="59" t="s">
        <v>172</v>
      </c>
      <c r="AR6" s="59" t="s">
        <v>172</v>
      </c>
      <c r="AS6" s="59" t="s">
        <v>172</v>
      </c>
      <c r="AT6" s="60">
        <v>19</v>
      </c>
      <c r="AU6" s="59" t="s">
        <v>607</v>
      </c>
      <c r="AV6" s="59" t="str">
        <f>IF(LEFT(A6,1)="[",LEFT(A6,5)&amp;AU6&amp;A6,"")</f>
        <v>[URU]Department[URU] Durazno</v>
      </c>
      <c r="AW6" s="59" t="str">
        <f>C6&amp;A6</f>
        <v>2[URU] Durazno</v>
      </c>
      <c r="AX6" s="61"/>
      <c r="AY6" s="61"/>
      <c r="AZ6" s="62" t="s">
        <v>359</v>
      </c>
      <c r="BA6" s="62"/>
      <c r="BB6" s="62"/>
      <c r="BC6" s="63"/>
      <c r="BD6" s="64" t="s">
        <v>152</v>
      </c>
      <c r="BE6" s="47"/>
      <c r="BF6" s="64"/>
      <c r="BG6" s="64"/>
      <c r="BH6" s="64"/>
      <c r="BI6" s="64"/>
      <c r="BJ6" s="64"/>
      <c r="BK6" s="47"/>
      <c r="BL6" s="64" t="s">
        <v>152</v>
      </c>
      <c r="BM6" s="64" t="s">
        <v>159</v>
      </c>
      <c r="BN6" s="64" t="s">
        <v>155</v>
      </c>
      <c r="BO6" s="64" t="s">
        <v>153</v>
      </c>
      <c r="BP6" s="64" t="s">
        <v>154</v>
      </c>
      <c r="BQ6" s="64" t="s">
        <v>151</v>
      </c>
      <c r="BR6" s="64" t="s">
        <v>359</v>
      </c>
      <c r="BS6" s="64"/>
      <c r="BT6" s="64"/>
      <c r="BU6" s="65"/>
      <c r="BV6" s="66"/>
      <c r="BW6" s="66">
        <v>0</v>
      </c>
      <c r="BX6" s="47"/>
      <c r="CB6" s="6"/>
      <c r="CC6" s="6"/>
      <c r="CD6" s="67">
        <v>0</v>
      </c>
      <c r="CE6" s="67">
        <v>0</v>
      </c>
      <c r="CF6" s="67" t="e">
        <v>#REF!</v>
      </c>
      <c r="CG6" s="68" cm="1">
        <f t="array" ref="CG6">SUMPRODUCT(--(LEN(TRIM(BL6:BT6))&gt;0))</f>
        <v>7</v>
      </c>
      <c r="CH6" s="59" t="str">
        <f t="shared" si="6"/>
        <v>n</v>
      </c>
      <c r="CI6" s="59" t="str">
        <f t="shared" si="7"/>
        <v>n</v>
      </c>
      <c r="CJ6" s="59" t="str">
        <f t="shared" si="8"/>
        <v>n</v>
      </c>
      <c r="CK6" s="59" t="str">
        <f t="shared" si="9"/>
        <v>y</v>
      </c>
      <c r="CL6" s="59" t="str">
        <f t="shared" si="10"/>
        <v>y</v>
      </c>
      <c r="CM6" s="59" t="str">
        <f t="shared" si="11"/>
        <v>n</v>
      </c>
      <c r="CN6" s="59" t="str">
        <f t="shared" si="12"/>
        <v>n</v>
      </c>
      <c r="CO6" s="59" t="str">
        <f t="shared" si="13"/>
        <v>n</v>
      </c>
      <c r="CP6" s="59" t="str">
        <f t="shared" si="14"/>
        <v>n</v>
      </c>
      <c r="CQ6" s="59" t="str">
        <f t="shared" si="15"/>
        <v>n</v>
      </c>
      <c r="CR6" s="59" t="str">
        <f t="shared" si="16"/>
        <v>n</v>
      </c>
      <c r="CS6" s="59" t="str">
        <f t="shared" si="17"/>
        <v>y</v>
      </c>
      <c r="CT6" s="69" t="str">
        <f t="shared" si="18"/>
        <v>"[URU] Durazno"</v>
      </c>
      <c r="CU6" s="70" t="str">
        <f t="shared" si="19"/>
        <v>"rgn_South America"</v>
      </c>
      <c r="CV6" s="48" t="str">
        <f t="shared" si="20"/>
        <v>"https://upload.wikimedia.org/wikipedia/commons/thumb/5/5c/Flag_of_Durazno_Department.svg/1024px-Flag_of_Durazno_Department.svg.png"</v>
      </c>
      <c r="CW6" s="48" t="str">
        <f t="shared" si="0"/>
        <v/>
      </c>
      <c r="CX6" s="48" t="str">
        <f t="shared" si="0"/>
        <v/>
      </c>
      <c r="CY6" s="48" t="str">
        <f t="shared" si="0"/>
        <v/>
      </c>
      <c r="CZ6" s="48" t="str">
        <f t="shared" si="0"/>
        <v>"5+Colo",</v>
      </c>
      <c r="DA6" s="48" t="str">
        <f t="shared" si="21"/>
        <v/>
      </c>
      <c r="DB6" s="48" t="str">
        <f t="shared" si="22"/>
        <v/>
      </c>
      <c r="DC6" s="48" t="str">
        <f t="shared" si="23"/>
        <v/>
      </c>
      <c r="DD6" s="48" t="str">
        <f t="shared" si="24"/>
        <v>"lets07",</v>
      </c>
      <c r="DE6" s="48" t="str">
        <f t="shared" si="25"/>
        <v>"startD",</v>
      </c>
      <c r="DF6" s="48" t="str">
        <f t="shared" si="26"/>
        <v/>
      </c>
      <c r="DG6" s="48" t="str">
        <f t="shared" si="27"/>
        <v/>
      </c>
      <c r="DH6" s="48" t="str">
        <f t="shared" si="28"/>
        <v/>
      </c>
      <c r="DI6" s="48" t="str">
        <f t="shared" si="29"/>
        <v/>
      </c>
      <c r="DJ6" s="48" t="str">
        <f t="shared" si="30"/>
        <v/>
      </c>
      <c r="DK6" s="48" t="str">
        <f t="shared" si="31"/>
        <v>"with_z",</v>
      </c>
      <c r="DL6" s="48" t="str">
        <f t="shared" si="32"/>
        <v/>
      </c>
      <c r="DM6" s="48" t="str" cm="1">
        <f t="array" ref="DM6">IF(CG6=3,CHAR(34) &amp; _xlfn.TEXTJOIN("", TRUE, RIGHT(HP6:HX6, 2)) &amp; CHAR(34) &amp; ",", "")</f>
        <v/>
      </c>
      <c r="DN6" s="48" t="str">
        <f t="shared" si="33"/>
        <v/>
      </c>
      <c r="DO6" s="48" t="str">
        <f t="shared" si="34"/>
        <v/>
      </c>
      <c r="DP6" s="6" t="str">
        <f t="shared" si="35"/>
        <v>"year00",</v>
      </c>
      <c r="DQ6" s="6" t="str">
        <f t="shared" si="36"/>
        <v/>
      </c>
      <c r="DR6" s="6" t="str">
        <f t="shared" si="37"/>
        <v/>
      </c>
      <c r="DS6" s="6" t="str">
        <f t="shared" si="38"/>
        <v/>
      </c>
      <c r="DT6" s="6" t="str">
        <f t="shared" si="39"/>
        <v>"allhor",</v>
      </c>
      <c r="DU6" s="6" t="str">
        <f t="shared" si="40"/>
        <v/>
      </c>
      <c r="DV6" s="48" t="str">
        <f t="shared" si="41"/>
        <v/>
      </c>
      <c r="DW6" s="48" t="str">
        <f t="shared" si="1"/>
        <v>"NoBand",</v>
      </c>
      <c r="DX6" s="48" t="str">
        <f t="shared" si="1"/>
        <v/>
      </c>
      <c r="DY6" s="48" t="str">
        <f t="shared" si="1"/>
        <v/>
      </c>
      <c r="DZ6" s="48" t="str">
        <f t="shared" si="1"/>
        <v/>
      </c>
      <c r="EA6" s="48" t="str">
        <f t="shared" si="2"/>
        <v/>
      </c>
      <c r="EB6" s="48" t="str">
        <f t="shared" si="2"/>
        <v/>
      </c>
      <c r="EC6" s="48" t="str">
        <f t="shared" si="2"/>
        <v>"Horizo",</v>
      </c>
      <c r="ED6" s="48" t="str">
        <f t="shared" si="2"/>
        <v/>
      </c>
      <c r="EE6" s="48" t="str">
        <f t="shared" si="2"/>
        <v>"Circle",</v>
      </c>
      <c r="EF6" s="48" t="str">
        <f t="shared" si="42"/>
        <v/>
      </c>
      <c r="EG6" s="48" t="str">
        <f t="shared" si="3"/>
        <v/>
      </c>
      <c r="EH6" s="48" t="str">
        <f t="shared" si="3"/>
        <v/>
      </c>
      <c r="EI6" s="48" t="str">
        <f t="shared" si="3"/>
        <v/>
      </c>
      <c r="EJ6" s="48" t="str">
        <f t="shared" si="3"/>
        <v/>
      </c>
      <c r="EK6" s="48" t="str">
        <f t="shared" si="3"/>
        <v/>
      </c>
      <c r="EL6" s="48" t="str">
        <f t="shared" si="3"/>
        <v/>
      </c>
      <c r="EM6" s="48" t="str">
        <f t="shared" si="3"/>
        <v/>
      </c>
      <c r="EN6" s="48" t="str">
        <f t="shared" si="3"/>
        <v/>
      </c>
      <c r="EO6" s="48" t="str">
        <f t="shared" si="3"/>
        <v>"Center",</v>
      </c>
      <c r="EP6" s="48" t="str">
        <f t="shared" si="3"/>
        <v/>
      </c>
      <c r="EQ6" s="48" t="str">
        <f t="shared" si="3"/>
        <v/>
      </c>
      <c r="ER6" s="48" t="str">
        <f t="shared" si="3"/>
        <v/>
      </c>
      <c r="ES6" s="48" t="str">
        <f t="shared" si="3"/>
        <v/>
      </c>
      <c r="ET6" s="48" t="str">
        <f t="shared" si="3"/>
        <v>"Geogrh",</v>
      </c>
      <c r="EU6" s="48" t="str">
        <f t="shared" si="3"/>
        <v/>
      </c>
      <c r="EV6" s="48" t="str">
        <f t="shared" si="3"/>
        <v/>
      </c>
      <c r="EW6" s="48" t="str">
        <f t="shared" si="3"/>
        <v/>
      </c>
      <c r="EX6" s="48" t="str">
        <f t="shared" si="3"/>
        <v/>
      </c>
      <c r="EY6" s="48" t="str">
        <f t="shared" si="3"/>
        <v/>
      </c>
      <c r="EZ6" s="48" t="str">
        <f t="shared" si="3"/>
        <v/>
      </c>
      <c r="FA6" s="48" t="str">
        <f t="shared" si="43"/>
        <v>"staGRA",</v>
      </c>
      <c r="FB6" s="48" t="str">
        <f t="shared" si="44"/>
        <v/>
      </c>
      <c r="FC6" s="48" t="str">
        <f t="shared" si="45"/>
        <v/>
      </c>
      <c r="FD6" s="48" t="str">
        <f t="shared" si="46"/>
        <v/>
      </c>
      <c r="FE6" s="48" t="str">
        <f t="shared" si="47"/>
        <v/>
      </c>
      <c r="FF6" s="48" t="str">
        <f t="shared" si="48"/>
        <v/>
      </c>
      <c r="FG6" s="48" t="str">
        <f t="shared" si="49"/>
        <v/>
      </c>
      <c r="FH6" s="48" t="str">
        <f t="shared" si="50"/>
        <v/>
      </c>
      <c r="FI6" s="48" t="str">
        <f t="shared" si="51"/>
        <v/>
      </c>
      <c r="FJ6" s="48" t="str">
        <f t="shared" si="52"/>
        <v/>
      </c>
      <c r="FK6" s="48" t="str">
        <f t="shared" si="53"/>
        <v/>
      </c>
      <c r="FL6" s="48" t="str">
        <f t="shared" si="54"/>
        <v/>
      </c>
      <c r="FM6" s="48" t="str">
        <f t="shared" si="55"/>
        <v/>
      </c>
      <c r="FN6" s="48" t="str">
        <f t="shared" si="56"/>
        <v/>
      </c>
      <c r="FO6" s="48" t="str">
        <f t="shared" si="57"/>
        <v/>
      </c>
      <c r="FP6" s="48" t="str">
        <f t="shared" si="58"/>
        <v/>
      </c>
      <c r="FQ6" s="48" t="str">
        <f t="shared" si="59"/>
        <v/>
      </c>
      <c r="FR6" s="48" t="str">
        <f t="shared" si="60"/>
        <v/>
      </c>
      <c r="FS6" s="48" t="str">
        <f t="shared" si="61"/>
        <v/>
      </c>
      <c r="FT6" s="48" t="str">
        <f t="shared" si="62"/>
        <v>"myrBLU",</v>
      </c>
      <c r="FU6" s="48" t="str">
        <f t="shared" si="63"/>
        <v/>
      </c>
      <c r="FV6" s="48" t="str">
        <f t="shared" si="64"/>
        <v/>
      </c>
      <c r="FW6" s="48" t="str">
        <f t="shared" si="65"/>
        <v/>
      </c>
      <c r="FX6" s="48" t="str">
        <f t="shared" si="66"/>
        <v/>
      </c>
      <c r="FY6" s="48" t="str">
        <f t="shared" si="67"/>
        <v/>
      </c>
      <c r="FZ6" s="48" t="str">
        <f t="shared" si="68"/>
        <v/>
      </c>
      <c r="GA6" s="48" t="str">
        <f t="shared" si="69"/>
        <v/>
      </c>
      <c r="GB6" s="48" t="str">
        <f t="shared" si="70"/>
        <v/>
      </c>
      <c r="GC6" s="48" t="str">
        <f t="shared" si="71"/>
        <v/>
      </c>
      <c r="GD6" s="48" t="str">
        <f t="shared" si="72"/>
        <v/>
      </c>
      <c r="GE6" s="48" t="str">
        <f t="shared" si="73"/>
        <v/>
      </c>
      <c r="GF6" s="48" t="str">
        <f t="shared" si="74"/>
        <v/>
      </c>
      <c r="GG6" s="48" t="str">
        <f t="shared" si="75"/>
        <v/>
      </c>
      <c r="GH6" s="48" t="str">
        <f t="shared" si="76"/>
        <v/>
      </c>
      <c r="GI6" s="48" t="str">
        <f t="shared" si="77"/>
        <v/>
      </c>
      <c r="GJ6" s="48" t="str">
        <f t="shared" si="78"/>
        <v/>
      </c>
      <c r="GK6" s="48" t="str">
        <f t="shared" si="79"/>
        <v>"HasSta",</v>
      </c>
      <c r="GL6" s="48" t="str">
        <f t="shared" si="4"/>
        <v/>
      </c>
      <c r="GM6" s="48" t="str">
        <f t="shared" si="4"/>
        <v/>
      </c>
      <c r="GN6" s="48" t="str">
        <f t="shared" si="4"/>
        <v>"3+Star",</v>
      </c>
      <c r="GP6" s="48" t="str">
        <f t="shared" si="80"/>
        <v>"Department"</v>
      </c>
      <c r="GS6" s="48" t="str">
        <f t="shared" si="81"/>
        <v>["5+Colo","lets07","startD","with_z","year00","allhor","NoBand","Horizo","Circle","Center","Geogrh","staGRA","myrBLU","HasSta","3+Star"]</v>
      </c>
      <c r="GT6" s="48" t="str">
        <f t="shared" si="5"/>
        <v>"cl_BLU",</v>
      </c>
      <c r="GU6" s="48" t="str">
        <f t="shared" si="5"/>
        <v>"cl_WHI",</v>
      </c>
      <c r="GV6" s="48" t="str">
        <f t="shared" si="5"/>
        <v>"cl_YEL",</v>
      </c>
      <c r="GW6" s="48" t="str">
        <f t="shared" si="5"/>
        <v>"cl_GRE",</v>
      </c>
      <c r="GX6" s="48" t="str">
        <f t="shared" si="5"/>
        <v>"cl_RED",</v>
      </c>
      <c r="GY6" s="48" t="str">
        <f t="shared" si="5"/>
        <v>"cl_BLA",</v>
      </c>
      <c r="GZ6" s="48" t="str">
        <f t="shared" si="5"/>
        <v>"cl_GRA",</v>
      </c>
      <c r="HA6" s="48" t="str">
        <f t="shared" si="5"/>
        <v/>
      </c>
      <c r="HB6" s="48" t="str">
        <f t="shared" si="5"/>
        <v/>
      </c>
      <c r="HC6" s="48" t="str">
        <f t="shared" si="82"/>
        <v>["cl_BLU","cl_WHI","cl_YEL","cl_GRE","cl_RED","cl_BLA","cl_GRA"]</v>
      </c>
      <c r="HE6" s="71"/>
      <c r="HF6" s="72" t="str">
        <f t="shared" si="83"/>
        <v>{couname:"[URU] Durazno",year:"2000",region:"rgn_South America",Colors:["cl_BLU","cl_WHI","cl_YEL","cl_GRE","cl_RED","cl_BLA","cl_GRA"],Items:["5+Colo","lets07","startD","with_z","year00","allhor","NoBand","Horizo","Circle","Center","Geogrh","staGRA","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links: "https://www.crwflags.com/fotw/flags/uy-du.html"},</v>
      </c>
      <c r="HG6" s="73" t="str">
        <f t="shared" si="84"/>
        <v>{couname:"[URU] Durazno",year:"2000",region:"rgn_South America",Colors:["cl_BLU","cl_WHI","cl_YEL","cl_GRE","cl_RED","cl_BLA","cl_GRA"],Items:["5+Colo","lets07","startD","with_z","year00","allhor","NoBand","Horizo","Circle","Center","Geogrh","staGRA","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links: "https://www.crwflags.com/fotw/flags/uy-du.html"},</v>
      </c>
      <c r="HH6" s="48" t="str">
        <f t="shared" si="85"/>
        <v>"\nThe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v>
      </c>
      <c r="HI6" s="48" t="str">
        <f t="shared" si="86"/>
        <v>"\nThe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v>
      </c>
      <c r="HJ6" s="48" t="str">
        <f t="shared" si="87"/>
        <v>"2000"</v>
      </c>
      <c r="HL6" s="48" t="str">
        <f t="shared" si="88"/>
        <v>"https://www.crwflags.com/fotw/flags/uy-du.html"</v>
      </c>
      <c r="HM6" s="72" t="str">
        <f t="shared" si="89"/>
        <v>{"couname":"[URU] Durazno","year":"2000","region":"rgn_South America","Colors":["cl_BLU","cl_WHI","cl_YEL","cl_GRE","cl_RED","cl_BLA","cl_GRA"],"Items":["5+Colo","lets07","startD","with_z","year00","allhor","NoBand","Horizo","Circle","Center","Geogrh","staGRA","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 "links": "https://www.crwflags.com/fotw/flags/uy-du.html"},</v>
      </c>
      <c r="HN6" s="74" t="str">
        <f t="shared" si="90"/>
        <v>{"couname":"[URU] Durazno","year":"2000","region":"rgn_South America","Colors":["cl_BLU","cl_WHI","cl_YEL","cl_GRE","cl_RED","cl_BLA","cl_GRA"],"Items":["5+Colo","lets07","startD","with_z","year00","allhor","NoBand","Horizo","Circle","Center","Geogrh","staGRA","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 "links": "https://www.crwflags.com/fotw/flags/uy-du.html"},</v>
      </c>
      <c r="HO6" s="75"/>
      <c r="HP6" s="48" t="str" cm="1">
        <f t="array" ref="HP6">IF(_xlfn.TEXTJOIN(", ", TRUE, IF(ISNUMBER(SEARCH("BLA", BL6:BT6)), COLUMN(BL6:BT6) - COLUMN(BL6) + 1, ""))&lt;&gt;"","BLA","")</f>
        <v>BLA</v>
      </c>
      <c r="HQ6" s="48" t="str" cm="1">
        <f t="array" ref="HQ6">IF(_xlfn.TEXTJOIN(", ", TRUE, IF(ISNUMBER(SEARCH("BLU", BL6:BT6)), COLUMN(BL6:BT6) - COLUMN(BL6) + 1, ""))&lt;&gt;"","BLU","")</f>
        <v>BLU</v>
      </c>
      <c r="HR6" s="48" t="str" cm="1">
        <f t="array" ref="HR6">IF(_xlfn.TEXTJOIN(", ", TRUE, IF(ISNUMBER(SEARCH("GRE", BL6:BT6)), COLUMN(BL6:BT6) - COLUMN(BL6) + 1, ""))&lt;&gt;"","GRE","")</f>
        <v>GRE</v>
      </c>
      <c r="HS6" s="48" t="str" cm="1">
        <f t="array" ref="HS6">IF(_xlfn.TEXTJOIN(", ", TRUE, IF(ISNUMBER(SEARCH("RED", BL6:BT6)), COLUMN(BL6:BT6) - COLUMN(BL6) + 1, ""))&lt;&gt;"","RED","")</f>
        <v>RED</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L6" s="48">
        <f t="shared" si="91"/>
        <v>0</v>
      </c>
      <c r="IM6" s="45">
        <f t="shared" si="92"/>
        <v>-7</v>
      </c>
      <c r="IN6" s="78" t="str">
        <f t="shared" si="93"/>
        <v>http://mkweb.bcgsc.ca/color-summarizer/?url=https://upload.wikimedia.org/wikipedia/commons/thumb/5/5c/Flag_of_Durazno_Department.svg/1024px-Flag_of_Durazno_Department.svg.png&amp;precision=low&amp;num_clusters=7&amp;text=1</v>
      </c>
      <c r="IO6" s="48" t="str">
        <f t="shared" si="94"/>
        <v>"black"</v>
      </c>
      <c r="IP6" s="48" t="str">
        <f t="shared" si="95"/>
        <v>"blue"</v>
      </c>
      <c r="IQ6" s="48" t="str">
        <f t="shared" si="96"/>
        <v>"green"</v>
      </c>
      <c r="IR6" s="48" t="str">
        <f t="shared" si="97"/>
        <v>"red"</v>
      </c>
      <c r="IS6" s="48" t="str">
        <f t="shared" si="98"/>
        <v>"yellow"</v>
      </c>
      <c r="IT6" s="48" t="str">
        <f t="shared" si="99"/>
        <v/>
      </c>
      <c r="IU6" s="48" t="str">
        <f t="shared" si="100"/>
        <v/>
      </c>
      <c r="IV6" s="48" t="str">
        <f t="shared" si="101"/>
        <v/>
      </c>
      <c r="IW6" s="48" t="str">
        <f t="shared" si="102"/>
        <v>"white"</v>
      </c>
      <c r="IX6" s="48" t="str">
        <f t="shared" si="103"/>
        <v>{"url":"http://mkweb.bcgsc.ca/color-summarizer/?url=https://upload.wikimedia.org/wikipedia/commons/thumb/5/5c/Flag_of_Durazno_Department.svg/1024px-Flag_of_Durazno_Department.svg.png&amp;precision=low&amp;num_clusters=7&amp;text=1","name":"[URU] Durazno"},</v>
      </c>
      <c r="IY6" s="48">
        <v>345</v>
      </c>
    </row>
    <row r="7" spans="1:259" s="48" customFormat="1" ht="38.4" customHeight="1" thickBot="1" x14ac:dyDescent="0.35">
      <c r="A7" s="79" t="s">
        <v>688</v>
      </c>
      <c r="B7" s="40" t="e" vm="98">
        <v>#VALUE!</v>
      </c>
      <c r="C7" s="41">
        <v>2</v>
      </c>
      <c r="D7" s="42" t="s">
        <v>689</v>
      </c>
      <c r="E7" s="43" t="s">
        <v>689</v>
      </c>
      <c r="F7" s="44" t="s">
        <v>166</v>
      </c>
      <c r="G7" s="45">
        <f>COUNTIF($A$1:$A$8288,A7)</f>
        <v>1</v>
      </c>
      <c r="H7" s="46"/>
      <c r="I7" s="47" t="s">
        <v>690</v>
      </c>
      <c r="J7" s="48" t="str">
        <f>""</f>
        <v/>
      </c>
      <c r="K7" s="49"/>
      <c r="L7" s="50"/>
      <c r="M7" s="50"/>
      <c r="N7" s="51" t="s">
        <v>169</v>
      </c>
      <c r="O7" s="52">
        <v>2017</v>
      </c>
      <c r="P7" s="53" t="s">
        <v>691</v>
      </c>
      <c r="Q7" s="54">
        <v>1</v>
      </c>
      <c r="R7" s="55" t="s">
        <v>169</v>
      </c>
      <c r="S7" s="56">
        <v>0</v>
      </c>
      <c r="T7" s="57" t="s">
        <v>172</v>
      </c>
      <c r="U7" s="58" t="s">
        <v>172</v>
      </c>
      <c r="V7" s="58" t="s">
        <v>173</v>
      </c>
      <c r="W7" s="58" t="s">
        <v>172</v>
      </c>
      <c r="X7" s="58" t="s">
        <v>172</v>
      </c>
      <c r="Y7" s="58" t="s">
        <v>173</v>
      </c>
      <c r="Z7" s="58" t="s">
        <v>172</v>
      </c>
      <c r="AA7" s="58" t="s">
        <v>172</v>
      </c>
      <c r="AB7" s="58" t="s">
        <v>172</v>
      </c>
      <c r="AC7" s="58" t="s">
        <v>172</v>
      </c>
      <c r="AD7" s="58" t="s">
        <v>173</v>
      </c>
      <c r="AE7" s="58" t="s">
        <v>172</v>
      </c>
      <c r="AF7" s="59" t="s">
        <v>172</v>
      </c>
      <c r="AG7" s="59" t="s">
        <v>172</v>
      </c>
      <c r="AH7" s="59" t="s">
        <v>173</v>
      </c>
      <c r="AI7" s="59" t="s">
        <v>172</v>
      </c>
      <c r="AJ7" s="59" t="s">
        <v>172</v>
      </c>
      <c r="AK7" s="59" t="s">
        <v>172</v>
      </c>
      <c r="AL7" s="59" t="s">
        <v>172</v>
      </c>
      <c r="AM7" s="59" t="s">
        <v>173</v>
      </c>
      <c r="AN7" s="59" t="s">
        <v>172</v>
      </c>
      <c r="AO7" s="59" t="s">
        <v>173</v>
      </c>
      <c r="AP7" s="59" t="s">
        <v>172</v>
      </c>
      <c r="AQ7" s="59" t="s">
        <v>172</v>
      </c>
      <c r="AR7" s="59" t="s">
        <v>172</v>
      </c>
      <c r="AS7" s="59" t="s">
        <v>172</v>
      </c>
      <c r="AT7" s="60">
        <v>0</v>
      </c>
      <c r="AU7" s="59" t="s">
        <v>607</v>
      </c>
      <c r="AV7" s="59" t="str">
        <f>IF(LEFT(A7,1)="[",LEFT(A7,5)&amp;AU7&amp;A7,"")</f>
        <v>[URU]Department[URU] Maldonado</v>
      </c>
      <c r="AW7" s="59" t="str">
        <f>C7&amp;A7</f>
        <v>2[URU] Maldonado</v>
      </c>
      <c r="AX7" s="61"/>
      <c r="AY7" s="61"/>
      <c r="AZ7" s="62" t="s">
        <v>159</v>
      </c>
      <c r="BA7" s="62"/>
      <c r="BB7" s="62"/>
      <c r="BC7" s="63"/>
      <c r="BD7" s="64" t="s">
        <v>153</v>
      </c>
      <c r="BE7" s="47"/>
      <c r="BF7" s="64" t="s">
        <v>153</v>
      </c>
      <c r="BG7" s="64"/>
      <c r="BH7" s="64" t="s">
        <v>159</v>
      </c>
      <c r="BI7" s="64"/>
      <c r="BJ7" s="64"/>
      <c r="BK7" s="47"/>
      <c r="BL7" s="64" t="s">
        <v>153</v>
      </c>
      <c r="BM7" s="64" t="s">
        <v>159</v>
      </c>
      <c r="BN7" s="64" t="s">
        <v>157</v>
      </c>
      <c r="BO7" s="64" t="s">
        <v>155</v>
      </c>
      <c r="BP7" s="64" t="s">
        <v>152</v>
      </c>
      <c r="BQ7" s="64" t="s">
        <v>151</v>
      </c>
      <c r="BR7" s="64"/>
      <c r="BS7" s="64"/>
      <c r="BT7" s="64"/>
      <c r="BU7" s="65"/>
      <c r="BV7" s="66"/>
      <c r="BW7" s="66">
        <v>0</v>
      </c>
      <c r="BX7" s="47"/>
      <c r="CB7" s="6"/>
      <c r="CC7" s="6"/>
      <c r="CD7" s="67">
        <v>0</v>
      </c>
      <c r="CE7" s="67">
        <v>0</v>
      </c>
      <c r="CF7" s="67" t="e">
        <v>#REF!</v>
      </c>
      <c r="CG7" s="68" cm="1">
        <f t="array" ref="CG7">SUMPRODUCT(--(LEN(TRIM(BL7:BT7))&gt;0))</f>
        <v>6</v>
      </c>
      <c r="CH7" s="59" t="str">
        <f t="shared" si="6"/>
        <v>n</v>
      </c>
      <c r="CI7" s="59" t="str">
        <f t="shared" si="7"/>
        <v>n</v>
      </c>
      <c r="CJ7" s="59" t="str">
        <f t="shared" si="8"/>
        <v>n</v>
      </c>
      <c r="CK7" s="59" t="str">
        <f t="shared" si="9"/>
        <v>y</v>
      </c>
      <c r="CL7" s="59" t="str">
        <f t="shared" si="10"/>
        <v>y</v>
      </c>
      <c r="CM7" s="59" t="str">
        <f t="shared" si="11"/>
        <v>n</v>
      </c>
      <c r="CN7" s="59" t="str">
        <f t="shared" si="12"/>
        <v>n</v>
      </c>
      <c r="CO7" s="59" t="str">
        <f t="shared" si="13"/>
        <v>n</v>
      </c>
      <c r="CP7" s="59" t="str">
        <f t="shared" si="14"/>
        <v>y</v>
      </c>
      <c r="CQ7" s="59" t="str">
        <f t="shared" si="15"/>
        <v>n</v>
      </c>
      <c r="CR7" s="59" t="str">
        <f t="shared" si="16"/>
        <v>n</v>
      </c>
      <c r="CS7" s="59" t="str">
        <f t="shared" si="17"/>
        <v>n</v>
      </c>
      <c r="CT7" s="69" t="str">
        <f t="shared" si="18"/>
        <v>"[URU] Maldonado"</v>
      </c>
      <c r="CU7" s="70" t="str">
        <f t="shared" si="19"/>
        <v>"rgn_South America"</v>
      </c>
      <c r="CV7" s="48" t="str">
        <f t="shared" si="20"/>
        <v>"https://upload.wikimedia.org/wikipedia/commons/5/52/Flag_of_Maldonado_Department.png"</v>
      </c>
      <c r="CW7" s="48" t="str">
        <f t="shared" si="0"/>
        <v/>
      </c>
      <c r="CX7" s="48" t="str">
        <f t="shared" si="0"/>
        <v/>
      </c>
      <c r="CY7" s="48" t="str">
        <f t="shared" si="0"/>
        <v/>
      </c>
      <c r="CZ7" s="48" t="str">
        <f t="shared" si="0"/>
        <v>"5+Colo",</v>
      </c>
      <c r="DA7" s="48" t="str">
        <f t="shared" si="21"/>
        <v/>
      </c>
      <c r="DB7" s="48" t="str">
        <f t="shared" si="22"/>
        <v/>
      </c>
      <c r="DC7" s="48" t="str">
        <f t="shared" si="23"/>
        <v/>
      </c>
      <c r="DD7" s="48" t="str">
        <f t="shared" si="24"/>
        <v>"lets09",</v>
      </c>
      <c r="DE7" s="48" t="str">
        <f t="shared" si="25"/>
        <v>"startM",</v>
      </c>
      <c r="DF7" s="48" t="str">
        <f t="shared" si="26"/>
        <v/>
      </c>
      <c r="DG7" s="48" t="str">
        <f t="shared" si="27"/>
        <v/>
      </c>
      <c r="DH7" s="48" t="str">
        <f t="shared" si="28"/>
        <v/>
      </c>
      <c r="DI7" s="48" t="str">
        <f t="shared" si="29"/>
        <v/>
      </c>
      <c r="DJ7" s="48" t="str">
        <f t="shared" si="30"/>
        <v/>
      </c>
      <c r="DK7" s="48" t="str">
        <f t="shared" si="31"/>
        <v/>
      </c>
      <c r="DL7" s="48" t="str">
        <f t="shared" si="32"/>
        <v/>
      </c>
      <c r="DM7" s="48" t="str" cm="1">
        <f t="array" ref="DM7">IF(CG7=3,CHAR(34) &amp; _xlfn.TEXTJOIN("", TRUE, RIGHT(HP7:HX7, 2)) &amp; CHAR(34) &amp; ",", "")</f>
        <v/>
      </c>
      <c r="DN7" s="48" t="str">
        <f t="shared" si="33"/>
        <v/>
      </c>
      <c r="DO7" s="48" t="str">
        <f t="shared" si="34"/>
        <v/>
      </c>
      <c r="DP7" s="6" t="str">
        <f t="shared" si="35"/>
        <v>"year00",</v>
      </c>
      <c r="DQ7" s="6" t="str">
        <f t="shared" si="36"/>
        <v/>
      </c>
      <c r="DR7" s="6" t="str">
        <f t="shared" si="37"/>
        <v/>
      </c>
      <c r="DS7" s="6" t="str">
        <f t="shared" si="38"/>
        <v/>
      </c>
      <c r="DT7" s="6" t="str">
        <f t="shared" si="39"/>
        <v>"allhor",</v>
      </c>
      <c r="DU7" s="6" t="str">
        <f t="shared" si="40"/>
        <v/>
      </c>
      <c r="DV7" s="48" t="str">
        <f t="shared" si="41"/>
        <v/>
      </c>
      <c r="DW7" s="48" t="str">
        <f t="shared" si="1"/>
        <v>"NoBand",</v>
      </c>
      <c r="DX7" s="48" t="str">
        <f t="shared" si="1"/>
        <v/>
      </c>
      <c r="DY7" s="48" t="str">
        <f t="shared" si="1"/>
        <v/>
      </c>
      <c r="DZ7" s="48" t="str">
        <f t="shared" si="1"/>
        <v/>
      </c>
      <c r="EA7" s="48" t="str">
        <f t="shared" si="2"/>
        <v/>
      </c>
      <c r="EB7" s="48" t="str">
        <f t="shared" si="2"/>
        <v/>
      </c>
      <c r="EC7" s="48" t="str">
        <f t="shared" si="2"/>
        <v>"Horizo",</v>
      </c>
      <c r="ED7" s="48" t="str">
        <f t="shared" si="2"/>
        <v/>
      </c>
      <c r="EE7" s="48" t="str">
        <f t="shared" si="2"/>
        <v/>
      </c>
      <c r="EF7" s="48" t="str">
        <f t="shared" si="42"/>
        <v>"Animal",</v>
      </c>
      <c r="EG7" s="48" t="str">
        <f t="shared" si="3"/>
        <v/>
      </c>
      <c r="EH7" s="48" t="str">
        <f t="shared" si="3"/>
        <v/>
      </c>
      <c r="EI7" s="48" t="str">
        <f t="shared" si="3"/>
        <v/>
      </c>
      <c r="EJ7" s="48" t="str">
        <f t="shared" si="3"/>
        <v/>
      </c>
      <c r="EK7" s="48" t="str">
        <f t="shared" si="3"/>
        <v>"HasSun",</v>
      </c>
      <c r="EL7" s="48" t="str">
        <f t="shared" si="3"/>
        <v/>
      </c>
      <c r="EM7" s="48" t="str">
        <f t="shared" si="3"/>
        <v/>
      </c>
      <c r="EN7" s="48" t="str">
        <f t="shared" si="3"/>
        <v/>
      </c>
      <c r="EO7" s="48" t="str">
        <f t="shared" si="3"/>
        <v>"Center",</v>
      </c>
      <c r="EP7" s="48" t="str">
        <f t="shared" si="3"/>
        <v/>
      </c>
      <c r="EQ7" s="48" t="str">
        <f t="shared" si="3"/>
        <v/>
      </c>
      <c r="ER7" s="48" t="str">
        <f t="shared" si="3"/>
        <v/>
      </c>
      <c r="ES7" s="48" t="str">
        <f t="shared" si="3"/>
        <v/>
      </c>
      <c r="ET7" s="48" t="str">
        <f t="shared" si="3"/>
        <v>"Geogrh",</v>
      </c>
      <c r="EU7" s="48" t="str">
        <f t="shared" si="3"/>
        <v/>
      </c>
      <c r="EV7" s="48" t="str">
        <f t="shared" si="3"/>
        <v>"Builds",</v>
      </c>
      <c r="EW7" s="48" t="str">
        <f t="shared" si="3"/>
        <v/>
      </c>
      <c r="EX7" s="48" t="str">
        <f t="shared" si="3"/>
        <v/>
      </c>
      <c r="EY7" s="48" t="str">
        <f t="shared" si="3"/>
        <v/>
      </c>
      <c r="EZ7" s="48" t="str">
        <f t="shared" si="3"/>
        <v/>
      </c>
      <c r="FA7" s="48" t="str">
        <f t="shared" si="43"/>
        <v/>
      </c>
      <c r="FB7" s="48" t="str">
        <f t="shared" si="44"/>
        <v/>
      </c>
      <c r="FC7" s="48" t="str">
        <f t="shared" si="45"/>
        <v/>
      </c>
      <c r="FD7" s="48" t="str">
        <f t="shared" si="46"/>
        <v/>
      </c>
      <c r="FE7" s="48" t="str">
        <f t="shared" si="47"/>
        <v/>
      </c>
      <c r="FF7" s="48" t="str">
        <f t="shared" si="48"/>
        <v/>
      </c>
      <c r="FG7" s="48" t="str">
        <f t="shared" si="49"/>
        <v>"NO_RED",</v>
      </c>
      <c r="FH7" s="48" t="str">
        <f t="shared" si="50"/>
        <v/>
      </c>
      <c r="FI7" s="48" t="str">
        <f t="shared" si="51"/>
        <v/>
      </c>
      <c r="FJ7" s="48" t="str">
        <f t="shared" si="52"/>
        <v/>
      </c>
      <c r="FK7" s="48" t="str">
        <f t="shared" si="53"/>
        <v/>
      </c>
      <c r="FL7" s="48" t="str">
        <f t="shared" si="54"/>
        <v/>
      </c>
      <c r="FM7" s="48" t="str">
        <f t="shared" si="55"/>
        <v/>
      </c>
      <c r="FN7" s="48" t="str">
        <f t="shared" si="56"/>
        <v/>
      </c>
      <c r="FO7" s="48" t="str">
        <f t="shared" si="57"/>
        <v/>
      </c>
      <c r="FP7" s="48" t="str">
        <f t="shared" si="58"/>
        <v/>
      </c>
      <c r="FQ7" s="48" t="str">
        <f t="shared" si="59"/>
        <v>"001GRE",</v>
      </c>
      <c r="FR7" s="48" t="str">
        <f t="shared" si="60"/>
        <v/>
      </c>
      <c r="FS7" s="48" t="str">
        <f t="shared" si="61"/>
        <v>"003WHI",</v>
      </c>
      <c r="FT7" s="48" t="str">
        <f t="shared" si="62"/>
        <v>"myrGRE",</v>
      </c>
      <c r="FU7" s="48" t="str">
        <f t="shared" si="63"/>
        <v/>
      </c>
      <c r="FV7" s="48" t="str">
        <f t="shared" si="64"/>
        <v/>
      </c>
      <c r="FW7" s="48" t="str">
        <f t="shared" si="65"/>
        <v/>
      </c>
      <c r="FX7" s="48" t="str">
        <f t="shared" si="66"/>
        <v/>
      </c>
      <c r="FY7" s="48" t="str">
        <f t="shared" si="67"/>
        <v/>
      </c>
      <c r="FZ7" s="48" t="str">
        <f t="shared" si="68"/>
        <v/>
      </c>
      <c r="GA7" s="48" t="str">
        <f t="shared" si="69"/>
        <v/>
      </c>
      <c r="GB7" s="48" t="str">
        <f t="shared" si="70"/>
        <v/>
      </c>
      <c r="GC7" s="48" t="str">
        <f t="shared" si="71"/>
        <v/>
      </c>
      <c r="GD7" s="48" t="str">
        <f t="shared" si="72"/>
        <v/>
      </c>
      <c r="GE7" s="48" t="str">
        <f t="shared" si="73"/>
        <v/>
      </c>
      <c r="GF7" s="48" t="str">
        <f t="shared" si="74"/>
        <v/>
      </c>
      <c r="GG7" s="48" t="str">
        <f t="shared" si="75"/>
        <v/>
      </c>
      <c r="GH7" s="48" t="str">
        <f t="shared" si="76"/>
        <v/>
      </c>
      <c r="GI7" s="48" t="str">
        <f t="shared" si="77"/>
        <v/>
      </c>
      <c r="GJ7" s="48" t="str">
        <f t="shared" si="78"/>
        <v>"NoStar",</v>
      </c>
      <c r="GK7" s="48" t="str">
        <f t="shared" si="79"/>
        <v/>
      </c>
      <c r="GL7" s="48" t="str">
        <f t="shared" si="4"/>
        <v/>
      </c>
      <c r="GM7" s="48" t="str">
        <f t="shared" si="4"/>
        <v/>
      </c>
      <c r="GN7" s="48" t="str">
        <f t="shared" si="4"/>
        <v/>
      </c>
      <c r="GP7" s="48" t="str">
        <f t="shared" si="80"/>
        <v>"Department"</v>
      </c>
      <c r="GS7" s="48" t="str">
        <f t="shared" si="81"/>
        <v>["5+Colo","lets09","startM","year00","allhor","NoBand","Horizo","Animal","HasSun","Center","Geogrh","Builds","NO_RED","001GRE","003WHI","myrGRE","NoStar"]</v>
      </c>
      <c r="GT7" s="48" t="str">
        <f t="shared" si="5"/>
        <v>"cl_GRE",</v>
      </c>
      <c r="GU7" s="48" t="str">
        <f t="shared" si="5"/>
        <v>"cl_WHI",</v>
      </c>
      <c r="GV7" s="48" t="str">
        <f t="shared" si="5"/>
        <v>"cl_BRO",</v>
      </c>
      <c r="GW7" s="48" t="str">
        <f t="shared" si="5"/>
        <v>"cl_YEL",</v>
      </c>
      <c r="GX7" s="48" t="str">
        <f t="shared" si="5"/>
        <v>"cl_BLU",</v>
      </c>
      <c r="GY7" s="48" t="str">
        <f t="shared" si="5"/>
        <v>"cl_BLA",</v>
      </c>
      <c r="GZ7" s="48" t="str">
        <f t="shared" si="5"/>
        <v/>
      </c>
      <c r="HA7" s="48" t="str">
        <f t="shared" si="5"/>
        <v/>
      </c>
      <c r="HB7" s="48" t="str">
        <f t="shared" si="5"/>
        <v/>
      </c>
      <c r="HC7" s="48" t="str">
        <f t="shared" si="82"/>
        <v>["cl_GRE","cl_WHI","cl_BRO","cl_YEL","cl_BLU","cl_BLA"]</v>
      </c>
      <c r="HE7" s="71"/>
      <c r="HF7" s="72" t="str">
        <f t="shared" si="83"/>
        <v>{couname:"[URU] Maldonado",year:"2017",region:"rgn_South America",Colors:["cl_GRE","cl_WHI","cl_BRO","cl_YEL","cl_BLU","cl_BLA"],Items:["5+Colo","lets09","startM","year00","allhor","NoBand","Horizo","Animal","HasSun","Center","Geogrh","Builds","NO_RED","001GRE","003WHI","myrGRE","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links: "https://vexillology.fandom.com/wiki/Maldonado_Department"},</v>
      </c>
      <c r="HG7" s="73" t="str">
        <f t="shared" si="84"/>
        <v>{couname:"[URU] Maldonado",year:"2017",region:"rgn_South America",Colors:["cl_GRE","cl_WHI","cl_BRO","cl_YEL","cl_BLU","cl_BLA"],Items:["5+Colo","lets09","startM","year00","allhor","NoBand","Horizo","Animal","HasSun","Center","Geogrh","Builds","NO_RED","001GRE","003WHI","myrGRE","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links: "https://vexillology.fandom.com/wiki/Maldonado_Department"},</v>
      </c>
      <c r="HH7" s="48" t="str">
        <f t="shared" si="85"/>
        <v>"\nThe flag of the department is white with the historical coat of arms of the town of Maldonado in the middle."</v>
      </c>
      <c r="HI7" s="48" t="str">
        <f t="shared" si="86"/>
        <v>"\nThe flag of the department is white with the historical coat of arms of the town of Maldonado in the middle."</v>
      </c>
      <c r="HJ7" s="48" t="str">
        <f t="shared" si="87"/>
        <v>"2017"</v>
      </c>
      <c r="HL7" s="48" t="str">
        <f t="shared" si="88"/>
        <v>"https://vexillology.fandom.com/wiki/Maldonado_Department"</v>
      </c>
      <c r="HM7" s="72" t="str">
        <f t="shared" si="89"/>
        <v>{"couname":"[URU] Maldonado","year":"2017","region":"rgn_South America","Colors":["cl_GRE","cl_WHI","cl_BRO","cl_YEL","cl_BLU","cl_BLA"],"Items":["5+Colo","lets09","startM","year00","allhor","NoBand","Horizo","Animal","HasSun","Center","Geogrh","Builds","NO_RED","001GRE","003WHI","myrGRE","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 "links": "https://vexillology.fandom.com/wiki/Maldonado_Department"},</v>
      </c>
      <c r="HN7" s="74" t="str">
        <f t="shared" si="90"/>
        <v>{"couname":"[URU] Maldonado","year":"2017","region":"rgn_South America","Colors":["cl_GRE","cl_WHI","cl_BRO","cl_YEL","cl_BLU","cl_BLA"],"Items":["5+Colo","lets09","startM","year00","allhor","NoBand","Horizo","Animal","HasSun","Center","Geogrh","Builds","NO_RED","001GRE","003WHI","myrGRE","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 "links": "https://vexillology.fandom.com/wiki/Maldonado_Department"},</v>
      </c>
      <c r="HO7" s="75"/>
      <c r="HP7" s="48" t="str" cm="1">
        <f t="array" ref="HP7">IF(_xlfn.TEXTJOIN(", ", TRUE, IF(ISNUMBER(SEARCH("BLA", BL7:BT7)), COLUMN(BL7:BT7) - COLUMN(BL7) + 1, ""))&lt;&gt;"","BLA","")</f>
        <v>BLA</v>
      </c>
      <c r="HQ7" s="48" t="str" cm="1">
        <f t="array" ref="HQ7">IF(_xlfn.TEXTJOIN(", ", TRUE, IF(ISNUMBER(SEARCH("BLU", BL7:BT7)), COLUMN(BL7:BT7) - COLUMN(BL7) + 1, ""))&lt;&gt;"","BLU","")</f>
        <v>BLU</v>
      </c>
      <c r="HR7" s="48" t="str" cm="1">
        <f t="array" ref="HR7">IF(_xlfn.TEXTJOIN(", ", TRUE, IF(ISNUMBER(SEARCH("GRE", BL7:BT7)), COLUMN(BL7:BT7) - COLUMN(BL7) + 1, ""))&lt;&gt;"","GRE","")</f>
        <v>GRE</v>
      </c>
      <c r="HS7" s="48" t="str" cm="1">
        <f t="array" ref="HS7">IF(_xlfn.TEXTJOIN(", ", TRUE, IF(ISNUMBER(SEARCH("RED", BL7:BT7)), COLUMN(BL7:BT7) - COLUMN(BL7) + 1, ""))&lt;&gt;"","RED","")</f>
        <v/>
      </c>
      <c r="HT7" s="48" t="str" cm="1">
        <f t="array" ref="HT7">IF(_xlfn.TEXTJOIN(", ", TRUE, IF(ISNUMBER(SEARCH("YEL", BL7:BT7)), COLUMN(BL7:BT7) - COLUMN(BL7) + 1, ""))&lt;&gt;"","YEL","")</f>
        <v>YEL</v>
      </c>
      <c r="HU7" s="48" t="str" cm="1">
        <f t="array" ref="HU7">IF(_xlfn.TEXTJOIN(", ", TRUE, IF(ISNUMBER(SEARCH("ORA", BL7:BT7)), COLUMN(BL7:BT7) - COLUMN(BL7) + 1, ""))&lt;&gt;"","ORA","")</f>
        <v/>
      </c>
      <c r="HV7" s="48" t="str" cm="1">
        <f t="array" ref="HV7">IF(_xlfn.TEXTJOIN(", ", TRUE, IF(ISNUMBER(SEARCH("BRO", BL7:BT7)), COLUMN(BL7:BT7) - COLUMN(BL7) + 1, ""))&lt;&gt;"","BRO","")</f>
        <v>BRO</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c r="ID7" s="77"/>
      <c r="IE7" s="77"/>
      <c r="IF7" s="77"/>
      <c r="IG7" s="77"/>
      <c r="IH7" s="77"/>
      <c r="II7" s="77"/>
      <c r="IJ7" s="77"/>
      <c r="IK7" s="77"/>
      <c r="IL7" s="48">
        <f t="shared" si="91"/>
        <v>0</v>
      </c>
      <c r="IM7" s="45">
        <f t="shared" si="92"/>
        <v>-6</v>
      </c>
      <c r="IN7" s="78" t="str">
        <f t="shared" si="93"/>
        <v>http://mkweb.bcgsc.ca/color-summarizer/?url=https://upload.wikimedia.org/wikipedia/commons/5/52/Flag_of_Maldonado_Department.png&amp;precision=low&amp;num_clusters=6&amp;text=1</v>
      </c>
      <c r="IO7" s="48" t="str">
        <f t="shared" si="94"/>
        <v>"black"</v>
      </c>
      <c r="IP7" s="48" t="str">
        <f t="shared" si="95"/>
        <v>"blue"</v>
      </c>
      <c r="IQ7" s="48" t="str">
        <f t="shared" si="96"/>
        <v>"green"</v>
      </c>
      <c r="IR7" s="48" t="str">
        <f t="shared" si="97"/>
        <v/>
      </c>
      <c r="IS7" s="48" t="str">
        <f t="shared" si="98"/>
        <v>"yellow"</v>
      </c>
      <c r="IT7" s="48" t="str">
        <f t="shared" si="99"/>
        <v/>
      </c>
      <c r="IU7" s="48" t="str">
        <f t="shared" si="100"/>
        <v>"brown"</v>
      </c>
      <c r="IV7" s="48" t="str">
        <f t="shared" si="101"/>
        <v/>
      </c>
      <c r="IW7" s="48" t="str">
        <f t="shared" si="102"/>
        <v>"white"</v>
      </c>
      <c r="IX7" s="48" t="str">
        <f t="shared" si="103"/>
        <v>{"url":"http://mkweb.bcgsc.ca/color-summarizer/?url=https://upload.wikimedia.org/wikipedia/commons/5/52/Flag_of_Maldonado_Department.png&amp;precision=low&amp;num_clusters=6&amp;text=1","name":"[URU] Maldonado"},</v>
      </c>
      <c r="IY7" s="48">
        <v>346</v>
      </c>
    </row>
    <row r="8" spans="1:259" s="48" customFormat="1" ht="38.4" customHeight="1" thickBot="1" x14ac:dyDescent="0.35">
      <c r="A8" s="79" t="s">
        <v>692</v>
      </c>
      <c r="B8" s="40" t="e" vm="99">
        <v>#VALUE!</v>
      </c>
      <c r="C8" s="41">
        <v>2</v>
      </c>
      <c r="D8" s="42" t="s">
        <v>693</v>
      </c>
      <c r="E8" s="43" t="s">
        <v>694</v>
      </c>
      <c r="F8" s="44" t="s">
        <v>166</v>
      </c>
      <c r="G8" s="45">
        <f>COUNTIF($A$1:$A$8288,A8)</f>
        <v>1</v>
      </c>
      <c r="H8" s="46"/>
      <c r="I8" s="47" t="s">
        <v>695</v>
      </c>
      <c r="J8" s="48" t="str">
        <f>""</f>
        <v/>
      </c>
      <c r="K8" s="49"/>
      <c r="L8" s="50"/>
      <c r="M8" s="50"/>
      <c r="N8" s="51" t="s">
        <v>169</v>
      </c>
      <c r="O8" s="52">
        <v>1952</v>
      </c>
      <c r="P8" s="53" t="s">
        <v>696</v>
      </c>
      <c r="Q8" s="54">
        <v>3</v>
      </c>
      <c r="R8" s="55" t="s">
        <v>169</v>
      </c>
      <c r="S8" s="56">
        <v>3</v>
      </c>
      <c r="T8" s="57" t="s">
        <v>172</v>
      </c>
      <c r="U8" s="58" t="s">
        <v>172</v>
      </c>
      <c r="V8" s="58" t="s">
        <v>173</v>
      </c>
      <c r="W8" s="58" t="s">
        <v>172</v>
      </c>
      <c r="X8" s="58" t="s">
        <v>172</v>
      </c>
      <c r="Y8" s="58" t="s">
        <v>172</v>
      </c>
      <c r="Z8" s="58" t="s">
        <v>172</v>
      </c>
      <c r="AA8" s="58" t="s">
        <v>172</v>
      </c>
      <c r="AB8" s="58" t="s">
        <v>173</v>
      </c>
      <c r="AC8" s="58" t="s">
        <v>172</v>
      </c>
      <c r="AD8" s="58" t="s">
        <v>172</v>
      </c>
      <c r="AE8" s="58" t="s">
        <v>172</v>
      </c>
      <c r="AF8" s="59" t="s">
        <v>172</v>
      </c>
      <c r="AG8" s="59" t="s">
        <v>173</v>
      </c>
      <c r="AH8" s="59" t="s">
        <v>173</v>
      </c>
      <c r="AI8" s="59" t="s">
        <v>172</v>
      </c>
      <c r="AJ8" s="59" t="s">
        <v>172</v>
      </c>
      <c r="AK8" s="59" t="s">
        <v>172</v>
      </c>
      <c r="AL8" s="59" t="s">
        <v>172</v>
      </c>
      <c r="AM8" s="59" t="s">
        <v>172</v>
      </c>
      <c r="AN8" s="59" t="s">
        <v>172</v>
      </c>
      <c r="AO8" s="59" t="s">
        <v>172</v>
      </c>
      <c r="AP8" s="59" t="s">
        <v>172</v>
      </c>
      <c r="AQ8" s="59" t="s">
        <v>172</v>
      </c>
      <c r="AR8" s="59" t="s">
        <v>172</v>
      </c>
      <c r="AS8" s="59" t="s">
        <v>172</v>
      </c>
      <c r="AT8" s="60">
        <v>0</v>
      </c>
      <c r="AU8" s="59" t="s">
        <v>673</v>
      </c>
      <c r="AV8" s="59" t="str">
        <f>IF(LEFT(A8,1)="[",LEFT(A8,5)&amp;AU8&amp;A8,"")</f>
        <v>[URU]National Symbol[URU] Treinta y Tres</v>
      </c>
      <c r="AW8" s="59" t="str">
        <f>C8&amp;A8</f>
        <v>2[URU] Treinta y Tres</v>
      </c>
      <c r="AX8" s="61"/>
      <c r="AY8" s="61"/>
      <c r="AZ8" s="62" t="s">
        <v>157</v>
      </c>
      <c r="BA8" s="62"/>
      <c r="BB8" s="62"/>
      <c r="BC8" s="63"/>
      <c r="BD8" s="64" t="s">
        <v>217</v>
      </c>
      <c r="BE8" s="47"/>
      <c r="BF8" s="64" t="s">
        <v>153</v>
      </c>
      <c r="BG8" s="64" t="s">
        <v>154</v>
      </c>
      <c r="BH8" s="64" t="s">
        <v>155</v>
      </c>
      <c r="BI8" s="64"/>
      <c r="BJ8" s="64"/>
      <c r="BK8" s="47"/>
      <c r="BL8" s="64" t="s">
        <v>153</v>
      </c>
      <c r="BM8" s="64" t="s">
        <v>154</v>
      </c>
      <c r="BN8" s="64" t="s">
        <v>155</v>
      </c>
      <c r="BO8" s="64" t="s">
        <v>159</v>
      </c>
      <c r="BP8" s="64" t="s">
        <v>151</v>
      </c>
      <c r="BQ8" s="64" t="s">
        <v>152</v>
      </c>
      <c r="BR8" s="64" t="s">
        <v>157</v>
      </c>
      <c r="BS8" s="64" t="s">
        <v>359</v>
      </c>
      <c r="BT8" s="64"/>
      <c r="BU8" s="65"/>
      <c r="BV8" s="66"/>
      <c r="BW8" s="66">
        <v>0</v>
      </c>
      <c r="BX8" s="47"/>
      <c r="BY8" s="48" t="s">
        <v>173</v>
      </c>
      <c r="CB8" s="6"/>
      <c r="CC8" s="6"/>
      <c r="CD8" s="67">
        <v>0</v>
      </c>
      <c r="CE8" s="67">
        <v>0</v>
      </c>
      <c r="CF8" s="67" t="e">
        <v>#REF!</v>
      </c>
      <c r="CG8" s="68" cm="1">
        <f t="array" ref="CG8">SUMPRODUCT(--(LEN(TRIM(BL8:BT8))&gt;0))</f>
        <v>8</v>
      </c>
      <c r="CH8" s="59" t="str">
        <f t="shared" si="6"/>
        <v>n</v>
      </c>
      <c r="CI8" s="59" t="str">
        <f t="shared" si="7"/>
        <v>n</v>
      </c>
      <c r="CJ8" s="59" t="str">
        <f t="shared" si="8"/>
        <v>n</v>
      </c>
      <c r="CK8" s="59" t="str">
        <f t="shared" si="9"/>
        <v>y</v>
      </c>
      <c r="CL8" s="59" t="str">
        <f t="shared" si="10"/>
        <v>n</v>
      </c>
      <c r="CM8" s="59" t="str">
        <f t="shared" si="11"/>
        <v>n</v>
      </c>
      <c r="CN8" s="59" t="str">
        <f t="shared" si="12"/>
        <v>y</v>
      </c>
      <c r="CO8" s="59" t="str">
        <f t="shared" si="13"/>
        <v>n</v>
      </c>
      <c r="CP8" s="59" t="str">
        <f t="shared" si="14"/>
        <v>y</v>
      </c>
      <c r="CQ8" s="59" t="str">
        <f t="shared" si="15"/>
        <v>n</v>
      </c>
      <c r="CR8" s="59" t="str">
        <f t="shared" si="16"/>
        <v>n</v>
      </c>
      <c r="CS8" s="59" t="str">
        <f t="shared" si="17"/>
        <v>n</v>
      </c>
      <c r="CT8" s="69" t="str">
        <f t="shared" si="18"/>
        <v>"[URU] Treinta y Tres"</v>
      </c>
      <c r="CU8" s="70" t="str">
        <f t="shared" si="19"/>
        <v>"rgn_South America"</v>
      </c>
      <c r="CV8" s="48" t="str">
        <f t="shared" si="20"/>
        <v>"https://upload.wikimedia.org/wikipedia/commons/thumb/f/ff/Flag_of_the_Treinta_y_Tres.svg/640px-Flag_of_the_Treinta_y_Tres.svg.png"</v>
      </c>
      <c r="CW8" s="48" t="str">
        <f t="shared" si="0"/>
        <v/>
      </c>
      <c r="CX8" s="48" t="str">
        <f t="shared" si="0"/>
        <v/>
      </c>
      <c r="CY8" s="48" t="str">
        <f t="shared" si="0"/>
        <v/>
      </c>
      <c r="CZ8" s="48" t="str">
        <f t="shared" si="0"/>
        <v>"5+Colo",</v>
      </c>
      <c r="DA8" s="48" t="str">
        <f t="shared" si="21"/>
        <v>"words2",</v>
      </c>
      <c r="DB8" s="48" t="str">
        <f t="shared" si="22"/>
        <v>"words3",</v>
      </c>
      <c r="DC8" s="48" t="str">
        <f t="shared" si="23"/>
        <v/>
      </c>
      <c r="DD8" s="48" t="str">
        <f t="shared" si="24"/>
        <v>"lets12",</v>
      </c>
      <c r="DE8" s="48" t="str">
        <f t="shared" si="25"/>
        <v>"startT",</v>
      </c>
      <c r="DF8" s="48" t="str">
        <f t="shared" si="26"/>
        <v/>
      </c>
      <c r="DG8" s="48" t="str">
        <f t="shared" si="27"/>
        <v/>
      </c>
      <c r="DH8" s="48" t="str">
        <f t="shared" si="28"/>
        <v/>
      </c>
      <c r="DI8" s="48" t="str">
        <f t="shared" si="29"/>
        <v/>
      </c>
      <c r="DJ8" s="48" t="str">
        <f t="shared" si="30"/>
        <v>"with_y",</v>
      </c>
      <c r="DK8" s="48" t="str">
        <f t="shared" si="31"/>
        <v/>
      </c>
      <c r="DL8" s="48" t="str">
        <f t="shared" si="32"/>
        <v/>
      </c>
      <c r="DM8" s="48" t="str" cm="1">
        <f t="array" ref="DM8">IF(CG8=3,CHAR(34) &amp; _xlfn.TEXTJOIN("", TRUE, RIGHT(HP8:HX8, 2)) &amp; CHAR(34) &amp; ",", "")</f>
        <v/>
      </c>
      <c r="DN8" s="48" t="str">
        <f t="shared" si="33"/>
        <v/>
      </c>
      <c r="DO8" s="48" t="str">
        <f t="shared" si="34"/>
        <v>"year19",</v>
      </c>
      <c r="DP8" s="6" t="str">
        <f t="shared" si="35"/>
        <v/>
      </c>
      <c r="DQ8" s="6" t="str">
        <f t="shared" si="36"/>
        <v/>
      </c>
      <c r="DR8" s="6" t="str">
        <f t="shared" si="37"/>
        <v>"dgband",</v>
      </c>
      <c r="DS8" s="6" t="str">
        <f t="shared" si="38"/>
        <v/>
      </c>
      <c r="DT8" s="6" t="str">
        <f t="shared" si="39"/>
        <v/>
      </c>
      <c r="DU8" s="6" t="str">
        <f t="shared" si="40"/>
        <v/>
      </c>
      <c r="DV8" s="48" t="str">
        <f t="shared" si="41"/>
        <v/>
      </c>
      <c r="DW8" s="48" t="str">
        <f t="shared" si="1"/>
        <v/>
      </c>
      <c r="DX8" s="48" t="str">
        <f t="shared" si="1"/>
        <v/>
      </c>
      <c r="DY8" s="48" t="str">
        <f t="shared" si="1"/>
        <v>"3Bands",</v>
      </c>
      <c r="DZ8" s="48" t="str">
        <f t="shared" si="1"/>
        <v/>
      </c>
      <c r="EA8" s="48" t="str">
        <f t="shared" si="2"/>
        <v/>
      </c>
      <c r="EB8" s="48" t="str">
        <f t="shared" si="2"/>
        <v/>
      </c>
      <c r="EC8" s="48" t="str">
        <f t="shared" si="2"/>
        <v>"Horizo",</v>
      </c>
      <c r="ED8" s="48" t="str">
        <f t="shared" si="2"/>
        <v/>
      </c>
      <c r="EE8" s="48" t="str">
        <f t="shared" si="2"/>
        <v/>
      </c>
      <c r="EF8" s="48" t="str">
        <f t="shared" si="42"/>
        <v/>
      </c>
      <c r="EG8" s="48" t="str">
        <f t="shared" si="3"/>
        <v/>
      </c>
      <c r="EH8" s="48" t="str">
        <f t="shared" si="3"/>
        <v/>
      </c>
      <c r="EI8" s="48" t="str">
        <f t="shared" si="3"/>
        <v>"Texted",</v>
      </c>
      <c r="EJ8" s="48" t="str">
        <f t="shared" si="3"/>
        <v/>
      </c>
      <c r="EK8" s="48" t="str">
        <f t="shared" si="3"/>
        <v/>
      </c>
      <c r="EL8" s="48" t="str">
        <f t="shared" si="3"/>
        <v/>
      </c>
      <c r="EM8" s="48" t="str">
        <f t="shared" si="3"/>
        <v/>
      </c>
      <c r="EN8" s="48" t="str">
        <f t="shared" si="3"/>
        <v>"Unequa",</v>
      </c>
      <c r="EO8" s="48" t="str">
        <f t="shared" si="3"/>
        <v>"Center",</v>
      </c>
      <c r="EP8" s="48" t="str">
        <f t="shared" si="3"/>
        <v/>
      </c>
      <c r="EQ8" s="48" t="str">
        <f t="shared" si="3"/>
        <v/>
      </c>
      <c r="ER8" s="48" t="str">
        <f t="shared" si="3"/>
        <v/>
      </c>
      <c r="ES8" s="48" t="str">
        <f t="shared" si="3"/>
        <v/>
      </c>
      <c r="ET8" s="48" t="str">
        <f t="shared" si="3"/>
        <v/>
      </c>
      <c r="EU8" s="48" t="str">
        <f t="shared" si="3"/>
        <v/>
      </c>
      <c r="EV8" s="48" t="str">
        <f t="shared" si="3"/>
        <v/>
      </c>
      <c r="EW8" s="48" t="str">
        <f t="shared" si="3"/>
        <v/>
      </c>
      <c r="EX8" s="48" t="str">
        <f t="shared" si="3"/>
        <v/>
      </c>
      <c r="EY8" s="48" t="str">
        <f t="shared" si="3"/>
        <v/>
      </c>
      <c r="EZ8" s="48" t="str">
        <f t="shared" si="3"/>
        <v/>
      </c>
      <c r="FA8" s="48" t="str">
        <f t="shared" si="43"/>
        <v/>
      </c>
      <c r="FB8" s="48" t="str">
        <f t="shared" si="44"/>
        <v/>
      </c>
      <c r="FC8" s="48" t="str">
        <f t="shared" si="45"/>
        <v/>
      </c>
      <c r="FD8" s="48" t="str">
        <f t="shared" si="46"/>
        <v/>
      </c>
      <c r="FE8" s="48" t="str">
        <f t="shared" si="47"/>
        <v/>
      </c>
      <c r="FF8" s="48" t="str">
        <f t="shared" si="48"/>
        <v/>
      </c>
      <c r="FG8" s="48" t="str">
        <f t="shared" si="49"/>
        <v/>
      </c>
      <c r="FH8" s="48" t="str">
        <f t="shared" si="50"/>
        <v/>
      </c>
      <c r="FI8" s="48" t="str">
        <f t="shared" si="51"/>
        <v/>
      </c>
      <c r="FJ8" s="48" t="str">
        <f t="shared" si="52"/>
        <v/>
      </c>
      <c r="FK8" s="48" t="str">
        <f t="shared" si="53"/>
        <v/>
      </c>
      <c r="FL8" s="48" t="str">
        <f t="shared" si="54"/>
        <v/>
      </c>
      <c r="FM8" s="48" t="str">
        <f t="shared" si="55"/>
        <v/>
      </c>
      <c r="FN8" s="48" t="str">
        <f t="shared" si="56"/>
        <v/>
      </c>
      <c r="FO8" s="48" t="str">
        <f t="shared" si="57"/>
        <v/>
      </c>
      <c r="FP8" s="48" t="str">
        <f t="shared" si="58"/>
        <v/>
      </c>
      <c r="FQ8" s="48" t="str">
        <f t="shared" si="59"/>
        <v>"001GRE",</v>
      </c>
      <c r="FR8" s="48" t="str">
        <f t="shared" si="60"/>
        <v>"002RED",</v>
      </c>
      <c r="FS8" s="48" t="str">
        <f t="shared" si="61"/>
        <v>"003YEL",</v>
      </c>
      <c r="FT8" s="48" t="str">
        <f t="shared" si="62"/>
        <v>"myrEQ",</v>
      </c>
      <c r="FU8" s="48" t="str">
        <f t="shared" si="63"/>
        <v/>
      </c>
      <c r="FV8" s="48" t="str">
        <f t="shared" si="64"/>
        <v/>
      </c>
      <c r="FW8" s="48" t="str">
        <f t="shared" si="65"/>
        <v/>
      </c>
      <c r="FX8" s="48" t="str">
        <f t="shared" si="66"/>
        <v/>
      </c>
      <c r="FY8" s="48" t="str">
        <f t="shared" si="67"/>
        <v/>
      </c>
      <c r="FZ8" s="48" t="str">
        <f t="shared" si="68"/>
        <v/>
      </c>
      <c r="GA8" s="48" t="str">
        <f t="shared" si="69"/>
        <v/>
      </c>
      <c r="GB8" s="48" t="str">
        <f t="shared" si="70"/>
        <v/>
      </c>
      <c r="GC8" s="48" t="str">
        <f t="shared" si="71"/>
        <v/>
      </c>
      <c r="GD8" s="48" t="str">
        <f t="shared" si="72"/>
        <v/>
      </c>
      <c r="GE8" s="48" t="str">
        <f t="shared" si="73"/>
        <v/>
      </c>
      <c r="GF8" s="48" t="str">
        <f t="shared" si="74"/>
        <v/>
      </c>
      <c r="GG8" s="48" t="str">
        <f t="shared" si="75"/>
        <v/>
      </c>
      <c r="GH8" s="48" t="str">
        <f t="shared" si="76"/>
        <v/>
      </c>
      <c r="GI8" s="48" t="str">
        <f t="shared" si="77"/>
        <v/>
      </c>
      <c r="GJ8" s="48" t="str">
        <f t="shared" si="78"/>
        <v>"NoStar",</v>
      </c>
      <c r="GK8" s="48" t="str">
        <f t="shared" si="79"/>
        <v/>
      </c>
      <c r="GL8" s="48" t="str">
        <f t="shared" si="4"/>
        <v/>
      </c>
      <c r="GM8" s="48" t="str">
        <f t="shared" si="4"/>
        <v/>
      </c>
      <c r="GN8" s="48" t="str">
        <f t="shared" si="4"/>
        <v/>
      </c>
      <c r="GP8" s="48" t="str">
        <f t="shared" si="80"/>
        <v>"National Symbol"</v>
      </c>
      <c r="GS8" s="48" t="str">
        <f t="shared" si="81"/>
        <v>["5+Colo","words2","words3","lets12","startT","with_y","year19","dgband","3Bands","Horizo","Texted","Unequa","Center","001GRE","002RED","003YEL","myrEQ","NoStar"]</v>
      </c>
      <c r="GT8" s="48" t="str">
        <f t="shared" si="5"/>
        <v>"cl_GRE",</v>
      </c>
      <c r="GU8" s="48" t="str">
        <f t="shared" si="5"/>
        <v>"cl_RED",</v>
      </c>
      <c r="GV8" s="48" t="str">
        <f t="shared" si="5"/>
        <v>"cl_YEL",</v>
      </c>
      <c r="GW8" s="48" t="str">
        <f t="shared" si="5"/>
        <v>"cl_WHI",</v>
      </c>
      <c r="GX8" s="48" t="str">
        <f t="shared" si="5"/>
        <v>"cl_BLA",</v>
      </c>
      <c r="GY8" s="48" t="str">
        <f t="shared" si="5"/>
        <v>"cl_BLU",</v>
      </c>
      <c r="GZ8" s="48" t="str">
        <f t="shared" si="5"/>
        <v>"cl_BRO",</v>
      </c>
      <c r="HA8" s="48" t="str">
        <f t="shared" si="5"/>
        <v>"cl_GRA",</v>
      </c>
      <c r="HB8" s="48" t="str">
        <f t="shared" si="5"/>
        <v/>
      </c>
      <c r="HC8" s="48" t="str">
        <f t="shared" si="82"/>
        <v>["cl_GRE","cl_RED","cl_YEL","cl_WHI","cl_BLA","cl_BLU","cl_BRO","cl_GRA"]</v>
      </c>
      <c r="HE8" s="71"/>
      <c r="HF8" s="72" t="str">
        <f t="shared" si="83"/>
        <v>{couname:"[URU] Treinta y Tres",year:"1952",region:"rgn_South America",Colors:["cl_GRE","cl_RED","cl_YEL","cl_WHI","cl_BLA","cl_BLU","cl_BRO","cl_GRA"],Items:["5+Colo","words2","words3","lets12","startT","with_y","year19","dgband","3Bands","Horizo","Texted","Unequa","Center","001GRE","002RED","003YEL","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links: "https://en.wikipedia.org/wiki/Flag_of_the_Treinta_y_Tres"},</v>
      </c>
      <c r="HG8" s="73" t="str">
        <f t="shared" si="84"/>
        <v>{couname:"[URU] Treinta y Tres",year:"1952",region:"rgn_South America",Colors:["cl_GRE","cl_RED","cl_YEL","cl_WHI","cl_BLA","cl_BLU","cl_BRO","cl_GRA"],Items:["5+Colo","words2","words3","lets12","startT","with_y","year19","dgband","3Bands","Horizo","Texted","Unequa","Center","001GRE","002RED","003YEL","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links: "https://en.wikipedia.org/wiki/Flag_of_the_Treinta_y_Tres"},</v>
      </c>
      <c r="HH8" s="48" t="str">
        <f t="shared" si="85"/>
        <v>"\nThe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v>
      </c>
      <c r="HI8" s="48" t="str">
        <f t="shared" si="86"/>
        <v>"\nThe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v>
      </c>
      <c r="HJ8" s="48" t="str">
        <f t="shared" si="87"/>
        <v>"1952"</v>
      </c>
      <c r="HL8" s="48" t="str">
        <f t="shared" si="88"/>
        <v>"https://en.wikipedia.org/wiki/Flag_of_the_Treinta_y_Tres"</v>
      </c>
      <c r="HM8" s="72" t="str">
        <f t="shared" si="89"/>
        <v>{"couname":"[URU] Treinta y Tres","year":"1952","region":"rgn_South America","Colors":["cl_GRE","cl_RED","cl_YEL","cl_WHI","cl_BLA","cl_BLU","cl_BRO","cl_GRA"],"Items":["5+Colo","words2","words3","lets12","startT","with_y","year19","dgband","3Bands","Horizo","Texted","Unequa","Center","001GRE","002RED","003YEL","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 "links": "https://en.wikipedia.org/wiki/Flag_of_the_Treinta_y_Tres"},</v>
      </c>
      <c r="HN8" s="74" t="str">
        <f t="shared" si="90"/>
        <v>{"couname":"[URU] Treinta y Tres","year":"1952","region":"rgn_South America","Colors":["cl_GRE","cl_RED","cl_YEL","cl_WHI","cl_BLA","cl_BLU","cl_BRO","cl_GRA"],"Items":["5+Colo","words2","words3","lets12","startT","with_y","year19","dgband","3Bands","Horizo","Texted","Unequa","Center","001GRE","002RED","003YEL","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 "links": "https://en.wikipedia.org/wiki/Flag_of_the_Treinta_y_Tres"},</v>
      </c>
      <c r="HO8" s="75"/>
      <c r="HP8" s="48" t="str" cm="1">
        <f t="array" ref="HP8">IF(_xlfn.TEXTJOIN(", ", TRUE, IF(ISNUMBER(SEARCH("BLA", BL8:BT8)), COLUMN(BL8:BT8) - COLUMN(BL8) + 1, ""))&lt;&gt;"","BLA","")</f>
        <v>BLA</v>
      </c>
      <c r="HQ8" s="48" t="str" cm="1">
        <f t="array" ref="HQ8">IF(_xlfn.TEXTJOIN(", ", TRUE, IF(ISNUMBER(SEARCH("BLU", BL8:BT8)), COLUMN(BL8:BT8) - COLUMN(BL8) + 1, ""))&lt;&gt;"","BLU","")</f>
        <v>BLU</v>
      </c>
      <c r="HR8" s="48" t="str" cm="1">
        <f t="array" ref="HR8">IF(_xlfn.TEXTJOIN(", ", TRUE, IF(ISNUMBER(SEARCH("GRE", BL8:BT8)), COLUMN(BL8:BT8) - COLUMN(BL8) + 1, ""))&lt;&gt;"","GRE","")</f>
        <v>GRE</v>
      </c>
      <c r="HS8" s="48" t="str" cm="1">
        <f t="array" ref="HS8">IF(_xlfn.TEXTJOIN(", ", TRUE, IF(ISNUMBER(SEARCH("RED", BL8:BT8)), COLUMN(BL8:BT8) - COLUMN(BL8) + 1, ""))&lt;&gt;"","RED","")</f>
        <v>RED</v>
      </c>
      <c r="HT8" s="48" t="str" cm="1">
        <f t="array" ref="HT8">IF(_xlfn.TEXTJOIN(", ", TRUE, IF(ISNUMBER(SEARCH("YEL", BL8:BT8)), COLUMN(BL8:BT8) - COLUMN(BL8) + 1, ""))&lt;&gt;"","YEL","")</f>
        <v>YEL</v>
      </c>
      <c r="HU8" s="48" t="str" cm="1">
        <f t="array" ref="HU8">IF(_xlfn.TEXTJOIN(", ", TRUE, IF(ISNUMBER(SEARCH("ORA", BL8:BT8)), COLUMN(BL8:BT8) - COLUMN(BL8) + 1, ""))&lt;&gt;"","ORA","")</f>
        <v/>
      </c>
      <c r="HV8" s="48" t="str" cm="1">
        <f t="array" ref="HV8">IF(_xlfn.TEXTJOIN(", ", TRUE, IF(ISNUMBER(SEARCH("BRO", BL8:BT8)), COLUMN(BL8:BT8) - COLUMN(BL8) + 1, ""))&lt;&gt;"","BRO","")</f>
        <v>BRO</v>
      </c>
      <c r="HW8" s="48" t="str" cm="1">
        <f t="array" ref="HW8">IF(_xlfn.TEXTJOIN(", ", TRUE, IF(ISNUMBER(SEARCH("PUR", BL8:BT8)), COLUMN(BL8:BT8) - COLUMN(BL8) + 1, ""))&lt;&gt;"","PUR","")</f>
        <v/>
      </c>
      <c r="HX8" s="48" t="str" cm="1">
        <f t="array" ref="HX8">IF(_xlfn.TEXTJOIN(", ", TRUE, IF(ISNUMBER(SEARCH("WHI", BL8:BT8)), COLUMN(BL8:BT8) - COLUMN(BL8) + 1, ""))&lt;&gt;"","WHI","")</f>
        <v>WHI</v>
      </c>
      <c r="HY8" s="76"/>
      <c r="HZ8" s="76"/>
      <c r="IA8" s="6"/>
      <c r="IB8" s="6"/>
      <c r="IC8" s="77"/>
      <c r="ID8" s="77"/>
      <c r="IE8" s="77"/>
      <c r="IF8" s="77"/>
      <c r="IG8" s="77"/>
      <c r="IH8" s="77"/>
      <c r="II8" s="77"/>
      <c r="IJ8" s="77"/>
      <c r="IK8" s="77"/>
      <c r="IL8" s="48">
        <f t="shared" si="91"/>
        <v>0</v>
      </c>
      <c r="IM8" s="45">
        <f t="shared" si="92"/>
        <v>-8</v>
      </c>
      <c r="IN8" s="78" t="str">
        <f t="shared" si="93"/>
        <v>http://mkweb.bcgsc.ca/color-summarizer/?url=https://upload.wikimedia.org/wikipedia/commons/thumb/f/ff/Flag_of_the_Treinta_y_Tres.svg/640px-Flag_of_the_Treinta_y_Tres.svg.png&amp;precision=low&amp;num_clusters=8&amp;text=1</v>
      </c>
      <c r="IO8" s="48" t="str">
        <f t="shared" si="94"/>
        <v>"black"</v>
      </c>
      <c r="IP8" s="48" t="str">
        <f t="shared" si="95"/>
        <v>"blue"</v>
      </c>
      <c r="IQ8" s="48" t="str">
        <f t="shared" si="96"/>
        <v>"green"</v>
      </c>
      <c r="IR8" s="48" t="str">
        <f t="shared" si="97"/>
        <v>"red"</v>
      </c>
      <c r="IS8" s="48" t="str">
        <f t="shared" si="98"/>
        <v>"yellow"</v>
      </c>
      <c r="IT8" s="48" t="str">
        <f t="shared" si="99"/>
        <v/>
      </c>
      <c r="IU8" s="48" t="str">
        <f t="shared" si="100"/>
        <v>"brown"</v>
      </c>
      <c r="IV8" s="48" t="str">
        <f t="shared" si="101"/>
        <v/>
      </c>
      <c r="IW8" s="48" t="str">
        <f t="shared" si="102"/>
        <v>"white"</v>
      </c>
      <c r="IX8" s="48" t="str">
        <f t="shared" si="103"/>
        <v>{"url":"http://mkweb.bcgsc.ca/color-summarizer/?url=https://upload.wikimedia.org/wikipedia/commons/thumb/f/ff/Flag_of_the_Treinta_y_Tres.svg/640px-Flag_of_the_Treinta_y_Tres.svg.png&amp;precision=low&amp;num_clusters=8&amp;text=1","name":"[URU] Treinta y Tres"},</v>
      </c>
      <c r="IY8" s="48">
        <v>347</v>
      </c>
    </row>
    <row r="9" spans="1:259" s="48" customFormat="1" ht="38.4" customHeight="1" thickBot="1" x14ac:dyDescent="0.35">
      <c r="A9" s="81" t="s">
        <v>878</v>
      </c>
      <c r="B9" s="40" t="e" vm="100">
        <v>#VALUE!</v>
      </c>
      <c r="C9" s="41">
        <v>3</v>
      </c>
      <c r="D9" s="42" t="s">
        <v>879</v>
      </c>
      <c r="E9" s="43" t="s">
        <v>880</v>
      </c>
      <c r="F9" s="44" t="s">
        <v>166</v>
      </c>
      <c r="G9" s="45">
        <f>COUNTIF($A$1:$A$8288,A9)</f>
        <v>1</v>
      </c>
      <c r="H9" s="46" t="s">
        <v>881</v>
      </c>
      <c r="I9" s="47" t="s">
        <v>882</v>
      </c>
      <c r="J9" s="48" t="str">
        <f>""</f>
        <v/>
      </c>
      <c r="K9" s="49"/>
      <c r="L9" s="50"/>
      <c r="M9" s="50"/>
      <c r="N9" s="51" t="s">
        <v>169</v>
      </c>
      <c r="O9" s="52">
        <v>1817</v>
      </c>
      <c r="P9" s="53" t="s">
        <v>883</v>
      </c>
      <c r="Q9" s="54">
        <v>3</v>
      </c>
      <c r="R9" s="55" t="s">
        <v>169</v>
      </c>
      <c r="S9" s="56">
        <v>2</v>
      </c>
      <c r="T9" s="57" t="s">
        <v>173</v>
      </c>
      <c r="U9" s="58" t="s">
        <v>173</v>
      </c>
      <c r="V9" s="58" t="s">
        <v>173</v>
      </c>
      <c r="W9" s="58" t="s">
        <v>173</v>
      </c>
      <c r="X9" s="58" t="s">
        <v>173</v>
      </c>
      <c r="Y9" s="58" t="s">
        <v>172</v>
      </c>
      <c r="Z9" s="58" t="s">
        <v>172</v>
      </c>
      <c r="AA9" s="58" t="s">
        <v>172</v>
      </c>
      <c r="AB9" s="58" t="s">
        <v>172</v>
      </c>
      <c r="AC9" s="58" t="s">
        <v>172</v>
      </c>
      <c r="AD9" s="58" t="s">
        <v>173</v>
      </c>
      <c r="AE9" s="58" t="s">
        <v>172</v>
      </c>
      <c r="AF9" s="59" t="s">
        <v>172</v>
      </c>
      <c r="AG9" s="59" t="s">
        <v>173</v>
      </c>
      <c r="AH9" s="59" t="s">
        <v>173</v>
      </c>
      <c r="AI9" s="59" t="s">
        <v>172</v>
      </c>
      <c r="AJ9" s="59" t="s">
        <v>172</v>
      </c>
      <c r="AK9" s="59" t="s">
        <v>172</v>
      </c>
      <c r="AL9" s="59" t="s">
        <v>172</v>
      </c>
      <c r="AM9" s="59" t="s">
        <v>172</v>
      </c>
      <c r="AN9" s="59" t="s">
        <v>172</v>
      </c>
      <c r="AO9" s="59" t="s">
        <v>172</v>
      </c>
      <c r="AP9" s="59" t="s">
        <v>172</v>
      </c>
      <c r="AQ9" s="59" t="s">
        <v>172</v>
      </c>
      <c r="AR9" s="59" t="s">
        <v>172</v>
      </c>
      <c r="AS9" s="59" t="s">
        <v>172</v>
      </c>
      <c r="AT9" s="60">
        <v>0</v>
      </c>
      <c r="AU9" s="59" t="s">
        <v>884</v>
      </c>
      <c r="AV9" s="59" t="str">
        <f>IF(LEFT(A9,1)="[",LEFT(A9,5)&amp;AU9&amp;A9,"")</f>
        <v>[URU]Naval Jack[URU] Uruguay Naval Jack</v>
      </c>
      <c r="AW9" s="59" t="str">
        <f>C9&amp;A9</f>
        <v>3[URU] Uruguay Naval Jack</v>
      </c>
      <c r="AX9" s="61"/>
      <c r="AY9" s="61"/>
      <c r="AZ9" s="62" t="s">
        <v>174</v>
      </c>
      <c r="BA9" s="62" t="s">
        <v>174</v>
      </c>
      <c r="BB9" s="62"/>
      <c r="BC9" s="63"/>
      <c r="BD9" s="64" t="s">
        <v>217</v>
      </c>
      <c r="BE9" s="47"/>
      <c r="BF9" s="64" t="s">
        <v>152</v>
      </c>
      <c r="BG9" s="64" t="s">
        <v>174</v>
      </c>
      <c r="BH9" s="64" t="s">
        <v>151</v>
      </c>
      <c r="BI9" s="64"/>
      <c r="BJ9" s="64"/>
      <c r="BK9" s="47"/>
      <c r="BL9" s="64" t="s">
        <v>151</v>
      </c>
      <c r="BM9" s="64" t="s">
        <v>152</v>
      </c>
      <c r="BN9" s="64" t="s">
        <v>174</v>
      </c>
      <c r="BO9" s="64" t="s">
        <v>174</v>
      </c>
      <c r="BP9" s="64" t="s">
        <v>155</v>
      </c>
      <c r="BQ9" s="64" t="s">
        <v>174</v>
      </c>
      <c r="BR9" s="64" t="s">
        <v>174</v>
      </c>
      <c r="BS9" s="64" t="s">
        <v>174</v>
      </c>
      <c r="BT9" s="64" t="s">
        <v>159</v>
      </c>
      <c r="BU9" s="65"/>
      <c r="BV9" s="66"/>
      <c r="BW9" s="66">
        <v>0</v>
      </c>
      <c r="BX9" s="47"/>
      <c r="CB9" s="6"/>
      <c r="CC9" s="6"/>
      <c r="CD9" s="67">
        <v>0</v>
      </c>
      <c r="CE9" s="67">
        <v>0</v>
      </c>
      <c r="CF9" s="67" t="e">
        <v>#REF!</v>
      </c>
      <c r="CG9" s="68" cm="1">
        <f t="array" ref="CG9">SUMPRODUCT(--(LEN(TRIM(BL9:BT9))&gt;0))</f>
        <v>4</v>
      </c>
      <c r="CH9" s="59" t="str">
        <f t="shared" si="6"/>
        <v>n</v>
      </c>
      <c r="CI9" s="59" t="str">
        <f t="shared" si="7"/>
        <v>n</v>
      </c>
      <c r="CJ9" s="59" t="str">
        <f t="shared" si="8"/>
        <v>y</v>
      </c>
      <c r="CK9" s="59" t="str">
        <f t="shared" si="9"/>
        <v>n</v>
      </c>
      <c r="CL9" s="59" t="str">
        <f t="shared" si="10"/>
        <v>n</v>
      </c>
      <c r="CM9" s="59" t="str">
        <f t="shared" si="11"/>
        <v>y</v>
      </c>
      <c r="CN9" s="59" t="str">
        <f t="shared" si="12"/>
        <v>n</v>
      </c>
      <c r="CO9" s="59" t="str">
        <f t="shared" si="13"/>
        <v>n</v>
      </c>
      <c r="CP9" s="59" t="str">
        <f t="shared" si="14"/>
        <v>y</v>
      </c>
      <c r="CQ9" s="59" t="str">
        <f t="shared" si="15"/>
        <v>n</v>
      </c>
      <c r="CR9" s="59" t="str">
        <f t="shared" si="16"/>
        <v>n</v>
      </c>
      <c r="CS9" s="59" t="str">
        <f t="shared" si="17"/>
        <v>n</v>
      </c>
      <c r="CT9" s="69" t="str">
        <f t="shared" si="18"/>
        <v>"[URU] Uruguay Naval Jack"</v>
      </c>
      <c r="CU9" s="70" t="str">
        <f t="shared" si="19"/>
        <v>"rgn_South America"</v>
      </c>
      <c r="CV9" s="48" t="str">
        <f t="shared" si="20"/>
        <v>"https://upload.wikimedia.org/wikipedia/commons/thumb/1/14/Naval_Jack_of_Uruguay.svg/640px-Naval_Jack_of_Uruguay.svg.png"</v>
      </c>
      <c r="CW9" s="48" t="str">
        <f t="shared" si="0"/>
        <v/>
      </c>
      <c r="CX9" s="48" t="str">
        <f t="shared" si="0"/>
        <v/>
      </c>
      <c r="CY9" s="48" t="str">
        <f t="shared" si="0"/>
        <v>"4Color",</v>
      </c>
      <c r="CZ9" s="48" t="str">
        <f t="shared" si="0"/>
        <v/>
      </c>
      <c r="DA9" s="48" t="str">
        <f t="shared" si="21"/>
        <v>"words2",</v>
      </c>
      <c r="DB9" s="48" t="str">
        <f t="shared" si="22"/>
        <v>"words3",</v>
      </c>
      <c r="DD9" s="48" t="str">
        <f t="shared" ref="DD9" si="104">IF(LEN(CHAR(34)&amp;"lets"&amp;LEN(SUBSTITUTE(SUBSTITUTE(IFERROR(TRIM(SUBSTITUTE(A9,MID(A9,FIND("[",A9),FIND("]",A9)-FIND("[",A9)+1),"")),A9)," ",""),"-",""))&amp;CHAR(34)&amp;",")=9,CHAR(34)&amp;"lets"&amp;LEN(SUBSTITUTE(SUBSTITUTE(IFERROR(TRIM(SUBSTITUTE(A9,MID(A9,FIND("[",A9),FIND("]",A9)-FIND("[",A9)+1),"")),A9)," ",""),"-",""))&amp;CHAR(34)&amp;",",CHAR(34)&amp;"lets0"&amp;LEN(SUBSTITUTE(SUBSTITUTE(IFERROR(TRIM(SUBSTITUTE(A9,MID(A9,FIND("[",A9),FIND("]",A9)-FIND("[",A9)+1),"")),A9)," ",""),"-",""))&amp;CHAR(34)&amp;",")</f>
        <v>"lets16",</v>
      </c>
      <c r="DE9" s="48" t="str">
        <f t="shared" ref="DE9" si="105">CHAR(34)&amp;"start"&amp;IFERROR(LEFT(SUBSTITUTE(A9,"["&amp;MID(A9,FIND("[",A9)+1,FIND("]",A9)-FIND("[",A9)-1)&amp;"] ",""),1),LEFT(A9,1))&amp;CHAR(34)&amp;","</f>
        <v>"startU",</v>
      </c>
      <c r="DF9" s="48" t="str">
        <f t="shared" si="26"/>
        <v/>
      </c>
      <c r="DG9" s="48" t="str">
        <f t="shared" si="27"/>
        <v/>
      </c>
      <c r="DH9" s="48" t="str">
        <f t="shared" si="28"/>
        <v>"with_v",</v>
      </c>
      <c r="DI9" s="48" t="str">
        <f t="shared" si="29"/>
        <v/>
      </c>
      <c r="DJ9" s="48" t="str">
        <f t="shared" si="30"/>
        <v>"with_y",</v>
      </c>
      <c r="DK9" s="48" t="str">
        <f t="shared" si="31"/>
        <v/>
      </c>
      <c r="DL9" s="48" t="str">
        <f t="shared" si="32"/>
        <v/>
      </c>
      <c r="DM9" s="48" t="str" cm="1">
        <f t="array" ref="DM9">IF(CG9=3,CHAR(34) &amp; _xlfn.TEXTJOIN("", TRUE, RIGHT(HP9:HX9, 2)) &amp; CHAR(34) &amp; ",", "")</f>
        <v/>
      </c>
      <c r="DN9" s="48" t="str">
        <f t="shared" si="33"/>
        <v>"year18",</v>
      </c>
      <c r="DO9" s="48" t="str">
        <f t="shared" si="34"/>
        <v/>
      </c>
      <c r="DP9" s="6" t="str">
        <f t="shared" si="35"/>
        <v/>
      </c>
      <c r="DQ9" s="6" t="str">
        <f t="shared" si="36"/>
        <v/>
      </c>
      <c r="DR9" s="6" t="str">
        <f t="shared" si="37"/>
        <v/>
      </c>
      <c r="DS9" s="6" t="str">
        <f t="shared" si="38"/>
        <v/>
      </c>
      <c r="DT9" s="6" t="str">
        <f t="shared" si="39"/>
        <v/>
      </c>
      <c r="DU9" s="6" t="str">
        <f t="shared" si="40"/>
        <v/>
      </c>
      <c r="DW9" s="48" t="str">
        <f t="shared" si="1"/>
        <v/>
      </c>
      <c r="DX9" s="48" t="str">
        <f t="shared" si="1"/>
        <v>"2Bands",</v>
      </c>
      <c r="DY9" s="48" t="str">
        <f t="shared" si="1"/>
        <v/>
      </c>
      <c r="DZ9" s="48" t="str">
        <f t="shared" si="1"/>
        <v/>
      </c>
      <c r="EA9" s="48" t="str">
        <f t="shared" si="2"/>
        <v>"Diagon",</v>
      </c>
      <c r="EB9" s="48" t="str">
        <f t="shared" si="2"/>
        <v>"Crosse",</v>
      </c>
      <c r="EC9" s="48" t="str">
        <f t="shared" si="2"/>
        <v>"Horizo",</v>
      </c>
      <c r="ED9" s="48" t="str">
        <f t="shared" si="2"/>
        <v>"Vertic",</v>
      </c>
      <c r="EE9" s="48" t="str">
        <f t="shared" si="2"/>
        <v>"Circle",</v>
      </c>
      <c r="EF9" s="48" t="str">
        <f t="shared" si="42"/>
        <v/>
      </c>
      <c r="EG9" s="48" t="str">
        <f t="shared" si="3"/>
        <v/>
      </c>
      <c r="EH9" s="48" t="str">
        <f t="shared" si="3"/>
        <v/>
      </c>
      <c r="EI9" s="48" t="str">
        <f t="shared" si="3"/>
        <v/>
      </c>
      <c r="EJ9" s="48" t="str">
        <f t="shared" si="3"/>
        <v/>
      </c>
      <c r="EK9" s="48" t="str">
        <f t="shared" si="3"/>
        <v>"HasSun",</v>
      </c>
      <c r="EL9" s="48" t="str">
        <f t="shared" si="3"/>
        <v/>
      </c>
      <c r="EM9" s="48" t="str">
        <f t="shared" si="3"/>
        <v/>
      </c>
      <c r="EN9" s="48" t="str">
        <f t="shared" si="3"/>
        <v>"Unequa",</v>
      </c>
      <c r="EO9" s="48" t="str">
        <f t="shared" si="3"/>
        <v>"Center",</v>
      </c>
      <c r="EP9" s="48" t="str">
        <f t="shared" si="3"/>
        <v/>
      </c>
      <c r="EQ9" s="48" t="str">
        <f t="shared" si="3"/>
        <v/>
      </c>
      <c r="ER9" s="48" t="str">
        <f t="shared" si="3"/>
        <v/>
      </c>
      <c r="ES9" s="48" t="str">
        <f t="shared" si="3"/>
        <v/>
      </c>
      <c r="ET9" s="48" t="str">
        <f t="shared" si="3"/>
        <v/>
      </c>
      <c r="EU9" s="48" t="str">
        <f t="shared" si="3"/>
        <v/>
      </c>
      <c r="EV9" s="48" t="str">
        <f t="shared" si="3"/>
        <v/>
      </c>
      <c r="EW9" s="48" t="str">
        <f t="shared" si="3"/>
        <v/>
      </c>
      <c r="EX9" s="48" t="str">
        <f t="shared" si="3"/>
        <v/>
      </c>
      <c r="EY9" s="48" t="str">
        <f t="shared" si="3"/>
        <v/>
      </c>
      <c r="EZ9" s="48" t="str">
        <f t="shared" si="3"/>
        <v/>
      </c>
      <c r="FA9" s="48" t="str">
        <f t="shared" si="43"/>
        <v/>
      </c>
      <c r="FB9" s="48" t="str">
        <f t="shared" si="44"/>
        <v/>
      </c>
      <c r="FD9" s="48" t="str">
        <f t="shared" si="46"/>
        <v/>
      </c>
      <c r="FE9" s="48" t="str">
        <f t="shared" si="47"/>
        <v/>
      </c>
      <c r="FF9" s="48" t="str">
        <f t="shared" si="48"/>
        <v/>
      </c>
      <c r="FG9" s="48" t="str">
        <f t="shared" si="49"/>
        <v>"NO_RED",</v>
      </c>
      <c r="FH9" s="48" t="str">
        <f t="shared" si="50"/>
        <v>"NO_GRE",</v>
      </c>
      <c r="FI9" s="48" t="str">
        <f t="shared" si="51"/>
        <v/>
      </c>
      <c r="FJ9" s="48" t="str">
        <f t="shared" si="52"/>
        <v/>
      </c>
      <c r="FK9" s="48" t="str">
        <f t="shared" si="53"/>
        <v/>
      </c>
      <c r="FL9" s="48" t="str">
        <f t="shared" si="54"/>
        <v/>
      </c>
      <c r="FM9" s="48" t="str">
        <f t="shared" si="55"/>
        <v/>
      </c>
      <c r="FN9" s="48" t="str">
        <f t="shared" si="56"/>
        <v/>
      </c>
      <c r="FO9" s="48" t="str">
        <f t="shared" si="57"/>
        <v/>
      </c>
      <c r="FP9" s="48" t="str">
        <f t="shared" si="58"/>
        <v/>
      </c>
      <c r="FQ9" s="48" t="str">
        <f t="shared" si="59"/>
        <v>"001BLU",</v>
      </c>
      <c r="FR9" s="48" t="str">
        <f t="shared" si="60"/>
        <v/>
      </c>
      <c r="FS9" s="48" t="str">
        <f t="shared" si="61"/>
        <v>"003BLA",</v>
      </c>
      <c r="FT9" s="48" t="str">
        <f t="shared" si="62"/>
        <v>"myrEQ",</v>
      </c>
      <c r="FU9" s="48" t="str">
        <f t="shared" si="63"/>
        <v/>
      </c>
      <c r="FV9" s="48" t="str">
        <f t="shared" si="64"/>
        <v/>
      </c>
      <c r="FW9" s="48" t="str">
        <f t="shared" si="65"/>
        <v/>
      </c>
      <c r="FY9" s="48" t="str">
        <f t="shared" si="67"/>
        <v/>
      </c>
      <c r="FZ9" s="48" t="str">
        <f t="shared" si="68"/>
        <v/>
      </c>
      <c r="GA9" s="48" t="str">
        <f t="shared" si="69"/>
        <v/>
      </c>
      <c r="GB9" s="48" t="str">
        <f t="shared" si="70"/>
        <v/>
      </c>
      <c r="GE9" s="48" t="str">
        <f t="shared" si="73"/>
        <v/>
      </c>
      <c r="GF9" s="48" t="str">
        <f t="shared" si="74"/>
        <v/>
      </c>
      <c r="GG9" s="48" t="str">
        <f t="shared" si="75"/>
        <v/>
      </c>
      <c r="GH9" s="48" t="str">
        <f t="shared" si="76"/>
        <v/>
      </c>
      <c r="GI9" s="48" t="str">
        <f t="shared" si="77"/>
        <v/>
      </c>
      <c r="GJ9" s="48" t="str">
        <f t="shared" si="78"/>
        <v>"NoStar",</v>
      </c>
      <c r="GK9" s="48" t="str">
        <f t="shared" si="79"/>
        <v/>
      </c>
      <c r="GL9" s="48" t="str">
        <f t="shared" si="4"/>
        <v/>
      </c>
      <c r="GM9" s="48" t="str">
        <f t="shared" si="4"/>
        <v/>
      </c>
      <c r="GN9" s="48" t="str">
        <f t="shared" si="4"/>
        <v/>
      </c>
      <c r="GP9" s="48" t="str">
        <f t="shared" si="80"/>
        <v>"Naval Jack"</v>
      </c>
      <c r="GS9" s="48" t="str">
        <f t="shared" si="81"/>
        <v>["4Color","words2","words3","lets16","startU","with_v","with_y","year18","2Bands","Diagon","Crosse","Horizo","Vertic","Circle","HasSun","Unequa","Center","NO_RED","NO_GRE","001BLU","003BLA","myrEQ","NoStar"]</v>
      </c>
      <c r="GT9" s="48" t="str">
        <f t="shared" si="5"/>
        <v>"cl_BLA",</v>
      </c>
      <c r="GU9" s="48" t="str">
        <f t="shared" si="5"/>
        <v>"cl_BLU",</v>
      </c>
      <c r="GV9" s="48" t="str">
        <f t="shared" si="5"/>
        <v/>
      </c>
      <c r="GW9" s="48" t="str">
        <f t="shared" si="5"/>
        <v/>
      </c>
      <c r="GX9" s="48" t="str">
        <f t="shared" si="5"/>
        <v>"cl_YEL",</v>
      </c>
      <c r="GY9" s="48" t="str">
        <f t="shared" si="5"/>
        <v/>
      </c>
      <c r="GZ9" s="48" t="str">
        <f t="shared" si="5"/>
        <v/>
      </c>
      <c r="HA9" s="48" t="str">
        <f t="shared" si="5"/>
        <v/>
      </c>
      <c r="HB9" s="48" t="str">
        <f t="shared" si="5"/>
        <v>"cl_WHI",</v>
      </c>
      <c r="HC9" s="48" t="str">
        <f t="shared" si="82"/>
        <v>["cl_BLA","cl_BLU","cl_YEL","cl_WHI"]</v>
      </c>
      <c r="HE9" s="71"/>
      <c r="HF9" s="72" t="str">
        <f t="shared" si="83"/>
        <v>{couname:"[URU] Uruguay Naval Jack",year:"1817",region:"rgn_South America",Colors:["cl_BLA","cl_BLU","cl_YEL","cl_WHI"],Items:["4Color","words2","words3","lets16","startU","with_v","with_y","year18","2Bands","Diagon","Crosse","Horizo","Vertic","Circle","HasSun","Unequa","Center","NO_RED","NO_GRE","001BLU","003BLA","myrEQ","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links: "https://en.m.wikipedia.org/wiki/List_of_Uruguayan_flags"},</v>
      </c>
      <c r="HG9" s="73" t="str">
        <f t="shared" si="84"/>
        <v>{couname:"[URU] Uruguay Naval Jack",year:"1817",region:"rgn_South America",Colors:["cl_BLA","cl_BLU","cl_YEL","cl_WHI"],Items:["4Color","words2","words3","lets16","startU","with_v","with_y","year18","2Bands","Diagon","Crosse","Horizo","Vertic","Circle","HasSun","Unequa","Center","NO_RED","NO_GRE","001BLU","003BLA","myrEQ","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links: "https://en.m.wikipedia.org/wiki/List_of_Uruguayan_flags"},</v>
      </c>
      <c r="HH9" s="48" t="str">
        <f t="shared" si="85"/>
        <v>"\nA White Field with a blue saltire that extends to the corners of the flag and the Sun of May in the center."</v>
      </c>
      <c r="HI9" s="48" t="str">
        <f t="shared" si="86"/>
        <v>"\nA White Field with a blue saltire that extends to the corners of the flag and the Sun of May in the center."</v>
      </c>
      <c r="HJ9" s="48" t="str">
        <f t="shared" si="87"/>
        <v>"1817"</v>
      </c>
      <c r="HL9" s="48" t="str">
        <f t="shared" si="88"/>
        <v>"https://en.m.wikipedia.org/wiki/List_of_Uruguayan_flags"</v>
      </c>
      <c r="HM9" s="72" t="str">
        <f t="shared" si="89"/>
        <v>{"couname":"[URU] Uruguay Naval Jack","subtype":"[URU] Other","year":"1817","region":"rgn_South America","Colors":["cl_BLA","cl_BLU","cl_YEL","cl_WHI"],"Items":["4Color","words2","words3","lets16","startU","with_v","with_y","year18","2Bands","Diagon","Crosse","Horizo","Vertic","Circle","HasSun","Unequa","Center","NO_RED","NO_GRE","001BLU","003BLA","myrEQ","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 "links": "https://en.m.wikipedia.org/wiki/List_of_Uruguayan_flags"},</v>
      </c>
      <c r="HN9" s="74" t="str">
        <f t="shared" si="90"/>
        <v>{"couname":"[URU] Uruguay Naval Jack","subtype":"[URU] Other","year":"1817","region":"rgn_South America","Colors":["cl_BLA","cl_BLU","cl_YEL","cl_WHI"],"Items":["4Color","words2","words3","lets16","startU","with_v","with_y","year18","2Bands","Diagon","Crosse","Horizo","Vertic","Circle","HasSun","Unequa","Center","NO_RED","NO_GRE","001BLU","003BLA","myrEQ","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 "links": "https://en.m.wikipedia.org/wiki/List_of_Uruguayan_flags"},</v>
      </c>
      <c r="HO9" s="75">
        <v>45610</v>
      </c>
      <c r="HP9" s="48" t="str" cm="1">
        <f t="array" ref="HP9">IF(_xlfn.TEXTJOIN(", ", TRUE, IF(ISNUMBER(SEARCH("BLA", BL9:BT9)), COLUMN(BL9:BT9) - COLUMN(BL9) + 1, ""))&lt;&gt;"","BLA","")</f>
        <v>BLA</v>
      </c>
      <c r="HQ9" s="48" t="str" cm="1">
        <f t="array" ref="HQ9">IF(_xlfn.TEXTJOIN(", ", TRUE, IF(ISNUMBER(SEARCH("BLU", BL9:BT9)), COLUMN(BL9:BT9) - COLUMN(BL9) + 1, ""))&lt;&gt;"","BLU","")</f>
        <v>BLU</v>
      </c>
      <c r="HR9" s="48" t="str" cm="1">
        <f t="array" ref="HR9">IF(_xlfn.TEXTJOIN(", ", TRUE, IF(ISNUMBER(SEARCH("GRE", BL9:BT9)), COLUMN(BL9:BT9) - COLUMN(BL9) + 1, ""))&lt;&gt;"","GRE","")</f>
        <v/>
      </c>
      <c r="HS9" s="48" t="str" cm="1">
        <f t="array" ref="HS9">IF(_xlfn.TEXTJOIN(", ", TRUE, IF(ISNUMBER(SEARCH("RED", BL9:BT9)), COLUMN(BL9:BT9) - COLUMN(BL9) + 1, ""))&lt;&gt;"","RED","")</f>
        <v/>
      </c>
      <c r="HT9" s="48" t="str" cm="1">
        <f t="array" ref="HT9">IF(_xlfn.TEXTJOIN(", ", TRUE, IF(ISNUMBER(SEARCH("YEL", BL9:BT9)), COLUMN(BL9:BT9) - COLUMN(BL9) + 1, ""))&lt;&gt;"","YEL","")</f>
        <v>YEL</v>
      </c>
      <c r="HU9" s="48" t="str" cm="1">
        <f t="array" ref="HU9">IF(_xlfn.TEXTJOIN(", ", TRUE, IF(ISNUMBER(SEARCH("ORA", BL9:BT9)), COLUMN(BL9:BT9) - COLUMN(BL9) + 1, ""))&lt;&gt;"","ORA","")</f>
        <v/>
      </c>
      <c r="HV9" s="48" t="str" cm="1">
        <f t="array" ref="HV9">IF(_xlfn.TEXTJOIN(", ", TRUE, IF(ISNUMBER(SEARCH("BRO", BL9:BT9)), COLUMN(BL9:BT9) - COLUMN(BL9) + 1, ""))&lt;&gt;"","BRO","")</f>
        <v/>
      </c>
      <c r="HW9" s="48" t="str" cm="1">
        <f t="array" ref="HW9">IF(_xlfn.TEXTJOIN(", ", TRUE, IF(ISNUMBER(SEARCH("PUR", BL9:BT9)), COLUMN(BL9:BT9) - COLUMN(BL9) + 1, ""))&lt;&gt;"","PUR","")</f>
        <v/>
      </c>
      <c r="HX9" s="48" t="str" cm="1">
        <f t="array" ref="HX9">IF(_xlfn.TEXTJOIN(", ", TRUE, IF(ISNUMBER(SEARCH("WHI", BL9:BT9)), COLUMN(BL9:BT9) - COLUMN(BL9) + 1, ""))&lt;&gt;"","WHI","")</f>
        <v>WHI</v>
      </c>
      <c r="HY9" s="76"/>
      <c r="HZ9" s="76"/>
      <c r="IA9" s="6"/>
      <c r="IB9" s="6"/>
      <c r="IC9" s="77"/>
      <c r="ID9" s="77"/>
      <c r="IE9" s="77"/>
      <c r="IF9" s="77"/>
      <c r="IG9" s="77"/>
      <c r="IH9" s="77"/>
      <c r="II9" s="77"/>
      <c r="IJ9" s="77"/>
      <c r="IK9" s="77"/>
      <c r="IM9" s="45">
        <f t="shared" si="92"/>
        <v>-4</v>
      </c>
      <c r="IN9" s="78" t="str">
        <f t="shared" si="93"/>
        <v>http://mkweb.bcgsc.ca/color-summarizer/?url=https://upload.wikimedia.org/wikipedia/commons/thumb/1/14/Naval_Jack_of_Uruguay.svg/640px-Naval_Jack_of_Uruguay.svg.png&amp;precision=low&amp;num_clusters=4&amp;text=1</v>
      </c>
      <c r="IO9" s="48" t="str">
        <f t="shared" si="94"/>
        <v>"black"</v>
      </c>
      <c r="IP9" s="48" t="str">
        <f t="shared" si="95"/>
        <v>"blue"</v>
      </c>
      <c r="IQ9" s="48" t="str">
        <f t="shared" si="96"/>
        <v/>
      </c>
      <c r="IR9" s="48" t="str">
        <f t="shared" si="97"/>
        <v/>
      </c>
      <c r="IS9" s="48" t="str">
        <f t="shared" si="98"/>
        <v>"yellow"</v>
      </c>
      <c r="IT9" s="48" t="str">
        <f t="shared" si="99"/>
        <v/>
      </c>
      <c r="IU9" s="48" t="str">
        <f t="shared" si="100"/>
        <v/>
      </c>
      <c r="IV9" s="48" t="str">
        <f t="shared" si="101"/>
        <v/>
      </c>
      <c r="IW9" s="48" t="str">
        <f t="shared" si="102"/>
        <v>"white"</v>
      </c>
      <c r="IX9" s="48" t="str">
        <f t="shared" si="103"/>
        <v>{"url":"http://mkweb.bcgsc.ca/color-summarizer/?url=https://upload.wikimedia.org/wikipedia/commons/thumb/1/14/Naval_Jack_of_Uruguay.svg/640px-Naval_Jack_of_Uruguay.svg.png&amp;precision=low&amp;num_clusters=4&amp;text=1","name":"[URU] Uruguay Naval Jack"},</v>
      </c>
      <c r="IY9" s="48">
        <v>1490</v>
      </c>
    </row>
  </sheetData>
  <conditionalFormatting sqref="H1 CW1:GS1 IA1:IB1">
    <cfRule type="cellIs" dxfId="3725" priority="323" operator="greaterThan">
      <formula>0</formula>
    </cfRule>
  </conditionalFormatting>
  <conditionalFormatting sqref="H1">
    <cfRule type="cellIs" dxfId="3724" priority="289" stopIfTrue="1" operator="notEqual">
      <formula>""</formula>
    </cfRule>
  </conditionalFormatting>
  <conditionalFormatting sqref="T1:BK1">
    <cfRule type="cellIs" dxfId="3723" priority="326" operator="greaterThan">
      <formula>0</formula>
    </cfRule>
  </conditionalFormatting>
  <conditionalFormatting sqref="BV1:BW1">
    <cfRule type="cellIs" dxfId="3722" priority="325" operator="equal">
      <formula>"nc"</formula>
    </cfRule>
  </conditionalFormatting>
  <conditionalFormatting sqref="HF1:HG1">
    <cfRule type="cellIs" dxfId="3721" priority="327" operator="greaterThan">
      <formula>0</formula>
    </cfRule>
  </conditionalFormatting>
  <conditionalFormatting sqref="HK1">
    <cfRule type="cellIs" dxfId="3720" priority="324" operator="greaterThan">
      <formula>0</formula>
    </cfRule>
  </conditionalFormatting>
  <conditionalFormatting sqref="HP1:HX1">
    <cfRule type="cellIs" dxfId="3719" priority="301" operator="equal">
      <formula>"PIN"</formula>
    </cfRule>
    <cfRule type="cellIs" dxfId="3718" priority="302" operator="equal">
      <formula>"ORA"</formula>
    </cfRule>
    <cfRule type="cellIs" dxfId="3717" priority="303" operator="equal">
      <formula>"GRA"</formula>
    </cfRule>
    <cfRule type="cellIs" dxfId="3716" priority="304" operator="equal">
      <formula>"PUR"</formula>
    </cfRule>
    <cfRule type="cellIs" dxfId="3715" priority="305" operator="equal">
      <formula>"BRO"</formula>
    </cfRule>
    <cfRule type="cellIs" dxfId="3714" priority="306" operator="equal">
      <formula>"YEL"</formula>
    </cfRule>
    <cfRule type="cellIs" dxfId="3713" priority="307" operator="equal">
      <formula>"BLU"</formula>
    </cfRule>
    <cfRule type="cellIs" dxfId="3712" priority="308" operator="equal">
      <formula>"WHI"</formula>
    </cfRule>
    <cfRule type="cellIs" dxfId="3711" priority="309" operator="equal">
      <formula>"GRE"</formula>
    </cfRule>
    <cfRule type="cellIs" dxfId="3710" priority="310" operator="equal">
      <formula>"RED"</formula>
    </cfRule>
    <cfRule type="cellIs" dxfId="3709" priority="311" operator="equal">
      <formula>"BLA"</formula>
    </cfRule>
  </conditionalFormatting>
  <conditionalFormatting sqref="IC1:IK1">
    <cfRule type="cellIs" dxfId="3708" priority="312" operator="equal">
      <formula>"PIN"</formula>
    </cfRule>
    <cfRule type="cellIs" dxfId="3707" priority="313" operator="equal">
      <formula>"ORA"</formula>
    </cfRule>
    <cfRule type="cellIs" dxfId="3706" priority="314" operator="equal">
      <formula>"GRA"</formula>
    </cfRule>
    <cfRule type="cellIs" dxfId="3705" priority="315" operator="equal">
      <formula>"PUR"</formula>
    </cfRule>
    <cfRule type="cellIs" dxfId="3704" priority="316" operator="equal">
      <formula>"BRO"</formula>
    </cfRule>
    <cfRule type="cellIs" dxfId="3703" priority="317" operator="equal">
      <formula>"YEL"</formula>
    </cfRule>
    <cfRule type="cellIs" dxfId="3702" priority="318" operator="equal">
      <formula>"BLU"</formula>
    </cfRule>
    <cfRule type="cellIs" dxfId="3701" priority="319" operator="equal">
      <formula>"WHI"</formula>
    </cfRule>
    <cfRule type="cellIs" dxfId="3700" priority="320" operator="equal">
      <formula>"GRE"</formula>
    </cfRule>
    <cfRule type="cellIs" dxfId="3699" priority="321" operator="equal">
      <formula>"RED"</formula>
    </cfRule>
    <cfRule type="cellIs" dxfId="3698" priority="322" operator="equal">
      <formula>"BLA"</formula>
    </cfRule>
  </conditionalFormatting>
  <conditionalFormatting sqref="IO1:IW1">
    <cfRule type="cellIs" dxfId="3697" priority="290" operator="equal">
      <formula>"PIN"</formula>
    </cfRule>
    <cfRule type="cellIs" dxfId="3696" priority="291" operator="equal">
      <formula>"ORA"</formula>
    </cfRule>
    <cfRule type="cellIs" dxfId="3695" priority="292" operator="equal">
      <formula>"GRA"</formula>
    </cfRule>
    <cfRule type="cellIs" dxfId="3694" priority="293" operator="equal">
      <formula>"PUR"</formula>
    </cfRule>
    <cfRule type="cellIs" dxfId="3693" priority="294" operator="equal">
      <formula>"BRO"</formula>
    </cfRule>
    <cfRule type="cellIs" dxfId="3692" priority="295" operator="equal">
      <formula>"YEL"</formula>
    </cfRule>
    <cfRule type="cellIs" dxfId="3691" priority="296" operator="equal">
      <formula>"BLU"</formula>
    </cfRule>
    <cfRule type="cellIs" dxfId="3690" priority="297" operator="equal">
      <formula>"WHI"</formula>
    </cfRule>
    <cfRule type="cellIs" dxfId="3689" priority="298" operator="equal">
      <formula>"GRE"</formula>
    </cfRule>
    <cfRule type="cellIs" dxfId="3688" priority="299" operator="equal">
      <formula>"RED"</formula>
    </cfRule>
    <cfRule type="cellIs" dxfId="3687" priority="300" operator="equal">
      <formula>"BLA"</formula>
    </cfRule>
  </conditionalFormatting>
  <conditionalFormatting sqref="H2">
    <cfRule type="cellIs" dxfId="3686" priority="258" stopIfTrue="1" operator="notEqual">
      <formula>""</formula>
    </cfRule>
  </conditionalFormatting>
  <conditionalFormatting sqref="R2 CU2">
    <cfRule type="cellIs" dxfId="3685" priority="260" operator="greaterThan">
      <formula>0</formula>
    </cfRule>
  </conditionalFormatting>
  <conditionalFormatting sqref="T2:AS2 CH2:CS2">
    <cfRule type="cellIs" dxfId="3684" priority="255" stopIfTrue="1" operator="equal">
      <formula>"n"</formula>
    </cfRule>
    <cfRule type="cellIs" dxfId="3683" priority="256" stopIfTrue="1" operator="equal">
      <formula>"y"</formula>
    </cfRule>
    <cfRule type="cellIs" dxfId="3682" priority="257" operator="greaterThan">
      <formula>0</formula>
    </cfRule>
  </conditionalFormatting>
  <conditionalFormatting sqref="AZ2:BB2">
    <cfRule type="expression" dxfId="3681" priority="254">
      <formula>$AT2=0</formula>
    </cfRule>
  </conditionalFormatting>
  <conditionalFormatting sqref="AZ2:BU2">
    <cfRule type="cellIs" dxfId="3680" priority="263" operator="equal">
      <formula>"PIN"</formula>
    </cfRule>
    <cfRule type="cellIs" dxfId="3679" priority="264" operator="equal">
      <formula>"ORA"</formula>
    </cfRule>
    <cfRule type="cellIs" dxfId="3678" priority="265" operator="equal">
      <formula>"GRA"</formula>
    </cfRule>
    <cfRule type="cellIs" dxfId="3677" priority="266" operator="equal">
      <formula>"PUR"</formula>
    </cfRule>
    <cfRule type="cellIs" dxfId="3676" priority="267" operator="equal">
      <formula>"BRO"</formula>
    </cfRule>
    <cfRule type="cellIs" dxfId="3675" priority="268" operator="equal">
      <formula>"YEL"</formula>
    </cfRule>
    <cfRule type="cellIs" dxfId="3674" priority="269" operator="equal">
      <formula>"BLU"</formula>
    </cfRule>
    <cfRule type="cellIs" dxfId="3673" priority="270" operator="equal">
      <formula>"WHI"</formula>
    </cfRule>
    <cfRule type="cellIs" dxfId="3672" priority="271" operator="equal">
      <formula>"GRE"</formula>
    </cfRule>
    <cfRule type="cellIs" dxfId="3671" priority="272" operator="equal">
      <formula>"RED"</formula>
    </cfRule>
    <cfRule type="cellIs" dxfId="3670" priority="273" operator="equal">
      <formula>"BLA"</formula>
    </cfRule>
  </conditionalFormatting>
  <conditionalFormatting sqref="BV2:BW2">
    <cfRule type="cellIs" dxfId="3669" priority="285" operator="equal">
      <formula>"nc"</formula>
    </cfRule>
  </conditionalFormatting>
  <conditionalFormatting sqref="BX2:CA2 CD2:CF2">
    <cfRule type="cellIs" dxfId="3668" priority="259" operator="equal">
      <formula>"y"</formula>
    </cfRule>
    <cfRule type="cellIs" dxfId="3667" priority="274" operator="equal">
      <formula>"PIN"</formula>
    </cfRule>
    <cfRule type="cellIs" dxfId="3666" priority="275" operator="equal">
      <formula>"ORA"</formula>
    </cfRule>
    <cfRule type="cellIs" dxfId="3665" priority="276" operator="equal">
      <formula>"GRA"</formula>
    </cfRule>
    <cfRule type="cellIs" dxfId="3664" priority="277" operator="equal">
      <formula>"PUR"</formula>
    </cfRule>
    <cfRule type="cellIs" dxfId="3663" priority="278" operator="equal">
      <formula>"BRO"</formula>
    </cfRule>
    <cfRule type="cellIs" dxfId="3662" priority="279" operator="equal">
      <formula>"YEL"</formula>
    </cfRule>
    <cfRule type="cellIs" dxfId="3661" priority="280" operator="equal">
      <formula>"BLU"</formula>
    </cfRule>
    <cfRule type="cellIs" dxfId="3660" priority="281" operator="equal">
      <formula>"WHI"</formula>
    </cfRule>
    <cfRule type="cellIs" dxfId="3659" priority="282" operator="equal">
      <formula>"GRE"</formula>
    </cfRule>
    <cfRule type="cellIs" dxfId="3658" priority="283" operator="equal">
      <formula>"RED"</formula>
    </cfRule>
    <cfRule type="cellIs" dxfId="3657" priority="284" operator="equal">
      <formula>"BLA"</formula>
    </cfRule>
  </conditionalFormatting>
  <conditionalFormatting sqref="BZ2:CA2 CD2:CF2">
    <cfRule type="cellIs" dxfId="3656" priority="261" operator="greaterThan">
      <formula>0</formula>
    </cfRule>
  </conditionalFormatting>
  <conditionalFormatting sqref="IC2:IK2">
    <cfRule type="expression" dxfId="3655" priority="262">
      <formula>$IL2&gt;0</formula>
    </cfRule>
  </conditionalFormatting>
  <conditionalFormatting sqref="S2">
    <cfRule type="colorScale" priority="286">
      <colorScale>
        <cfvo type="min"/>
        <cfvo type="max"/>
        <color rgb="FFFCFCFF"/>
        <color rgb="FF754BFB"/>
      </colorScale>
    </cfRule>
  </conditionalFormatting>
  <conditionalFormatting sqref="AT2">
    <cfRule type="colorScale" priority="287">
      <colorScale>
        <cfvo type="min"/>
        <cfvo type="max"/>
        <color rgb="FFFCFCFF"/>
        <color theme="8" tint="0.39997558519241921"/>
      </colorScale>
    </cfRule>
  </conditionalFormatting>
  <conditionalFormatting sqref="CG2">
    <cfRule type="colorScale" priority="288">
      <colorScale>
        <cfvo type="min"/>
        <cfvo type="max"/>
        <color rgb="FFFCFCFF"/>
        <color rgb="FF63BE7B"/>
      </colorScale>
    </cfRule>
  </conditionalFormatting>
  <conditionalFormatting sqref="J2">
    <cfRule type="colorScale" priority="253">
      <colorScale>
        <cfvo type="min"/>
        <cfvo type="percentile" val="50"/>
        <cfvo type="max"/>
        <color rgb="FFF8696B"/>
        <color rgb="FFFFEB84"/>
        <color rgb="FF63BE7B"/>
      </colorScale>
    </cfRule>
  </conditionalFormatting>
  <conditionalFormatting sqref="H3">
    <cfRule type="cellIs" dxfId="1343" priority="221" stopIfTrue="1" operator="notEqual">
      <formula>""</formula>
    </cfRule>
  </conditionalFormatting>
  <conditionalFormatting sqref="R3 CU3">
    <cfRule type="cellIs" dxfId="1342" priority="223" operator="greaterThan">
      <formula>0</formula>
    </cfRule>
  </conditionalFormatting>
  <conditionalFormatting sqref="T3:AS3 CH3:CS3">
    <cfRule type="cellIs" dxfId="1341" priority="218" stopIfTrue="1" operator="equal">
      <formula>"n"</formula>
    </cfRule>
    <cfRule type="cellIs" dxfId="1340" priority="219" stopIfTrue="1" operator="equal">
      <formula>"y"</formula>
    </cfRule>
    <cfRule type="cellIs" dxfId="1339" priority="220" operator="greaterThan">
      <formula>0</formula>
    </cfRule>
  </conditionalFormatting>
  <conditionalFormatting sqref="AZ3:BB3">
    <cfRule type="expression" dxfId="1338" priority="217">
      <formula>$AT3=0</formula>
    </cfRule>
  </conditionalFormatting>
  <conditionalFormatting sqref="AZ3:BU3">
    <cfRule type="cellIs" dxfId="1337" priority="226" operator="equal">
      <formula>"PIN"</formula>
    </cfRule>
    <cfRule type="cellIs" dxfId="1336" priority="227" operator="equal">
      <formula>"ORA"</formula>
    </cfRule>
    <cfRule type="cellIs" dxfId="1335" priority="228" operator="equal">
      <formula>"GRA"</formula>
    </cfRule>
    <cfRule type="cellIs" dxfId="1334" priority="229" operator="equal">
      <formula>"PUR"</formula>
    </cfRule>
    <cfRule type="cellIs" dxfId="1333" priority="230" operator="equal">
      <formula>"BRO"</formula>
    </cfRule>
    <cfRule type="cellIs" dxfId="1332" priority="231" operator="equal">
      <formula>"YEL"</formula>
    </cfRule>
    <cfRule type="cellIs" dxfId="1331" priority="232" operator="equal">
      <formula>"BLU"</formula>
    </cfRule>
    <cfRule type="cellIs" dxfId="1330" priority="233" operator="equal">
      <formula>"WHI"</formula>
    </cfRule>
    <cfRule type="cellIs" dxfId="1329" priority="234" operator="equal">
      <formula>"GRE"</formula>
    </cfRule>
    <cfRule type="cellIs" dxfId="1328" priority="235" operator="equal">
      <formula>"RED"</formula>
    </cfRule>
    <cfRule type="cellIs" dxfId="1327" priority="236" operator="equal">
      <formula>"BLA"</formula>
    </cfRule>
  </conditionalFormatting>
  <conditionalFormatting sqref="BV3">
    <cfRule type="cellIs" dxfId="1326" priority="248" operator="equal">
      <formula>"nc"</formula>
    </cfRule>
  </conditionalFormatting>
  <conditionalFormatting sqref="BX3:CA3 CD3:CF3">
    <cfRule type="cellIs" dxfId="1325" priority="222" operator="equal">
      <formula>"y"</formula>
    </cfRule>
    <cfRule type="cellIs" dxfId="1324" priority="237" operator="equal">
      <formula>"PIN"</formula>
    </cfRule>
    <cfRule type="cellIs" dxfId="1323" priority="238" operator="equal">
      <formula>"ORA"</formula>
    </cfRule>
    <cfRule type="cellIs" dxfId="1322" priority="239" operator="equal">
      <formula>"GRA"</formula>
    </cfRule>
    <cfRule type="cellIs" dxfId="1321" priority="240" operator="equal">
      <formula>"PUR"</formula>
    </cfRule>
    <cfRule type="cellIs" dxfId="1320" priority="241" operator="equal">
      <formula>"BRO"</formula>
    </cfRule>
    <cfRule type="cellIs" dxfId="1319" priority="242" operator="equal">
      <formula>"YEL"</formula>
    </cfRule>
    <cfRule type="cellIs" dxfId="1318" priority="243" operator="equal">
      <formula>"BLU"</formula>
    </cfRule>
    <cfRule type="cellIs" dxfId="1317" priority="244" operator="equal">
      <formula>"WHI"</formula>
    </cfRule>
    <cfRule type="cellIs" dxfId="1316" priority="245" operator="equal">
      <formula>"GRE"</formula>
    </cfRule>
    <cfRule type="cellIs" dxfId="1315" priority="246" operator="equal">
      <formula>"RED"</formula>
    </cfRule>
    <cfRule type="cellIs" dxfId="1314" priority="247" operator="equal">
      <formula>"BLA"</formula>
    </cfRule>
  </conditionalFormatting>
  <conditionalFormatting sqref="BZ3:CA3 CD3:CF3">
    <cfRule type="cellIs" dxfId="1313" priority="224" operator="greaterThan">
      <formula>0</formula>
    </cfRule>
  </conditionalFormatting>
  <conditionalFormatting sqref="IC3:IK3">
    <cfRule type="expression" dxfId="1312" priority="225">
      <formula>$IL3&gt;0</formula>
    </cfRule>
  </conditionalFormatting>
  <conditionalFormatting sqref="J3">
    <cfRule type="colorScale" priority="249">
      <colorScale>
        <cfvo type="min"/>
        <cfvo type="percentile" val="50"/>
        <cfvo type="max"/>
        <color rgb="FFF8696B"/>
        <color rgb="FFFFEB84"/>
        <color rgb="FF63BE7B"/>
      </colorScale>
    </cfRule>
  </conditionalFormatting>
  <conditionalFormatting sqref="S3">
    <cfRule type="colorScale" priority="250">
      <colorScale>
        <cfvo type="min"/>
        <cfvo type="max"/>
        <color rgb="FFFCFCFF"/>
        <color rgb="FF754BFB"/>
      </colorScale>
    </cfRule>
  </conditionalFormatting>
  <conditionalFormatting sqref="AT3">
    <cfRule type="colorScale" priority="251">
      <colorScale>
        <cfvo type="min"/>
        <cfvo type="max"/>
        <color rgb="FFFCFCFF"/>
        <color theme="8" tint="0.39997558519241921"/>
      </colorScale>
    </cfRule>
  </conditionalFormatting>
  <conditionalFormatting sqref="CG3">
    <cfRule type="colorScale" priority="252">
      <colorScale>
        <cfvo type="min"/>
        <cfvo type="max"/>
        <color rgb="FFFCFCFF"/>
        <color rgb="FF63BE7B"/>
      </colorScale>
    </cfRule>
  </conditionalFormatting>
  <conditionalFormatting sqref="H4">
    <cfRule type="cellIs" dxfId="1311" priority="185" stopIfTrue="1" operator="notEqual">
      <formula>""</formula>
    </cfRule>
  </conditionalFormatting>
  <conditionalFormatting sqref="R4 CU4">
    <cfRule type="cellIs" dxfId="1310" priority="187" operator="greaterThan">
      <formula>0</formula>
    </cfRule>
  </conditionalFormatting>
  <conditionalFormatting sqref="T4:AS4 CH4:CS4">
    <cfRule type="cellIs" dxfId="1309" priority="182" stopIfTrue="1" operator="equal">
      <formula>"n"</formula>
    </cfRule>
    <cfRule type="cellIs" dxfId="1308" priority="183" stopIfTrue="1" operator="equal">
      <formula>"y"</formula>
    </cfRule>
    <cfRule type="cellIs" dxfId="1307" priority="184" operator="greaterThan">
      <formula>0</formula>
    </cfRule>
  </conditionalFormatting>
  <conditionalFormatting sqref="AZ4:BB4">
    <cfRule type="expression" dxfId="1306" priority="181">
      <formula>$AT4=0</formula>
    </cfRule>
  </conditionalFormatting>
  <conditionalFormatting sqref="AZ4:BU4">
    <cfRule type="cellIs" dxfId="1305" priority="190" operator="equal">
      <formula>"PIN"</formula>
    </cfRule>
    <cfRule type="cellIs" dxfId="1304" priority="191" operator="equal">
      <formula>"ORA"</formula>
    </cfRule>
    <cfRule type="cellIs" dxfId="1303" priority="192" operator="equal">
      <formula>"GRA"</formula>
    </cfRule>
    <cfRule type="cellIs" dxfId="1302" priority="193" operator="equal">
      <formula>"PUR"</formula>
    </cfRule>
    <cfRule type="cellIs" dxfId="1301" priority="194" operator="equal">
      <formula>"BRO"</formula>
    </cfRule>
    <cfRule type="cellIs" dxfId="1300" priority="195" operator="equal">
      <formula>"YEL"</formula>
    </cfRule>
    <cfRule type="cellIs" dxfId="1299" priority="196" operator="equal">
      <formula>"BLU"</formula>
    </cfRule>
    <cfRule type="cellIs" dxfId="1298" priority="197" operator="equal">
      <formula>"WHI"</formula>
    </cfRule>
    <cfRule type="cellIs" dxfId="1297" priority="198" operator="equal">
      <formula>"GRE"</formula>
    </cfRule>
    <cfRule type="cellIs" dxfId="1296" priority="199" operator="equal">
      <formula>"RED"</formula>
    </cfRule>
    <cfRule type="cellIs" dxfId="1295" priority="200" operator="equal">
      <formula>"BLA"</formula>
    </cfRule>
  </conditionalFormatting>
  <conditionalFormatting sqref="BV4">
    <cfRule type="cellIs" dxfId="1294" priority="212" operator="equal">
      <formula>"nc"</formula>
    </cfRule>
  </conditionalFormatting>
  <conditionalFormatting sqref="BX4:CA4 CD4:CF4">
    <cfRule type="cellIs" dxfId="1293" priority="186" operator="equal">
      <formula>"y"</formula>
    </cfRule>
    <cfRule type="cellIs" dxfId="1292" priority="201" operator="equal">
      <formula>"PIN"</formula>
    </cfRule>
    <cfRule type="cellIs" dxfId="1291" priority="202" operator="equal">
      <formula>"ORA"</formula>
    </cfRule>
    <cfRule type="cellIs" dxfId="1290" priority="203" operator="equal">
      <formula>"GRA"</formula>
    </cfRule>
    <cfRule type="cellIs" dxfId="1289" priority="204" operator="equal">
      <formula>"PUR"</formula>
    </cfRule>
    <cfRule type="cellIs" dxfId="1288" priority="205" operator="equal">
      <formula>"BRO"</formula>
    </cfRule>
    <cfRule type="cellIs" dxfId="1287" priority="206" operator="equal">
      <formula>"YEL"</formula>
    </cfRule>
    <cfRule type="cellIs" dxfId="1286" priority="207" operator="equal">
      <formula>"BLU"</formula>
    </cfRule>
    <cfRule type="cellIs" dxfId="1285" priority="208" operator="equal">
      <formula>"WHI"</formula>
    </cfRule>
    <cfRule type="cellIs" dxfId="1284" priority="209" operator="equal">
      <formula>"GRE"</formula>
    </cfRule>
    <cfRule type="cellIs" dxfId="1283" priority="210" operator="equal">
      <formula>"RED"</formula>
    </cfRule>
    <cfRule type="cellIs" dxfId="1282" priority="211" operator="equal">
      <formula>"BLA"</formula>
    </cfRule>
  </conditionalFormatting>
  <conditionalFormatting sqref="BZ4:CA4 CD4:CF4">
    <cfRule type="cellIs" dxfId="1281" priority="188" operator="greaterThan">
      <formula>0</formula>
    </cfRule>
  </conditionalFormatting>
  <conditionalFormatting sqref="IC4:IK4">
    <cfRule type="expression" dxfId="1280" priority="189">
      <formula>$IL4&gt;0</formula>
    </cfRule>
  </conditionalFormatting>
  <conditionalFormatting sqref="J4">
    <cfRule type="colorScale" priority="213">
      <colorScale>
        <cfvo type="min"/>
        <cfvo type="percentile" val="50"/>
        <cfvo type="max"/>
        <color rgb="FFF8696B"/>
        <color rgb="FFFFEB84"/>
        <color rgb="FF63BE7B"/>
      </colorScale>
    </cfRule>
  </conditionalFormatting>
  <conditionalFormatting sqref="S4">
    <cfRule type="colorScale" priority="214">
      <colorScale>
        <cfvo type="min"/>
        <cfvo type="max"/>
        <color rgb="FFFCFCFF"/>
        <color rgb="FF754BFB"/>
      </colorScale>
    </cfRule>
  </conditionalFormatting>
  <conditionalFormatting sqref="AT4">
    <cfRule type="colorScale" priority="215">
      <colorScale>
        <cfvo type="min"/>
        <cfvo type="max"/>
        <color rgb="FFFCFCFF"/>
        <color theme="8" tint="0.39997558519241921"/>
      </colorScale>
    </cfRule>
  </conditionalFormatting>
  <conditionalFormatting sqref="CG4">
    <cfRule type="colorScale" priority="216">
      <colorScale>
        <cfvo type="min"/>
        <cfvo type="max"/>
        <color rgb="FFFCFCFF"/>
        <color rgb="FF63BE7B"/>
      </colorScale>
    </cfRule>
  </conditionalFormatting>
  <conditionalFormatting sqref="H5">
    <cfRule type="cellIs" dxfId="1279" priority="149" stopIfTrue="1" operator="notEqual">
      <formula>""</formula>
    </cfRule>
  </conditionalFormatting>
  <conditionalFormatting sqref="R5 CU5">
    <cfRule type="cellIs" dxfId="1278" priority="151" operator="greaterThan">
      <formula>0</formula>
    </cfRule>
  </conditionalFormatting>
  <conditionalFormatting sqref="T5:AS5 CH5:CS5">
    <cfRule type="cellIs" dxfId="1277" priority="146" stopIfTrue="1" operator="equal">
      <formula>"n"</formula>
    </cfRule>
    <cfRule type="cellIs" dxfId="1276" priority="147" stopIfTrue="1" operator="equal">
      <formula>"y"</formula>
    </cfRule>
    <cfRule type="cellIs" dxfId="1275" priority="148" operator="greaterThan">
      <formula>0</formula>
    </cfRule>
  </conditionalFormatting>
  <conditionalFormatting sqref="AZ5:BB5">
    <cfRule type="expression" dxfId="1274" priority="145">
      <formula>$AT5=0</formula>
    </cfRule>
  </conditionalFormatting>
  <conditionalFormatting sqref="AZ5:BU5">
    <cfRule type="cellIs" dxfId="1273" priority="154" operator="equal">
      <formula>"PIN"</formula>
    </cfRule>
    <cfRule type="cellIs" dxfId="1272" priority="155" operator="equal">
      <formula>"ORA"</formula>
    </cfRule>
    <cfRule type="cellIs" dxfId="1271" priority="156" operator="equal">
      <formula>"GRA"</formula>
    </cfRule>
    <cfRule type="cellIs" dxfId="1270" priority="157" operator="equal">
      <formula>"PUR"</formula>
    </cfRule>
    <cfRule type="cellIs" dxfId="1269" priority="158" operator="equal">
      <formula>"BRO"</formula>
    </cfRule>
    <cfRule type="cellIs" dxfId="1268" priority="159" operator="equal">
      <formula>"YEL"</formula>
    </cfRule>
    <cfRule type="cellIs" dxfId="1267" priority="160" operator="equal">
      <formula>"BLU"</formula>
    </cfRule>
    <cfRule type="cellIs" dxfId="1266" priority="161" operator="equal">
      <formula>"WHI"</formula>
    </cfRule>
    <cfRule type="cellIs" dxfId="1265" priority="162" operator="equal">
      <formula>"GRE"</formula>
    </cfRule>
    <cfRule type="cellIs" dxfId="1264" priority="163" operator="equal">
      <formula>"RED"</formula>
    </cfRule>
    <cfRule type="cellIs" dxfId="1263" priority="164" operator="equal">
      <formula>"BLA"</formula>
    </cfRule>
  </conditionalFormatting>
  <conditionalFormatting sqref="BV5">
    <cfRule type="cellIs" dxfId="1262" priority="176" operator="equal">
      <formula>"nc"</formula>
    </cfRule>
  </conditionalFormatting>
  <conditionalFormatting sqref="BX5:CA5 CD5:CF5">
    <cfRule type="cellIs" dxfId="1261" priority="150" operator="equal">
      <formula>"y"</formula>
    </cfRule>
    <cfRule type="cellIs" dxfId="1260" priority="165" operator="equal">
      <formula>"PIN"</formula>
    </cfRule>
    <cfRule type="cellIs" dxfId="1259" priority="166" operator="equal">
      <formula>"ORA"</formula>
    </cfRule>
    <cfRule type="cellIs" dxfId="1258" priority="167" operator="equal">
      <formula>"GRA"</formula>
    </cfRule>
    <cfRule type="cellIs" dxfId="1257" priority="168" operator="equal">
      <formula>"PUR"</formula>
    </cfRule>
    <cfRule type="cellIs" dxfId="1256" priority="169" operator="equal">
      <formula>"BRO"</formula>
    </cfRule>
    <cfRule type="cellIs" dxfId="1255" priority="170" operator="equal">
      <formula>"YEL"</formula>
    </cfRule>
    <cfRule type="cellIs" dxfId="1254" priority="171" operator="equal">
      <formula>"BLU"</formula>
    </cfRule>
    <cfRule type="cellIs" dxfId="1253" priority="172" operator="equal">
      <formula>"WHI"</formula>
    </cfRule>
    <cfRule type="cellIs" dxfId="1252" priority="173" operator="equal">
      <formula>"GRE"</formula>
    </cfRule>
    <cfRule type="cellIs" dxfId="1251" priority="174" operator="equal">
      <formula>"RED"</formula>
    </cfRule>
    <cfRule type="cellIs" dxfId="1250" priority="175" operator="equal">
      <formula>"BLA"</formula>
    </cfRule>
  </conditionalFormatting>
  <conditionalFormatting sqref="BZ5:CA5 CD5:CF5">
    <cfRule type="cellIs" dxfId="1249" priority="152" operator="greaterThan">
      <formula>0</formula>
    </cfRule>
  </conditionalFormatting>
  <conditionalFormatting sqref="IC5:IK5">
    <cfRule type="expression" dxfId="1248" priority="153">
      <formula>$IL5&gt;0</formula>
    </cfRule>
  </conditionalFormatting>
  <conditionalFormatting sqref="J5">
    <cfRule type="colorScale" priority="177">
      <colorScale>
        <cfvo type="min"/>
        <cfvo type="percentile" val="50"/>
        <cfvo type="max"/>
        <color rgb="FFF8696B"/>
        <color rgb="FFFFEB84"/>
        <color rgb="FF63BE7B"/>
      </colorScale>
    </cfRule>
  </conditionalFormatting>
  <conditionalFormatting sqref="S5">
    <cfRule type="colorScale" priority="178">
      <colorScale>
        <cfvo type="min"/>
        <cfvo type="max"/>
        <color rgb="FFFCFCFF"/>
        <color rgb="FF754BFB"/>
      </colorScale>
    </cfRule>
  </conditionalFormatting>
  <conditionalFormatting sqref="AT5">
    <cfRule type="colorScale" priority="179">
      <colorScale>
        <cfvo type="min"/>
        <cfvo type="max"/>
        <color rgb="FFFCFCFF"/>
        <color theme="8" tint="0.39997558519241921"/>
      </colorScale>
    </cfRule>
  </conditionalFormatting>
  <conditionalFormatting sqref="CG5">
    <cfRule type="colorScale" priority="180">
      <colorScale>
        <cfvo type="min"/>
        <cfvo type="max"/>
        <color rgb="FFFCFCFF"/>
        <color rgb="FF63BE7B"/>
      </colorScale>
    </cfRule>
  </conditionalFormatting>
  <conditionalFormatting sqref="H6">
    <cfRule type="cellIs" dxfId="1247" priority="113" stopIfTrue="1" operator="notEqual">
      <formula>""</formula>
    </cfRule>
  </conditionalFormatting>
  <conditionalFormatting sqref="R6 CU6">
    <cfRule type="cellIs" dxfId="1246" priority="115" operator="greaterThan">
      <formula>0</formula>
    </cfRule>
  </conditionalFormatting>
  <conditionalFormatting sqref="T6:AS6 CH6:CS6">
    <cfRule type="cellIs" dxfId="1245" priority="110" stopIfTrue="1" operator="equal">
      <formula>"n"</formula>
    </cfRule>
    <cfRule type="cellIs" dxfId="1244" priority="111" stopIfTrue="1" operator="equal">
      <formula>"y"</formula>
    </cfRule>
    <cfRule type="cellIs" dxfId="1243" priority="112" operator="greaterThan">
      <formula>0</formula>
    </cfRule>
  </conditionalFormatting>
  <conditionalFormatting sqref="AZ6:BB6">
    <cfRule type="expression" dxfId="1242" priority="109">
      <formula>$AT6=0</formula>
    </cfRule>
  </conditionalFormatting>
  <conditionalFormatting sqref="AZ6:BU6">
    <cfRule type="cellIs" dxfId="1241" priority="118" operator="equal">
      <formula>"PIN"</formula>
    </cfRule>
    <cfRule type="cellIs" dxfId="1240" priority="119" operator="equal">
      <formula>"ORA"</formula>
    </cfRule>
    <cfRule type="cellIs" dxfId="1239" priority="120" operator="equal">
      <formula>"GRA"</formula>
    </cfRule>
    <cfRule type="cellIs" dxfId="1238" priority="121" operator="equal">
      <formula>"PUR"</formula>
    </cfRule>
    <cfRule type="cellIs" dxfId="1237" priority="122" operator="equal">
      <formula>"BRO"</formula>
    </cfRule>
    <cfRule type="cellIs" dxfId="1236" priority="123" operator="equal">
      <formula>"YEL"</formula>
    </cfRule>
    <cfRule type="cellIs" dxfId="1235" priority="124" operator="equal">
      <formula>"BLU"</formula>
    </cfRule>
    <cfRule type="cellIs" dxfId="1234" priority="125" operator="equal">
      <formula>"WHI"</formula>
    </cfRule>
    <cfRule type="cellIs" dxfId="1233" priority="126" operator="equal">
      <formula>"GRE"</formula>
    </cfRule>
    <cfRule type="cellIs" dxfId="1232" priority="127" operator="equal">
      <formula>"RED"</formula>
    </cfRule>
    <cfRule type="cellIs" dxfId="1231" priority="128" operator="equal">
      <formula>"BLA"</formula>
    </cfRule>
  </conditionalFormatting>
  <conditionalFormatting sqref="BV6">
    <cfRule type="cellIs" dxfId="1230" priority="140" operator="equal">
      <formula>"nc"</formula>
    </cfRule>
  </conditionalFormatting>
  <conditionalFormatting sqref="BX6:CA6 CD6:CF6">
    <cfRule type="cellIs" dxfId="1229" priority="114" operator="equal">
      <formula>"y"</formula>
    </cfRule>
    <cfRule type="cellIs" dxfId="1228" priority="129" operator="equal">
      <formula>"PIN"</formula>
    </cfRule>
    <cfRule type="cellIs" dxfId="1227" priority="130" operator="equal">
      <formula>"ORA"</formula>
    </cfRule>
    <cfRule type="cellIs" dxfId="1226" priority="131" operator="equal">
      <formula>"GRA"</formula>
    </cfRule>
    <cfRule type="cellIs" dxfId="1225" priority="132" operator="equal">
      <formula>"PUR"</formula>
    </cfRule>
    <cfRule type="cellIs" dxfId="1224" priority="133" operator="equal">
      <formula>"BRO"</formula>
    </cfRule>
    <cfRule type="cellIs" dxfId="1223" priority="134" operator="equal">
      <formula>"YEL"</formula>
    </cfRule>
    <cfRule type="cellIs" dxfId="1222" priority="135" operator="equal">
      <formula>"BLU"</formula>
    </cfRule>
    <cfRule type="cellIs" dxfId="1221" priority="136" operator="equal">
      <formula>"WHI"</formula>
    </cfRule>
    <cfRule type="cellIs" dxfId="1220" priority="137" operator="equal">
      <formula>"GRE"</formula>
    </cfRule>
    <cfRule type="cellIs" dxfId="1219" priority="138" operator="equal">
      <formula>"RED"</formula>
    </cfRule>
    <cfRule type="cellIs" dxfId="1218" priority="139" operator="equal">
      <formula>"BLA"</formula>
    </cfRule>
  </conditionalFormatting>
  <conditionalFormatting sqref="BZ6:CA6 CD6:CF6">
    <cfRule type="cellIs" dxfId="1217" priority="116" operator="greaterThan">
      <formula>0</formula>
    </cfRule>
  </conditionalFormatting>
  <conditionalFormatting sqref="IC6:IK6">
    <cfRule type="expression" dxfId="1216" priority="117">
      <formula>$IL6&gt;0</formula>
    </cfRule>
  </conditionalFormatting>
  <conditionalFormatting sqref="J6">
    <cfRule type="colorScale" priority="141">
      <colorScale>
        <cfvo type="min"/>
        <cfvo type="percentile" val="50"/>
        <cfvo type="max"/>
        <color rgb="FFF8696B"/>
        <color rgb="FFFFEB84"/>
        <color rgb="FF63BE7B"/>
      </colorScale>
    </cfRule>
  </conditionalFormatting>
  <conditionalFormatting sqref="S6">
    <cfRule type="colorScale" priority="142">
      <colorScale>
        <cfvo type="min"/>
        <cfvo type="max"/>
        <color rgb="FFFCFCFF"/>
        <color rgb="FF754BFB"/>
      </colorScale>
    </cfRule>
  </conditionalFormatting>
  <conditionalFormatting sqref="AT6">
    <cfRule type="colorScale" priority="143">
      <colorScale>
        <cfvo type="min"/>
        <cfvo type="max"/>
        <color rgb="FFFCFCFF"/>
        <color theme="8" tint="0.39997558519241921"/>
      </colorScale>
    </cfRule>
  </conditionalFormatting>
  <conditionalFormatting sqref="CG6">
    <cfRule type="colorScale" priority="144">
      <colorScale>
        <cfvo type="min"/>
        <cfvo type="max"/>
        <color rgb="FFFCFCFF"/>
        <color rgb="FF63BE7B"/>
      </colorScale>
    </cfRule>
  </conditionalFormatting>
  <conditionalFormatting sqref="H7">
    <cfRule type="cellIs" dxfId="1215" priority="77" stopIfTrue="1" operator="notEqual">
      <formula>""</formula>
    </cfRule>
  </conditionalFormatting>
  <conditionalFormatting sqref="R7 CU7">
    <cfRule type="cellIs" dxfId="1214" priority="79" operator="greaterThan">
      <formula>0</formula>
    </cfRule>
  </conditionalFormatting>
  <conditionalFormatting sqref="T7:AS7 CH7:CS7">
    <cfRule type="cellIs" dxfId="1213" priority="74" stopIfTrue="1" operator="equal">
      <formula>"n"</formula>
    </cfRule>
    <cfRule type="cellIs" dxfId="1212" priority="75" stopIfTrue="1" operator="equal">
      <formula>"y"</formula>
    </cfRule>
    <cfRule type="cellIs" dxfId="1211" priority="76" operator="greaterThan">
      <formula>0</formula>
    </cfRule>
  </conditionalFormatting>
  <conditionalFormatting sqref="AZ7:BB7">
    <cfRule type="expression" dxfId="1210" priority="73">
      <formula>$AT7=0</formula>
    </cfRule>
  </conditionalFormatting>
  <conditionalFormatting sqref="AZ7:BU7">
    <cfRule type="cellIs" dxfId="1209" priority="82" operator="equal">
      <formula>"PIN"</formula>
    </cfRule>
    <cfRule type="cellIs" dxfId="1208" priority="83" operator="equal">
      <formula>"ORA"</formula>
    </cfRule>
    <cfRule type="cellIs" dxfId="1207" priority="84" operator="equal">
      <formula>"GRA"</formula>
    </cfRule>
    <cfRule type="cellIs" dxfId="1206" priority="85" operator="equal">
      <formula>"PUR"</formula>
    </cfRule>
    <cfRule type="cellIs" dxfId="1205" priority="86" operator="equal">
      <formula>"BRO"</formula>
    </cfRule>
    <cfRule type="cellIs" dxfId="1204" priority="87" operator="equal">
      <formula>"YEL"</formula>
    </cfRule>
    <cfRule type="cellIs" dxfId="1203" priority="88" operator="equal">
      <formula>"BLU"</formula>
    </cfRule>
    <cfRule type="cellIs" dxfId="1202" priority="89" operator="equal">
      <formula>"WHI"</formula>
    </cfRule>
    <cfRule type="cellIs" dxfId="1201" priority="90" operator="equal">
      <formula>"GRE"</formula>
    </cfRule>
    <cfRule type="cellIs" dxfId="1200" priority="91" operator="equal">
      <formula>"RED"</formula>
    </cfRule>
    <cfRule type="cellIs" dxfId="1199" priority="92" operator="equal">
      <formula>"BLA"</formula>
    </cfRule>
  </conditionalFormatting>
  <conditionalFormatting sqref="BV7">
    <cfRule type="cellIs" dxfId="1198" priority="104" operator="equal">
      <formula>"nc"</formula>
    </cfRule>
  </conditionalFormatting>
  <conditionalFormatting sqref="BX7:CA7 CD7:CF7">
    <cfRule type="cellIs" dxfId="1197" priority="78" operator="equal">
      <formula>"y"</formula>
    </cfRule>
    <cfRule type="cellIs" dxfId="1196" priority="93" operator="equal">
      <formula>"PIN"</formula>
    </cfRule>
    <cfRule type="cellIs" dxfId="1195" priority="94" operator="equal">
      <formula>"ORA"</formula>
    </cfRule>
    <cfRule type="cellIs" dxfId="1194" priority="95" operator="equal">
      <formula>"GRA"</formula>
    </cfRule>
    <cfRule type="cellIs" dxfId="1193" priority="96" operator="equal">
      <formula>"PUR"</formula>
    </cfRule>
    <cfRule type="cellIs" dxfId="1192" priority="97" operator="equal">
      <formula>"BRO"</formula>
    </cfRule>
    <cfRule type="cellIs" dxfId="1191" priority="98" operator="equal">
      <formula>"YEL"</formula>
    </cfRule>
    <cfRule type="cellIs" dxfId="1190" priority="99" operator="equal">
      <formula>"BLU"</formula>
    </cfRule>
    <cfRule type="cellIs" dxfId="1189" priority="100" operator="equal">
      <formula>"WHI"</formula>
    </cfRule>
    <cfRule type="cellIs" dxfId="1188" priority="101" operator="equal">
      <formula>"GRE"</formula>
    </cfRule>
    <cfRule type="cellIs" dxfId="1187" priority="102" operator="equal">
      <formula>"RED"</formula>
    </cfRule>
    <cfRule type="cellIs" dxfId="1186" priority="103" operator="equal">
      <formula>"BLA"</formula>
    </cfRule>
  </conditionalFormatting>
  <conditionalFormatting sqref="BZ7:CA7 CD7:CF7">
    <cfRule type="cellIs" dxfId="1185" priority="80" operator="greaterThan">
      <formula>0</formula>
    </cfRule>
  </conditionalFormatting>
  <conditionalFormatting sqref="IC7:IK7">
    <cfRule type="expression" dxfId="1184" priority="81">
      <formula>$IL7&gt;0</formula>
    </cfRule>
  </conditionalFormatting>
  <conditionalFormatting sqref="J7">
    <cfRule type="colorScale" priority="105">
      <colorScale>
        <cfvo type="min"/>
        <cfvo type="percentile" val="50"/>
        <cfvo type="max"/>
        <color rgb="FFF8696B"/>
        <color rgb="FFFFEB84"/>
        <color rgb="FF63BE7B"/>
      </colorScale>
    </cfRule>
  </conditionalFormatting>
  <conditionalFormatting sqref="S7">
    <cfRule type="colorScale" priority="106">
      <colorScale>
        <cfvo type="min"/>
        <cfvo type="max"/>
        <color rgb="FFFCFCFF"/>
        <color rgb="FF754BFB"/>
      </colorScale>
    </cfRule>
  </conditionalFormatting>
  <conditionalFormatting sqref="AT7">
    <cfRule type="colorScale" priority="107">
      <colorScale>
        <cfvo type="min"/>
        <cfvo type="max"/>
        <color rgb="FFFCFCFF"/>
        <color theme="8" tint="0.39997558519241921"/>
      </colorScale>
    </cfRule>
  </conditionalFormatting>
  <conditionalFormatting sqref="CG7">
    <cfRule type="colorScale" priority="108">
      <colorScale>
        <cfvo type="min"/>
        <cfvo type="max"/>
        <color rgb="FFFCFCFF"/>
        <color rgb="FF63BE7B"/>
      </colorScale>
    </cfRule>
  </conditionalFormatting>
  <conditionalFormatting sqref="H8">
    <cfRule type="cellIs" dxfId="1183" priority="41" stopIfTrue="1" operator="notEqual">
      <formula>""</formula>
    </cfRule>
  </conditionalFormatting>
  <conditionalFormatting sqref="R8 CU8">
    <cfRule type="cellIs" dxfId="1182" priority="43" operator="greaterThan">
      <formula>0</formula>
    </cfRule>
  </conditionalFormatting>
  <conditionalFormatting sqref="T8:AS8 CH8:CS8">
    <cfRule type="cellIs" dxfId="1181" priority="38" stopIfTrue="1" operator="equal">
      <formula>"n"</formula>
    </cfRule>
    <cfRule type="cellIs" dxfId="1180" priority="39" stopIfTrue="1" operator="equal">
      <formula>"y"</formula>
    </cfRule>
    <cfRule type="cellIs" dxfId="1179" priority="40" operator="greaterThan">
      <formula>0</formula>
    </cfRule>
  </conditionalFormatting>
  <conditionalFormatting sqref="AZ8:BB8">
    <cfRule type="expression" dxfId="1178" priority="37">
      <formula>$AT8=0</formula>
    </cfRule>
  </conditionalFormatting>
  <conditionalFormatting sqref="AZ8:BU8">
    <cfRule type="cellIs" dxfId="1177" priority="46" operator="equal">
      <formula>"PIN"</formula>
    </cfRule>
    <cfRule type="cellIs" dxfId="1176" priority="47" operator="equal">
      <formula>"ORA"</formula>
    </cfRule>
    <cfRule type="cellIs" dxfId="1175" priority="48" operator="equal">
      <formula>"GRA"</formula>
    </cfRule>
    <cfRule type="cellIs" dxfId="1174" priority="49" operator="equal">
      <formula>"PUR"</formula>
    </cfRule>
    <cfRule type="cellIs" dxfId="1173" priority="50" operator="equal">
      <formula>"BRO"</formula>
    </cfRule>
    <cfRule type="cellIs" dxfId="1172" priority="51" operator="equal">
      <formula>"YEL"</formula>
    </cfRule>
    <cfRule type="cellIs" dxfId="1171" priority="52" operator="equal">
      <formula>"BLU"</formula>
    </cfRule>
    <cfRule type="cellIs" dxfId="1170" priority="53" operator="equal">
      <formula>"WHI"</formula>
    </cfRule>
    <cfRule type="cellIs" dxfId="1169" priority="54" operator="equal">
      <formula>"GRE"</formula>
    </cfRule>
    <cfRule type="cellIs" dxfId="1168" priority="55" operator="equal">
      <formula>"RED"</formula>
    </cfRule>
    <cfRule type="cellIs" dxfId="1167" priority="56" operator="equal">
      <formula>"BLA"</formula>
    </cfRule>
  </conditionalFormatting>
  <conditionalFormatting sqref="BV8">
    <cfRule type="cellIs" dxfId="1166" priority="68" operator="equal">
      <formula>"nc"</formula>
    </cfRule>
  </conditionalFormatting>
  <conditionalFormatting sqref="BX8:CA8 CD8:CF8">
    <cfRule type="cellIs" dxfId="1165" priority="42" operator="equal">
      <formula>"y"</formula>
    </cfRule>
    <cfRule type="cellIs" dxfId="1164" priority="57" operator="equal">
      <formula>"PIN"</formula>
    </cfRule>
    <cfRule type="cellIs" dxfId="1163" priority="58" operator="equal">
      <formula>"ORA"</formula>
    </cfRule>
    <cfRule type="cellIs" dxfId="1162" priority="59" operator="equal">
      <formula>"GRA"</formula>
    </cfRule>
    <cfRule type="cellIs" dxfId="1161" priority="60" operator="equal">
      <formula>"PUR"</formula>
    </cfRule>
    <cfRule type="cellIs" dxfId="1160" priority="61" operator="equal">
      <formula>"BRO"</formula>
    </cfRule>
    <cfRule type="cellIs" dxfId="1159" priority="62" operator="equal">
      <formula>"YEL"</formula>
    </cfRule>
    <cfRule type="cellIs" dxfId="1158" priority="63" operator="equal">
      <formula>"BLU"</formula>
    </cfRule>
    <cfRule type="cellIs" dxfId="1157" priority="64" operator="equal">
      <formula>"WHI"</formula>
    </cfRule>
    <cfRule type="cellIs" dxfId="1156" priority="65" operator="equal">
      <formula>"GRE"</formula>
    </cfRule>
    <cfRule type="cellIs" dxfId="1155" priority="66" operator="equal">
      <formula>"RED"</formula>
    </cfRule>
    <cfRule type="cellIs" dxfId="1154" priority="67" operator="equal">
      <formula>"BLA"</formula>
    </cfRule>
  </conditionalFormatting>
  <conditionalFormatting sqref="BZ8:CA8 CD8:CF8">
    <cfRule type="cellIs" dxfId="1153" priority="44" operator="greaterThan">
      <formula>0</formula>
    </cfRule>
  </conditionalFormatting>
  <conditionalFormatting sqref="IC8:IK8">
    <cfRule type="expression" dxfId="1152" priority="45">
      <formula>$IL8&gt;0</formula>
    </cfRule>
  </conditionalFormatting>
  <conditionalFormatting sqref="J8">
    <cfRule type="colorScale" priority="69">
      <colorScale>
        <cfvo type="min"/>
        <cfvo type="percentile" val="50"/>
        <cfvo type="max"/>
        <color rgb="FFF8696B"/>
        <color rgb="FFFFEB84"/>
        <color rgb="FF63BE7B"/>
      </colorScale>
    </cfRule>
  </conditionalFormatting>
  <conditionalFormatting sqref="S8">
    <cfRule type="colorScale" priority="70">
      <colorScale>
        <cfvo type="min"/>
        <cfvo type="max"/>
        <color rgb="FFFCFCFF"/>
        <color rgb="FF754BFB"/>
      </colorScale>
    </cfRule>
  </conditionalFormatting>
  <conditionalFormatting sqref="AT8">
    <cfRule type="colorScale" priority="71">
      <colorScale>
        <cfvo type="min"/>
        <cfvo type="max"/>
        <color rgb="FFFCFCFF"/>
        <color theme="8" tint="0.39997558519241921"/>
      </colorScale>
    </cfRule>
  </conditionalFormatting>
  <conditionalFormatting sqref="CG8">
    <cfRule type="colorScale" priority="72">
      <colorScale>
        <cfvo type="min"/>
        <cfvo type="max"/>
        <color rgb="FFFCFCFF"/>
        <color rgb="FF63BE7B"/>
      </colorScale>
    </cfRule>
  </conditionalFormatting>
  <conditionalFormatting sqref="H9">
    <cfRule type="cellIs" dxfId="31" priority="5" stopIfTrue="1" operator="notEqual">
      <formula>""</formula>
    </cfRule>
  </conditionalFormatting>
  <conditionalFormatting sqref="R9 CU9">
    <cfRule type="cellIs" dxfId="30" priority="7" operator="greaterThan">
      <formula>0</formula>
    </cfRule>
  </conditionalFormatting>
  <conditionalFormatting sqref="T9:AS9 CH9:CS9">
    <cfRule type="cellIs" dxfId="29" priority="2" stopIfTrue="1" operator="equal">
      <formula>"n"</formula>
    </cfRule>
    <cfRule type="cellIs" dxfId="28" priority="3" stopIfTrue="1" operator="equal">
      <formula>"y"</formula>
    </cfRule>
    <cfRule type="cellIs" dxfId="27" priority="4" operator="greaterThan">
      <formula>0</formula>
    </cfRule>
  </conditionalFormatting>
  <conditionalFormatting sqref="AZ9:BB9">
    <cfRule type="expression" dxfId="26" priority="1">
      <formula>$AT9=0</formula>
    </cfRule>
  </conditionalFormatting>
  <conditionalFormatting sqref="AZ9:BU9">
    <cfRule type="cellIs" dxfId="25" priority="10" operator="equal">
      <formula>"PIN"</formula>
    </cfRule>
    <cfRule type="cellIs" dxfId="24" priority="11" operator="equal">
      <formula>"ORA"</formula>
    </cfRule>
    <cfRule type="cellIs" dxfId="23" priority="12" operator="equal">
      <formula>"GRA"</formula>
    </cfRule>
    <cfRule type="cellIs" dxfId="22" priority="13" operator="equal">
      <formula>"PUR"</formula>
    </cfRule>
    <cfRule type="cellIs" dxfId="21" priority="14" operator="equal">
      <formula>"BRO"</formula>
    </cfRule>
    <cfRule type="cellIs" dxfId="20" priority="15" operator="equal">
      <formula>"YEL"</formula>
    </cfRule>
    <cfRule type="cellIs" dxfId="19" priority="16" operator="equal">
      <formula>"BLU"</formula>
    </cfRule>
    <cfRule type="cellIs" dxfId="18" priority="17" operator="equal">
      <formula>"WHI"</formula>
    </cfRule>
    <cfRule type="cellIs" dxfId="17" priority="18" operator="equal">
      <formula>"GRE"</formula>
    </cfRule>
    <cfRule type="cellIs" dxfId="16" priority="19" operator="equal">
      <formula>"RED"</formula>
    </cfRule>
    <cfRule type="cellIs" dxfId="15" priority="20" operator="equal">
      <formula>"BLA"</formula>
    </cfRule>
  </conditionalFormatting>
  <conditionalFormatting sqref="BV9">
    <cfRule type="cellIs" dxfId="14" priority="32" operator="equal">
      <formula>"nc"</formula>
    </cfRule>
  </conditionalFormatting>
  <conditionalFormatting sqref="BX9:CA9 CD9:CF9">
    <cfRule type="cellIs" dxfId="13" priority="6" operator="equal">
      <formula>"y"</formula>
    </cfRule>
    <cfRule type="cellIs" dxfId="12" priority="21" operator="equal">
      <formula>"PIN"</formula>
    </cfRule>
    <cfRule type="cellIs" dxfId="11" priority="22" operator="equal">
      <formula>"ORA"</formula>
    </cfRule>
    <cfRule type="cellIs" dxfId="10" priority="23" operator="equal">
      <formula>"GRA"</formula>
    </cfRule>
    <cfRule type="cellIs" dxfId="9" priority="24" operator="equal">
      <formula>"PUR"</formula>
    </cfRule>
    <cfRule type="cellIs" dxfId="8" priority="25" operator="equal">
      <formula>"BRO"</formula>
    </cfRule>
    <cfRule type="cellIs" dxfId="7" priority="26" operator="equal">
      <formula>"YEL"</formula>
    </cfRule>
    <cfRule type="cellIs" dxfId="6" priority="27" operator="equal">
      <formula>"BLU"</formula>
    </cfRule>
    <cfRule type="cellIs" dxfId="5" priority="28" operator="equal">
      <formula>"WHI"</formula>
    </cfRule>
    <cfRule type="cellIs" dxfId="4" priority="29" operator="equal">
      <formula>"GRE"</formula>
    </cfRule>
    <cfRule type="cellIs" dxfId="3" priority="30" operator="equal">
      <formula>"RED"</formula>
    </cfRule>
    <cfRule type="cellIs" dxfId="2" priority="31" operator="equal">
      <formula>"BLA"</formula>
    </cfRule>
  </conditionalFormatting>
  <conditionalFormatting sqref="BZ9:CA9 CD9:CF9">
    <cfRule type="cellIs" dxfId="1" priority="8" operator="greaterThan">
      <formula>0</formula>
    </cfRule>
  </conditionalFormatting>
  <conditionalFormatting sqref="IC9:IK9">
    <cfRule type="expression" dxfId="0" priority="9">
      <formula>$IL9&gt;0</formula>
    </cfRule>
  </conditionalFormatting>
  <conditionalFormatting sqref="J9">
    <cfRule type="colorScale" priority="33">
      <colorScale>
        <cfvo type="min"/>
        <cfvo type="percentile" val="50"/>
        <cfvo type="max"/>
        <color rgb="FFF8696B"/>
        <color rgb="FFFFEB84"/>
        <color rgb="FF63BE7B"/>
      </colorScale>
    </cfRule>
  </conditionalFormatting>
  <conditionalFormatting sqref="S9">
    <cfRule type="colorScale" priority="34">
      <colorScale>
        <cfvo type="min"/>
        <cfvo type="max"/>
        <color rgb="FFFCFCFF"/>
        <color rgb="FF754BFB"/>
      </colorScale>
    </cfRule>
  </conditionalFormatting>
  <conditionalFormatting sqref="AT9">
    <cfRule type="colorScale" priority="35">
      <colorScale>
        <cfvo type="min"/>
        <cfvo type="max"/>
        <color rgb="FFFCFCFF"/>
        <color theme="8" tint="0.39997558519241921"/>
      </colorScale>
    </cfRule>
  </conditionalFormatting>
  <conditionalFormatting sqref="CG9">
    <cfRule type="colorScale" priority="36">
      <colorScale>
        <cfvo type="min"/>
        <cfvo type="max"/>
        <color rgb="FFFCFCFF"/>
        <color rgb="FF63BE7B"/>
      </colorScale>
    </cfRule>
  </conditionalFormatting>
  <hyperlinks>
    <hyperlink ref="A2" r:id="rId1" display="https://fbref.com/en/country/URU/Uruguay-Football" xr:uid="{CE185139-57A6-4ECD-BDB8-CBF0DAC8EB7A}"/>
    <hyperlink ref="E2" r:id="rId2" xr:uid="{E6FAD7C8-420C-4180-9F56-AE1F9772FDDE}"/>
    <hyperlink ref="E8" r:id="rId3" xr:uid="{E677500D-6950-492E-BC37-4EE54393731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E3BDC-1CBF-4B8E-AB77-F9094C3FB688}">
  <dimension ref="A1:IY26"/>
  <sheetViews>
    <sheetView tabSelected="1" zoomScale="70" zoomScaleNormal="70" workbookViewId="0">
      <selection activeCell="A26" sqref="A26:XFD26"/>
    </sheetView>
  </sheetViews>
  <sheetFormatPr defaultRowHeight="14.4" x14ac:dyDescent="0.3"/>
  <cols>
    <col min="1" max="1" width="24.33203125" customWidth="1"/>
    <col min="2" max="2" width="10.109375" customWidth="1"/>
    <col min="3" max="3" width="9" bestFit="1" customWidth="1"/>
    <col min="7" max="7" width="9" bestFit="1" customWidth="1"/>
    <col min="11" max="11" width="9.88671875" bestFit="1" customWidth="1"/>
    <col min="12" max="12" width="9" bestFit="1" customWidth="1"/>
    <col min="17" max="17" width="9" bestFit="1" customWidth="1"/>
    <col min="19" max="19" width="9" bestFit="1"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263</v>
      </c>
      <c r="B2" s="40" t="e" vm="101">
        <v>#VALUE!</v>
      </c>
      <c r="C2" s="41">
        <v>1</v>
      </c>
      <c r="D2" s="42" t="s">
        <v>264</v>
      </c>
      <c r="E2" s="43" t="s">
        <v>265</v>
      </c>
      <c r="F2" s="44" t="s">
        <v>166</v>
      </c>
      <c r="G2" s="45">
        <f>COUNTIF($A$1:$A$8305,A2)</f>
        <v>1</v>
      </c>
      <c r="H2" s="46"/>
      <c r="I2" s="47" t="s">
        <v>266</v>
      </c>
      <c r="J2" s="48" t="str">
        <f>""</f>
        <v/>
      </c>
      <c r="K2" s="49">
        <v>28838499</v>
      </c>
      <c r="L2" s="50">
        <v>1250000</v>
      </c>
      <c r="M2" s="50" t="s">
        <v>267</v>
      </c>
      <c r="N2" s="51" t="s">
        <v>169</v>
      </c>
      <c r="O2" s="52" t="s">
        <v>268</v>
      </c>
      <c r="P2" s="53" t="s">
        <v>269</v>
      </c>
      <c r="Q2" s="54">
        <v>1</v>
      </c>
      <c r="R2" s="55" t="s">
        <v>169</v>
      </c>
      <c r="S2" s="56">
        <v>3</v>
      </c>
      <c r="T2" s="57" t="s">
        <v>172</v>
      </c>
      <c r="U2" s="58" t="s">
        <v>172</v>
      </c>
      <c r="V2" s="58" t="s">
        <v>173</v>
      </c>
      <c r="W2" s="58" t="s">
        <v>172</v>
      </c>
      <c r="X2" s="58" t="s">
        <v>172</v>
      </c>
      <c r="Y2" s="58" t="s">
        <v>172</v>
      </c>
      <c r="Z2" s="58" t="s">
        <v>172</v>
      </c>
      <c r="AA2" s="58" t="s">
        <v>172</v>
      </c>
      <c r="AB2" s="58" t="s">
        <v>172</v>
      </c>
      <c r="AC2" s="58" t="s">
        <v>172</v>
      </c>
      <c r="AD2" s="58" t="s">
        <v>172</v>
      </c>
      <c r="AE2" s="58" t="s">
        <v>172</v>
      </c>
      <c r="AF2" s="59" t="s">
        <v>172</v>
      </c>
      <c r="AG2" s="59" t="s">
        <v>172</v>
      </c>
      <c r="AH2" s="59" t="s">
        <v>173</v>
      </c>
      <c r="AI2" s="59" t="s">
        <v>172</v>
      </c>
      <c r="AJ2" s="59" t="s">
        <v>172</v>
      </c>
      <c r="AK2" s="59" t="s">
        <v>172</v>
      </c>
      <c r="AL2" s="59" t="s">
        <v>172</v>
      </c>
      <c r="AM2" s="59" t="s">
        <v>172</v>
      </c>
      <c r="AN2" s="59" t="s">
        <v>172</v>
      </c>
      <c r="AO2" s="59" t="s">
        <v>172</v>
      </c>
      <c r="AP2" s="59" t="s">
        <v>172</v>
      </c>
      <c r="AQ2" s="59" t="s">
        <v>172</v>
      </c>
      <c r="AR2" s="59" t="s">
        <v>172</v>
      </c>
      <c r="AS2" s="59" t="s">
        <v>172</v>
      </c>
      <c r="AT2" s="60">
        <v>8</v>
      </c>
      <c r="AU2" s="59"/>
      <c r="AV2" s="59" t="str">
        <f>IF(LEFT(A2,1)="[",LEFT(A2,5)&amp;AU2&amp;A2,"")</f>
        <v/>
      </c>
      <c r="AW2" s="59" t="str">
        <f>C2&amp;A2</f>
        <v>1Venezuela</v>
      </c>
      <c r="AX2" s="61" t="str">
        <f>_xlfn.TEXTJOIN(";",TRUE,AU2:AW2)</f>
        <v>1Venezuela</v>
      </c>
      <c r="AY2" s="61" t="s">
        <v>173</v>
      </c>
      <c r="AZ2" s="62"/>
      <c r="BA2" s="62"/>
      <c r="BB2" s="62"/>
      <c r="BC2" s="63"/>
      <c r="BD2" s="64" t="s">
        <v>154</v>
      </c>
      <c r="BE2" s="47"/>
      <c r="BF2" s="64" t="s">
        <v>154</v>
      </c>
      <c r="BG2" s="64" t="s">
        <v>159</v>
      </c>
      <c r="BH2" s="64" t="s">
        <v>152</v>
      </c>
      <c r="BI2" s="64"/>
      <c r="BJ2" s="64"/>
      <c r="BK2" s="47"/>
      <c r="BL2" s="64" t="s">
        <v>155</v>
      </c>
      <c r="BM2" s="64" t="s">
        <v>154</v>
      </c>
      <c r="BN2" s="64" t="s">
        <v>159</v>
      </c>
      <c r="BO2" s="64" t="s">
        <v>152</v>
      </c>
      <c r="BP2" s="64" t="s">
        <v>151</v>
      </c>
      <c r="BQ2" s="64"/>
      <c r="BR2" s="64"/>
      <c r="BS2" s="64"/>
      <c r="BT2" s="64"/>
      <c r="BU2" s="65"/>
      <c r="BV2" s="66" t="s">
        <v>172</v>
      </c>
      <c r="BW2" s="66" t="s">
        <v>270</v>
      </c>
      <c r="BX2" s="47"/>
      <c r="CB2" s="6" t="s">
        <v>271</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y</v>
      </c>
      <c r="CO2" s="59" t="str">
        <f>IF(S2&gt;=4,"y","n")</f>
        <v>n</v>
      </c>
      <c r="CP2" s="59" t="str">
        <f>IF(AT2=0,"y","n")</f>
        <v>n</v>
      </c>
      <c r="CQ2" s="59" t="str">
        <f>IF(AT2=1,"y","n")</f>
        <v>n</v>
      </c>
      <c r="CR2" s="59" t="str">
        <f>IF(AT2=2,"y","n")</f>
        <v>n</v>
      </c>
      <c r="CS2" s="59" t="str">
        <f>IF(AT2&gt;=3,"y","n")</f>
        <v>y</v>
      </c>
      <c r="CT2" s="69" t="str">
        <f>CHAR(34)&amp;A2&amp;CHAR(34)</f>
        <v>"Venezuela"</v>
      </c>
      <c r="CU2" s="70" t="str">
        <f>CHAR(34)&amp;"rgn_"&amp;R2&amp;CHAR(34)</f>
        <v>"rgn_South America"</v>
      </c>
      <c r="CV2" s="48" t="str">
        <f>CHAR(34)&amp;D2&amp;CHAR(34)</f>
        <v>"https://i.ibb.co/FnjCzQh/Venezuela-Flag.png"</v>
      </c>
      <c r="CW2" s="48" t="str">
        <f t="shared" ref="CW2:CZ17" si="0">IF(CH2="y",CHAR(34)&amp;CH$1&amp;CHAR(34)&amp;",","")</f>
        <v/>
      </c>
      <c r="CX2" s="48" t="str">
        <f t="shared" si="0"/>
        <v/>
      </c>
      <c r="CY2" s="48" t="str">
        <f t="shared" si="0"/>
        <v/>
      </c>
      <c r="CZ2" s="48" t="str">
        <f t="shared" si="0"/>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"startV",</v>
      </c>
      <c r="DF2" s="48" t="str">
        <f>IFERROR(IF(SEARCH("tan",A2)&gt;0,CHAR(34)&amp;"withtn"&amp;CHAR(34)&amp;",",""),"")</f>
        <v/>
      </c>
      <c r="DG2" s="48" t="str">
        <f>IFERROR(IF(SEARCH("q",A2)&gt;0,CHAR(34)&amp;"with_q"&amp;CHAR(34)&amp;",",""),"")</f>
        <v/>
      </c>
      <c r="DH2" s="48" t="str">
        <f>IFERROR(IF(SEARCH("v",A2)&gt;0,CHAR(34)&amp;"with_v"&amp;CHAR(34)&amp;",",""),"")</f>
        <v>"with_v",</v>
      </c>
      <c r="DI2" s="48" t="str">
        <f>IFERROR(IF(SEARCH("w",A2)&gt;0,CHAR(34)&amp;"with_w"&amp;CHAR(34)&amp;",",""),"")</f>
        <v/>
      </c>
      <c r="DJ2" s="48" t="str">
        <f>IFERROR(IF(SEARCH("y",A2)&gt;0,CHAR(34)&amp;"with_y"&amp;CHAR(34)&amp;",",""),"")</f>
        <v/>
      </c>
      <c r="DK2" s="48" t="str">
        <f>IFERROR(IF(SEARCH("z",A2)&gt;0,CHAR(34)&amp;"with_z"&amp;CHAR(34)&amp;",",""),"")</f>
        <v>"with_z",</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 t="shared" ref="DW2:DZ17" si="1">IF(CL2="y",CHAR(34)&amp;CL$1&amp;CHAR(34)&amp;",","")</f>
        <v/>
      </c>
      <c r="DX2" s="48" t="str">
        <f t="shared" si="1"/>
        <v/>
      </c>
      <c r="DY2" s="48" t="str">
        <f t="shared" si="1"/>
        <v>"3Bands",</v>
      </c>
      <c r="DZ2" s="48" t="str">
        <f t="shared" si="1"/>
        <v/>
      </c>
      <c r="EA2" s="48" t="str">
        <f t="shared" ref="EA2:EE17" si="2">IF(T2="y",CHAR(34)&amp;T$1&amp;CHAR(34)&amp;",","")</f>
        <v/>
      </c>
      <c r="EB2" s="48" t="str">
        <f t="shared" si="2"/>
        <v/>
      </c>
      <c r="EC2" s="48" t="str">
        <f t="shared" si="2"/>
        <v>"Horizo",</v>
      </c>
      <c r="ED2" s="48" t="str">
        <f t="shared" si="2"/>
        <v/>
      </c>
      <c r="EE2" s="48" t="str">
        <f t="shared" si="2"/>
        <v/>
      </c>
      <c r="EF2" s="48" t="str">
        <f>IF(AND(Y2&lt;&gt;"n",Y2&lt;&gt;""),CHAR(34)&amp;Y$1&amp;CHAR(34)&amp;",","")</f>
        <v/>
      </c>
      <c r="EG2" s="48" t="str">
        <f t="shared" ref="EG2:EZ14" si="3">IF(Z2="y",CHAR(34)&amp;Z$1&amp;CHAR(34)&amp;",","")</f>
        <v/>
      </c>
      <c r="EH2" s="48" t="str">
        <f t="shared" si="3"/>
        <v/>
      </c>
      <c r="EI2" s="48" t="str">
        <f t="shared" si="3"/>
        <v/>
      </c>
      <c r="EJ2" s="48" t="str">
        <f t="shared" si="3"/>
        <v/>
      </c>
      <c r="EK2" s="48" t="str">
        <f t="shared" si="3"/>
        <v/>
      </c>
      <c r="EL2" s="48" t="str">
        <f t="shared" si="3"/>
        <v/>
      </c>
      <c r="EM2" s="48" t="str">
        <f t="shared" si="3"/>
        <v/>
      </c>
      <c r="EN2" s="48" t="str">
        <f t="shared" si="3"/>
        <v/>
      </c>
      <c r="EO2" s="48" t="str">
        <f t="shared" si="3"/>
        <v>"Center",</v>
      </c>
      <c r="EP2" s="48" t="str">
        <f t="shared" si="3"/>
        <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"sta",</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"002WHI",</v>
      </c>
      <c r="FS2" s="48" t="str">
        <f>IF(LEN(BH2)=3,CHAR(34)&amp;"003"&amp;BH2&amp;CHAR(34)&amp;",","")</f>
        <v>"003BLU",</v>
      </c>
      <c r="FT2" s="48" t="str">
        <f>CHAR(34)&amp;"myr"&amp;BD2&amp;CHAR(34)&amp;","</f>
        <v>"myrRED",</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 t="shared" ref="GL2:GN17" si="4">IF(CQ2="y",CHAR(34)&amp;CQ$1&amp;CHAR(34)&amp;",","")</f>
        <v/>
      </c>
      <c r="GM2" s="48" t="str">
        <f t="shared" si="4"/>
        <v/>
      </c>
      <c r="GN2" s="48" t="str">
        <f t="shared" si="4"/>
        <v>"3+Star",</v>
      </c>
      <c r="GP2" s="48" t="str">
        <f>CHAR(34)&amp;AU2&amp;CHAR(34)</f>
        <v>""</v>
      </c>
      <c r="GS2" s="48" t="str">
        <f>SUBSTITUTE("["&amp;_xlfn.CONCAT(CW2:GN2)&amp;"]",",]","]")</f>
        <v>["5+Colo","lets09","startV","with_v","with_z","year00","allhor","3Bands","Horizo","Center","sta","tcWHYE","NO_GRE","001RED","002WHI","003BLU","myrRED","island","englis","HasSta","3+Star"]</v>
      </c>
      <c r="GT2" s="48" t="str">
        <f t="shared" ref="GT2:HB17" si="5">IF(BL2&lt;&gt;"",CHAR(34)&amp;"cl_"&amp;BL2&amp;CHAR(34)&amp;",","")</f>
        <v>"cl_YEL",</v>
      </c>
      <c r="GU2" s="48" t="str">
        <f t="shared" si="5"/>
        <v>"cl_RED",</v>
      </c>
      <c r="GV2" s="48" t="str">
        <f t="shared" si="5"/>
        <v>"cl_WHI",</v>
      </c>
      <c r="GW2" s="48" t="str">
        <f t="shared" si="5"/>
        <v>"cl_BLU",</v>
      </c>
      <c r="GX2" s="48" t="str">
        <f t="shared" si="5"/>
        <v>"cl_BLA",</v>
      </c>
      <c r="GY2" s="48" t="str">
        <f t="shared" si="5"/>
        <v/>
      </c>
      <c r="GZ2" s="48" t="str">
        <f t="shared" si="5"/>
        <v/>
      </c>
      <c r="HA2" s="48" t="str">
        <f t="shared" si="5"/>
        <v/>
      </c>
      <c r="HB2" s="48" t="str">
        <f t="shared" si="5"/>
        <v/>
      </c>
      <c r="HC2" s="48" t="str">
        <f>SUBSTITUTE("["&amp;_xlfn.CONCAT(GT2:HB2)&amp;"]",",]","]")</f>
        <v>["cl_YEL","cl_RED","cl_WHI","cl_BLU","cl_BLA"]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{couname:"Venezuela",year:"2006 ",region:"rgn_South America",Colors:["cl_YEL","cl_RED","cl_WHI","cl_BLU","cl_BLA"],Items:["5+Colo","lets09","startV","with_v","with_z","year00","allhor","3Bands","Horizo","Center","sta","tcWHYE","NO_GRE","001RED","002WHI","003BLU","myrRED","island","engl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links: "https://en.wikipedia.org/wiki/Flag_of_Venezuela"},</v>
      </c>
      <c r="HG2" s="73" t="str">
        <f>"{couname:"&amp;CT2&amp;(IF(HK2&lt;&gt;"",",subtype:"&amp;CHAR(34)&amp;HK2&amp;CHAR(34),""))&amp;",year:"&amp;HJ2&amp;",region:"&amp;CU2&amp;",Colors:"&amp;HC2&amp;",Items:"&amp;GS2&amp;",Flag:"&amp;CV2&amp;",HDFlag:"&amp;CHAR(34)&amp;E2&amp;CHAR(34)&amp;",type:"&amp;GP2&amp;", describe: "&amp;HI2&amp;", links: "&amp;HL2&amp;"},"</f>
        <v>{couname:"Venezuela",year:"2006 ",region:"rgn_South America",Colors:["cl_YEL","cl_RED","cl_WHI","cl_BLU","cl_BLA"],Items:["5+Colo","lets09","startV","with_v","with_z","year00","allhor","3Bands","Horizo","Center","sta","tcWHYE","NO_GRE","001RED","002WHI","003BLU","myrRED","island","engl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links: "https://en.wikipedia.org/wiki/Flag_of_Venezuela"},</v>
      </c>
      <c r="HH2" s="48" t="str">
        <f>IF(P2&lt;&gt;"",CHAR(34)&amp;"\n"&amp;P2&amp;CHAR(34),CHAR(34)&amp;CHAR(34))</f>
        <v>"\n\n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v>
      </c>
      <c r="HI2" s="48" t="str">
        <f>IF(J2=0,CHAR(34)&amp;CHAR(34),HH2)</f>
        <v>"\n\n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v>
      </c>
      <c r="HJ2" s="48" t="str">
        <f>CHAR(34)&amp;O2&amp;CHAR(34)</f>
        <v>"2006 "</v>
      </c>
      <c r="HL2" s="48" t="str">
        <f>CHAR(34)&amp;I2&amp;CHAR(34)</f>
        <v>"https://en.wikipedia.org/wiki/Flag_of_Venezuela"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{"couname":"Venezuela","year":"2006 ","region":"rgn_South America","Colors":["cl_YEL","cl_RED","cl_WHI","cl_BLU","cl_BLA"],"Items":["5+Colo","lets09","startV","with_v","with_z","year00","allhor","3Bands","Horizo","Center","sta","tcWHYE","NO_GRE","001RED","002WHI","003BLU","myrRED","island","engl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 "links": "https://en.wikipedia.org/wiki/Flag_of_Venezuela"},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{"couname":"Venezuela","year":"2006 ","region":"rgn_South America","Colors":["cl_YEL","cl_RED","cl_WHI","cl_BLU","cl_BLA"],"Items":["5+Colo","lets09","startV","with_v","with_z","year00","allhor","3Bands","Horizo","Center","sta","tcWHYE","NO_GRE","001RED","002WHI","003BLU","myrRED","island","engl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 "links": "https://en.wikipedia.org/wiki/Flag_of_Venezuela"},</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http://mkweb.bcgsc.ca/color-summarizer/?url=https://i.ibb.co/FnjCzQh/Venezuela-Flag.png&amp;precision=low&amp;num_clusters=5&amp;text=1</v>
      </c>
      <c r="IO2" s="48" t="str">
        <f>IF(HP2&lt;&gt;"",CHAR(34)&amp;"black"&amp;CHAR(34),"")</f>
        <v>"black"</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{"url":"http://mkweb.bcgsc.ca/color-summarizer/?url=https://i.ibb.co/FnjCzQh/Venezuela-Flag.png&amp;precision=low&amp;num_clusters=5&amp;text=1","name":"Venezuela"},</v>
      </c>
      <c r="IY2" s="48">
        <v>114</v>
      </c>
    </row>
    <row r="3" spans="1:259" s="48" customFormat="1" ht="38.4" customHeight="1" thickBot="1" x14ac:dyDescent="0.35">
      <c r="A3" s="79" t="s">
        <v>697</v>
      </c>
      <c r="B3" s="40" t="e" vm="102">
        <v>#VALUE!</v>
      </c>
      <c r="C3" s="41">
        <v>2</v>
      </c>
      <c r="D3" s="42" t="s">
        <v>698</v>
      </c>
      <c r="E3" s="43" t="s">
        <v>699</v>
      </c>
      <c r="F3" s="44" t="s">
        <v>166</v>
      </c>
      <c r="G3" s="45">
        <f>COUNTIF($A$1:$A$8305,A3)</f>
        <v>1</v>
      </c>
      <c r="H3" s="46"/>
      <c r="I3" s="47" t="s">
        <v>700</v>
      </c>
      <c r="J3" s="48" t="str">
        <f>""</f>
        <v/>
      </c>
      <c r="K3" s="49"/>
      <c r="L3" s="50"/>
      <c r="M3" s="50"/>
      <c r="N3" s="51" t="s">
        <v>169</v>
      </c>
      <c r="O3" s="52">
        <v>2002</v>
      </c>
      <c r="P3" s="53" t="s">
        <v>701</v>
      </c>
      <c r="Q3" s="54">
        <v>1</v>
      </c>
      <c r="R3" s="55" t="s">
        <v>169</v>
      </c>
      <c r="S3" s="56">
        <v>3</v>
      </c>
      <c r="T3" s="57" t="s">
        <v>172</v>
      </c>
      <c r="U3" s="58" t="s">
        <v>172</v>
      </c>
      <c r="V3" s="58" t="s">
        <v>173</v>
      </c>
      <c r="W3" s="58" t="s">
        <v>172</v>
      </c>
      <c r="X3" s="58" t="s">
        <v>173</v>
      </c>
      <c r="Y3" s="58" t="s">
        <v>172</v>
      </c>
      <c r="Z3" s="58" t="s">
        <v>172</v>
      </c>
      <c r="AA3" s="58" t="s">
        <v>172</v>
      </c>
      <c r="AB3" s="58" t="s">
        <v>172</v>
      </c>
      <c r="AC3" s="58" t="s">
        <v>172</v>
      </c>
      <c r="AD3" s="58" t="s">
        <v>172</v>
      </c>
      <c r="AE3" s="58" t="s">
        <v>172</v>
      </c>
      <c r="AF3" s="59" t="s">
        <v>172</v>
      </c>
      <c r="AG3" s="59" t="s">
        <v>173</v>
      </c>
      <c r="AH3" s="59" t="s">
        <v>173</v>
      </c>
      <c r="AI3" s="59" t="s">
        <v>172</v>
      </c>
      <c r="AJ3" s="59" t="s">
        <v>172</v>
      </c>
      <c r="AK3" s="59" t="s">
        <v>172</v>
      </c>
      <c r="AL3" s="59" t="s">
        <v>172</v>
      </c>
      <c r="AM3" s="59" t="s">
        <v>173</v>
      </c>
      <c r="AN3" s="59" t="s">
        <v>173</v>
      </c>
      <c r="AO3" s="59" t="s">
        <v>172</v>
      </c>
      <c r="AP3" s="59" t="s">
        <v>172</v>
      </c>
      <c r="AQ3" s="59" t="s">
        <v>172</v>
      </c>
      <c r="AR3" s="59" t="s">
        <v>172</v>
      </c>
      <c r="AS3" s="59" t="s">
        <v>172</v>
      </c>
      <c r="AT3" s="60">
        <v>7</v>
      </c>
      <c r="AU3" s="59" t="s">
        <v>383</v>
      </c>
      <c r="AV3" s="59" t="str">
        <f>IF(LEFT(A3,1)="[",LEFT(A3,5)&amp;AU3&amp;A3,"")</f>
        <v>[VEN]State[VEN] Amazonas</v>
      </c>
      <c r="AW3" s="59" t="str">
        <f>C3&amp;A3</f>
        <v>2[VEN] Amazonas</v>
      </c>
      <c r="AX3" s="61"/>
      <c r="AY3" s="61"/>
      <c r="AZ3" s="62" t="s">
        <v>159</v>
      </c>
      <c r="BA3" s="62"/>
      <c r="BB3" s="62"/>
      <c r="BC3" s="63"/>
      <c r="BD3" s="64" t="s">
        <v>152</v>
      </c>
      <c r="BE3" s="47"/>
      <c r="BF3" s="64" t="s">
        <v>152</v>
      </c>
      <c r="BG3" s="64"/>
      <c r="BH3" s="64" t="s">
        <v>155</v>
      </c>
      <c r="BI3" s="64"/>
      <c r="BJ3" s="64"/>
      <c r="BK3" s="47"/>
      <c r="BL3" s="64" t="s">
        <v>152</v>
      </c>
      <c r="BM3" s="64" t="s">
        <v>155</v>
      </c>
      <c r="BN3" s="64" t="s">
        <v>159</v>
      </c>
      <c r="BO3" s="64" t="s">
        <v>153</v>
      </c>
      <c r="BP3" s="64"/>
      <c r="BQ3" s="64"/>
      <c r="BR3" s="64"/>
      <c r="BS3" s="64"/>
      <c r="BT3" s="64"/>
      <c r="BU3" s="65"/>
      <c r="BV3" s="66"/>
      <c r="BW3" s="66">
        <v>0</v>
      </c>
      <c r="BX3" s="47"/>
      <c r="BY3" s="48" t="s">
        <v>172</v>
      </c>
      <c r="CB3" s="6"/>
      <c r="CC3" s="6"/>
      <c r="CD3" s="67">
        <v>0</v>
      </c>
      <c r="CE3" s="67">
        <v>0</v>
      </c>
      <c r="CF3" s="67" t="e">
        <v>#REF!</v>
      </c>
      <c r="CG3" s="68" cm="1">
        <f t="array" ref="CG3">SUMPRODUCT(--(LEN(TRIM(BL3:BT3))&gt;0))</f>
        <v>4</v>
      </c>
      <c r="CH3" s="59" t="str">
        <f t="shared" ref="CH3:CH26" si="6">IF(CG3=2,"y","n")</f>
        <v>n</v>
      </c>
      <c r="CI3" s="59" t="str">
        <f t="shared" ref="CI3:CI26" si="7">IF(CG3=3,"y","n")</f>
        <v>n</v>
      </c>
      <c r="CJ3" s="59" t="str">
        <f t="shared" ref="CJ3:CJ26" si="8">IF(CG3=4,"y","n")</f>
        <v>y</v>
      </c>
      <c r="CK3" s="59" t="str">
        <f t="shared" ref="CK3:CK26" si="9">IF(CG3&gt;4,"y","n")</f>
        <v>n</v>
      </c>
      <c r="CL3" s="59" t="str">
        <f t="shared" ref="CL3:CL26" si="10">IF(S3=0,"y","n")</f>
        <v>n</v>
      </c>
      <c r="CM3" s="59" t="str">
        <f t="shared" ref="CM3:CM26" si="11">IF(S3=2,"y","n")</f>
        <v>n</v>
      </c>
      <c r="CN3" s="59" t="str">
        <f t="shared" ref="CN3:CN26" si="12">IF(S3=3,"y","n")</f>
        <v>y</v>
      </c>
      <c r="CO3" s="59" t="str">
        <f t="shared" ref="CO3:CO26" si="13">IF(S3&gt;=4,"y","n")</f>
        <v>n</v>
      </c>
      <c r="CP3" s="59" t="str">
        <f t="shared" ref="CP3:CP26" si="14">IF(AT3=0,"y","n")</f>
        <v>n</v>
      </c>
      <c r="CQ3" s="59" t="str">
        <f t="shared" ref="CQ3:CQ26" si="15">IF(AT3=1,"y","n")</f>
        <v>n</v>
      </c>
      <c r="CR3" s="59" t="str">
        <f t="shared" ref="CR3:CR26" si="16">IF(AT3=2,"y","n")</f>
        <v>n</v>
      </c>
      <c r="CS3" s="59" t="str">
        <f t="shared" ref="CS3:CS26" si="17">IF(AT3&gt;=3,"y","n")</f>
        <v>y</v>
      </c>
      <c r="CT3" s="69" t="str">
        <f t="shared" ref="CT3:CT26" si="18">CHAR(34)&amp;A3&amp;CHAR(34)</f>
        <v>"[VEN] Amazonas"</v>
      </c>
      <c r="CU3" s="70" t="str">
        <f t="shared" ref="CU3:CU26" si="19">CHAR(34)&amp;"rgn_"&amp;R3&amp;CHAR(34)</f>
        <v>"rgn_South America"</v>
      </c>
      <c r="CV3" s="48" t="str">
        <f t="shared" ref="CV3:CV26" si="20">CHAR(34)&amp;D3&amp;CHAR(34)</f>
        <v>"https://upload.wikimedia.org/wikipedia/commons/thumb/7/7f/Flag_of_Amazonas_Indigenous_State.svg/320px-Flag_of_Amazonas_Indigenous_State.svg.png"</v>
      </c>
      <c r="CW3" s="48" t="str">
        <f t="shared" si="0"/>
        <v/>
      </c>
      <c r="CX3" s="48" t="str">
        <f t="shared" si="0"/>
        <v/>
      </c>
      <c r="CY3" s="48" t="str">
        <f t="shared" si="0"/>
        <v>"4Color",</v>
      </c>
      <c r="CZ3" s="48" t="str">
        <f t="shared" si="0"/>
        <v/>
      </c>
      <c r="DA3" s="48" t="str">
        <f t="shared" ref="DA3:DA26" si="21">IF(Q3&gt;1,CHAR(34)&amp;"words2"&amp;CHAR(34)&amp;",","")</f>
        <v/>
      </c>
      <c r="DB3" s="48" t="str">
        <f t="shared" ref="DB3:DB26" si="22">IF(Q3&gt;2,CHAR(34)&amp;"words3"&amp;CHAR(34)&amp;",","")</f>
        <v/>
      </c>
      <c r="DC3" s="48" t="str">
        <f t="shared" ref="DC3:DC9" si="23">IF(Q3=2,CHAR(34)&amp;"exact2"&amp;CHAR(34)&amp;",","")</f>
        <v/>
      </c>
      <c r="DD3" s="48" t="str">
        <f t="shared" ref="DD3:DD9" si="24">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"lets08",</v>
      </c>
      <c r="DE3" s="48" t="str">
        <f t="shared" ref="DE3:DE9" si="25">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8" t="str">
        <f t="shared" ref="DF3:DF26" si="26">IFERROR(IF(SEARCH("tan",A3)&gt;0,CHAR(34)&amp;"withtn"&amp;CHAR(34)&amp;",",""),"")</f>
        <v/>
      </c>
      <c r="DG3" s="48" t="str">
        <f t="shared" ref="DG3:DG26" si="27">IFERROR(IF(SEARCH("q",A3)&gt;0,CHAR(34)&amp;"with_q"&amp;CHAR(34)&amp;",",""),"")</f>
        <v/>
      </c>
      <c r="DH3" s="48" t="str">
        <f t="shared" ref="DH3:DH26" si="28">IFERROR(IF(SEARCH("v",A3)&gt;0,CHAR(34)&amp;"with_v"&amp;CHAR(34)&amp;",",""),"")</f>
        <v>"with_v",</v>
      </c>
      <c r="DI3" s="48" t="str">
        <f t="shared" ref="DI3:DI26" si="29">IFERROR(IF(SEARCH("w",A3)&gt;0,CHAR(34)&amp;"with_w"&amp;CHAR(34)&amp;",",""),"")</f>
        <v/>
      </c>
      <c r="DJ3" s="48" t="str">
        <f t="shared" ref="DJ3:DJ26" si="30">IFERROR(IF(SEARCH("y",A3)&gt;0,CHAR(34)&amp;"with_y"&amp;CHAR(34)&amp;",",""),"")</f>
        <v/>
      </c>
      <c r="DK3" s="48" t="str">
        <f t="shared" ref="DK3:DK26" si="31">IFERROR(IF(SEARCH("z",A3)&gt;0,CHAR(34)&amp;"with_z"&amp;CHAR(34)&amp;",",""),"")</f>
        <v>"with_z",</v>
      </c>
      <c r="DL3" s="48" t="str">
        <f t="shared" ref="DL3:DL26" si="32">IF(CG3=2, CHAR(34) &amp; _xlfn.TEXTJOIN("", TRUE, _xlfn._xlws.SORT(HP3:HX3)) &amp; CHAR(34) &amp; ",", "")</f>
        <v/>
      </c>
      <c r="DM3" s="48" t="str" cm="1">
        <f t="array" ref="DM3">IF(CG3=3,CHAR(34) &amp; _xlfn.TEXTJOIN("", TRUE, RIGHT(HP3:HX3, 2)) &amp; CHAR(34) &amp; ",", "")</f>
        <v/>
      </c>
      <c r="DN3" s="48" t="str">
        <f t="shared" ref="DN3:DN26" si="33">IF(AND(ISNUMBER(SEARCH("18", O3)), ISERROR(SEARCH("1918", O3)), ISERROR(SEARCH("2018", O3))), CHAR(34) &amp; "year18" &amp; CHAR(34) &amp; ",", "")</f>
        <v/>
      </c>
      <c r="DO3" s="48" t="str">
        <f t="shared" ref="DO3:DO26" si="34">IF(AND(ISNUMBER(SEARCH("19", O3)), ISERROR(SEARCH("1819", O3)),  ISERROR(SEARCH("1219", O3)),ISERROR(SEARCH("1119", O3)),ISERROR(SEARCH("1190", O3)),ISERROR(SEARCH("2019", O3))), CHAR(34) &amp; "year19" &amp; CHAR(34) &amp; ",", "")</f>
        <v/>
      </c>
      <c r="DP3" s="6" t="str">
        <f t="shared" ref="DP3:DP26" si="35">IF(AND(ISNUMBER(SEARCH("20", O3)), ISERROR(SEARCH("1920", O3))), CHAR(34)&amp;"year00"&amp;CHAR(34)&amp;",", "")</f>
        <v>"year00",</v>
      </c>
      <c r="DQ3" s="6" t="str">
        <f t="shared" ref="DQ3:DQ26" si="36">IF(CC3="y",CHAR(34)&amp;"soviet"&amp;CHAR(34)&amp;",","")</f>
        <v/>
      </c>
      <c r="DR3" s="6" t="str">
        <f t="shared" ref="DR3:DR26" si="37">IF(BY3="y",CHAR(34)&amp;"dgband"&amp;CHAR(34)&amp;",","")</f>
        <v/>
      </c>
      <c r="DS3" s="6" t="str">
        <f t="shared" ref="DS3:DS26" si="38">IF(W3="y",IF(AND(V3="n",BY3&lt;&gt;"y"),CHAR(34)&amp;"allver"&amp;CHAR(34)&amp;",",""),"")</f>
        <v/>
      </c>
      <c r="DT3" s="6" t="str">
        <f t="shared" ref="DT3:DT26" si="39">IF(V3="y",IF(AND(W3="n",BY3&lt;&gt;"y"),CHAR(34)&amp;"allhor"&amp;CHAR(34)&amp;",",""),"")</f>
        <v>"allhor",</v>
      </c>
      <c r="DU3" s="6" t="str">
        <f t="shared" ref="DU3:DU26" si="40">IF(BY3="y",IF(AND(W3="n",V3="n"),CHAR(34)&amp;"alldia"&amp;CHAR(34)&amp;",",""),"")</f>
        <v/>
      </c>
      <c r="DV3" s="48" t="str">
        <f t="shared" ref="DV3:DV9" si="41">IF(IA3&lt;&gt;"",(IF(IA3="y",CHAR(34)&amp;"largec"&amp;CHAR(34)&amp;",",CHAR(34)&amp;"smallc"&amp;CHAR(34)&amp;",")),"")</f>
        <v/>
      </c>
      <c r="DW3" s="48" t="str">
        <f t="shared" si="1"/>
        <v/>
      </c>
      <c r="DX3" s="48" t="str">
        <f t="shared" si="1"/>
        <v/>
      </c>
      <c r="DY3" s="48" t="str">
        <f t="shared" si="1"/>
        <v>"3Bands",</v>
      </c>
      <c r="DZ3" s="48" t="str">
        <f t="shared" si="1"/>
        <v/>
      </c>
      <c r="EA3" s="48" t="str">
        <f t="shared" si="2"/>
        <v/>
      </c>
      <c r="EB3" s="48" t="str">
        <f t="shared" si="2"/>
        <v/>
      </c>
      <c r="EC3" s="48" t="str">
        <f t="shared" si="2"/>
        <v>"Horizo",</v>
      </c>
      <c r="ED3" s="48" t="str">
        <f t="shared" si="2"/>
        <v/>
      </c>
      <c r="EE3" s="48" t="str">
        <f t="shared" si="2"/>
        <v>"Circle",</v>
      </c>
      <c r="EF3" s="48" t="str">
        <f t="shared" ref="EF3:EF26" si="42">IF(AND(Y3&lt;&gt;"n",Y3&lt;&gt;""),CHAR(34)&amp;Y$1&amp;CHAR(34)&amp;",","")</f>
        <v/>
      </c>
      <c r="EG3" s="48" t="str">
        <f t="shared" si="3"/>
        <v/>
      </c>
      <c r="EH3" s="48" t="str">
        <f t="shared" si="3"/>
        <v/>
      </c>
      <c r="EI3" s="48" t="str">
        <f t="shared" si="3"/>
        <v/>
      </c>
      <c r="EJ3" s="48" t="str">
        <f t="shared" si="3"/>
        <v/>
      </c>
      <c r="EK3" s="48" t="str">
        <f t="shared" si="3"/>
        <v/>
      </c>
      <c r="EL3" s="48" t="str">
        <f t="shared" si="3"/>
        <v/>
      </c>
      <c r="EM3" s="48" t="str">
        <f t="shared" si="3"/>
        <v/>
      </c>
      <c r="EN3" s="48" t="str">
        <f t="shared" si="3"/>
        <v>"Unequa",</v>
      </c>
      <c r="EO3" s="48" t="str">
        <f t="shared" si="3"/>
        <v>"Center",</v>
      </c>
      <c r="EP3" s="48" t="str">
        <f t="shared" si="3"/>
        <v/>
      </c>
      <c r="EQ3" s="48" t="str">
        <f t="shared" si="3"/>
        <v/>
      </c>
      <c r="ER3" s="48" t="str">
        <f t="shared" si="3"/>
        <v/>
      </c>
      <c r="ES3" s="48" t="str">
        <f t="shared" si="3"/>
        <v/>
      </c>
      <c r="ET3" s="48" t="str">
        <f t="shared" si="3"/>
        <v>"Geogrh",</v>
      </c>
      <c r="EU3" s="48" t="str">
        <f t="shared" si="3"/>
        <v>"Humans",</v>
      </c>
      <c r="EV3" s="48" t="str">
        <f t="shared" si="3"/>
        <v/>
      </c>
      <c r="EW3" s="48" t="str">
        <f t="shared" si="3"/>
        <v/>
      </c>
      <c r="EX3" s="48" t="str">
        <f t="shared" si="3"/>
        <v/>
      </c>
      <c r="EY3" s="48" t="str">
        <f t="shared" si="3"/>
        <v/>
      </c>
      <c r="EZ3" s="48" t="str">
        <f t="shared" si="3"/>
        <v/>
      </c>
      <c r="FA3" s="48" t="str">
        <f t="shared" ref="FA3:FA26" si="43">IF(AT3&gt;0,CHAR(34)&amp;"sta"&amp;AZ3&amp;CHAR(34)&amp;",","")</f>
        <v>"staWHI",</v>
      </c>
      <c r="FB3" s="48" t="str">
        <f t="shared" ref="FB3:FB26" si="44">IF(AND(AT3&gt;0,BA3&lt;&gt;""),CHAR(34)&amp;"sta"&amp;BA3&amp;CHAR(34)&amp;",","")</f>
        <v/>
      </c>
      <c r="FC3" s="48" t="str">
        <f t="shared" ref="FC3:FC9" si="45">IF(AND(AT3&gt;0,BB3&lt;&gt;""),CHAR(34)&amp;"sta"&amp;BB3&amp;CHAR(34)&amp;",","")</f>
        <v/>
      </c>
      <c r="FD3" s="48" t="str">
        <f t="shared" ref="FD3:FD26" si="46">IF(BV3="n",CHAR(34)&amp;"tcWHYE"&amp;CHAR(34)&amp;",",IF(BV3="y",CHAR(34)&amp;FD$1&amp;CHAR(34)&amp;",",""))</f>
        <v/>
      </c>
      <c r="FE3" s="48" t="str">
        <f t="shared" ref="FE3:FE26" si="47">IF(COUNTIF(BL3:BT3,"BLU")=0,CHAR(34)&amp;"NO_BLU"&amp;CHAR(34)&amp;",", "")</f>
        <v/>
      </c>
      <c r="FF3" s="48" t="str">
        <f t="shared" ref="FF3:FF26" si="48">IF(COUNTIF(BL3:BT3,"WHI")=0,CHAR(34)&amp;"NO_WHI"&amp;CHAR(34)&amp;",", "")</f>
        <v/>
      </c>
      <c r="FG3" s="48" t="str">
        <f t="shared" ref="FG3:FG26" si="49">IF(COUNTIF(BL3:BT3,"RED")=0,CHAR(34)&amp;"NO_RED"&amp;CHAR(34)&amp;",", "")</f>
        <v>"NO_RED",</v>
      </c>
      <c r="FH3" s="48" t="str">
        <f t="shared" ref="FH3:FH26" si="50">IF(COUNTIF(BL3:BS3,"GRE")=0,CHAR(34)&amp;"NO_GRE"&amp;CHAR(34)&amp;",", "")</f>
        <v/>
      </c>
      <c r="FI3" s="48" t="str">
        <f t="shared" ref="FI3:FI26" si="51">IF(COUNTIF(BL3:BT3,"YEL")=0,CHAR(34)&amp;"NO_YEL"&amp;CHAR(34)&amp;",", "")</f>
        <v/>
      </c>
      <c r="FJ3" s="48" t="str">
        <f t="shared" ref="FJ3:FJ26" si="52">IF(COUNTIF(BL3:BT3,"BLA")=0,CHAR(34)&amp;"NO_BLA"&amp;CHAR(34)&amp;",", "")</f>
        <v>"NO_BLA",</v>
      </c>
      <c r="FK3" s="48" t="str">
        <f t="shared" ref="FK3:FK26" si="53">IF(AND(FH3&lt;&gt;"",FF3&lt;&gt;""),CHAR(34)&amp;"WHGRNO"&amp;CHAR(34)&amp;",","")</f>
        <v/>
      </c>
      <c r="FL3" s="48" t="str">
        <f t="shared" ref="FL3:FL26" si="54">IF(AND(FI3&lt;&gt;"",FF3&lt;&gt;""),CHAR(34)&amp;"WHYENO"&amp;CHAR(34)&amp;",","")</f>
        <v/>
      </c>
      <c r="FM3" s="48" t="str">
        <f t="shared" ref="FM3:FM26" si="55">IF(AND(FJ3&lt;&gt;"",FF3&lt;&gt;""),CHAR(34)&amp;"BAWHNO"&amp;CHAR(34)&amp;",","")</f>
        <v/>
      </c>
      <c r="FN3" s="48" t="str">
        <f t="shared" ref="FN3:FN26" si="56">IF(AND(FE3&lt;&gt;"",FF3&lt;&gt;""),CHAR(34)&amp;"BLWHNO"&amp;CHAR(34)&amp;",","")</f>
        <v/>
      </c>
      <c r="FO3" s="48" t="str">
        <f t="shared" ref="FO3:FO26" si="57">IF(AND(FE3&lt;&gt;"",FG3&lt;&gt;""),CHAR(34)&amp;"BLRENO"&amp;CHAR(34)&amp;",","")</f>
        <v/>
      </c>
      <c r="FP3" s="48" t="str">
        <f t="shared" ref="FP3:FP26" si="58">IF(AND(FF3&lt;&gt;"",FF3&lt;&gt;""),CHAR(34)&amp;"WHRENO"&amp;CHAR(34)&amp;",","")</f>
        <v/>
      </c>
      <c r="FQ3" s="48" t="str">
        <f t="shared" ref="FQ3:FQ26" si="59">IF(LEN(BF3)=3,CHAR(34)&amp;"001"&amp;BF3&amp;CHAR(34)&amp;",","")</f>
        <v>"001BLU",</v>
      </c>
      <c r="FR3" s="48" t="str">
        <f t="shared" ref="FR3:FR26" si="60">IF(LEN(BG3)=3,CHAR(34)&amp;"002"&amp;BG3&amp;CHAR(34)&amp;",","")</f>
        <v/>
      </c>
      <c r="FS3" s="48" t="str">
        <f t="shared" ref="FS3:FS26" si="61">IF(LEN(BH3)=3,CHAR(34)&amp;"003"&amp;BH3&amp;CHAR(34)&amp;",","")</f>
        <v>"003YEL",</v>
      </c>
      <c r="FT3" s="48" t="str">
        <f t="shared" ref="FT3:FT26" si="62">CHAR(34)&amp;"myr"&amp;BD3&amp;CHAR(34)&amp;","</f>
        <v>"myrBLU",</v>
      </c>
      <c r="FU3" s="48" t="str">
        <f t="shared" ref="FU3:FU26" si="63">IF(AY3="y",CHAR(34)&amp;"island"&amp;CHAR(34)&amp;",","")</f>
        <v/>
      </c>
      <c r="FV3" s="48" t="str">
        <f t="shared" ref="FV3:FV26" si="64">IF(BZ3="y",CHAR(34)&amp;"landlo"&amp;CHAR(34)&amp;",","")</f>
        <v/>
      </c>
      <c r="FW3" s="48" t="str">
        <f t="shared" ref="FW3:FW26" si="65">IF(CA3="y",CHAR(34)&amp;"eunion"&amp;CHAR(34)&amp;",","")</f>
        <v/>
      </c>
      <c r="FX3" s="48" t="str">
        <f t="shared" ref="FX3:FX9" si="66">SUBSTITUTE(IFERROR(SEARCH("[",A3),IFERROR(IF(AND(CA3&lt;&gt;"y",SEARCH("Europe",R3)&gt;0),CHAR(34)&amp;"noeuni"&amp;CHAR(34)&amp;",",""),"")),"1","")</f>
        <v/>
      </c>
      <c r="FY3" s="48" t="str">
        <f t="shared" ref="FY3:FY26" si="67">IFERROR(IF(SEARCH("Arabic",CB3)&gt;0,CHAR(34)&amp;"arabic"&amp;CHAR(34)&amp;",",""),"")</f>
        <v/>
      </c>
      <c r="FZ3" s="48" t="str">
        <f t="shared" ref="FZ3:FZ26" si="68">IFERROR(IF(SEARCH("English",CB3)&gt;0,CHAR(34)&amp;"englis"&amp;CHAR(34)&amp;",",""),"")</f>
        <v/>
      </c>
      <c r="GA3" s="48" t="str">
        <f t="shared" ref="GA3:GA26" si="69">IFERROR(IF(SEARCH("French",CB3)&gt;0,CHAR(34)&amp;"french"&amp;CHAR(34)&amp;",",""),"")</f>
        <v/>
      </c>
      <c r="GB3" s="48" t="str">
        <f t="shared" ref="GB3:GB26" si="70">IFERROR(IF(SEARCH("Spanish",CB3)&gt;0,CHAR(34)&amp;"spanis"&amp;CHAR(34)&amp;",",""),"")</f>
        <v/>
      </c>
      <c r="GC3" s="48" t="str">
        <f t="shared" ref="GC3:GC9" si="71">IFERROR(IF(SEARCH("Portuguese",CB3)&gt;0,CHAR(34)&amp;"portug"&amp;CHAR(34)&amp;",",""),"")</f>
        <v/>
      </c>
      <c r="GD3" s="48" t="str">
        <f t="shared" ref="GD3:GD9" si="72">IFERROR(IF(SEARCH("German",CB3)&gt;0,CHAR(34)&amp;"german"&amp;CHAR(34)&amp;",",""),"")</f>
        <v/>
      </c>
      <c r="GE3" s="48" t="str">
        <f t="shared" ref="GE3:GE26" si="73">IFERROR(IF(SEARCH("Dutch",CB3)&gt;0,CHAR(34)&amp;"dutchs"&amp;CHAR(34)&amp;",",""),"")</f>
        <v/>
      </c>
      <c r="GF3" s="48" t="str">
        <f t="shared" ref="GF3:GF12" si="74">IFERROR(IF(SEARCH("Historical",AU3)&gt;0,CHAR(34)&amp;"histor"&amp;CHAR(34)&amp;",",""),"")</f>
        <v/>
      </c>
      <c r="GG3" s="48" t="str">
        <f t="shared" ref="GG3:GG26" si="75">IF(BU3="y",CHAR(34)&amp;"unjack"&amp;CHAR(34)&amp;",","")</f>
        <v/>
      </c>
      <c r="GH3" s="48" t="str">
        <f t="shared" ref="GH3:GH26" si="76">IF(CD3=1,CHAR(34)&amp;"southc"&amp;CHAR(34)&amp;",","")</f>
        <v/>
      </c>
      <c r="GI3" s="48" t="str">
        <f t="shared" ref="GI3:GI26" si="77">IF(CE3=1,CHAR(34)&amp;"hasmap"&amp;CHAR(34)&amp;",","")</f>
        <v/>
      </c>
      <c r="GJ3" s="48" t="str">
        <f t="shared" ref="GJ3:GJ26" si="78">IF(CP3="y",CHAR(34)&amp;CP$1&amp;CHAR(34)&amp;",","")</f>
        <v/>
      </c>
      <c r="GK3" s="48" t="str">
        <f t="shared" ref="GK3:GK26" si="79">IF(GJ3="",CHAR(34)&amp;"HasSta"&amp;CHAR(34)&amp;",","")</f>
        <v>"HasSta",</v>
      </c>
      <c r="GL3" s="48" t="str">
        <f t="shared" si="4"/>
        <v/>
      </c>
      <c r="GM3" s="48" t="str">
        <f t="shared" si="4"/>
        <v/>
      </c>
      <c r="GN3" s="48" t="str">
        <f t="shared" si="4"/>
        <v>"3+Star",</v>
      </c>
      <c r="GP3" s="48" t="str">
        <f t="shared" ref="GP3:GP26" si="80">CHAR(34)&amp;AU3&amp;CHAR(34)</f>
        <v>"State"</v>
      </c>
      <c r="GS3" s="48" t="str">
        <f t="shared" ref="GS3:GS26" si="81">SUBSTITUTE("["&amp;_xlfn.CONCAT(CW3:GN3)&amp;"]",",]","]")</f>
        <v>["4Color","lets08","startA","with_v","with_z","year00","allhor","3Bands","Horizo","Circle","Unequa","Center","Geogrh","Humans","staWHI","NO_RED","NO_BLA","001BLU","003YEL","myrBLU","HasSta","3+Star"]</v>
      </c>
      <c r="GT3" s="48" t="str">
        <f t="shared" si="5"/>
        <v>"cl_BLU",</v>
      </c>
      <c r="GU3" s="48" t="str">
        <f t="shared" si="5"/>
        <v>"cl_YEL",</v>
      </c>
      <c r="GV3" s="48" t="str">
        <f t="shared" si="5"/>
        <v>"cl_WHI",</v>
      </c>
      <c r="GW3" s="48" t="str">
        <f t="shared" si="5"/>
        <v>"cl_GRE",</v>
      </c>
      <c r="GX3" s="48" t="str">
        <f t="shared" si="5"/>
        <v/>
      </c>
      <c r="GY3" s="48" t="str">
        <f t="shared" si="5"/>
        <v/>
      </c>
      <c r="GZ3" s="48" t="str">
        <f t="shared" si="5"/>
        <v/>
      </c>
      <c r="HA3" s="48" t="str">
        <f t="shared" si="5"/>
        <v/>
      </c>
      <c r="HB3" s="48" t="str">
        <f t="shared" si="5"/>
        <v/>
      </c>
      <c r="HC3" s="48" t="str">
        <f t="shared" ref="HC3:HC26" si="82">SUBSTITUTE("["&amp;_xlfn.CONCAT(GT3:HB3)&amp;"]",",]","]")</f>
        <v>["cl_BLU","cl_YEL","cl_WHI","cl_GRE"]</v>
      </c>
      <c r="HE3" s="71"/>
      <c r="HF3" s="72" t="str">
        <f t="shared" ref="HF3:HF26" si="83">"{couname:"&amp;CT3&amp;(IF(HK3&lt;&gt;"",",subtype:"&amp;CHAR(34)&amp;HK3&amp;CHAR(34),""))&amp;",year:"&amp;HJ3&amp;",region:"&amp;CU3&amp;",Colors:"&amp;HC3&amp;",Items:"&amp;GS3&amp;",Flag:"&amp;CV3&amp;",HDFlag:"&amp;CHAR(34)&amp;E3&amp;CHAR(34)&amp;",type:"&amp;GP3&amp;", describe: "&amp;HH3&amp;", isnew:"&amp;CHAR(34)&amp;F3&amp;CHAR(34)&amp;", links: "&amp;HL3&amp;"},"</f>
        <v>{couname:"[VEN] Amazonas",year:"2002",region:"rgn_South America",Colors:["cl_BLU","cl_YEL","cl_WHI","cl_GRE"],Items:["4Color","lets08","startA","with_v","with_z","year00","allhor","3Bands","Horizo","Circle","Unequa","Center","Geogrh","Humans","staWHI","NO_RED","NO_BLA","001BLU","003YEL","myrBLU","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links: "https://www.crwflags.com/fotw/flags/ve-z.html"},</v>
      </c>
      <c r="HG3" s="73" t="str">
        <f t="shared" ref="HG3:HG26" si="84">"{couname:"&amp;CT3&amp;(IF(HK3&lt;&gt;"",",subtype:"&amp;CHAR(34)&amp;HK3&amp;CHAR(34),""))&amp;",year:"&amp;HJ3&amp;",region:"&amp;CU3&amp;",Colors:"&amp;HC3&amp;",Items:"&amp;GS3&amp;",Flag:"&amp;CV3&amp;",HDFlag:"&amp;CHAR(34)&amp;E3&amp;CHAR(34)&amp;",type:"&amp;GP3&amp;", describe: "&amp;HI3&amp;", links: "&amp;HL3&amp;"},"</f>
        <v>{couname:"[VEN] Amazonas",year:"2002",region:"rgn_South America",Colors:["cl_BLU","cl_YEL","cl_WHI","cl_GRE"],Items:["4Color","lets08","startA","with_v","with_z","year00","allhor","3Bands","Horizo","Circle","Unequa","Center","Geogrh","Humans","staWHI","NO_RED","NO_BLA","001BLU","003YEL","myrBLU","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links: "https://www.crwflags.com/fotw/flags/ve-z.html"},</v>
      </c>
      <c r="HH3" s="48" t="str">
        <f t="shared" ref="HH3:HH26" si="85">IF(P3&lt;&gt;"",CHAR(34)&amp;"\n"&amp;P3&amp;CHAR(34),CHAR(34)&amp;CHAR(34))</f>
        <v>"\nThe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v>
      </c>
      <c r="HI3" s="48" t="str">
        <f t="shared" ref="HI3:HI26" si="86">IF(J3=0,CHAR(34)&amp;CHAR(34),HH3)</f>
        <v>"\nThe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v>
      </c>
      <c r="HJ3" s="48" t="str">
        <f t="shared" ref="HJ3:HJ26" si="87">CHAR(34)&amp;O3&amp;CHAR(34)</f>
        <v>"2002"</v>
      </c>
      <c r="HL3" s="48" t="str">
        <f t="shared" ref="HL3:HL26" si="88">CHAR(34)&amp;I3&amp;CHAR(34)</f>
        <v>"https://www.crwflags.com/fotw/flags/ve-z.html"</v>
      </c>
      <c r="HM3" s="72" t="str">
        <f t="shared" ref="HM3:HM26" si="89">"{"&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{"couname":"[VEN] Amazonas","year":"2002","region":"rgn_South America","Colors":["cl_BLU","cl_YEL","cl_WHI","cl_GRE"],"Items":["4Color","lets08","startA","with_v","with_z","year00","allhor","3Bands","Horizo","Circle","Unequa","Center","Geogrh","Humans","staWHI","NO_RED","NO_BLA","001BLU","003YEL","myrBLU","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 "links": "https://www.crwflags.com/fotw/flags/ve-z.html"},</v>
      </c>
      <c r="HN3" s="74" t="str">
        <f t="shared" ref="HN3:HN26" si="90">"{"&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{"couname":"[VEN] Amazonas","year":"2002","region":"rgn_South America","Colors":["cl_BLU","cl_YEL","cl_WHI","cl_GRE"],"Items":["4Color","lets08","startA","with_v","with_z","year00","allhor","3Bands","Horizo","Circle","Unequa","Center","Geogrh","Humans","staWHI","NO_RED","NO_BLA","001BLU","003YEL","myrBLU","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 "links": "https://www.crwflags.com/fotw/flags/ve-z.html"},</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 t="shared" ref="IL3:IL9" si="91">SUM(IC3:IK3)</f>
        <v>0</v>
      </c>
      <c r="IM3" s="45">
        <f t="shared" ref="IM3:IM26" si="92">COUNTIF(IC3:IK3,"&gt;0")-CG3</f>
        <v>-4</v>
      </c>
      <c r="IN3" s="78" t="str">
        <f t="shared" ref="IN3:IN26" si="93">"http://mkweb.bcgsc.ca/color-summarizer/?url="&amp;D3&amp;"&amp;precision=low&amp;num_clusters="&amp;CG3&amp;"&amp;text=1"</f>
        <v>http://mkweb.bcgsc.ca/color-summarizer/?url=https://upload.wikimedia.org/wikipedia/commons/thumb/7/7f/Flag_of_Amazonas_Indigenous_State.svg/320px-Flag_of_Amazonas_Indigenous_State.svg.png&amp;precision=low&amp;num_clusters=4&amp;text=1</v>
      </c>
      <c r="IO3" s="48" t="str">
        <f t="shared" ref="IO3:IO26" si="94">IF(HP3&lt;&gt;"",CHAR(34)&amp;"black"&amp;CHAR(34),"")</f>
        <v/>
      </c>
      <c r="IP3" s="48" t="str">
        <f t="shared" ref="IP3:IP26" si="95">IF(HQ3&lt;&gt;"",CHAR(34)&amp;"blue"&amp;CHAR(34),"")</f>
        <v>"blue"</v>
      </c>
      <c r="IQ3" s="48" t="str">
        <f t="shared" ref="IQ3:IQ26" si="96">IF(HR3&lt;&gt;"",CHAR(34)&amp;"green"&amp;CHAR(34),"")</f>
        <v>"green"</v>
      </c>
      <c r="IR3" s="48" t="str">
        <f t="shared" ref="IR3:IR26" si="97">IF(HS3&lt;&gt;"",CHAR(34)&amp;"red"&amp;CHAR(34),"")</f>
        <v/>
      </c>
      <c r="IS3" s="48" t="str">
        <f t="shared" ref="IS3:IS26" si="98">IF(HT3&lt;&gt;"",CHAR(34)&amp;"yellow"&amp;CHAR(34),"")</f>
        <v>"yellow"</v>
      </c>
      <c r="IT3" s="48" t="str">
        <f t="shared" ref="IT3:IT26" si="99">IF(HU3&lt;&gt;"",CHAR(34)&amp;"orange"&amp;CHAR(34),"")</f>
        <v/>
      </c>
      <c r="IU3" s="48" t="str">
        <f t="shared" ref="IU3:IU26" si="100">IF(HV3&lt;&gt;"",CHAR(34)&amp;"brown"&amp;CHAR(34),"")</f>
        <v/>
      </c>
      <c r="IV3" s="48" t="str">
        <f t="shared" ref="IV3:IV26" si="101">IF(HW3&lt;&gt;"",CHAR(34)&amp;"purple"&amp;CHAR(34),"")</f>
        <v/>
      </c>
      <c r="IW3" s="48" t="str">
        <f t="shared" ref="IW3:IW26" si="102">IF(HX3&lt;&gt;"",CHAR(34)&amp;"white"&amp;CHAR(34),"")</f>
        <v>"white"</v>
      </c>
      <c r="IX3" s="48" t="str">
        <f t="shared" ref="IX3:IX26" si="103">"{"&amp;CHAR(34)&amp;"url"&amp;CHAR(34)&amp;":"&amp;CHAR(34)&amp;IN3&amp;CHAR(34)&amp;","&amp;CHAR(34)&amp;"name"&amp;CHAR(34)&amp;":"&amp;CHAR(34)&amp;A3&amp;CHAR(34)&amp;"},"</f>
        <v>{"url":"http://mkweb.bcgsc.ca/color-summarizer/?url=https://upload.wikimedia.org/wikipedia/commons/thumb/7/7f/Flag_of_Amazonas_Indigenous_State.svg/320px-Flag_of_Amazonas_Indigenous_State.svg.png&amp;precision=low&amp;num_clusters=4&amp;text=1","name":"[VEN] Amazonas"},</v>
      </c>
      <c r="IY3" s="48">
        <v>348</v>
      </c>
    </row>
    <row r="4" spans="1:259" s="48" customFormat="1" ht="38.4" customHeight="1" thickBot="1" x14ac:dyDescent="0.35">
      <c r="A4" s="79" t="s">
        <v>702</v>
      </c>
      <c r="B4" s="40" t="e" vm="103">
        <v>#VALUE!</v>
      </c>
      <c r="C4" s="41">
        <v>2</v>
      </c>
      <c r="D4" s="42" t="s">
        <v>703</v>
      </c>
      <c r="E4" s="43" t="s">
        <v>704</v>
      </c>
      <c r="F4" s="44" t="s">
        <v>166</v>
      </c>
      <c r="G4" s="45">
        <f>COUNTIF($A$1:$A$8305,A4)</f>
        <v>1</v>
      </c>
      <c r="H4" s="46"/>
      <c r="I4" s="47" t="s">
        <v>705</v>
      </c>
      <c r="J4" s="48" t="str">
        <f>""</f>
        <v/>
      </c>
      <c r="K4" s="49"/>
      <c r="L4" s="50"/>
      <c r="M4" s="50"/>
      <c r="N4" s="51" t="s">
        <v>169</v>
      </c>
      <c r="O4" s="52">
        <v>1999</v>
      </c>
      <c r="P4" s="53" t="s">
        <v>706</v>
      </c>
      <c r="Q4" s="54">
        <v>1</v>
      </c>
      <c r="R4" s="55" t="s">
        <v>169</v>
      </c>
      <c r="S4" s="56">
        <v>3</v>
      </c>
      <c r="T4" s="57" t="s">
        <v>172</v>
      </c>
      <c r="U4" s="58" t="s">
        <v>172</v>
      </c>
      <c r="V4" s="58" t="s">
        <v>173</v>
      </c>
      <c r="W4" s="58" t="s">
        <v>172</v>
      </c>
      <c r="X4" s="58" t="s">
        <v>172</v>
      </c>
      <c r="Y4" s="58" t="s">
        <v>172</v>
      </c>
      <c r="Z4" s="58" t="s">
        <v>172</v>
      </c>
      <c r="AA4" s="58" t="s">
        <v>172</v>
      </c>
      <c r="AB4" s="58" t="s">
        <v>172</v>
      </c>
      <c r="AC4" s="58" t="s">
        <v>172</v>
      </c>
      <c r="AD4" s="58" t="s">
        <v>172</v>
      </c>
      <c r="AE4" s="58" t="s">
        <v>172</v>
      </c>
      <c r="AF4" s="59" t="s">
        <v>172</v>
      </c>
      <c r="AG4" s="59" t="s">
        <v>173</v>
      </c>
      <c r="AH4" s="59" t="s">
        <v>173</v>
      </c>
      <c r="AI4" s="59" t="s">
        <v>172</v>
      </c>
      <c r="AJ4" s="59" t="s">
        <v>172</v>
      </c>
      <c r="AK4" s="59" t="s">
        <v>172</v>
      </c>
      <c r="AL4" s="59" t="s">
        <v>172</v>
      </c>
      <c r="AM4" s="59" t="s">
        <v>173</v>
      </c>
      <c r="AN4" s="59" t="s">
        <v>172</v>
      </c>
      <c r="AO4" s="59" t="s">
        <v>172</v>
      </c>
      <c r="AP4" s="59" t="s">
        <v>172</v>
      </c>
      <c r="AQ4" s="59" t="s">
        <v>172</v>
      </c>
      <c r="AR4" s="59" t="s">
        <v>172</v>
      </c>
      <c r="AS4" s="59" t="s">
        <v>172</v>
      </c>
      <c r="AT4" s="60">
        <v>0</v>
      </c>
      <c r="AU4" s="59" t="s">
        <v>383</v>
      </c>
      <c r="AV4" s="59" t="str">
        <f>IF(LEFT(A4,1)="[",LEFT(A4,5)&amp;AU4&amp;A4,"")</f>
        <v>[VEN]State[VEN] Anzoátegui</v>
      </c>
      <c r="AW4" s="59" t="str">
        <f>C4&amp;A4</f>
        <v>2[VEN] Anzoátegui</v>
      </c>
      <c r="AX4" s="61"/>
      <c r="AY4" s="61"/>
      <c r="AZ4" s="62" t="s">
        <v>155</v>
      </c>
      <c r="BA4" s="62"/>
      <c r="BB4" s="62"/>
      <c r="BC4" s="63"/>
      <c r="BD4" s="64" t="s">
        <v>217</v>
      </c>
      <c r="BE4" s="47"/>
      <c r="BF4" s="64" t="s">
        <v>152</v>
      </c>
      <c r="BG4" s="64" t="s">
        <v>159</v>
      </c>
      <c r="BH4" s="64" t="s">
        <v>153</v>
      </c>
      <c r="BI4" s="64" t="s">
        <v>154</v>
      </c>
      <c r="BJ4" s="64"/>
      <c r="BK4" s="47"/>
      <c r="BL4" s="64" t="s">
        <v>152</v>
      </c>
      <c r="BM4" s="64" t="s">
        <v>159</v>
      </c>
      <c r="BN4" s="64" t="s">
        <v>155</v>
      </c>
      <c r="BO4" s="64" t="s">
        <v>154</v>
      </c>
      <c r="BP4" s="64" t="s">
        <v>153</v>
      </c>
      <c r="BQ4" s="64"/>
      <c r="BR4" s="64"/>
      <c r="BS4" s="64"/>
      <c r="BT4" s="64"/>
      <c r="BU4" s="65"/>
      <c r="BV4" s="66"/>
      <c r="BW4" s="66">
        <v>0</v>
      </c>
      <c r="BX4" s="47"/>
      <c r="BY4" s="48" t="s">
        <v>173</v>
      </c>
      <c r="CB4" s="6"/>
      <c r="CC4" s="6"/>
      <c r="CD4" s="67">
        <v>0</v>
      </c>
      <c r="CE4" s="67">
        <v>0</v>
      </c>
      <c r="CF4" s="67" t="e">
        <v>#REF!</v>
      </c>
      <c r="CG4" s="68" cm="1">
        <f t="array" ref="CG4">SUMPRODUCT(--(LEN(TRIM(BL4:BT4))&gt;0))</f>
        <v>5</v>
      </c>
      <c r="CH4" s="59" t="str">
        <f t="shared" si="6"/>
        <v>n</v>
      </c>
      <c r="CI4" s="59" t="str">
        <f t="shared" si="7"/>
        <v>n</v>
      </c>
      <c r="CJ4" s="59" t="str">
        <f t="shared" si="8"/>
        <v>n</v>
      </c>
      <c r="CK4" s="59" t="str">
        <f t="shared" si="9"/>
        <v>y</v>
      </c>
      <c r="CL4" s="59" t="str">
        <f t="shared" si="10"/>
        <v>n</v>
      </c>
      <c r="CM4" s="59" t="str">
        <f t="shared" si="11"/>
        <v>n</v>
      </c>
      <c r="CN4" s="59" t="str">
        <f t="shared" si="12"/>
        <v>y</v>
      </c>
      <c r="CO4" s="59" t="str">
        <f t="shared" si="13"/>
        <v>n</v>
      </c>
      <c r="CP4" s="59" t="str">
        <f t="shared" si="14"/>
        <v>y</v>
      </c>
      <c r="CQ4" s="59" t="str">
        <f t="shared" si="15"/>
        <v>n</v>
      </c>
      <c r="CR4" s="59" t="str">
        <f t="shared" si="16"/>
        <v>n</v>
      </c>
      <c r="CS4" s="59" t="str">
        <f t="shared" si="17"/>
        <v>n</v>
      </c>
      <c r="CT4" s="69" t="str">
        <f t="shared" si="18"/>
        <v>"[VEN] Anzoátegui"</v>
      </c>
      <c r="CU4" s="70" t="str">
        <f t="shared" si="19"/>
        <v>"rgn_South America"</v>
      </c>
      <c r="CV4" s="48" t="str">
        <f t="shared" si="20"/>
        <v>"https://upload.wikimedia.org/wikipedia/commons/thumb/0/03/Flag_of_Anzo%C3%A1tegui_State_%28original_version%29.svg/320px-Flag_of_Anzo%C3%A1tegui_State_%28original_version%29.svg.png"</v>
      </c>
      <c r="CW4" s="48" t="str">
        <f t="shared" si="0"/>
        <v/>
      </c>
      <c r="CX4" s="48" t="str">
        <f t="shared" si="0"/>
        <v/>
      </c>
      <c r="CY4" s="48" t="str">
        <f t="shared" si="0"/>
        <v/>
      </c>
      <c r="CZ4" s="48" t="str">
        <f t="shared" si="0"/>
        <v>"5+Colo",</v>
      </c>
      <c r="DA4" s="48" t="str">
        <f t="shared" si="21"/>
        <v/>
      </c>
      <c r="DB4" s="48" t="str">
        <f t="shared" si="22"/>
        <v/>
      </c>
      <c r="DC4" s="48" t="str">
        <f t="shared" si="23"/>
        <v/>
      </c>
      <c r="DD4" s="48" t="str">
        <f t="shared" si="24"/>
        <v>"lets10",</v>
      </c>
      <c r="DE4" s="48" t="str">
        <f t="shared" si="25"/>
        <v>"startA",</v>
      </c>
      <c r="DF4" s="48" t="str">
        <f t="shared" si="26"/>
        <v/>
      </c>
      <c r="DG4" s="48" t="str">
        <f t="shared" si="27"/>
        <v/>
      </c>
      <c r="DH4" s="48" t="str">
        <f t="shared" si="28"/>
        <v>"with_v",</v>
      </c>
      <c r="DI4" s="48" t="str">
        <f t="shared" si="29"/>
        <v/>
      </c>
      <c r="DJ4" s="48" t="str">
        <f t="shared" si="30"/>
        <v/>
      </c>
      <c r="DK4" s="48" t="str">
        <f t="shared" si="31"/>
        <v>"with_z",</v>
      </c>
      <c r="DL4" s="48" t="str">
        <f t="shared" si="32"/>
        <v/>
      </c>
      <c r="DM4" s="48" t="str" cm="1">
        <f t="array" ref="DM4">IF(CG4=3,CHAR(34) &amp; _xlfn.TEXTJOIN("", TRUE, RIGHT(HP4:HX4, 2)) &amp; CHAR(34) &amp; ",", "")</f>
        <v/>
      </c>
      <c r="DN4" s="48" t="str">
        <f t="shared" si="33"/>
        <v/>
      </c>
      <c r="DO4" s="48" t="str">
        <f t="shared" si="34"/>
        <v>"year19",</v>
      </c>
      <c r="DP4" s="6" t="str">
        <f t="shared" si="35"/>
        <v/>
      </c>
      <c r="DQ4" s="6" t="str">
        <f t="shared" si="36"/>
        <v/>
      </c>
      <c r="DR4" s="6" t="str">
        <f t="shared" si="37"/>
        <v>"dgband",</v>
      </c>
      <c r="DS4" s="6" t="str">
        <f t="shared" si="38"/>
        <v/>
      </c>
      <c r="DT4" s="6" t="str">
        <f t="shared" si="39"/>
        <v/>
      </c>
      <c r="DU4" s="6" t="str">
        <f t="shared" si="40"/>
        <v/>
      </c>
      <c r="DV4" s="48" t="str">
        <f t="shared" si="41"/>
        <v/>
      </c>
      <c r="DW4" s="48" t="str">
        <f t="shared" si="1"/>
        <v/>
      </c>
      <c r="DX4" s="48" t="str">
        <f t="shared" si="1"/>
        <v/>
      </c>
      <c r="DY4" s="48" t="str">
        <f t="shared" si="1"/>
        <v>"3Bands",</v>
      </c>
      <c r="DZ4" s="48" t="str">
        <f t="shared" si="1"/>
        <v/>
      </c>
      <c r="EA4" s="48" t="str">
        <f t="shared" si="2"/>
        <v/>
      </c>
      <c r="EB4" s="48" t="str">
        <f t="shared" si="2"/>
        <v/>
      </c>
      <c r="EC4" s="48" t="str">
        <f t="shared" si="2"/>
        <v>"Horizo",</v>
      </c>
      <c r="ED4" s="48" t="str">
        <f t="shared" si="2"/>
        <v/>
      </c>
      <c r="EE4" s="48" t="str">
        <f t="shared" si="2"/>
        <v/>
      </c>
      <c r="EF4" s="48" t="str">
        <f t="shared" si="42"/>
        <v/>
      </c>
      <c r="EG4" s="48" t="str">
        <f t="shared" si="3"/>
        <v/>
      </c>
      <c r="EH4" s="48" t="str">
        <f t="shared" si="3"/>
        <v/>
      </c>
      <c r="EI4" s="48" t="str">
        <f t="shared" si="3"/>
        <v/>
      </c>
      <c r="EJ4" s="48" t="str">
        <f t="shared" si="3"/>
        <v/>
      </c>
      <c r="EK4" s="48" t="str">
        <f t="shared" si="3"/>
        <v/>
      </c>
      <c r="EL4" s="48" t="str">
        <f t="shared" si="3"/>
        <v/>
      </c>
      <c r="EM4" s="48" t="str">
        <f t="shared" si="3"/>
        <v/>
      </c>
      <c r="EN4" s="48" t="str">
        <f t="shared" si="3"/>
        <v>"Unequa",</v>
      </c>
      <c r="EO4" s="48" t="str">
        <f t="shared" si="3"/>
        <v>"Center",</v>
      </c>
      <c r="EP4" s="48" t="str">
        <f t="shared" si="3"/>
        <v/>
      </c>
      <c r="EQ4" s="48" t="str">
        <f t="shared" si="3"/>
        <v/>
      </c>
      <c r="ER4" s="48" t="str">
        <f t="shared" si="3"/>
        <v/>
      </c>
      <c r="ES4" s="48" t="str">
        <f t="shared" si="3"/>
        <v/>
      </c>
      <c r="ET4" s="48" t="str">
        <f t="shared" si="3"/>
        <v>"Geogrh",</v>
      </c>
      <c r="EU4" s="48" t="str">
        <f t="shared" si="3"/>
        <v/>
      </c>
      <c r="EV4" s="48" t="str">
        <f t="shared" si="3"/>
        <v/>
      </c>
      <c r="EW4" s="48" t="str">
        <f t="shared" si="3"/>
        <v/>
      </c>
      <c r="EX4" s="48" t="str">
        <f t="shared" si="3"/>
        <v/>
      </c>
      <c r="EY4" s="48" t="str">
        <f t="shared" si="3"/>
        <v/>
      </c>
      <c r="EZ4" s="48" t="str">
        <f t="shared" si="3"/>
        <v/>
      </c>
      <c r="FA4" s="48" t="str">
        <f t="shared" si="43"/>
        <v/>
      </c>
      <c r="FB4" s="48" t="str">
        <f t="shared" si="44"/>
        <v/>
      </c>
      <c r="FC4" s="48" t="str">
        <f t="shared" si="45"/>
        <v/>
      </c>
      <c r="FD4" s="48" t="str">
        <f t="shared" si="46"/>
        <v/>
      </c>
      <c r="FE4" s="48" t="str">
        <f t="shared" si="47"/>
        <v/>
      </c>
      <c r="FF4" s="48" t="str">
        <f t="shared" si="48"/>
        <v/>
      </c>
      <c r="FG4" s="48" t="str">
        <f t="shared" si="49"/>
        <v/>
      </c>
      <c r="FH4" s="48" t="str">
        <f t="shared" si="50"/>
        <v/>
      </c>
      <c r="FI4" s="48" t="str">
        <f t="shared" si="51"/>
        <v/>
      </c>
      <c r="FJ4" s="48" t="str">
        <f t="shared" si="52"/>
        <v>"NO_BLA",</v>
      </c>
      <c r="FK4" s="48" t="str">
        <f t="shared" si="53"/>
        <v/>
      </c>
      <c r="FL4" s="48" t="str">
        <f t="shared" si="54"/>
        <v/>
      </c>
      <c r="FM4" s="48" t="str">
        <f t="shared" si="55"/>
        <v/>
      </c>
      <c r="FN4" s="48" t="str">
        <f t="shared" si="56"/>
        <v/>
      </c>
      <c r="FO4" s="48" t="str">
        <f t="shared" si="57"/>
        <v/>
      </c>
      <c r="FP4" s="48" t="str">
        <f t="shared" si="58"/>
        <v/>
      </c>
      <c r="FQ4" s="48" t="str">
        <f t="shared" si="59"/>
        <v>"001BLU",</v>
      </c>
      <c r="FR4" s="48" t="str">
        <f t="shared" si="60"/>
        <v>"002WHI",</v>
      </c>
      <c r="FS4" s="48" t="str">
        <f t="shared" si="61"/>
        <v>"003GRE",</v>
      </c>
      <c r="FT4" s="48" t="str">
        <f t="shared" si="62"/>
        <v>"myrEQ",</v>
      </c>
      <c r="FU4" s="48" t="str">
        <f t="shared" si="63"/>
        <v/>
      </c>
      <c r="FV4" s="48" t="str">
        <f t="shared" si="64"/>
        <v/>
      </c>
      <c r="FW4" s="48" t="str">
        <f t="shared" si="65"/>
        <v/>
      </c>
      <c r="FX4" s="48" t="str">
        <f t="shared" si="66"/>
        <v/>
      </c>
      <c r="FY4" s="48" t="str">
        <f t="shared" si="67"/>
        <v/>
      </c>
      <c r="FZ4" s="48" t="str">
        <f t="shared" si="68"/>
        <v/>
      </c>
      <c r="GA4" s="48" t="str">
        <f t="shared" si="69"/>
        <v/>
      </c>
      <c r="GB4" s="48" t="str">
        <f t="shared" si="70"/>
        <v/>
      </c>
      <c r="GC4" s="48" t="str">
        <f t="shared" si="71"/>
        <v/>
      </c>
      <c r="GD4" s="48" t="str">
        <f t="shared" si="72"/>
        <v/>
      </c>
      <c r="GE4" s="48" t="str">
        <f t="shared" si="73"/>
        <v/>
      </c>
      <c r="GF4" s="48" t="str">
        <f t="shared" si="74"/>
        <v/>
      </c>
      <c r="GG4" s="48" t="str">
        <f t="shared" si="75"/>
        <v/>
      </c>
      <c r="GH4" s="48" t="str">
        <f t="shared" si="76"/>
        <v/>
      </c>
      <c r="GI4" s="48" t="str">
        <f t="shared" si="77"/>
        <v/>
      </c>
      <c r="GJ4" s="48" t="str">
        <f t="shared" si="78"/>
        <v>"NoStar",</v>
      </c>
      <c r="GK4" s="48" t="str">
        <f t="shared" si="79"/>
        <v/>
      </c>
      <c r="GL4" s="48" t="str">
        <f t="shared" si="4"/>
        <v/>
      </c>
      <c r="GM4" s="48" t="str">
        <f t="shared" si="4"/>
        <v/>
      </c>
      <c r="GN4" s="48" t="str">
        <f t="shared" si="4"/>
        <v/>
      </c>
      <c r="GP4" s="48" t="str">
        <f t="shared" si="80"/>
        <v>"State"</v>
      </c>
      <c r="GS4" s="48" t="str">
        <f t="shared" si="81"/>
        <v>["5+Colo","lets10","startA","with_v","with_z","year19","dgband","3Bands","Horizo","Unequa","Center","Geogrh","NO_BLA","001BLU","002WHI","003GRE","myrEQ","NoStar"]</v>
      </c>
      <c r="GT4" s="48" t="str">
        <f t="shared" si="5"/>
        <v>"cl_BLU",</v>
      </c>
      <c r="GU4" s="48" t="str">
        <f t="shared" si="5"/>
        <v>"cl_WHI",</v>
      </c>
      <c r="GV4" s="48" t="str">
        <f t="shared" si="5"/>
        <v>"cl_YEL",</v>
      </c>
      <c r="GW4" s="48" t="str">
        <f t="shared" si="5"/>
        <v>"cl_RED",</v>
      </c>
      <c r="GX4" s="48" t="str">
        <f t="shared" si="5"/>
        <v>"cl_GRE",</v>
      </c>
      <c r="GY4" s="48" t="str">
        <f t="shared" si="5"/>
        <v/>
      </c>
      <c r="GZ4" s="48" t="str">
        <f t="shared" si="5"/>
        <v/>
      </c>
      <c r="HA4" s="48" t="str">
        <f t="shared" si="5"/>
        <v/>
      </c>
      <c r="HB4" s="48" t="str">
        <f t="shared" si="5"/>
        <v/>
      </c>
      <c r="HC4" s="48" t="str">
        <f t="shared" si="82"/>
        <v>["cl_BLU","cl_WHI","cl_YEL","cl_RED","cl_GRE"]</v>
      </c>
      <c r="HE4" s="71"/>
      <c r="HF4" s="72" t="str">
        <f t="shared" si="83"/>
        <v>{couname:"[VEN] Anzoátegui",year:"1999",region:"rgn_South America",Colors:["cl_BLU","cl_WHI","cl_YEL","cl_RED","cl_GRE"],Items:["5+Colo","lets10","startA","with_v","with_z","year19","dgband","3Bands","Horizo","Unequa","Center","Geogrh","NO_BLA","001BLU","002WHI","003GRE","myrEQ","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links: "https://en.wikipedia.org/wiki/Flag_of_Anzo%C3%A1tegui"},</v>
      </c>
      <c r="HG4" s="73" t="str">
        <f t="shared" si="84"/>
        <v>{couname:"[VEN] Anzoátegui",year:"1999",region:"rgn_South America",Colors:["cl_BLU","cl_WHI","cl_YEL","cl_RED","cl_GRE"],Items:["5+Colo","lets10","startA","with_v","with_z","year19","dgband","3Bands","Horizo","Unequa","Center","Geogrh","NO_BLA","001BLU","002WHI","003GRE","myrEQ","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links: "https://en.wikipedia.org/wiki/Flag_of_Anzo%C3%A1tegui"},</v>
      </c>
      <c r="HH4" s="48" t="str">
        <f t="shared" si="85"/>
        <v>"\nThe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v>
      </c>
      <c r="HI4" s="48" t="str">
        <f t="shared" si="86"/>
        <v>"\nThe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v>
      </c>
      <c r="HJ4" s="48" t="str">
        <f t="shared" si="87"/>
        <v>"1999"</v>
      </c>
      <c r="HL4" s="48" t="str">
        <f t="shared" si="88"/>
        <v>"https://en.wikipedia.org/wiki/Flag_of_Anzo%C3%A1tegui"</v>
      </c>
      <c r="HM4" s="72" t="str">
        <f t="shared" si="89"/>
        <v>{"couname":"[VEN] Anzoátegui","year":"1999","region":"rgn_South America","Colors":["cl_BLU","cl_WHI","cl_YEL","cl_RED","cl_GRE"],"Items":["5+Colo","lets10","startA","with_v","with_z","year19","dgband","3Bands","Horizo","Unequa","Center","Geogrh","NO_BLA","001BLU","002WHI","003GRE","myrEQ","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 "links": "https://en.wikipedia.org/wiki/Flag_of_Anzo%C3%A1tegui"},</v>
      </c>
      <c r="HN4" s="74" t="str">
        <f t="shared" si="90"/>
        <v>{"couname":"[VEN] Anzoátegui","year":"1999","region":"rgn_South America","Colors":["cl_BLU","cl_WHI","cl_YEL","cl_RED","cl_GRE"],"Items":["5+Colo","lets10","startA","with_v","with_z","year19","dgband","3Bands","Horizo","Unequa","Center","Geogrh","NO_BLA","001BLU","002WHI","003GRE","myrEQ","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 "links": "https://en.wikipedia.org/wiki/Flag_of_Anzo%C3%A1tegui"},</v>
      </c>
      <c r="HO4" s="75"/>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L4" s="48">
        <f t="shared" si="91"/>
        <v>0</v>
      </c>
      <c r="IM4" s="45">
        <f t="shared" si="92"/>
        <v>-5</v>
      </c>
      <c r="IN4" s="78" t="str">
        <f t="shared" si="93"/>
        <v>http://mkweb.bcgsc.ca/color-summarizer/?url=https://upload.wikimedia.org/wikipedia/commons/thumb/0/03/Flag_of_Anzo%C3%A1tegui_State_%28original_version%29.svg/320px-Flag_of_Anzo%C3%A1tegui_State_%28original_version%29.svg.png&amp;precision=low&amp;num_clusters=5&amp;text=1</v>
      </c>
      <c r="IO4" s="48" t="str">
        <f t="shared" si="94"/>
        <v/>
      </c>
      <c r="IP4" s="48" t="str">
        <f t="shared" si="95"/>
        <v>"blue"</v>
      </c>
      <c r="IQ4" s="48" t="str">
        <f t="shared" si="96"/>
        <v>"green"</v>
      </c>
      <c r="IR4" s="48" t="str">
        <f t="shared" si="97"/>
        <v>"red"</v>
      </c>
      <c r="IS4" s="48" t="str">
        <f t="shared" si="98"/>
        <v>"yellow"</v>
      </c>
      <c r="IT4" s="48" t="str">
        <f t="shared" si="99"/>
        <v/>
      </c>
      <c r="IU4" s="48" t="str">
        <f t="shared" si="100"/>
        <v/>
      </c>
      <c r="IV4" s="48" t="str">
        <f t="shared" si="101"/>
        <v/>
      </c>
      <c r="IW4" s="48" t="str">
        <f t="shared" si="102"/>
        <v>"white"</v>
      </c>
      <c r="IX4" s="48" t="str">
        <f t="shared" si="103"/>
        <v>{"url":"http://mkweb.bcgsc.ca/color-summarizer/?url=https://upload.wikimedia.org/wikipedia/commons/thumb/0/03/Flag_of_Anzo%C3%A1tegui_State_%28original_version%29.svg/320px-Flag_of_Anzo%C3%A1tegui_State_%28original_version%29.svg.png&amp;precision=low&amp;num_clusters=5&amp;text=1","name":"[VEN] Anzoátegui"},</v>
      </c>
      <c r="IY4" s="48">
        <v>349</v>
      </c>
    </row>
    <row r="5" spans="1:259" s="48" customFormat="1" ht="38.4" customHeight="1" thickBot="1" x14ac:dyDescent="0.35">
      <c r="A5" s="79" t="s">
        <v>707</v>
      </c>
      <c r="B5" s="40" t="e" vm="104">
        <v>#VALUE!</v>
      </c>
      <c r="C5" s="41">
        <v>2</v>
      </c>
      <c r="D5" s="42" t="s">
        <v>708</v>
      </c>
      <c r="E5" s="43" t="s">
        <v>709</v>
      </c>
      <c r="F5" s="44" t="s">
        <v>166</v>
      </c>
      <c r="G5" s="45">
        <f>COUNTIF($A$1:$A$8305,A5)</f>
        <v>1</v>
      </c>
      <c r="H5" s="46"/>
      <c r="I5" s="47" t="s">
        <v>710</v>
      </c>
      <c r="J5" s="48" t="str">
        <f>""</f>
        <v/>
      </c>
      <c r="K5" s="49"/>
      <c r="L5" s="50"/>
      <c r="M5" s="50"/>
      <c r="N5" s="51" t="s">
        <v>169</v>
      </c>
      <c r="O5" s="52">
        <v>1996</v>
      </c>
      <c r="P5" s="53" t="s">
        <v>711</v>
      </c>
      <c r="Q5" s="54">
        <v>1</v>
      </c>
      <c r="R5" s="55" t="s">
        <v>169</v>
      </c>
      <c r="S5" s="56">
        <v>3</v>
      </c>
      <c r="T5" s="57" t="s">
        <v>173</v>
      </c>
      <c r="U5" s="58" t="s">
        <v>172</v>
      </c>
      <c r="V5" s="58" t="s">
        <v>173</v>
      </c>
      <c r="W5" s="58" t="s">
        <v>172</v>
      </c>
      <c r="X5" s="58" t="s">
        <v>172</v>
      </c>
      <c r="Y5" s="58" t="s">
        <v>173</v>
      </c>
      <c r="Z5" s="58" t="s">
        <v>172</v>
      </c>
      <c r="AA5" s="58" t="s">
        <v>173</v>
      </c>
      <c r="AB5" s="58" t="s">
        <v>173</v>
      </c>
      <c r="AC5" s="58" t="s">
        <v>173</v>
      </c>
      <c r="AD5" s="58" t="s">
        <v>173</v>
      </c>
      <c r="AE5" s="58" t="s">
        <v>172</v>
      </c>
      <c r="AF5" s="59" t="s">
        <v>173</v>
      </c>
      <c r="AG5" s="59" t="s">
        <v>173</v>
      </c>
      <c r="AH5" s="59" t="s">
        <v>172</v>
      </c>
      <c r="AI5" s="59" t="s">
        <v>172</v>
      </c>
      <c r="AJ5" s="59" t="s">
        <v>172</v>
      </c>
      <c r="AK5" s="59" t="s">
        <v>172</v>
      </c>
      <c r="AL5" s="59" t="s">
        <v>172</v>
      </c>
      <c r="AM5" s="59" t="s">
        <v>173</v>
      </c>
      <c r="AN5" s="59" t="s">
        <v>172</v>
      </c>
      <c r="AO5" s="59" t="s">
        <v>172</v>
      </c>
      <c r="AP5" s="59" t="s">
        <v>172</v>
      </c>
      <c r="AQ5" s="59" t="s">
        <v>172</v>
      </c>
      <c r="AR5" s="59" t="s">
        <v>172</v>
      </c>
      <c r="AS5" s="59" t="s">
        <v>172</v>
      </c>
      <c r="AT5" s="60">
        <v>8</v>
      </c>
      <c r="AU5" s="59" t="s">
        <v>383</v>
      </c>
      <c r="AV5" s="59" t="str">
        <f>IF(LEFT(A5,1)="[",LEFT(A5,5)&amp;AU5&amp;A5,"")</f>
        <v>[VEN]State[VEN] Apure</v>
      </c>
      <c r="AW5" s="59" t="str">
        <f>C5&amp;A5</f>
        <v>2[VEN] Apure</v>
      </c>
      <c r="AX5" s="61"/>
      <c r="AY5" s="61"/>
      <c r="AZ5" s="62" t="s">
        <v>159</v>
      </c>
      <c r="BA5" s="62"/>
      <c r="BB5" s="62"/>
      <c r="BC5" s="63"/>
      <c r="BD5" s="64" t="s">
        <v>154</v>
      </c>
      <c r="BE5" s="47"/>
      <c r="BF5" s="64" t="s">
        <v>154</v>
      </c>
      <c r="BG5" s="64" t="s">
        <v>159</v>
      </c>
      <c r="BH5" s="64" t="s">
        <v>154</v>
      </c>
      <c r="BI5" s="64"/>
      <c r="BJ5" s="64"/>
      <c r="BK5" s="47"/>
      <c r="BL5" s="64" t="s">
        <v>154</v>
      </c>
      <c r="BM5" s="64" t="s">
        <v>159</v>
      </c>
      <c r="BN5" s="64" t="s">
        <v>153</v>
      </c>
      <c r="BO5" s="64" t="s">
        <v>155</v>
      </c>
      <c r="BP5" s="64" t="s">
        <v>157</v>
      </c>
      <c r="BQ5" s="64" t="s">
        <v>151</v>
      </c>
      <c r="BR5" s="64"/>
      <c r="BS5" s="64"/>
      <c r="BT5" s="64"/>
      <c r="BU5" s="65"/>
      <c r="BV5" s="66"/>
      <c r="BW5" s="66">
        <v>0</v>
      </c>
      <c r="BX5" s="47"/>
      <c r="BY5" s="48" t="s">
        <v>172</v>
      </c>
      <c r="CB5" s="6"/>
      <c r="CC5" s="6"/>
      <c r="CD5" s="67">
        <v>0</v>
      </c>
      <c r="CE5" s="67">
        <v>0</v>
      </c>
      <c r="CF5" s="67" t="e">
        <v>#REF!</v>
      </c>
      <c r="CG5" s="68" cm="1">
        <f t="array" ref="CG5">SUMPRODUCT(--(LEN(TRIM(BL5:BT5))&gt;0))</f>
        <v>6</v>
      </c>
      <c r="CH5" s="59" t="str">
        <f t="shared" si="6"/>
        <v>n</v>
      </c>
      <c r="CI5" s="59" t="str">
        <f t="shared" si="7"/>
        <v>n</v>
      </c>
      <c r="CJ5" s="59" t="str">
        <f t="shared" si="8"/>
        <v>n</v>
      </c>
      <c r="CK5" s="59" t="str">
        <f t="shared" si="9"/>
        <v>y</v>
      </c>
      <c r="CL5" s="59" t="str">
        <f t="shared" si="10"/>
        <v>n</v>
      </c>
      <c r="CM5" s="59" t="str">
        <f t="shared" si="11"/>
        <v>n</v>
      </c>
      <c r="CN5" s="59" t="str">
        <f t="shared" si="12"/>
        <v>y</v>
      </c>
      <c r="CO5" s="59" t="str">
        <f t="shared" si="13"/>
        <v>n</v>
      </c>
      <c r="CP5" s="59" t="str">
        <f t="shared" si="14"/>
        <v>n</v>
      </c>
      <c r="CQ5" s="59" t="str">
        <f t="shared" si="15"/>
        <v>n</v>
      </c>
      <c r="CR5" s="59" t="str">
        <f t="shared" si="16"/>
        <v>n</v>
      </c>
      <c r="CS5" s="59" t="str">
        <f t="shared" si="17"/>
        <v>y</v>
      </c>
      <c r="CT5" s="69" t="str">
        <f t="shared" si="18"/>
        <v>"[VEN] Apure"</v>
      </c>
      <c r="CU5" s="70" t="str">
        <f t="shared" si="19"/>
        <v>"rgn_South America"</v>
      </c>
      <c r="CV5" s="48" t="str">
        <f t="shared" si="20"/>
        <v>"https://upload.wikimedia.org/wikipedia/commons/thumb/1/1a/Flag_of_Apure_State.svg/320px-Flag_of_Apure_State.svg.png"</v>
      </c>
      <c r="CW5" s="48" t="str">
        <f t="shared" si="0"/>
        <v/>
      </c>
      <c r="CX5" s="48" t="str">
        <f t="shared" si="0"/>
        <v/>
      </c>
      <c r="CY5" s="48" t="str">
        <f t="shared" si="0"/>
        <v/>
      </c>
      <c r="CZ5" s="48" t="str">
        <f t="shared" si="0"/>
        <v>"5+Colo",</v>
      </c>
      <c r="DA5" s="48" t="str">
        <f t="shared" si="21"/>
        <v/>
      </c>
      <c r="DB5" s="48" t="str">
        <f t="shared" si="22"/>
        <v/>
      </c>
      <c r="DC5" s="48" t="str">
        <f t="shared" si="23"/>
        <v/>
      </c>
      <c r="DD5" s="48" t="str">
        <f t="shared" si="24"/>
        <v>"lets05",</v>
      </c>
      <c r="DE5" s="48" t="str">
        <f t="shared" si="25"/>
        <v>"startA",</v>
      </c>
      <c r="DF5" s="48" t="str">
        <f t="shared" si="26"/>
        <v/>
      </c>
      <c r="DG5" s="48" t="str">
        <f t="shared" si="27"/>
        <v/>
      </c>
      <c r="DH5" s="48" t="str">
        <f t="shared" si="28"/>
        <v>"with_v",</v>
      </c>
      <c r="DI5" s="48" t="str">
        <f t="shared" si="29"/>
        <v/>
      </c>
      <c r="DJ5" s="48" t="str">
        <f t="shared" si="30"/>
        <v/>
      </c>
      <c r="DK5" s="48" t="str">
        <f t="shared" si="31"/>
        <v/>
      </c>
      <c r="DL5" s="48" t="str">
        <f t="shared" si="32"/>
        <v/>
      </c>
      <c r="DM5" s="48" t="str" cm="1">
        <f t="array" ref="DM5">IF(CG5=3,CHAR(34) &amp; _xlfn.TEXTJOIN("", TRUE, RIGHT(HP5:HX5, 2)) &amp; CHAR(34) &amp; ",", "")</f>
        <v/>
      </c>
      <c r="DN5" s="48" t="str">
        <f t="shared" si="33"/>
        <v/>
      </c>
      <c r="DO5" s="48" t="str">
        <f t="shared" si="34"/>
        <v>"year19",</v>
      </c>
      <c r="DP5" s="6" t="str">
        <f t="shared" si="35"/>
        <v/>
      </c>
      <c r="DQ5" s="6" t="str">
        <f t="shared" si="36"/>
        <v/>
      </c>
      <c r="DR5" s="6" t="str">
        <f t="shared" si="37"/>
        <v/>
      </c>
      <c r="DS5" s="6" t="str">
        <f t="shared" si="38"/>
        <v/>
      </c>
      <c r="DT5" s="6" t="str">
        <f t="shared" si="39"/>
        <v>"allhor",</v>
      </c>
      <c r="DU5" s="6" t="str">
        <f t="shared" si="40"/>
        <v/>
      </c>
      <c r="DV5" s="48" t="str">
        <f t="shared" si="41"/>
        <v/>
      </c>
      <c r="DW5" s="48" t="str">
        <f t="shared" si="1"/>
        <v/>
      </c>
      <c r="DX5" s="48" t="str">
        <f t="shared" si="1"/>
        <v/>
      </c>
      <c r="DY5" s="48" t="str">
        <f t="shared" si="1"/>
        <v>"3Bands",</v>
      </c>
      <c r="DZ5" s="48" t="str">
        <f t="shared" si="1"/>
        <v/>
      </c>
      <c r="EA5" s="48" t="str">
        <f t="shared" si="2"/>
        <v>"Diagon",</v>
      </c>
      <c r="EB5" s="48" t="str">
        <f t="shared" si="2"/>
        <v/>
      </c>
      <c r="EC5" s="48" t="str">
        <f t="shared" si="2"/>
        <v>"Horizo",</v>
      </c>
      <c r="ED5" s="48" t="str">
        <f t="shared" si="2"/>
        <v/>
      </c>
      <c r="EE5" s="48" t="str">
        <f t="shared" si="2"/>
        <v/>
      </c>
      <c r="EF5" s="48" t="str">
        <f t="shared" si="42"/>
        <v>"Animal",</v>
      </c>
      <c r="EG5" s="48" t="str">
        <f t="shared" si="3"/>
        <v/>
      </c>
      <c r="EH5" s="48" t="str">
        <f t="shared" si="3"/>
        <v>"Plants",</v>
      </c>
      <c r="EI5" s="48" t="str">
        <f t="shared" si="3"/>
        <v>"Texted",</v>
      </c>
      <c r="EJ5" s="48" t="str">
        <f t="shared" si="3"/>
        <v>"Weapon",</v>
      </c>
      <c r="EK5" s="48" t="str">
        <f t="shared" si="3"/>
        <v>"HasSun",</v>
      </c>
      <c r="EL5" s="48" t="str">
        <f t="shared" si="3"/>
        <v/>
      </c>
      <c r="EM5" s="48" t="str">
        <f t="shared" si="3"/>
        <v>"Trside",</v>
      </c>
      <c r="EN5" s="48" t="str">
        <f t="shared" si="3"/>
        <v>"Unequa",</v>
      </c>
      <c r="EO5" s="48" t="str">
        <f t="shared" si="3"/>
        <v/>
      </c>
      <c r="EP5" s="48" t="str">
        <f t="shared" si="3"/>
        <v/>
      </c>
      <c r="EQ5" s="48" t="str">
        <f t="shared" si="3"/>
        <v/>
      </c>
      <c r="ER5" s="48" t="str">
        <f t="shared" si="3"/>
        <v/>
      </c>
      <c r="ES5" s="48" t="str">
        <f t="shared" si="3"/>
        <v/>
      </c>
      <c r="ET5" s="48" t="str">
        <f t="shared" si="3"/>
        <v>"Geogrh",</v>
      </c>
      <c r="EU5" s="48" t="str">
        <f t="shared" si="3"/>
        <v/>
      </c>
      <c r="EV5" s="48" t="str">
        <f t="shared" si="3"/>
        <v/>
      </c>
      <c r="EW5" s="48" t="str">
        <f t="shared" si="3"/>
        <v/>
      </c>
      <c r="EX5" s="48" t="str">
        <f t="shared" si="3"/>
        <v/>
      </c>
      <c r="EY5" s="48" t="str">
        <f t="shared" si="3"/>
        <v/>
      </c>
      <c r="EZ5" s="48" t="str">
        <f t="shared" si="3"/>
        <v/>
      </c>
      <c r="FA5" s="48" t="str">
        <f t="shared" si="43"/>
        <v>"staWHI",</v>
      </c>
      <c r="FB5" s="48" t="str">
        <f t="shared" si="44"/>
        <v/>
      </c>
      <c r="FC5" s="48" t="str">
        <f t="shared" si="45"/>
        <v/>
      </c>
      <c r="FD5" s="48" t="str">
        <f t="shared" si="46"/>
        <v/>
      </c>
      <c r="FE5" s="48" t="str">
        <f t="shared" si="47"/>
        <v>"NO_BLU",</v>
      </c>
      <c r="FF5" s="48" t="str">
        <f t="shared" si="48"/>
        <v/>
      </c>
      <c r="FG5" s="48" t="str">
        <f t="shared" si="49"/>
        <v/>
      </c>
      <c r="FH5" s="48" t="str">
        <f t="shared" si="50"/>
        <v/>
      </c>
      <c r="FI5" s="48" t="str">
        <f t="shared" si="51"/>
        <v/>
      </c>
      <c r="FJ5" s="48" t="str">
        <f t="shared" si="52"/>
        <v/>
      </c>
      <c r="FK5" s="48" t="str">
        <f t="shared" si="53"/>
        <v/>
      </c>
      <c r="FL5" s="48" t="str">
        <f t="shared" si="54"/>
        <v/>
      </c>
      <c r="FM5" s="48" t="str">
        <f t="shared" si="55"/>
        <v/>
      </c>
      <c r="FN5" s="48" t="str">
        <f t="shared" si="56"/>
        <v/>
      </c>
      <c r="FO5" s="48" t="str">
        <f t="shared" si="57"/>
        <v/>
      </c>
      <c r="FP5" s="48" t="str">
        <f t="shared" si="58"/>
        <v/>
      </c>
      <c r="FQ5" s="48" t="str">
        <f t="shared" si="59"/>
        <v>"001RED",</v>
      </c>
      <c r="FR5" s="48" t="str">
        <f t="shared" si="60"/>
        <v>"002WHI",</v>
      </c>
      <c r="FS5" s="48" t="str">
        <f t="shared" si="61"/>
        <v>"003RED",</v>
      </c>
      <c r="FT5" s="48" t="str">
        <f t="shared" si="62"/>
        <v>"myrRED",</v>
      </c>
      <c r="FU5" s="48" t="str">
        <f t="shared" si="63"/>
        <v/>
      </c>
      <c r="FV5" s="48" t="str">
        <f t="shared" si="64"/>
        <v/>
      </c>
      <c r="FW5" s="48" t="str">
        <f t="shared" si="65"/>
        <v/>
      </c>
      <c r="FX5" s="48" t="str">
        <f t="shared" si="66"/>
        <v/>
      </c>
      <c r="FY5" s="48" t="str">
        <f t="shared" si="67"/>
        <v/>
      </c>
      <c r="FZ5" s="48" t="str">
        <f t="shared" si="68"/>
        <v/>
      </c>
      <c r="GA5" s="48" t="str">
        <f t="shared" si="69"/>
        <v/>
      </c>
      <c r="GB5" s="48" t="str">
        <f t="shared" si="70"/>
        <v/>
      </c>
      <c r="GC5" s="48" t="str">
        <f t="shared" si="71"/>
        <v/>
      </c>
      <c r="GD5" s="48" t="str">
        <f t="shared" si="72"/>
        <v/>
      </c>
      <c r="GE5" s="48" t="str">
        <f t="shared" si="73"/>
        <v/>
      </c>
      <c r="GF5" s="48" t="str">
        <f t="shared" si="74"/>
        <v/>
      </c>
      <c r="GG5" s="48" t="str">
        <f t="shared" si="75"/>
        <v/>
      </c>
      <c r="GH5" s="48" t="str">
        <f t="shared" si="76"/>
        <v/>
      </c>
      <c r="GI5" s="48" t="str">
        <f t="shared" si="77"/>
        <v/>
      </c>
      <c r="GJ5" s="48" t="str">
        <f t="shared" si="78"/>
        <v/>
      </c>
      <c r="GK5" s="48" t="str">
        <f t="shared" si="79"/>
        <v>"HasSta",</v>
      </c>
      <c r="GL5" s="48" t="str">
        <f t="shared" si="4"/>
        <v/>
      </c>
      <c r="GM5" s="48" t="str">
        <f t="shared" si="4"/>
        <v/>
      </c>
      <c r="GN5" s="48" t="str">
        <f t="shared" si="4"/>
        <v>"3+Star",</v>
      </c>
      <c r="GP5" s="48" t="str">
        <f t="shared" si="80"/>
        <v>"State"</v>
      </c>
      <c r="GS5" s="48" t="str">
        <f t="shared" si="81"/>
        <v>["5+Colo","lets05","startA","with_v","year19","allhor","3Bands","Diagon","Horizo","Animal","Plants","Texted","Weapon","HasSun","Trside","Unequa","Geogrh","staWHI","NO_BLU","001RED","002WHI","003RED","myrRED","HasSta","3+Star"]</v>
      </c>
      <c r="GT5" s="48" t="str">
        <f t="shared" si="5"/>
        <v>"cl_RED",</v>
      </c>
      <c r="GU5" s="48" t="str">
        <f t="shared" si="5"/>
        <v>"cl_WHI",</v>
      </c>
      <c r="GV5" s="48" t="str">
        <f t="shared" si="5"/>
        <v>"cl_GRE",</v>
      </c>
      <c r="GW5" s="48" t="str">
        <f t="shared" si="5"/>
        <v>"cl_YEL",</v>
      </c>
      <c r="GX5" s="48" t="str">
        <f t="shared" si="5"/>
        <v>"cl_BRO",</v>
      </c>
      <c r="GY5" s="48" t="str">
        <f t="shared" si="5"/>
        <v>"cl_BLA",</v>
      </c>
      <c r="GZ5" s="48" t="str">
        <f t="shared" si="5"/>
        <v/>
      </c>
      <c r="HA5" s="48" t="str">
        <f t="shared" si="5"/>
        <v/>
      </c>
      <c r="HB5" s="48" t="str">
        <f t="shared" si="5"/>
        <v/>
      </c>
      <c r="HC5" s="48" t="str">
        <f t="shared" si="82"/>
        <v>["cl_RED","cl_WHI","cl_GRE","cl_YEL","cl_BRO","cl_BLA"]</v>
      </c>
      <c r="HE5" s="71"/>
      <c r="HF5" s="72" t="str">
        <f t="shared" si="83"/>
        <v>{couname:"[VEN] Apure",year:"1996",region:"rgn_South America",Colors:["cl_RED","cl_WHI","cl_GRE","cl_YEL","cl_BRO","cl_BLA"],Items:["5+Colo","lets05","startA","with_v","year19","allhor","3Bands","Diagon","Horizo","Animal","Plants","Texted","Weapon","HasSun","Trside","Unequa","Geogrh","staWHI","NO_BLU","001RED","002WHI","003RED","myrRED","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links: "https://www.crwflags.com/fotw/flags/ve-c.html"},</v>
      </c>
      <c r="HG5" s="73" t="str">
        <f t="shared" si="84"/>
        <v>{couname:"[VEN] Apure",year:"1996",region:"rgn_South America",Colors:["cl_RED","cl_WHI","cl_GRE","cl_YEL","cl_BRO","cl_BLA"],Items:["5+Colo","lets05","startA","with_v","year19","allhor","3Bands","Diagon","Horizo","Animal","Plants","Texted","Weapon","HasSun","Trside","Unequa","Geogrh","staWHI","NO_BLU","001RED","002WHI","003RED","myrRED","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links: "https://www.crwflags.com/fotw/flags/ve-c.html"},</v>
      </c>
      <c r="HH5" s="48" t="str">
        <f t="shared" si="85"/>
        <v>"\nThe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v>
      </c>
      <c r="HI5" s="48" t="str">
        <f t="shared" si="86"/>
        <v>"\nThe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v>
      </c>
      <c r="HJ5" s="48" t="str">
        <f t="shared" si="87"/>
        <v>"1996"</v>
      </c>
      <c r="HL5" s="48" t="str">
        <f t="shared" si="88"/>
        <v>"https://www.crwflags.com/fotw/flags/ve-c.html"</v>
      </c>
      <c r="HM5" s="72" t="str">
        <f t="shared" si="89"/>
        <v>{"couname":"[VEN] Apure","year":"1996","region":"rgn_South America","Colors":["cl_RED","cl_WHI","cl_GRE","cl_YEL","cl_BRO","cl_BLA"],"Items":["5+Colo","lets05","startA","with_v","year19","allhor","3Bands","Diagon","Horizo","Animal","Plants","Texted","Weapon","HasSun","Trside","Unequa","Geogrh","staWHI","NO_BLU","001RED","002WHI","003RED","myrRED","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 "links": "https://www.crwflags.com/fotw/flags/ve-c.html"},</v>
      </c>
      <c r="HN5" s="74" t="str">
        <f t="shared" si="90"/>
        <v>{"couname":"[VEN] Apure","year":"1996","region":"rgn_South America","Colors":["cl_RED","cl_WHI","cl_GRE","cl_YEL","cl_BRO","cl_BLA"],"Items":["5+Colo","lets05","startA","with_v","year19","allhor","3Bands","Diagon","Horizo","Animal","Plants","Texted","Weapon","HasSun","Trside","Unequa","Geogrh","staWHI","NO_BLU","001RED","002WHI","003RED","myrRED","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 "links": "https://www.crwflags.com/fotw/flags/ve-c.html"},</v>
      </c>
      <c r="HO5" s="75"/>
      <c r="HP5" s="48" t="str" cm="1">
        <f t="array" ref="HP5">IF(_xlfn.TEXTJOIN(", ", TRUE, IF(ISNUMBER(SEARCH("BLA", BL5:BT5)), COLUMN(BL5:BT5) - COLUMN(BL5) + 1, ""))&lt;&gt;"","BLA","")</f>
        <v>BLA</v>
      </c>
      <c r="HQ5" s="48" t="str" cm="1">
        <f t="array" ref="HQ5">IF(_xlfn.TEXTJOIN(", ", TRUE, IF(ISNUMBER(SEARCH("BLU", BL5:BT5)), COLUMN(BL5:BT5) - COLUMN(BL5) + 1, ""))&lt;&gt;"","BLU","")</f>
        <v/>
      </c>
      <c r="HR5" s="48" t="str" cm="1">
        <f t="array" ref="HR5">IF(_xlfn.TEXTJOIN(", ", TRUE, IF(ISNUMBER(SEARCH("GRE", BL5:BT5)), COLUMN(BL5:BT5) - COLUMN(BL5) + 1, ""))&lt;&gt;"","GRE","")</f>
        <v>GRE</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BRO</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L5" s="48">
        <f t="shared" si="91"/>
        <v>0</v>
      </c>
      <c r="IM5" s="45">
        <f t="shared" si="92"/>
        <v>-6</v>
      </c>
      <c r="IN5" s="78" t="str">
        <f t="shared" si="93"/>
        <v>http://mkweb.bcgsc.ca/color-summarizer/?url=https://upload.wikimedia.org/wikipedia/commons/thumb/1/1a/Flag_of_Apure_State.svg/320px-Flag_of_Apure_State.svg.png&amp;precision=low&amp;num_clusters=6&amp;text=1</v>
      </c>
      <c r="IO5" s="48" t="str">
        <f t="shared" si="94"/>
        <v>"black"</v>
      </c>
      <c r="IP5" s="48" t="str">
        <f t="shared" si="95"/>
        <v/>
      </c>
      <c r="IQ5" s="48" t="str">
        <f t="shared" si="96"/>
        <v>"green"</v>
      </c>
      <c r="IR5" s="48" t="str">
        <f t="shared" si="97"/>
        <v>"red"</v>
      </c>
      <c r="IS5" s="48" t="str">
        <f t="shared" si="98"/>
        <v>"yellow"</v>
      </c>
      <c r="IT5" s="48" t="str">
        <f t="shared" si="99"/>
        <v/>
      </c>
      <c r="IU5" s="48" t="str">
        <f t="shared" si="100"/>
        <v>"brown"</v>
      </c>
      <c r="IV5" s="48" t="str">
        <f t="shared" si="101"/>
        <v/>
      </c>
      <c r="IW5" s="48" t="str">
        <f t="shared" si="102"/>
        <v>"white"</v>
      </c>
      <c r="IX5" s="48" t="str">
        <f t="shared" si="103"/>
        <v>{"url":"http://mkweb.bcgsc.ca/color-summarizer/?url=https://upload.wikimedia.org/wikipedia/commons/thumb/1/1a/Flag_of_Apure_State.svg/320px-Flag_of_Apure_State.svg.png&amp;precision=low&amp;num_clusters=6&amp;text=1","name":"[VEN] Apure"},</v>
      </c>
      <c r="IY5" s="48">
        <v>350</v>
      </c>
    </row>
    <row r="6" spans="1:259" s="48" customFormat="1" ht="38.4" customHeight="1" thickBot="1" x14ac:dyDescent="0.35">
      <c r="A6" s="79" t="s">
        <v>712</v>
      </c>
      <c r="B6" s="40" t="e" vm="105">
        <v>#VALUE!</v>
      </c>
      <c r="C6" s="41">
        <v>2</v>
      </c>
      <c r="D6" s="42" t="s">
        <v>713</v>
      </c>
      <c r="E6" s="43" t="s">
        <v>714</v>
      </c>
      <c r="F6" s="44" t="s">
        <v>166</v>
      </c>
      <c r="G6" s="45">
        <f>COUNTIF($A$1:$A$8305,A6)</f>
        <v>1</v>
      </c>
      <c r="H6" s="46"/>
      <c r="I6" s="47" t="s">
        <v>715</v>
      </c>
      <c r="J6" s="48" t="str">
        <f>""</f>
        <v/>
      </c>
      <c r="K6" s="49"/>
      <c r="L6" s="50"/>
      <c r="M6" s="50"/>
      <c r="N6" s="51" t="s">
        <v>169</v>
      </c>
      <c r="O6" s="52">
        <v>1993</v>
      </c>
      <c r="P6" s="53" t="s">
        <v>716</v>
      </c>
      <c r="Q6" s="54">
        <v>1</v>
      </c>
      <c r="R6" s="55" t="s">
        <v>169</v>
      </c>
      <c r="S6" s="56">
        <v>3</v>
      </c>
      <c r="T6" s="57" t="s">
        <v>173</v>
      </c>
      <c r="U6" s="58" t="s">
        <v>172</v>
      </c>
      <c r="V6" s="58" t="s">
        <v>172</v>
      </c>
      <c r="W6" s="58" t="s">
        <v>172</v>
      </c>
      <c r="X6" s="58" t="s">
        <v>173</v>
      </c>
      <c r="Y6" s="58" t="s">
        <v>173</v>
      </c>
      <c r="Z6" s="58" t="s">
        <v>172</v>
      </c>
      <c r="AA6" s="58" t="s">
        <v>173</v>
      </c>
      <c r="AB6" s="58" t="s">
        <v>173</v>
      </c>
      <c r="AC6" s="58" t="s">
        <v>172</v>
      </c>
      <c r="AD6" s="58" t="s">
        <v>173</v>
      </c>
      <c r="AE6" s="58" t="s">
        <v>172</v>
      </c>
      <c r="AF6" s="59" t="s">
        <v>173</v>
      </c>
      <c r="AG6" s="59" t="s">
        <v>173</v>
      </c>
      <c r="AH6" s="59" t="s">
        <v>173</v>
      </c>
      <c r="AI6" s="59" t="s">
        <v>172</v>
      </c>
      <c r="AJ6" s="59" t="s">
        <v>172</v>
      </c>
      <c r="AK6" s="59" t="s">
        <v>172</v>
      </c>
      <c r="AL6" s="59" t="s">
        <v>172</v>
      </c>
      <c r="AM6" s="59" t="s">
        <v>173</v>
      </c>
      <c r="AN6" s="59" t="s">
        <v>173</v>
      </c>
      <c r="AO6" s="59" t="s">
        <v>173</v>
      </c>
      <c r="AP6" s="59" t="s">
        <v>172</v>
      </c>
      <c r="AQ6" s="59" t="s">
        <v>172</v>
      </c>
      <c r="AR6" s="59" t="s">
        <v>172</v>
      </c>
      <c r="AS6" s="59" t="s">
        <v>172</v>
      </c>
      <c r="AT6" s="60">
        <v>0</v>
      </c>
      <c r="AU6" s="59" t="s">
        <v>383</v>
      </c>
      <c r="AV6" s="59" t="str">
        <f>IF(LEFT(A6,1)="[",LEFT(A6,5)&amp;AU6&amp;A6,"")</f>
        <v>[VEN]State[VEN] Aragua</v>
      </c>
      <c r="AW6" s="59" t="str">
        <f>C6&amp;A6</f>
        <v>2[VEN] Aragua</v>
      </c>
      <c r="AX6" s="61"/>
      <c r="AY6" s="61"/>
      <c r="AZ6" s="62" t="s">
        <v>155</v>
      </c>
      <c r="BA6" s="62"/>
      <c r="BB6" s="62"/>
      <c r="BC6" s="63"/>
      <c r="BD6" s="64" t="s">
        <v>151</v>
      </c>
      <c r="BE6" s="47"/>
      <c r="BF6" s="64" t="s">
        <v>151</v>
      </c>
      <c r="BG6" s="64" t="s">
        <v>151</v>
      </c>
      <c r="BH6" s="64" t="s">
        <v>151</v>
      </c>
      <c r="BI6" s="64" t="s">
        <v>159</v>
      </c>
      <c r="BJ6" s="64"/>
      <c r="BK6" s="47"/>
      <c r="BL6" s="64" t="s">
        <v>151</v>
      </c>
      <c r="BM6" s="64" t="s">
        <v>159</v>
      </c>
      <c r="BN6" s="64" t="s">
        <v>154</v>
      </c>
      <c r="BO6" s="64" t="s">
        <v>152</v>
      </c>
      <c r="BP6" s="64" t="s">
        <v>155</v>
      </c>
      <c r="BQ6" s="64"/>
      <c r="BR6" s="64"/>
      <c r="BS6" s="64"/>
      <c r="BT6" s="64"/>
      <c r="BU6" s="65" t="s">
        <v>172</v>
      </c>
      <c r="BV6" s="66"/>
      <c r="BW6" s="66">
        <v>0</v>
      </c>
      <c r="BX6" s="47"/>
      <c r="CB6" s="6"/>
      <c r="CC6" s="6"/>
      <c r="CD6" s="67">
        <v>0</v>
      </c>
      <c r="CE6" s="67">
        <v>1</v>
      </c>
      <c r="CF6" s="67" t="e">
        <v>#REF!</v>
      </c>
      <c r="CG6" s="68" cm="1">
        <f t="array" ref="CG6">SUMPRODUCT(--(LEN(TRIM(BL6:BT6))&gt;0))</f>
        <v>5</v>
      </c>
      <c r="CH6" s="59" t="str">
        <f t="shared" si="6"/>
        <v>n</v>
      </c>
      <c r="CI6" s="59" t="str">
        <f t="shared" si="7"/>
        <v>n</v>
      </c>
      <c r="CJ6" s="59" t="str">
        <f t="shared" si="8"/>
        <v>n</v>
      </c>
      <c r="CK6" s="59" t="str">
        <f t="shared" si="9"/>
        <v>y</v>
      </c>
      <c r="CL6" s="59" t="str">
        <f t="shared" si="10"/>
        <v>n</v>
      </c>
      <c r="CM6" s="59" t="str">
        <f t="shared" si="11"/>
        <v>n</v>
      </c>
      <c r="CN6" s="59" t="str">
        <f t="shared" si="12"/>
        <v>y</v>
      </c>
      <c r="CO6" s="59" t="str">
        <f t="shared" si="13"/>
        <v>n</v>
      </c>
      <c r="CP6" s="59" t="str">
        <f t="shared" si="14"/>
        <v>y</v>
      </c>
      <c r="CQ6" s="59" t="str">
        <f t="shared" si="15"/>
        <v>n</v>
      </c>
      <c r="CR6" s="59" t="str">
        <f t="shared" si="16"/>
        <v>n</v>
      </c>
      <c r="CS6" s="59" t="str">
        <f t="shared" si="17"/>
        <v>n</v>
      </c>
      <c r="CT6" s="69" t="str">
        <f t="shared" si="18"/>
        <v>"[VEN] Aragua"</v>
      </c>
      <c r="CU6" s="70" t="str">
        <f t="shared" si="19"/>
        <v>"rgn_South America"</v>
      </c>
      <c r="CV6" s="48" t="str">
        <f t="shared" si="20"/>
        <v>"https://upload.wikimedia.org/wikipedia/commons/thumb/4/4f/Flag_of_Aragua_State.svg/320px-Flag_of_Aragua_State.svg.png"</v>
      </c>
      <c r="CW6" s="48" t="str">
        <f t="shared" si="0"/>
        <v/>
      </c>
      <c r="CX6" s="48" t="str">
        <f t="shared" si="0"/>
        <v/>
      </c>
      <c r="CY6" s="48" t="str">
        <f t="shared" si="0"/>
        <v/>
      </c>
      <c r="CZ6" s="48" t="str">
        <f t="shared" si="0"/>
        <v>"5+Colo",</v>
      </c>
      <c r="DA6" s="48" t="str">
        <f t="shared" si="21"/>
        <v/>
      </c>
      <c r="DB6" s="48" t="str">
        <f t="shared" si="22"/>
        <v/>
      </c>
      <c r="DC6" s="48" t="str">
        <f t="shared" si="23"/>
        <v/>
      </c>
      <c r="DD6" s="48" t="str">
        <f t="shared" si="24"/>
        <v>"lets06",</v>
      </c>
      <c r="DE6" s="48" t="str">
        <f t="shared" si="25"/>
        <v>"startA",</v>
      </c>
      <c r="DF6" s="48" t="str">
        <f t="shared" si="26"/>
        <v/>
      </c>
      <c r="DG6" s="48" t="str">
        <f t="shared" si="27"/>
        <v/>
      </c>
      <c r="DH6" s="48" t="str">
        <f t="shared" si="28"/>
        <v>"with_v",</v>
      </c>
      <c r="DI6" s="48" t="str">
        <f t="shared" si="29"/>
        <v/>
      </c>
      <c r="DJ6" s="48" t="str">
        <f t="shared" si="30"/>
        <v/>
      </c>
      <c r="DK6" s="48" t="str">
        <f t="shared" si="31"/>
        <v/>
      </c>
      <c r="DL6" s="48" t="str">
        <f t="shared" si="32"/>
        <v/>
      </c>
      <c r="DM6" s="48" t="str" cm="1">
        <f t="array" ref="DM6">IF(CG6=3,CHAR(34) &amp; _xlfn.TEXTJOIN("", TRUE, RIGHT(HP6:HX6, 2)) &amp; CHAR(34) &amp; ",", "")</f>
        <v/>
      </c>
      <c r="DN6" s="48" t="str">
        <f t="shared" si="33"/>
        <v/>
      </c>
      <c r="DO6" s="48" t="str">
        <f t="shared" si="34"/>
        <v>"year19",</v>
      </c>
      <c r="DP6" s="6" t="str">
        <f t="shared" si="35"/>
        <v/>
      </c>
      <c r="DQ6" s="6" t="str">
        <f t="shared" si="36"/>
        <v/>
      </c>
      <c r="DR6" s="6" t="str">
        <f t="shared" si="37"/>
        <v/>
      </c>
      <c r="DS6" s="6" t="str">
        <f t="shared" si="38"/>
        <v/>
      </c>
      <c r="DT6" s="6" t="str">
        <f t="shared" si="39"/>
        <v/>
      </c>
      <c r="DU6" s="6" t="str">
        <f t="shared" si="40"/>
        <v/>
      </c>
      <c r="DV6" s="48" t="str">
        <f t="shared" si="41"/>
        <v/>
      </c>
      <c r="DW6" s="48" t="str">
        <f t="shared" si="1"/>
        <v/>
      </c>
      <c r="DX6" s="48" t="str">
        <f t="shared" si="1"/>
        <v/>
      </c>
      <c r="DY6" s="48" t="str">
        <f t="shared" si="1"/>
        <v>"3Bands",</v>
      </c>
      <c r="DZ6" s="48" t="str">
        <f t="shared" si="1"/>
        <v/>
      </c>
      <c r="EA6" s="48" t="str">
        <f t="shared" si="2"/>
        <v>"Diagon",</v>
      </c>
      <c r="EB6" s="48" t="str">
        <f t="shared" si="2"/>
        <v/>
      </c>
      <c r="EC6" s="48" t="str">
        <f t="shared" si="2"/>
        <v/>
      </c>
      <c r="ED6" s="48" t="str">
        <f t="shared" si="2"/>
        <v/>
      </c>
      <c r="EE6" s="48" t="str">
        <f t="shared" si="2"/>
        <v>"Circle",</v>
      </c>
      <c r="EF6" s="48" t="str">
        <f t="shared" si="42"/>
        <v>"Animal",</v>
      </c>
      <c r="EG6" s="48" t="str">
        <f t="shared" si="3"/>
        <v/>
      </c>
      <c r="EH6" s="48" t="str">
        <f t="shared" si="3"/>
        <v>"Plants",</v>
      </c>
      <c r="EI6" s="48" t="str">
        <f t="shared" si="3"/>
        <v>"Texted",</v>
      </c>
      <c r="EJ6" s="48" t="str">
        <f t="shared" si="3"/>
        <v/>
      </c>
      <c r="EK6" s="48" t="str">
        <f t="shared" si="3"/>
        <v>"HasSun",</v>
      </c>
      <c r="EL6" s="48" t="str">
        <f t="shared" si="3"/>
        <v/>
      </c>
      <c r="EM6" s="48" t="str">
        <f t="shared" si="3"/>
        <v>"Trside",</v>
      </c>
      <c r="EN6" s="48" t="str">
        <f t="shared" si="3"/>
        <v>"Unequa",</v>
      </c>
      <c r="EO6" s="48" t="str">
        <f t="shared" si="3"/>
        <v>"Center",</v>
      </c>
      <c r="EP6" s="48" t="str">
        <f t="shared" si="3"/>
        <v/>
      </c>
      <c r="EQ6" s="48" t="str">
        <f t="shared" si="3"/>
        <v/>
      </c>
      <c r="ER6" s="48" t="str">
        <f t="shared" si="3"/>
        <v/>
      </c>
      <c r="ES6" s="48" t="str">
        <f t="shared" si="3"/>
        <v/>
      </c>
      <c r="ET6" s="48" t="str">
        <f t="shared" si="3"/>
        <v>"Geogrh",</v>
      </c>
      <c r="EU6" s="48" t="str">
        <f t="shared" si="3"/>
        <v>"Humans",</v>
      </c>
      <c r="EV6" s="48" t="str">
        <f t="shared" si="3"/>
        <v>"Builds",</v>
      </c>
      <c r="EW6" s="48" t="str">
        <f t="shared" si="3"/>
        <v/>
      </c>
      <c r="EX6" s="48" t="str">
        <f t="shared" si="3"/>
        <v/>
      </c>
      <c r="EY6" s="48" t="str">
        <f t="shared" si="3"/>
        <v/>
      </c>
      <c r="EZ6" s="48" t="str">
        <f t="shared" si="3"/>
        <v/>
      </c>
      <c r="FA6" s="48" t="str">
        <f t="shared" si="43"/>
        <v/>
      </c>
      <c r="FB6" s="48" t="str">
        <f t="shared" si="44"/>
        <v/>
      </c>
      <c r="FC6" s="48" t="str">
        <f t="shared" si="45"/>
        <v/>
      </c>
      <c r="FD6" s="48" t="str">
        <f t="shared" si="46"/>
        <v/>
      </c>
      <c r="FE6" s="48" t="str">
        <f t="shared" si="47"/>
        <v/>
      </c>
      <c r="FF6" s="48" t="str">
        <f t="shared" si="48"/>
        <v/>
      </c>
      <c r="FG6" s="48" t="str">
        <f t="shared" si="49"/>
        <v/>
      </c>
      <c r="FH6" s="48" t="str">
        <f t="shared" si="50"/>
        <v>"NO_GRE",</v>
      </c>
      <c r="FI6" s="48" t="str">
        <f t="shared" si="51"/>
        <v/>
      </c>
      <c r="FJ6" s="48" t="str">
        <f t="shared" si="52"/>
        <v/>
      </c>
      <c r="FK6" s="48" t="str">
        <f t="shared" si="53"/>
        <v/>
      </c>
      <c r="FL6" s="48" t="str">
        <f t="shared" si="54"/>
        <v/>
      </c>
      <c r="FM6" s="48" t="str">
        <f t="shared" si="55"/>
        <v/>
      </c>
      <c r="FN6" s="48" t="str">
        <f t="shared" si="56"/>
        <v/>
      </c>
      <c r="FO6" s="48" t="str">
        <f t="shared" si="57"/>
        <v/>
      </c>
      <c r="FP6" s="48" t="str">
        <f t="shared" si="58"/>
        <v/>
      </c>
      <c r="FQ6" s="48" t="str">
        <f t="shared" si="59"/>
        <v>"001BLA",</v>
      </c>
      <c r="FR6" s="48" t="str">
        <f t="shared" si="60"/>
        <v>"002BLA",</v>
      </c>
      <c r="FS6" s="48" t="str">
        <f t="shared" si="61"/>
        <v>"003BLA",</v>
      </c>
      <c r="FT6" s="48" t="str">
        <f t="shared" si="62"/>
        <v>"myrBLA",</v>
      </c>
      <c r="FU6" s="48" t="str">
        <f t="shared" si="63"/>
        <v/>
      </c>
      <c r="FV6" s="48" t="str">
        <f t="shared" si="64"/>
        <v/>
      </c>
      <c r="FW6" s="48" t="str">
        <f t="shared" si="65"/>
        <v/>
      </c>
      <c r="FX6" s="48" t="str">
        <f t="shared" si="66"/>
        <v/>
      </c>
      <c r="FY6" s="48" t="str">
        <f t="shared" si="67"/>
        <v/>
      </c>
      <c r="FZ6" s="48" t="str">
        <f t="shared" si="68"/>
        <v/>
      </c>
      <c r="GA6" s="48" t="str">
        <f t="shared" si="69"/>
        <v/>
      </c>
      <c r="GB6" s="48" t="str">
        <f t="shared" si="70"/>
        <v/>
      </c>
      <c r="GC6" s="48" t="str">
        <f t="shared" si="71"/>
        <v/>
      </c>
      <c r="GD6" s="48" t="str">
        <f t="shared" si="72"/>
        <v/>
      </c>
      <c r="GE6" s="48" t="str">
        <f t="shared" si="73"/>
        <v/>
      </c>
      <c r="GF6" s="48" t="str">
        <f t="shared" si="74"/>
        <v/>
      </c>
      <c r="GG6" s="48" t="str">
        <f t="shared" si="75"/>
        <v/>
      </c>
      <c r="GH6" s="48" t="str">
        <f t="shared" si="76"/>
        <v/>
      </c>
      <c r="GI6" s="48" t="str">
        <f t="shared" si="77"/>
        <v>"hasmap",</v>
      </c>
      <c r="GJ6" s="48" t="str">
        <f t="shared" si="78"/>
        <v>"NoStar",</v>
      </c>
      <c r="GK6" s="48" t="str">
        <f t="shared" si="79"/>
        <v/>
      </c>
      <c r="GL6" s="48" t="str">
        <f t="shared" si="4"/>
        <v/>
      </c>
      <c r="GM6" s="48" t="str">
        <f t="shared" si="4"/>
        <v/>
      </c>
      <c r="GN6" s="48" t="str">
        <f t="shared" si="4"/>
        <v/>
      </c>
      <c r="GP6" s="48" t="str">
        <f t="shared" si="80"/>
        <v>"State"</v>
      </c>
      <c r="GS6" s="48" t="str">
        <f t="shared" si="81"/>
        <v>["5+Colo","lets06","startA","with_v","year19","3Bands","Diagon","Circle","Animal","Plants","Texted","HasSun","Trside","Unequa","Center","Geogrh","Humans","Builds","NO_GRE","001BLA","002BLA","003BLA","myrBLA","hasmap","NoStar"]</v>
      </c>
      <c r="GT6" s="48" t="str">
        <f t="shared" si="5"/>
        <v>"cl_BLA",</v>
      </c>
      <c r="GU6" s="48" t="str">
        <f t="shared" si="5"/>
        <v>"cl_WHI",</v>
      </c>
      <c r="GV6" s="48" t="str">
        <f t="shared" si="5"/>
        <v>"cl_RED",</v>
      </c>
      <c r="GW6" s="48" t="str">
        <f t="shared" si="5"/>
        <v>"cl_BLU",</v>
      </c>
      <c r="GX6" s="48" t="str">
        <f t="shared" si="5"/>
        <v>"cl_YEL",</v>
      </c>
      <c r="GY6" s="48" t="str">
        <f t="shared" si="5"/>
        <v/>
      </c>
      <c r="GZ6" s="48" t="str">
        <f t="shared" si="5"/>
        <v/>
      </c>
      <c r="HA6" s="48" t="str">
        <f t="shared" si="5"/>
        <v/>
      </c>
      <c r="HB6" s="48" t="str">
        <f t="shared" si="5"/>
        <v/>
      </c>
      <c r="HC6" s="48" t="str">
        <f t="shared" si="82"/>
        <v>["cl_BLA","cl_WHI","cl_RED","cl_BLU","cl_YEL"]</v>
      </c>
      <c r="HE6" s="71"/>
      <c r="HF6" s="72" t="str">
        <f t="shared" si="83"/>
        <v>{couname:"[VEN] Aragua",year:"1993",region:"rgn_South America",Colors:["cl_BLA","cl_WHI","cl_RED","cl_BLU","cl_YEL"],Items:["5+Colo","lets06","startA","with_v","year19","3Bands","Diagon","Circle","Animal","Plants","Texted","HasSun","Trside","Unequa","Center","Geogrh","Humans","Builds","NO_GRE","001BLA","002BLA","003BLA","myrBLA","hasmap","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links: "https://en.wikipedia.org/wiki/Flag_of_Aragua"},</v>
      </c>
      <c r="HG6" s="73" t="str">
        <f t="shared" si="84"/>
        <v>{couname:"[VEN] Aragua",year:"1993",region:"rgn_South America",Colors:["cl_BLA","cl_WHI","cl_RED","cl_BLU","cl_YEL"],Items:["5+Colo","lets06","startA","with_v","year19","3Bands","Diagon","Circle","Animal","Plants","Texted","HasSun","Trside","Unequa","Center","Geogrh","Humans","Builds","NO_GRE","001BLA","002BLA","003BLA","myrBLA","hasmap","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links: "https://en.wikipedia.org/wiki/Flag_of_Aragua"},</v>
      </c>
      <c r="HH6" s="48" t="str">
        <f t="shared" si="85"/>
        <v>"\nThe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v>
      </c>
      <c r="HI6" s="48" t="str">
        <f t="shared" si="86"/>
        <v>"\nThe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v>
      </c>
      <c r="HJ6" s="48" t="str">
        <f t="shared" si="87"/>
        <v>"1993"</v>
      </c>
      <c r="HL6" s="48" t="str">
        <f t="shared" si="88"/>
        <v>"https://en.wikipedia.org/wiki/Flag_of_Aragua"</v>
      </c>
      <c r="HM6" s="72" t="str">
        <f t="shared" si="89"/>
        <v>{"couname":"[VEN] Aragua","year":"1993","region":"rgn_South America","Colors":["cl_BLA","cl_WHI","cl_RED","cl_BLU","cl_YEL"],"Items":["5+Colo","lets06","startA","with_v","year19","3Bands","Diagon","Circle","Animal","Plants","Texted","HasSun","Trside","Unequa","Center","Geogrh","Humans","Builds","NO_GRE","001BLA","002BLA","003BLA","myrBLA","hasmap","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 "links": "https://en.wikipedia.org/wiki/Flag_of_Aragua"},</v>
      </c>
      <c r="HN6" s="74" t="str">
        <f t="shared" si="90"/>
        <v>{"couname":"[VEN] Aragua","year":"1993","region":"rgn_South America","Colors":["cl_BLA","cl_WHI","cl_RED","cl_BLU","cl_YEL"],"Items":["5+Colo","lets06","startA","with_v","year19","3Bands","Diagon","Circle","Animal","Plants","Texted","HasSun","Trside","Unequa","Center","Geogrh","Humans","Builds","NO_GRE","001BLA","002BLA","003BLA","myrBLA","hasmap","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 "links": "https://en.wikipedia.org/wiki/Flag_of_Aragua"},</v>
      </c>
      <c r="HO6" s="75"/>
      <c r="HP6" s="48" t="str" cm="1">
        <f t="array" ref="HP6">IF(_xlfn.TEXTJOIN(", ", TRUE, IF(ISNUMBER(SEARCH("BLA", BL6:BT6)), COLUMN(BL6:BT6) - COLUMN(BL6) + 1, ""))&lt;&gt;"","BLA","")</f>
        <v>BLA</v>
      </c>
      <c r="HQ6" s="48" t="str" cm="1">
        <f t="array" ref="HQ6">IF(_xlfn.TEXTJOIN(", ", TRUE, IF(ISNUMBER(SEARCH("BLU", BL6:BT6)), COLUMN(BL6:BT6) - COLUMN(BL6) + 1, ""))&lt;&gt;"","BLU","")</f>
        <v>BLU</v>
      </c>
      <c r="HR6" s="48" t="str" cm="1">
        <f t="array" ref="HR6">IF(_xlfn.TEXTJOIN(", ", TRUE, IF(ISNUMBER(SEARCH("GRE", BL6:BT6)), COLUMN(BL6:BT6) - COLUMN(BL6) + 1, ""))&lt;&gt;"","GRE","")</f>
        <v/>
      </c>
      <c r="HS6" s="48" t="str" cm="1">
        <f t="array" ref="HS6">IF(_xlfn.TEXTJOIN(", ", TRUE, IF(ISNUMBER(SEARCH("RED", BL6:BT6)), COLUMN(BL6:BT6) - COLUMN(BL6) + 1, ""))&lt;&gt;"","RED","")</f>
        <v>RED</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L6" s="48">
        <f t="shared" si="91"/>
        <v>0</v>
      </c>
      <c r="IM6" s="45">
        <f t="shared" si="92"/>
        <v>-5</v>
      </c>
      <c r="IN6" s="78" t="str">
        <f t="shared" si="93"/>
        <v>http://mkweb.bcgsc.ca/color-summarizer/?url=https://upload.wikimedia.org/wikipedia/commons/thumb/4/4f/Flag_of_Aragua_State.svg/320px-Flag_of_Aragua_State.svg.png&amp;precision=low&amp;num_clusters=5&amp;text=1</v>
      </c>
      <c r="IO6" s="48" t="str">
        <f t="shared" si="94"/>
        <v>"black"</v>
      </c>
      <c r="IP6" s="48" t="str">
        <f t="shared" si="95"/>
        <v>"blue"</v>
      </c>
      <c r="IQ6" s="48" t="str">
        <f t="shared" si="96"/>
        <v/>
      </c>
      <c r="IR6" s="48" t="str">
        <f t="shared" si="97"/>
        <v>"red"</v>
      </c>
      <c r="IS6" s="48" t="str">
        <f t="shared" si="98"/>
        <v>"yellow"</v>
      </c>
      <c r="IT6" s="48" t="str">
        <f t="shared" si="99"/>
        <v/>
      </c>
      <c r="IU6" s="48" t="str">
        <f t="shared" si="100"/>
        <v/>
      </c>
      <c r="IV6" s="48" t="str">
        <f t="shared" si="101"/>
        <v/>
      </c>
      <c r="IW6" s="48" t="str">
        <f t="shared" si="102"/>
        <v>"white"</v>
      </c>
      <c r="IX6" s="48" t="str">
        <f t="shared" si="103"/>
        <v>{"url":"http://mkweb.bcgsc.ca/color-summarizer/?url=https://upload.wikimedia.org/wikipedia/commons/thumb/4/4f/Flag_of_Aragua_State.svg/320px-Flag_of_Aragua_State.svg.png&amp;precision=low&amp;num_clusters=5&amp;text=1","name":"[VEN] Aragua"},</v>
      </c>
      <c r="IY6" s="48">
        <v>351</v>
      </c>
    </row>
    <row r="7" spans="1:259" s="48" customFormat="1" ht="38.4" customHeight="1" thickBot="1" x14ac:dyDescent="0.35">
      <c r="A7" s="79" t="s">
        <v>717</v>
      </c>
      <c r="B7" s="40" t="e" vm="106">
        <v>#VALUE!</v>
      </c>
      <c r="C7" s="41">
        <v>2</v>
      </c>
      <c r="D7" s="42" t="s">
        <v>718</v>
      </c>
      <c r="E7" s="43" t="s">
        <v>719</v>
      </c>
      <c r="F7" s="44" t="s">
        <v>166</v>
      </c>
      <c r="G7" s="45">
        <f>COUNTIF($A$1:$A$8305,A7)</f>
        <v>1</v>
      </c>
      <c r="H7" s="46"/>
      <c r="I7" s="47" t="s">
        <v>720</v>
      </c>
      <c r="J7" s="48" t="str">
        <f>""</f>
        <v/>
      </c>
      <c r="K7" s="49"/>
      <c r="L7" s="50"/>
      <c r="M7" s="50"/>
      <c r="N7" s="51" t="s">
        <v>169</v>
      </c>
      <c r="O7" s="52">
        <v>1997</v>
      </c>
      <c r="P7" s="53" t="s">
        <v>721</v>
      </c>
      <c r="Q7" s="54">
        <v>1</v>
      </c>
      <c r="R7" s="55" t="s">
        <v>169</v>
      </c>
      <c r="S7" s="56">
        <v>3</v>
      </c>
      <c r="T7" s="57" t="s">
        <v>172</v>
      </c>
      <c r="U7" s="58" t="s">
        <v>172</v>
      </c>
      <c r="V7" s="58" t="s">
        <v>173</v>
      </c>
      <c r="W7" s="58" t="s">
        <v>172</v>
      </c>
      <c r="X7" s="58" t="s">
        <v>172</v>
      </c>
      <c r="Y7" s="58" t="s">
        <v>172</v>
      </c>
      <c r="Z7" s="58" t="s">
        <v>172</v>
      </c>
      <c r="AA7" s="58" t="s">
        <v>173</v>
      </c>
      <c r="AB7" s="58" t="s">
        <v>172</v>
      </c>
      <c r="AC7" s="58" t="s">
        <v>172</v>
      </c>
      <c r="AD7" s="58" t="s">
        <v>173</v>
      </c>
      <c r="AE7" s="58" t="s">
        <v>172</v>
      </c>
      <c r="AF7" s="59" t="s">
        <v>172</v>
      </c>
      <c r="AG7" s="59" t="s">
        <v>173</v>
      </c>
      <c r="AH7" s="59" t="s">
        <v>173</v>
      </c>
      <c r="AI7" s="59" t="s">
        <v>172</v>
      </c>
      <c r="AJ7" s="59" t="s">
        <v>172</v>
      </c>
      <c r="AK7" s="59" t="s">
        <v>172</v>
      </c>
      <c r="AL7" s="59" t="s">
        <v>172</v>
      </c>
      <c r="AM7" s="59" t="s">
        <v>172</v>
      </c>
      <c r="AN7" s="59" t="s">
        <v>172</v>
      </c>
      <c r="AO7" s="59" t="s">
        <v>172</v>
      </c>
      <c r="AP7" s="59" t="s">
        <v>172</v>
      </c>
      <c r="AQ7" s="59" t="s">
        <v>172</v>
      </c>
      <c r="AR7" s="59" t="s">
        <v>172</v>
      </c>
      <c r="AS7" s="59" t="s">
        <v>172</v>
      </c>
      <c r="AT7" s="60">
        <v>0</v>
      </c>
      <c r="AU7" s="59" t="s">
        <v>383</v>
      </c>
      <c r="AV7" s="59" t="str">
        <f>IF(LEFT(A7,1)="[",LEFT(A7,5)&amp;AU7&amp;A7,"")</f>
        <v>[VEN]State[VEN] Barinas</v>
      </c>
      <c r="AW7" s="59" t="str">
        <f>C7&amp;A7</f>
        <v>2[VEN] Barinas</v>
      </c>
      <c r="AX7" s="61"/>
      <c r="AY7" s="61"/>
      <c r="AZ7" s="62" t="s">
        <v>159</v>
      </c>
      <c r="BA7" s="62"/>
      <c r="BB7" s="62"/>
      <c r="BC7" s="63"/>
      <c r="BD7" s="64" t="s">
        <v>217</v>
      </c>
      <c r="BE7" s="47"/>
      <c r="BF7" s="64" t="s">
        <v>153</v>
      </c>
      <c r="BG7" s="64"/>
      <c r="BH7" s="64" t="s">
        <v>155</v>
      </c>
      <c r="BI7" s="64"/>
      <c r="BJ7" s="64"/>
      <c r="BK7" s="47"/>
      <c r="BL7" s="64" t="s">
        <v>153</v>
      </c>
      <c r="BM7" s="64" t="s">
        <v>155</v>
      </c>
      <c r="BN7" s="64" t="s">
        <v>152</v>
      </c>
      <c r="BO7" s="64" t="s">
        <v>159</v>
      </c>
      <c r="BP7" s="64"/>
      <c r="BQ7" s="64"/>
      <c r="BR7" s="64"/>
      <c r="BS7" s="64"/>
      <c r="BT7" s="64"/>
      <c r="BU7" s="65" t="s">
        <v>172</v>
      </c>
      <c r="BV7" s="66"/>
      <c r="BW7" s="66">
        <v>0</v>
      </c>
      <c r="BX7" s="47"/>
      <c r="CB7" s="6"/>
      <c r="CC7" s="6"/>
      <c r="CD7" s="67">
        <v>0</v>
      </c>
      <c r="CE7" s="67">
        <v>0</v>
      </c>
      <c r="CF7" s="67" t="e">
        <v>#REF!</v>
      </c>
      <c r="CG7" s="68" cm="1">
        <f t="array" ref="CG7">SUMPRODUCT(--(LEN(TRIM(BL7:BT7))&gt;0))</f>
        <v>4</v>
      </c>
      <c r="CH7" s="59" t="str">
        <f t="shared" si="6"/>
        <v>n</v>
      </c>
      <c r="CI7" s="59" t="str">
        <f t="shared" si="7"/>
        <v>n</v>
      </c>
      <c r="CJ7" s="59" t="str">
        <f t="shared" si="8"/>
        <v>y</v>
      </c>
      <c r="CK7" s="59" t="str">
        <f t="shared" si="9"/>
        <v>n</v>
      </c>
      <c r="CL7" s="59" t="str">
        <f t="shared" si="10"/>
        <v>n</v>
      </c>
      <c r="CM7" s="59" t="str">
        <f t="shared" si="11"/>
        <v>n</v>
      </c>
      <c r="CN7" s="59" t="str">
        <f t="shared" si="12"/>
        <v>y</v>
      </c>
      <c r="CO7" s="59" t="str">
        <f t="shared" si="13"/>
        <v>n</v>
      </c>
      <c r="CP7" s="59" t="str">
        <f t="shared" si="14"/>
        <v>y</v>
      </c>
      <c r="CQ7" s="59" t="str">
        <f t="shared" si="15"/>
        <v>n</v>
      </c>
      <c r="CR7" s="59" t="str">
        <f t="shared" si="16"/>
        <v>n</v>
      </c>
      <c r="CS7" s="59" t="str">
        <f t="shared" si="17"/>
        <v>n</v>
      </c>
      <c r="CT7" s="69" t="str">
        <f t="shared" si="18"/>
        <v>"[VEN] Barinas"</v>
      </c>
      <c r="CU7" s="70" t="str">
        <f t="shared" si="19"/>
        <v>"rgn_South America"</v>
      </c>
      <c r="CV7" s="48" t="str">
        <f t="shared" si="20"/>
        <v>"https://upload.wikimedia.org/wikipedia/commons/thumb/5/5e/Flag_of_Barinas_State.svg/320px-Flag_of_Barinas_State.svg.png"</v>
      </c>
      <c r="CW7" s="48" t="str">
        <f t="shared" si="0"/>
        <v/>
      </c>
      <c r="CX7" s="48" t="str">
        <f t="shared" si="0"/>
        <v/>
      </c>
      <c r="CY7" s="48" t="str">
        <f t="shared" si="0"/>
        <v>"4Color",</v>
      </c>
      <c r="CZ7" s="48" t="str">
        <f t="shared" si="0"/>
        <v/>
      </c>
      <c r="DA7" s="48" t="str">
        <f t="shared" si="21"/>
        <v/>
      </c>
      <c r="DB7" s="48" t="str">
        <f t="shared" si="22"/>
        <v/>
      </c>
      <c r="DC7" s="48" t="str">
        <f t="shared" si="23"/>
        <v/>
      </c>
      <c r="DD7" s="48" t="str">
        <f t="shared" si="24"/>
        <v>"lets07",</v>
      </c>
      <c r="DE7" s="48" t="str">
        <f t="shared" si="25"/>
        <v>"startB",</v>
      </c>
      <c r="DF7" s="48" t="str">
        <f t="shared" si="26"/>
        <v/>
      </c>
      <c r="DG7" s="48" t="str">
        <f t="shared" si="27"/>
        <v/>
      </c>
      <c r="DH7" s="48" t="str">
        <f t="shared" si="28"/>
        <v>"with_v",</v>
      </c>
      <c r="DI7" s="48" t="str">
        <f t="shared" si="29"/>
        <v/>
      </c>
      <c r="DJ7" s="48" t="str">
        <f t="shared" si="30"/>
        <v/>
      </c>
      <c r="DK7" s="48" t="str">
        <f t="shared" si="31"/>
        <v/>
      </c>
      <c r="DL7" s="48" t="str">
        <f t="shared" si="32"/>
        <v/>
      </c>
      <c r="DM7" s="48" t="str" cm="1">
        <f t="array" ref="DM7">IF(CG7=3,CHAR(34) &amp; _xlfn.TEXTJOIN("", TRUE, RIGHT(HP7:HX7, 2)) &amp; CHAR(34) &amp; ",", "")</f>
        <v/>
      </c>
      <c r="DN7" s="48" t="str">
        <f t="shared" si="33"/>
        <v/>
      </c>
      <c r="DO7" s="48" t="str">
        <f t="shared" si="34"/>
        <v>"year19",</v>
      </c>
      <c r="DP7" s="6" t="str">
        <f t="shared" si="35"/>
        <v/>
      </c>
      <c r="DQ7" s="6" t="str">
        <f t="shared" si="36"/>
        <v/>
      </c>
      <c r="DR7" s="6" t="str">
        <f t="shared" si="37"/>
        <v/>
      </c>
      <c r="DS7" s="6" t="str">
        <f t="shared" si="38"/>
        <v/>
      </c>
      <c r="DT7" s="6" t="str">
        <f t="shared" si="39"/>
        <v>"allhor",</v>
      </c>
      <c r="DU7" s="6" t="str">
        <f t="shared" si="40"/>
        <v/>
      </c>
      <c r="DV7" s="48" t="str">
        <f t="shared" si="41"/>
        <v/>
      </c>
      <c r="DW7" s="48" t="str">
        <f t="shared" si="1"/>
        <v/>
      </c>
      <c r="DX7" s="48" t="str">
        <f t="shared" si="1"/>
        <v/>
      </c>
      <c r="DY7" s="48" t="str">
        <f t="shared" si="1"/>
        <v>"3Bands",</v>
      </c>
      <c r="DZ7" s="48" t="str">
        <f t="shared" si="1"/>
        <v/>
      </c>
      <c r="EA7" s="48" t="str">
        <f t="shared" si="2"/>
        <v/>
      </c>
      <c r="EB7" s="48" t="str">
        <f t="shared" si="2"/>
        <v/>
      </c>
      <c r="EC7" s="48" t="str">
        <f t="shared" si="2"/>
        <v>"Horizo",</v>
      </c>
      <c r="ED7" s="48" t="str">
        <f t="shared" si="2"/>
        <v/>
      </c>
      <c r="EE7" s="48" t="str">
        <f t="shared" si="2"/>
        <v/>
      </c>
      <c r="EF7" s="48" t="str">
        <f t="shared" si="42"/>
        <v/>
      </c>
      <c r="EG7" s="48" t="str">
        <f t="shared" si="3"/>
        <v/>
      </c>
      <c r="EH7" s="48" t="str">
        <f t="shared" si="3"/>
        <v>"Plants",</v>
      </c>
      <c r="EI7" s="48" t="str">
        <f t="shared" si="3"/>
        <v/>
      </c>
      <c r="EJ7" s="48" t="str">
        <f t="shared" si="3"/>
        <v/>
      </c>
      <c r="EK7" s="48" t="str">
        <f t="shared" si="3"/>
        <v>"HasSun",</v>
      </c>
      <c r="EL7" s="48" t="str">
        <f t="shared" si="3"/>
        <v/>
      </c>
      <c r="EM7" s="48" t="str">
        <f t="shared" si="3"/>
        <v/>
      </c>
      <c r="EN7" s="48" t="str">
        <f t="shared" si="3"/>
        <v>"Unequa",</v>
      </c>
      <c r="EO7" s="48" t="str">
        <f t="shared" si="3"/>
        <v>"Center",</v>
      </c>
      <c r="EP7" s="48" t="str">
        <f t="shared" si="3"/>
        <v/>
      </c>
      <c r="EQ7" s="48" t="str">
        <f t="shared" si="3"/>
        <v/>
      </c>
      <c r="ER7" s="48" t="str">
        <f t="shared" si="3"/>
        <v/>
      </c>
      <c r="ES7" s="48" t="str">
        <f t="shared" si="3"/>
        <v/>
      </c>
      <c r="ET7" s="48" t="str">
        <f t="shared" si="3"/>
        <v/>
      </c>
      <c r="EU7" s="48" t="str">
        <f t="shared" si="3"/>
        <v/>
      </c>
      <c r="EV7" s="48" t="str">
        <f t="shared" si="3"/>
        <v/>
      </c>
      <c r="EW7" s="48" t="str">
        <f t="shared" si="3"/>
        <v/>
      </c>
      <c r="EX7" s="48" t="str">
        <f t="shared" si="3"/>
        <v/>
      </c>
      <c r="EY7" s="48" t="str">
        <f t="shared" si="3"/>
        <v/>
      </c>
      <c r="EZ7" s="48" t="str">
        <f t="shared" si="3"/>
        <v/>
      </c>
      <c r="FA7" s="48" t="str">
        <f t="shared" si="43"/>
        <v/>
      </c>
      <c r="FB7" s="48" t="str">
        <f t="shared" si="44"/>
        <v/>
      </c>
      <c r="FC7" s="48" t="str">
        <f t="shared" si="45"/>
        <v/>
      </c>
      <c r="FD7" s="48" t="str">
        <f t="shared" si="46"/>
        <v/>
      </c>
      <c r="FE7" s="48" t="str">
        <f t="shared" si="47"/>
        <v/>
      </c>
      <c r="FF7" s="48" t="str">
        <f t="shared" si="48"/>
        <v/>
      </c>
      <c r="FG7" s="48" t="str">
        <f t="shared" si="49"/>
        <v>"NO_RED",</v>
      </c>
      <c r="FH7" s="48" t="str">
        <f t="shared" si="50"/>
        <v/>
      </c>
      <c r="FI7" s="48" t="str">
        <f t="shared" si="51"/>
        <v/>
      </c>
      <c r="FJ7" s="48" t="str">
        <f t="shared" si="52"/>
        <v>"NO_BLA",</v>
      </c>
      <c r="FK7" s="48" t="str">
        <f t="shared" si="53"/>
        <v/>
      </c>
      <c r="FL7" s="48" t="str">
        <f t="shared" si="54"/>
        <v/>
      </c>
      <c r="FM7" s="48" t="str">
        <f t="shared" si="55"/>
        <v/>
      </c>
      <c r="FN7" s="48" t="str">
        <f t="shared" si="56"/>
        <v/>
      </c>
      <c r="FO7" s="48" t="str">
        <f t="shared" si="57"/>
        <v/>
      </c>
      <c r="FP7" s="48" t="str">
        <f t="shared" si="58"/>
        <v/>
      </c>
      <c r="FQ7" s="48" t="str">
        <f t="shared" si="59"/>
        <v>"001GRE",</v>
      </c>
      <c r="FR7" s="48" t="str">
        <f t="shared" si="60"/>
        <v/>
      </c>
      <c r="FS7" s="48" t="str">
        <f t="shared" si="61"/>
        <v>"003YEL",</v>
      </c>
      <c r="FT7" s="48" t="str">
        <f t="shared" si="62"/>
        <v>"myrEQ",</v>
      </c>
      <c r="FU7" s="48" t="str">
        <f t="shared" si="63"/>
        <v/>
      </c>
      <c r="FV7" s="48" t="str">
        <f t="shared" si="64"/>
        <v/>
      </c>
      <c r="FW7" s="48" t="str">
        <f t="shared" si="65"/>
        <v/>
      </c>
      <c r="FX7" s="48" t="str">
        <f t="shared" si="66"/>
        <v/>
      </c>
      <c r="FY7" s="48" t="str">
        <f t="shared" si="67"/>
        <v/>
      </c>
      <c r="FZ7" s="48" t="str">
        <f t="shared" si="68"/>
        <v/>
      </c>
      <c r="GA7" s="48" t="str">
        <f t="shared" si="69"/>
        <v/>
      </c>
      <c r="GB7" s="48" t="str">
        <f t="shared" si="70"/>
        <v/>
      </c>
      <c r="GC7" s="48" t="str">
        <f t="shared" si="71"/>
        <v/>
      </c>
      <c r="GD7" s="48" t="str">
        <f t="shared" si="72"/>
        <v/>
      </c>
      <c r="GE7" s="48" t="str">
        <f t="shared" si="73"/>
        <v/>
      </c>
      <c r="GF7" s="48" t="str">
        <f t="shared" si="74"/>
        <v/>
      </c>
      <c r="GG7" s="48" t="str">
        <f t="shared" si="75"/>
        <v/>
      </c>
      <c r="GH7" s="48" t="str">
        <f t="shared" si="76"/>
        <v/>
      </c>
      <c r="GI7" s="48" t="str">
        <f t="shared" si="77"/>
        <v/>
      </c>
      <c r="GJ7" s="48" t="str">
        <f t="shared" si="78"/>
        <v>"NoStar",</v>
      </c>
      <c r="GK7" s="48" t="str">
        <f t="shared" si="79"/>
        <v/>
      </c>
      <c r="GL7" s="48" t="str">
        <f t="shared" si="4"/>
        <v/>
      </c>
      <c r="GM7" s="48" t="str">
        <f t="shared" si="4"/>
        <v/>
      </c>
      <c r="GN7" s="48" t="str">
        <f t="shared" si="4"/>
        <v/>
      </c>
      <c r="GP7" s="48" t="str">
        <f t="shared" si="80"/>
        <v>"State"</v>
      </c>
      <c r="GS7" s="48" t="str">
        <f t="shared" si="81"/>
        <v>["4Color","lets07","startB","with_v","year19","allhor","3Bands","Horizo","Plants","HasSun","Unequa","Center","NO_RED","NO_BLA","001GRE","003YEL","myrEQ","NoStar"]</v>
      </c>
      <c r="GT7" s="48" t="str">
        <f t="shared" si="5"/>
        <v>"cl_GRE",</v>
      </c>
      <c r="GU7" s="48" t="str">
        <f t="shared" si="5"/>
        <v>"cl_YEL",</v>
      </c>
      <c r="GV7" s="48" t="str">
        <f t="shared" si="5"/>
        <v>"cl_BLU",</v>
      </c>
      <c r="GW7" s="48" t="str">
        <f t="shared" si="5"/>
        <v>"cl_WHI",</v>
      </c>
      <c r="GX7" s="48" t="str">
        <f t="shared" si="5"/>
        <v/>
      </c>
      <c r="GY7" s="48" t="str">
        <f t="shared" si="5"/>
        <v/>
      </c>
      <c r="GZ7" s="48" t="str">
        <f t="shared" si="5"/>
        <v/>
      </c>
      <c r="HA7" s="48" t="str">
        <f t="shared" si="5"/>
        <v/>
      </c>
      <c r="HB7" s="48" t="str">
        <f t="shared" si="5"/>
        <v/>
      </c>
      <c r="HC7" s="48" t="str">
        <f t="shared" si="82"/>
        <v>["cl_GRE","cl_YEL","cl_BLU","cl_WHI"]</v>
      </c>
      <c r="HE7" s="71"/>
      <c r="HF7" s="72" t="str">
        <f t="shared" si="83"/>
        <v>{couname:"[VEN] Barinas",year:"1997",region:"rgn_South America",Colors:["cl_GRE","cl_YEL","cl_BLU","cl_WHI"],Items:["4Color","lets07","startB","with_v","year19","allhor","3Bands","Horizo","Plants","HasSun","Unequa","Center","NO_RED","NO_BLA","001GRE","003YEL","myrEQ","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links: "https://www.crwflags.com/fotw/flags/ve-e.html"},</v>
      </c>
      <c r="HG7" s="73" t="str">
        <f t="shared" si="84"/>
        <v>{couname:"[VEN] Barinas",year:"1997",region:"rgn_South America",Colors:["cl_GRE","cl_YEL","cl_BLU","cl_WHI"],Items:["4Color","lets07","startB","with_v","year19","allhor","3Bands","Horizo","Plants","HasSun","Unequa","Center","NO_RED","NO_BLA","001GRE","003YEL","myrEQ","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links: "https://www.crwflags.com/fotw/flags/ve-e.html"},</v>
      </c>
      <c r="HH7" s="48" t="str">
        <f t="shared" si="85"/>
        <v>"\nThe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v>
      </c>
      <c r="HI7" s="48" t="str">
        <f t="shared" si="86"/>
        <v>"\nThe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v>
      </c>
      <c r="HJ7" s="48" t="str">
        <f t="shared" si="87"/>
        <v>"1997"</v>
      </c>
      <c r="HL7" s="48" t="str">
        <f t="shared" si="88"/>
        <v>"https://www.crwflags.com/fotw/flags/ve-e.html"</v>
      </c>
      <c r="HM7" s="72" t="str">
        <f t="shared" si="89"/>
        <v>{"couname":"[VEN] Barinas","year":"1997","region":"rgn_South America","Colors":["cl_GRE","cl_YEL","cl_BLU","cl_WHI"],"Items":["4Color","lets07","startB","with_v","year19","allhor","3Bands","Horizo","Plants","HasSun","Unequa","Center","NO_RED","NO_BLA","001GRE","003YEL","myrEQ","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 "links": "https://www.crwflags.com/fotw/flags/ve-e.html"},</v>
      </c>
      <c r="HN7" s="74" t="str">
        <f t="shared" si="90"/>
        <v>{"couname":"[VEN] Barinas","year":"1997","region":"rgn_South America","Colors":["cl_GRE","cl_YEL","cl_BLU","cl_WHI"],"Items":["4Color","lets07","startB","with_v","year19","allhor","3Bands","Horizo","Plants","HasSun","Unequa","Center","NO_RED","NO_BLA","001GRE","003YEL","myrEQ","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 "links": "https://www.crwflags.com/fotw/flags/ve-e.html"},</v>
      </c>
      <c r="HO7" s="75"/>
      <c r="HP7" s="48" t="str" cm="1">
        <f t="array" ref="HP7">IF(_xlfn.TEXTJOIN(", ", TRUE, IF(ISNUMBER(SEARCH("BLA", BL7:BT7)), COLUMN(BL7:BT7) - COLUMN(BL7) + 1, ""))&lt;&gt;"","BLA","")</f>
        <v/>
      </c>
      <c r="HQ7" s="48" t="str" cm="1">
        <f t="array" ref="HQ7">IF(_xlfn.TEXTJOIN(", ", TRUE, IF(ISNUMBER(SEARCH("BLU", BL7:BT7)), COLUMN(BL7:BT7) - COLUMN(BL7) + 1, ""))&lt;&gt;"","BLU","")</f>
        <v>BLU</v>
      </c>
      <c r="HR7" s="48" t="str" cm="1">
        <f t="array" ref="HR7">IF(_xlfn.TEXTJOIN(", ", TRUE, IF(ISNUMBER(SEARCH("GRE", BL7:BT7)), COLUMN(BL7:BT7) - COLUMN(BL7) + 1, ""))&lt;&gt;"","GRE","")</f>
        <v>GRE</v>
      </c>
      <c r="HS7" s="48" t="str" cm="1">
        <f t="array" ref="HS7">IF(_xlfn.TEXTJOIN(", ", TRUE, IF(ISNUMBER(SEARCH("RED", BL7:BT7)), COLUMN(BL7:BT7) - COLUMN(BL7) + 1, ""))&lt;&gt;"","RED","")</f>
        <v/>
      </c>
      <c r="HT7" s="48" t="str" cm="1">
        <f t="array" ref="HT7">IF(_xlfn.TEXTJOIN(", ", TRUE, IF(ISNUMBER(SEARCH("YEL", BL7:BT7)), COLUMN(BL7:BT7) - COLUMN(BL7) + 1, ""))&lt;&gt;"","YEL","")</f>
        <v>YEL</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c r="ID7" s="77"/>
      <c r="IE7" s="77"/>
      <c r="IF7" s="77"/>
      <c r="IG7" s="77"/>
      <c r="IH7" s="77"/>
      <c r="II7" s="77"/>
      <c r="IJ7" s="77"/>
      <c r="IK7" s="77"/>
      <c r="IL7" s="48">
        <f t="shared" si="91"/>
        <v>0</v>
      </c>
      <c r="IM7" s="45">
        <f t="shared" si="92"/>
        <v>-4</v>
      </c>
      <c r="IN7" s="78" t="str">
        <f t="shared" si="93"/>
        <v>http://mkweb.bcgsc.ca/color-summarizer/?url=https://upload.wikimedia.org/wikipedia/commons/thumb/5/5e/Flag_of_Barinas_State.svg/320px-Flag_of_Barinas_State.svg.png&amp;precision=low&amp;num_clusters=4&amp;text=1</v>
      </c>
      <c r="IO7" s="48" t="str">
        <f t="shared" si="94"/>
        <v/>
      </c>
      <c r="IP7" s="48" t="str">
        <f t="shared" si="95"/>
        <v>"blue"</v>
      </c>
      <c r="IQ7" s="48" t="str">
        <f t="shared" si="96"/>
        <v>"green"</v>
      </c>
      <c r="IR7" s="48" t="str">
        <f t="shared" si="97"/>
        <v/>
      </c>
      <c r="IS7" s="48" t="str">
        <f t="shared" si="98"/>
        <v>"yellow"</v>
      </c>
      <c r="IT7" s="48" t="str">
        <f t="shared" si="99"/>
        <v/>
      </c>
      <c r="IU7" s="48" t="str">
        <f t="shared" si="100"/>
        <v/>
      </c>
      <c r="IV7" s="48" t="str">
        <f t="shared" si="101"/>
        <v/>
      </c>
      <c r="IW7" s="48" t="str">
        <f t="shared" si="102"/>
        <v>"white"</v>
      </c>
      <c r="IX7" s="48" t="str">
        <f t="shared" si="103"/>
        <v>{"url":"http://mkweb.bcgsc.ca/color-summarizer/?url=https://upload.wikimedia.org/wikipedia/commons/thumb/5/5e/Flag_of_Barinas_State.svg/320px-Flag_of_Barinas_State.svg.png&amp;precision=low&amp;num_clusters=4&amp;text=1","name":"[VEN] Barinas"},</v>
      </c>
      <c r="IY7" s="48">
        <v>352</v>
      </c>
    </row>
    <row r="8" spans="1:259" s="48" customFormat="1" ht="38.4" customHeight="1" thickBot="1" x14ac:dyDescent="0.35">
      <c r="A8" s="79" t="s">
        <v>722</v>
      </c>
      <c r="B8" s="40" t="e" vm="107">
        <v>#VALUE!</v>
      </c>
      <c r="C8" s="41">
        <v>2</v>
      </c>
      <c r="D8" s="42" t="s">
        <v>723</v>
      </c>
      <c r="E8" s="43" t="s">
        <v>724</v>
      </c>
      <c r="F8" s="44" t="s">
        <v>166</v>
      </c>
      <c r="G8" s="45">
        <f>COUNTIF($A$1:$A$8305,A8)</f>
        <v>1</v>
      </c>
      <c r="H8" s="46"/>
      <c r="I8" s="47" t="s">
        <v>725</v>
      </c>
      <c r="J8" s="48" t="str">
        <f>""</f>
        <v/>
      </c>
      <c r="K8" s="49"/>
      <c r="L8" s="50"/>
      <c r="M8" s="50"/>
      <c r="N8" s="51" t="s">
        <v>169</v>
      </c>
      <c r="O8" s="52">
        <v>2000</v>
      </c>
      <c r="P8" s="53" t="s">
        <v>726</v>
      </c>
      <c r="Q8" s="54">
        <v>1</v>
      </c>
      <c r="R8" s="55" t="s">
        <v>169</v>
      </c>
      <c r="S8" s="56">
        <v>7</v>
      </c>
      <c r="T8" s="57" t="s">
        <v>172</v>
      </c>
      <c r="U8" s="58" t="s">
        <v>172</v>
      </c>
      <c r="V8" s="58" t="s">
        <v>173</v>
      </c>
      <c r="W8" s="58" t="s">
        <v>172</v>
      </c>
      <c r="X8" s="58" t="s">
        <v>173</v>
      </c>
      <c r="Y8" s="58" t="s">
        <v>172</v>
      </c>
      <c r="Z8" s="58" t="s">
        <v>172</v>
      </c>
      <c r="AA8" s="58" t="s">
        <v>173</v>
      </c>
      <c r="AB8" s="58" t="s">
        <v>173</v>
      </c>
      <c r="AC8" s="58" t="s">
        <v>172</v>
      </c>
      <c r="AD8" s="58" t="s">
        <v>173</v>
      </c>
      <c r="AE8" s="58" t="s">
        <v>172</v>
      </c>
      <c r="AF8" s="59" t="s">
        <v>172</v>
      </c>
      <c r="AG8" s="59" t="s">
        <v>172</v>
      </c>
      <c r="AH8" s="59" t="s">
        <v>173</v>
      </c>
      <c r="AI8" s="59" t="s">
        <v>173</v>
      </c>
      <c r="AJ8" s="59" t="s">
        <v>172</v>
      </c>
      <c r="AK8" s="59" t="s">
        <v>172</v>
      </c>
      <c r="AL8" s="59" t="s">
        <v>172</v>
      </c>
      <c r="AM8" s="59" t="s">
        <v>173</v>
      </c>
      <c r="AN8" s="59" t="s">
        <v>173</v>
      </c>
      <c r="AO8" s="59" t="s">
        <v>172</v>
      </c>
      <c r="AP8" s="59" t="s">
        <v>172</v>
      </c>
      <c r="AQ8" s="59" t="s">
        <v>172</v>
      </c>
      <c r="AR8" s="59" t="s">
        <v>172</v>
      </c>
      <c r="AS8" s="59" t="s">
        <v>172</v>
      </c>
      <c r="AT8" s="60">
        <v>8</v>
      </c>
      <c r="AU8" s="59" t="s">
        <v>383</v>
      </c>
      <c r="AV8" s="59" t="str">
        <f>IF(LEFT(A8,1)="[",LEFT(A8,5)&amp;AU8&amp;A8,"")</f>
        <v>[VEN]State[VEN] Bolívar</v>
      </c>
      <c r="AW8" s="59" t="str">
        <f>C8&amp;A8</f>
        <v>2[VEN] Bolívar</v>
      </c>
      <c r="AX8" s="61"/>
      <c r="AY8" s="61"/>
      <c r="AZ8" s="62"/>
      <c r="BA8" s="62"/>
      <c r="BB8" s="62"/>
      <c r="BC8" s="63"/>
      <c r="BD8" s="64" t="s">
        <v>155</v>
      </c>
      <c r="BE8" s="47"/>
      <c r="BF8" s="64" t="s">
        <v>152</v>
      </c>
      <c r="BG8" s="64" t="s">
        <v>159</v>
      </c>
      <c r="BH8" s="64" t="s">
        <v>155</v>
      </c>
      <c r="BI8" s="64"/>
      <c r="BJ8" s="64"/>
      <c r="BK8" s="47"/>
      <c r="BL8" s="64" t="s">
        <v>152</v>
      </c>
      <c r="BM8" s="64" t="s">
        <v>159</v>
      </c>
      <c r="BN8" s="64" t="s">
        <v>155</v>
      </c>
      <c r="BO8" s="64"/>
      <c r="BP8" s="64"/>
      <c r="BQ8" s="64"/>
      <c r="BR8" s="64"/>
      <c r="BS8" s="64"/>
      <c r="BT8" s="64"/>
      <c r="BU8" s="65"/>
      <c r="BV8" s="66"/>
      <c r="BW8" s="66">
        <v>0</v>
      </c>
      <c r="BX8" s="47"/>
      <c r="BY8" s="48" t="s">
        <v>173</v>
      </c>
      <c r="CB8" s="6"/>
      <c r="CC8" s="6"/>
      <c r="CD8" s="67">
        <v>0</v>
      </c>
      <c r="CE8" s="67">
        <v>0</v>
      </c>
      <c r="CF8" s="67" t="e">
        <v>#REF!</v>
      </c>
      <c r="CG8" s="68" cm="1">
        <f t="array" ref="CG8">SUMPRODUCT(--(LEN(TRIM(BL8:BT8))&gt;0))</f>
        <v>3</v>
      </c>
      <c r="CH8" s="59" t="str">
        <f t="shared" si="6"/>
        <v>n</v>
      </c>
      <c r="CI8" s="59" t="str">
        <f t="shared" si="7"/>
        <v>y</v>
      </c>
      <c r="CJ8" s="59" t="str">
        <f t="shared" si="8"/>
        <v>n</v>
      </c>
      <c r="CK8" s="59" t="str">
        <f t="shared" si="9"/>
        <v>n</v>
      </c>
      <c r="CL8" s="59" t="str">
        <f t="shared" si="10"/>
        <v>n</v>
      </c>
      <c r="CM8" s="59" t="str">
        <f t="shared" si="11"/>
        <v>n</v>
      </c>
      <c r="CN8" s="59" t="str">
        <f t="shared" si="12"/>
        <v>n</v>
      </c>
      <c r="CO8" s="59" t="str">
        <f t="shared" si="13"/>
        <v>y</v>
      </c>
      <c r="CP8" s="59" t="str">
        <f t="shared" si="14"/>
        <v>n</v>
      </c>
      <c r="CQ8" s="59" t="str">
        <f t="shared" si="15"/>
        <v>n</v>
      </c>
      <c r="CR8" s="59" t="str">
        <f t="shared" si="16"/>
        <v>n</v>
      </c>
      <c r="CS8" s="59" t="str">
        <f t="shared" si="17"/>
        <v>y</v>
      </c>
      <c r="CT8" s="69" t="str">
        <f t="shared" si="18"/>
        <v>"[VEN] Bolívar"</v>
      </c>
      <c r="CU8" s="70" t="str">
        <f t="shared" si="19"/>
        <v>"rgn_South America"</v>
      </c>
      <c r="CV8" s="48" t="str">
        <f t="shared" si="20"/>
        <v>"https://upload.wikimedia.org/wikipedia/commons/thumb/0/06/Flag_of_Bol%C3%ADvar_State.svg/320px-Flag_of_Bol%C3%ADvar_State.svg.png"</v>
      </c>
      <c r="CW8" s="48" t="str">
        <f t="shared" si="0"/>
        <v/>
      </c>
      <c r="CX8" s="48" t="str">
        <f t="shared" si="0"/>
        <v>"3Color",</v>
      </c>
      <c r="CY8" s="48" t="str">
        <f t="shared" si="0"/>
        <v/>
      </c>
      <c r="CZ8" s="48" t="str">
        <f t="shared" si="0"/>
        <v/>
      </c>
      <c r="DA8" s="48" t="str">
        <f t="shared" si="21"/>
        <v/>
      </c>
      <c r="DB8" s="48" t="str">
        <f t="shared" si="22"/>
        <v/>
      </c>
      <c r="DC8" s="48" t="str">
        <f t="shared" si="23"/>
        <v/>
      </c>
      <c r="DD8" s="48" t="str">
        <f t="shared" si="24"/>
        <v>"lets07",</v>
      </c>
      <c r="DE8" s="48" t="str">
        <f t="shared" si="25"/>
        <v>"startB",</v>
      </c>
      <c r="DF8" s="48" t="str">
        <f t="shared" si="26"/>
        <v/>
      </c>
      <c r="DG8" s="48" t="str">
        <f t="shared" si="27"/>
        <v/>
      </c>
      <c r="DH8" s="48" t="str">
        <f t="shared" si="28"/>
        <v>"with_v",</v>
      </c>
      <c r="DI8" s="48" t="str">
        <f t="shared" si="29"/>
        <v/>
      </c>
      <c r="DJ8" s="48" t="str">
        <f t="shared" si="30"/>
        <v/>
      </c>
      <c r="DK8" s="48" t="str">
        <f t="shared" si="31"/>
        <v/>
      </c>
      <c r="DL8" s="48" t="str">
        <f t="shared" si="32"/>
        <v/>
      </c>
      <c r="DM8" s="48" t="str" cm="1">
        <f t="array" ref="DM8">IF(CG8=3,CHAR(34) &amp; _xlfn.TEXTJOIN("", TRUE, RIGHT(HP8:HX8, 2)) &amp; CHAR(34) &amp; ",", "")</f>
        <v>"LUELHI",</v>
      </c>
      <c r="DN8" s="48" t="str">
        <f t="shared" si="33"/>
        <v/>
      </c>
      <c r="DO8" s="48" t="str">
        <f t="shared" si="34"/>
        <v/>
      </c>
      <c r="DP8" s="6" t="str">
        <f t="shared" si="35"/>
        <v>"year00",</v>
      </c>
      <c r="DQ8" s="6" t="str">
        <f t="shared" si="36"/>
        <v/>
      </c>
      <c r="DR8" s="6" t="str">
        <f t="shared" si="37"/>
        <v>"dgband",</v>
      </c>
      <c r="DS8" s="6" t="str">
        <f t="shared" si="38"/>
        <v/>
      </c>
      <c r="DT8" s="6" t="str">
        <f t="shared" si="39"/>
        <v/>
      </c>
      <c r="DU8" s="6" t="str">
        <f t="shared" si="40"/>
        <v/>
      </c>
      <c r="DV8" s="48" t="str">
        <f t="shared" si="41"/>
        <v/>
      </c>
      <c r="DW8" s="48" t="str">
        <f t="shared" si="1"/>
        <v/>
      </c>
      <c r="DX8" s="48" t="str">
        <f t="shared" si="1"/>
        <v/>
      </c>
      <c r="DY8" s="48" t="str">
        <f t="shared" si="1"/>
        <v/>
      </c>
      <c r="DZ8" s="48" t="str">
        <f t="shared" si="1"/>
        <v>"4+Band",</v>
      </c>
      <c r="EA8" s="48" t="str">
        <f t="shared" si="2"/>
        <v/>
      </c>
      <c r="EB8" s="48" t="str">
        <f t="shared" si="2"/>
        <v/>
      </c>
      <c r="EC8" s="48" t="str">
        <f t="shared" si="2"/>
        <v>"Horizo",</v>
      </c>
      <c r="ED8" s="48" t="str">
        <f t="shared" si="2"/>
        <v/>
      </c>
      <c r="EE8" s="48" t="str">
        <f t="shared" si="2"/>
        <v>"Circle",</v>
      </c>
      <c r="EF8" s="48" t="str">
        <f t="shared" si="42"/>
        <v/>
      </c>
      <c r="EG8" s="48" t="str">
        <f t="shared" si="3"/>
        <v/>
      </c>
      <c r="EH8" s="48" t="str">
        <f t="shared" si="3"/>
        <v>"Plants",</v>
      </c>
      <c r="EI8" s="48" t="str">
        <f t="shared" si="3"/>
        <v>"Texted",</v>
      </c>
      <c r="EJ8" s="48" t="str">
        <f t="shared" si="3"/>
        <v/>
      </c>
      <c r="EK8" s="48" t="str">
        <f t="shared" si="3"/>
        <v>"HasSun",</v>
      </c>
      <c r="EL8" s="48" t="str">
        <f t="shared" si="3"/>
        <v/>
      </c>
      <c r="EM8" s="48" t="str">
        <f t="shared" si="3"/>
        <v/>
      </c>
      <c r="EN8" s="48" t="str">
        <f t="shared" si="3"/>
        <v/>
      </c>
      <c r="EO8" s="48" t="str">
        <f t="shared" si="3"/>
        <v>"Center",</v>
      </c>
      <c r="EP8" s="48" t="str">
        <f t="shared" si="3"/>
        <v>"Canton",</v>
      </c>
      <c r="EQ8" s="48" t="str">
        <f t="shared" si="3"/>
        <v/>
      </c>
      <c r="ER8" s="48" t="str">
        <f t="shared" si="3"/>
        <v/>
      </c>
      <c r="ES8" s="48" t="str">
        <f t="shared" si="3"/>
        <v/>
      </c>
      <c r="ET8" s="48" t="str">
        <f t="shared" si="3"/>
        <v>"Geogrh",</v>
      </c>
      <c r="EU8" s="48" t="str">
        <f t="shared" si="3"/>
        <v>"Humans",</v>
      </c>
      <c r="EV8" s="48" t="str">
        <f t="shared" si="3"/>
        <v/>
      </c>
      <c r="EW8" s="48" t="str">
        <f t="shared" si="3"/>
        <v/>
      </c>
      <c r="EX8" s="48" t="str">
        <f t="shared" si="3"/>
        <v/>
      </c>
      <c r="EY8" s="48" t="str">
        <f t="shared" si="3"/>
        <v/>
      </c>
      <c r="EZ8" s="48" t="str">
        <f t="shared" si="3"/>
        <v/>
      </c>
      <c r="FA8" s="48" t="str">
        <f t="shared" si="43"/>
        <v>"sta",</v>
      </c>
      <c r="FB8" s="48" t="str">
        <f t="shared" si="44"/>
        <v/>
      </c>
      <c r="FC8" s="48" t="str">
        <f t="shared" si="45"/>
        <v/>
      </c>
      <c r="FD8" s="48" t="str">
        <f t="shared" si="46"/>
        <v/>
      </c>
      <c r="FE8" s="48" t="str">
        <f t="shared" si="47"/>
        <v/>
      </c>
      <c r="FF8" s="48" t="str">
        <f t="shared" si="48"/>
        <v/>
      </c>
      <c r="FG8" s="48" t="str">
        <f t="shared" si="49"/>
        <v>"NO_RED",</v>
      </c>
      <c r="FH8" s="48" t="str">
        <f t="shared" si="50"/>
        <v>"NO_GRE",</v>
      </c>
      <c r="FI8" s="48" t="str">
        <f t="shared" si="51"/>
        <v/>
      </c>
      <c r="FJ8" s="48" t="str">
        <f t="shared" si="52"/>
        <v>"NO_BLA",</v>
      </c>
      <c r="FK8" s="48" t="str">
        <f t="shared" si="53"/>
        <v/>
      </c>
      <c r="FL8" s="48" t="str">
        <f t="shared" si="54"/>
        <v/>
      </c>
      <c r="FM8" s="48" t="str">
        <f t="shared" si="55"/>
        <v/>
      </c>
      <c r="FN8" s="48" t="str">
        <f t="shared" si="56"/>
        <v/>
      </c>
      <c r="FO8" s="48" t="str">
        <f t="shared" si="57"/>
        <v/>
      </c>
      <c r="FP8" s="48" t="str">
        <f t="shared" si="58"/>
        <v/>
      </c>
      <c r="FQ8" s="48" t="str">
        <f t="shared" si="59"/>
        <v>"001BLU",</v>
      </c>
      <c r="FR8" s="48" t="str">
        <f t="shared" si="60"/>
        <v>"002WHI",</v>
      </c>
      <c r="FS8" s="48" t="str">
        <f t="shared" si="61"/>
        <v>"003YEL",</v>
      </c>
      <c r="FT8" s="48" t="str">
        <f t="shared" si="62"/>
        <v>"myrYEL",</v>
      </c>
      <c r="FU8" s="48" t="str">
        <f t="shared" si="63"/>
        <v/>
      </c>
      <c r="FV8" s="48" t="str">
        <f t="shared" si="64"/>
        <v/>
      </c>
      <c r="FW8" s="48" t="str">
        <f t="shared" si="65"/>
        <v/>
      </c>
      <c r="FX8" s="48" t="str">
        <f t="shared" si="66"/>
        <v/>
      </c>
      <c r="FY8" s="48" t="str">
        <f t="shared" si="67"/>
        <v/>
      </c>
      <c r="FZ8" s="48" t="str">
        <f t="shared" si="68"/>
        <v/>
      </c>
      <c r="GA8" s="48" t="str">
        <f t="shared" si="69"/>
        <v/>
      </c>
      <c r="GB8" s="48" t="str">
        <f t="shared" si="70"/>
        <v/>
      </c>
      <c r="GC8" s="48" t="str">
        <f t="shared" si="71"/>
        <v/>
      </c>
      <c r="GD8" s="48" t="str">
        <f t="shared" si="72"/>
        <v/>
      </c>
      <c r="GE8" s="48" t="str">
        <f t="shared" si="73"/>
        <v/>
      </c>
      <c r="GF8" s="48" t="str">
        <f t="shared" si="74"/>
        <v/>
      </c>
      <c r="GG8" s="48" t="str">
        <f t="shared" si="75"/>
        <v/>
      </c>
      <c r="GH8" s="48" t="str">
        <f t="shared" si="76"/>
        <v/>
      </c>
      <c r="GI8" s="48" t="str">
        <f t="shared" si="77"/>
        <v/>
      </c>
      <c r="GJ8" s="48" t="str">
        <f t="shared" si="78"/>
        <v/>
      </c>
      <c r="GK8" s="48" t="str">
        <f t="shared" si="79"/>
        <v>"HasSta",</v>
      </c>
      <c r="GL8" s="48" t="str">
        <f t="shared" si="4"/>
        <v/>
      </c>
      <c r="GM8" s="48" t="str">
        <f t="shared" si="4"/>
        <v/>
      </c>
      <c r="GN8" s="48" t="str">
        <f t="shared" si="4"/>
        <v>"3+Star",</v>
      </c>
      <c r="GP8" s="48" t="str">
        <f t="shared" si="80"/>
        <v>"State"</v>
      </c>
      <c r="GS8" s="48" t="str">
        <f t="shared" si="81"/>
        <v>["3Color","lets07","startB","with_v","LUELHI","year00","dgband","4+Band","Horizo","Circle","Plants","Texted","HasSun","Center","Canton","Geogrh","Humans","sta","NO_RED","NO_GRE","NO_BLA","001BLU","002WHI","003YEL","myrYEL","HasSta","3+Star"]</v>
      </c>
      <c r="GT8" s="48" t="str">
        <f t="shared" si="5"/>
        <v>"cl_BLU",</v>
      </c>
      <c r="GU8" s="48" t="str">
        <f t="shared" si="5"/>
        <v>"cl_WHI",</v>
      </c>
      <c r="GV8" s="48" t="str">
        <f t="shared" si="5"/>
        <v>"cl_YEL",</v>
      </c>
      <c r="GW8" s="48" t="str">
        <f t="shared" si="5"/>
        <v/>
      </c>
      <c r="GX8" s="48" t="str">
        <f t="shared" si="5"/>
        <v/>
      </c>
      <c r="GY8" s="48" t="str">
        <f t="shared" si="5"/>
        <v/>
      </c>
      <c r="GZ8" s="48" t="str">
        <f t="shared" si="5"/>
        <v/>
      </c>
      <c r="HA8" s="48" t="str">
        <f t="shared" si="5"/>
        <v/>
      </c>
      <c r="HB8" s="48" t="str">
        <f t="shared" si="5"/>
        <v/>
      </c>
      <c r="HC8" s="48" t="str">
        <f t="shared" si="82"/>
        <v>["cl_BLU","cl_WHI","cl_YEL"]</v>
      </c>
      <c r="HE8" s="71"/>
      <c r="HF8" s="72" t="str">
        <f t="shared" si="83"/>
        <v>{couname:"[VEN] Bolívar",year:"2000",region:"rgn_South America",Colors:["cl_BLU","cl_WHI","cl_YEL"],Items:["3Color","lets07","startB","with_v","LUELHI","year00","dgband","4+Band","Horizo","Circle","Plants","Texted","HasSun","Center","Canton","Geogrh","Humans","sta","NO_RED","NO_GRE","NO_BLA","001BLU","002WHI","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links: "https://en.wikipedia.org/wiki/Flag_of_Bol%C3%ADvar_State"},</v>
      </c>
      <c r="HG8" s="73" t="str">
        <f t="shared" si="84"/>
        <v>{couname:"[VEN] Bolívar",year:"2000",region:"rgn_South America",Colors:["cl_BLU","cl_WHI","cl_YEL"],Items:["3Color","lets07","startB","with_v","LUELHI","year00","dgband","4+Band","Horizo","Circle","Plants","Texted","HasSun","Center","Canton","Geogrh","Humans","sta","NO_RED","NO_GRE","NO_BLA","001BLU","002WHI","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links: "https://en.wikipedia.org/wiki/Flag_of_Bol%C3%ADvar_State"},</v>
      </c>
      <c r="HH8" s="48" t="str">
        <f t="shared" si="85"/>
        <v>"\nThe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v>
      </c>
      <c r="HI8" s="48" t="str">
        <f t="shared" si="86"/>
        <v>"\nThe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v>
      </c>
      <c r="HJ8" s="48" t="str">
        <f t="shared" si="87"/>
        <v>"2000"</v>
      </c>
      <c r="HL8" s="48" t="str">
        <f t="shared" si="88"/>
        <v>"https://en.wikipedia.org/wiki/Flag_of_Bol%C3%ADvar_State"</v>
      </c>
      <c r="HM8" s="72" t="str">
        <f t="shared" si="89"/>
        <v>{"couname":"[VEN] Bolívar","year":"2000","region":"rgn_South America","Colors":["cl_BLU","cl_WHI","cl_YEL"],"Items":["3Color","lets07","startB","with_v","LUELHI","year00","dgband","4+Band","Horizo","Circle","Plants","Texted","HasSun","Center","Canton","Geogrh","Humans","sta","NO_RED","NO_GRE","NO_BLA","001BLU","002WHI","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 "links": "https://en.wikipedia.org/wiki/Flag_of_Bol%C3%ADvar_State"},</v>
      </c>
      <c r="HN8" s="74" t="str">
        <f t="shared" si="90"/>
        <v>{"couname":"[VEN] Bolívar","year":"2000","region":"rgn_South America","Colors":["cl_BLU","cl_WHI","cl_YEL"],"Items":["3Color","lets07","startB","with_v","LUELHI","year00","dgband","4+Band","Horizo","Circle","Plants","Texted","HasSun","Center","Canton","Geogrh","Humans","sta","NO_RED","NO_GRE","NO_BLA","001BLU","002WHI","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 "links": "https://en.wikipedia.org/wiki/Flag_of_Bol%C3%ADvar_State"},</v>
      </c>
      <c r="HO8" s="75"/>
      <c r="HP8" s="48" t="str" cm="1">
        <f t="array" ref="HP8">IF(_xlfn.TEXTJOIN(", ", TRUE, IF(ISNUMBER(SEARCH("BLA", BL8:BT8)), COLUMN(BL8:BT8) - COLUMN(BL8) + 1, ""))&lt;&gt;"","BLA","")</f>
        <v/>
      </c>
      <c r="HQ8" s="48" t="str" cm="1">
        <f t="array" ref="HQ8">IF(_xlfn.TEXTJOIN(", ", TRUE, IF(ISNUMBER(SEARCH("BLU", BL8:BT8)), COLUMN(BL8:BT8) - COLUMN(BL8) + 1, ""))&lt;&gt;"","BLU","")</f>
        <v>BLU</v>
      </c>
      <c r="HR8" s="48" t="str" cm="1">
        <f t="array" ref="HR8">IF(_xlfn.TEXTJOIN(", ", TRUE, IF(ISNUMBER(SEARCH("GRE", BL8:BT8)), COLUMN(BL8:BT8) - COLUMN(BL8) + 1, ""))&lt;&gt;"","GRE","")</f>
        <v/>
      </c>
      <c r="HS8" s="48" t="str" cm="1">
        <f t="array" ref="HS8">IF(_xlfn.TEXTJOIN(", ", TRUE, IF(ISNUMBER(SEARCH("RED", BL8:BT8)), COLUMN(BL8:BT8) - COLUMN(BL8) + 1, ""))&lt;&gt;"","RED","")</f>
        <v/>
      </c>
      <c r="HT8" s="48" t="str" cm="1">
        <f t="array" ref="HT8">IF(_xlfn.TEXTJOIN(", ", TRUE, IF(ISNUMBER(SEARCH("YEL", BL8:BT8)), COLUMN(BL8:BT8) - COLUMN(BL8) + 1, ""))&lt;&gt;"","YEL","")</f>
        <v>YEL</v>
      </c>
      <c r="HU8" s="48" t="str" cm="1">
        <f t="array" ref="HU8">IF(_xlfn.TEXTJOIN(", ", TRUE, IF(ISNUMBER(SEARCH("ORA", BL8:BT8)), COLUMN(BL8:BT8) - COLUMN(BL8) + 1, ""))&lt;&gt;"","ORA","")</f>
        <v/>
      </c>
      <c r="HV8" s="48" t="str" cm="1">
        <f t="array" ref="HV8">IF(_xlfn.TEXTJOIN(", ", TRUE, IF(ISNUMBER(SEARCH("BRO", BL8:BT8)), COLUMN(BL8:BT8) - COLUMN(BL8) + 1, ""))&lt;&gt;"","BRO","")</f>
        <v/>
      </c>
      <c r="HW8" s="48" t="str" cm="1">
        <f t="array" ref="HW8">IF(_xlfn.TEXTJOIN(", ", TRUE, IF(ISNUMBER(SEARCH("PUR", BL8:BT8)), COLUMN(BL8:BT8) - COLUMN(BL8) + 1, ""))&lt;&gt;"","PUR","")</f>
        <v/>
      </c>
      <c r="HX8" s="48" t="str" cm="1">
        <f t="array" ref="HX8">IF(_xlfn.TEXTJOIN(", ", TRUE, IF(ISNUMBER(SEARCH("WHI", BL8:BT8)), COLUMN(BL8:BT8) - COLUMN(BL8) + 1, ""))&lt;&gt;"","WHI","")</f>
        <v>WHI</v>
      </c>
      <c r="HY8" s="76"/>
      <c r="HZ8" s="76"/>
      <c r="IA8" s="6"/>
      <c r="IB8" s="6"/>
      <c r="IC8" s="77"/>
      <c r="ID8" s="77"/>
      <c r="IE8" s="77"/>
      <c r="IF8" s="77"/>
      <c r="IG8" s="77"/>
      <c r="IH8" s="77"/>
      <c r="II8" s="77"/>
      <c r="IJ8" s="77"/>
      <c r="IK8" s="77"/>
      <c r="IL8" s="48">
        <f t="shared" si="91"/>
        <v>0</v>
      </c>
      <c r="IM8" s="45">
        <f t="shared" si="92"/>
        <v>-3</v>
      </c>
      <c r="IN8" s="78" t="str">
        <f t="shared" si="93"/>
        <v>http://mkweb.bcgsc.ca/color-summarizer/?url=https://upload.wikimedia.org/wikipedia/commons/thumb/0/06/Flag_of_Bol%C3%ADvar_State.svg/320px-Flag_of_Bol%C3%ADvar_State.svg.png&amp;precision=low&amp;num_clusters=3&amp;text=1</v>
      </c>
      <c r="IO8" s="48" t="str">
        <f t="shared" si="94"/>
        <v/>
      </c>
      <c r="IP8" s="48" t="str">
        <f t="shared" si="95"/>
        <v>"blue"</v>
      </c>
      <c r="IQ8" s="48" t="str">
        <f t="shared" si="96"/>
        <v/>
      </c>
      <c r="IR8" s="48" t="str">
        <f t="shared" si="97"/>
        <v/>
      </c>
      <c r="IS8" s="48" t="str">
        <f t="shared" si="98"/>
        <v>"yellow"</v>
      </c>
      <c r="IT8" s="48" t="str">
        <f t="shared" si="99"/>
        <v/>
      </c>
      <c r="IU8" s="48" t="str">
        <f t="shared" si="100"/>
        <v/>
      </c>
      <c r="IV8" s="48" t="str">
        <f t="shared" si="101"/>
        <v/>
      </c>
      <c r="IW8" s="48" t="str">
        <f t="shared" si="102"/>
        <v>"white"</v>
      </c>
      <c r="IX8" s="48" t="str">
        <f t="shared" si="103"/>
        <v>{"url":"http://mkweb.bcgsc.ca/color-summarizer/?url=https://upload.wikimedia.org/wikipedia/commons/thumb/0/06/Flag_of_Bol%C3%ADvar_State.svg/320px-Flag_of_Bol%C3%ADvar_State.svg.png&amp;precision=low&amp;num_clusters=3&amp;text=1","name":"[VEN] Bolívar"},</v>
      </c>
      <c r="IY8" s="48">
        <v>353</v>
      </c>
    </row>
    <row r="9" spans="1:259" s="48" customFormat="1" ht="38.4" customHeight="1" thickBot="1" x14ac:dyDescent="0.35">
      <c r="A9" s="79" t="s">
        <v>727</v>
      </c>
      <c r="B9" s="40" t="e" vm="108">
        <v>#VALUE!</v>
      </c>
      <c r="C9" s="41">
        <v>2</v>
      </c>
      <c r="D9" s="42" t="s">
        <v>728</v>
      </c>
      <c r="E9" s="43" t="s">
        <v>729</v>
      </c>
      <c r="F9" s="44" t="s">
        <v>166</v>
      </c>
      <c r="G9" s="45">
        <f>COUNTIF($A$1:$A$8305,A9)</f>
        <v>1</v>
      </c>
      <c r="H9" s="46"/>
      <c r="I9" s="47" t="s">
        <v>730</v>
      </c>
      <c r="J9" s="48" t="str">
        <f>""</f>
        <v/>
      </c>
      <c r="K9" s="49"/>
      <c r="L9" s="50"/>
      <c r="M9" s="50"/>
      <c r="N9" s="51" t="s">
        <v>169</v>
      </c>
      <c r="O9" s="52">
        <v>2022</v>
      </c>
      <c r="P9" s="53" t="s">
        <v>731</v>
      </c>
      <c r="Q9" s="54">
        <v>3</v>
      </c>
      <c r="R9" s="55" t="s">
        <v>169</v>
      </c>
      <c r="S9" s="56">
        <v>3</v>
      </c>
      <c r="T9" s="57" t="s">
        <v>173</v>
      </c>
      <c r="U9" s="58" t="s">
        <v>172</v>
      </c>
      <c r="V9" s="58" t="s">
        <v>172</v>
      </c>
      <c r="W9" s="58" t="s">
        <v>172</v>
      </c>
      <c r="X9" s="58" t="s">
        <v>172</v>
      </c>
      <c r="Y9" s="58" t="s">
        <v>172</v>
      </c>
      <c r="Z9" s="58" t="s">
        <v>172</v>
      </c>
      <c r="AA9" s="58" t="s">
        <v>172</v>
      </c>
      <c r="AB9" s="58" t="s">
        <v>172</v>
      </c>
      <c r="AC9" s="58" t="s">
        <v>172</v>
      </c>
      <c r="AD9" s="58" t="s">
        <v>172</v>
      </c>
      <c r="AE9" s="58" t="s">
        <v>172</v>
      </c>
      <c r="AF9" s="59" t="s">
        <v>173</v>
      </c>
      <c r="AG9" s="59" t="s">
        <v>172</v>
      </c>
      <c r="AH9" s="59" t="s">
        <v>172</v>
      </c>
      <c r="AI9" s="59" t="s">
        <v>172</v>
      </c>
      <c r="AJ9" s="59" t="s">
        <v>172</v>
      </c>
      <c r="AK9" s="59" t="s">
        <v>172</v>
      </c>
      <c r="AL9" s="59" t="s">
        <v>172</v>
      </c>
      <c r="AM9" s="59" t="s">
        <v>173</v>
      </c>
      <c r="AN9" s="59" t="s">
        <v>172</v>
      </c>
      <c r="AO9" s="59" t="s">
        <v>172</v>
      </c>
      <c r="AP9" s="59" t="s">
        <v>172</v>
      </c>
      <c r="AQ9" s="59" t="s">
        <v>172</v>
      </c>
      <c r="AR9" s="59" t="s">
        <v>172</v>
      </c>
      <c r="AS9" s="59" t="s">
        <v>172</v>
      </c>
      <c r="AT9" s="60">
        <v>1</v>
      </c>
      <c r="AU9" s="59" t="s">
        <v>383</v>
      </c>
      <c r="AV9" s="59" t="str">
        <f>IF(LEFT(A9,1)="[",LEFT(A9,5)&amp;AU9&amp;A9,"")</f>
        <v>[VEN]State[VEN] Capital District (Caracas)</v>
      </c>
      <c r="AW9" s="59" t="str">
        <f>C9&amp;A9</f>
        <v>2[VEN] Capital District (Caracas)</v>
      </c>
      <c r="AX9" s="61"/>
      <c r="AY9" s="61"/>
      <c r="AZ9" s="62" t="s">
        <v>159</v>
      </c>
      <c r="BA9" s="62" t="s">
        <v>174</v>
      </c>
      <c r="BB9" s="62"/>
      <c r="BC9" s="63"/>
      <c r="BD9" s="64" t="s">
        <v>153</v>
      </c>
      <c r="BE9" s="47"/>
      <c r="BF9" s="64" t="s">
        <v>174</v>
      </c>
      <c r="BG9" s="64" t="s">
        <v>174</v>
      </c>
      <c r="BH9" s="64" t="s">
        <v>174</v>
      </c>
      <c r="BI9" s="64"/>
      <c r="BJ9" s="64"/>
      <c r="BK9" s="47"/>
      <c r="BL9" s="64" t="s">
        <v>174</v>
      </c>
      <c r="BM9" s="64" t="s">
        <v>152</v>
      </c>
      <c r="BN9" s="64" t="s">
        <v>153</v>
      </c>
      <c r="BO9" s="64" t="s">
        <v>154</v>
      </c>
      <c r="BP9" s="64" t="s">
        <v>155</v>
      </c>
      <c r="BQ9" s="64" t="s">
        <v>174</v>
      </c>
      <c r="BR9" s="64" t="s">
        <v>174</v>
      </c>
      <c r="BS9" s="64" t="s">
        <v>174</v>
      </c>
      <c r="BT9" s="64" t="s">
        <v>159</v>
      </c>
      <c r="BU9" s="65"/>
      <c r="BV9" s="66"/>
      <c r="BW9" s="66">
        <v>0</v>
      </c>
      <c r="BX9" s="47"/>
      <c r="BY9" s="48" t="s">
        <v>172</v>
      </c>
      <c r="CB9" s="6"/>
      <c r="CC9" s="6"/>
      <c r="CD9" s="67">
        <v>0</v>
      </c>
      <c r="CE9" s="67">
        <v>0</v>
      </c>
      <c r="CF9" s="67" t="e">
        <v>#REF!</v>
      </c>
      <c r="CG9" s="68" cm="1">
        <f t="array" ref="CG9">SUMPRODUCT(--(LEN(TRIM(BL9:BT9))&gt;0))</f>
        <v>5</v>
      </c>
      <c r="CH9" s="59" t="str">
        <f t="shared" si="6"/>
        <v>n</v>
      </c>
      <c r="CI9" s="59" t="str">
        <f t="shared" si="7"/>
        <v>n</v>
      </c>
      <c r="CJ9" s="59" t="str">
        <f t="shared" si="8"/>
        <v>n</v>
      </c>
      <c r="CK9" s="59" t="str">
        <f t="shared" si="9"/>
        <v>y</v>
      </c>
      <c r="CL9" s="59" t="str">
        <f t="shared" si="10"/>
        <v>n</v>
      </c>
      <c r="CM9" s="59" t="str">
        <f t="shared" si="11"/>
        <v>n</v>
      </c>
      <c r="CN9" s="59" t="str">
        <f t="shared" si="12"/>
        <v>y</v>
      </c>
      <c r="CO9" s="59" t="str">
        <f t="shared" si="13"/>
        <v>n</v>
      </c>
      <c r="CP9" s="59" t="str">
        <f t="shared" si="14"/>
        <v>n</v>
      </c>
      <c r="CQ9" s="59" t="str">
        <f t="shared" si="15"/>
        <v>y</v>
      </c>
      <c r="CR9" s="59" t="str">
        <f t="shared" si="16"/>
        <v>n</v>
      </c>
      <c r="CS9" s="59" t="str">
        <f t="shared" si="17"/>
        <v>n</v>
      </c>
      <c r="CT9" s="69" t="str">
        <f t="shared" si="18"/>
        <v>"[VEN] Capital District (Caracas)"</v>
      </c>
      <c r="CU9" s="70" t="str">
        <f t="shared" si="19"/>
        <v>"rgn_South America"</v>
      </c>
      <c r="CV9" s="48" t="str">
        <f t="shared" si="20"/>
        <v>"https://upload.wikimedia.org/wikipedia/commons/thumb/0/08/Flag_of_Caracas_%282022%29.svg/320px-Flag_of_Caracas_%282022%29.svg.png"</v>
      </c>
      <c r="CW9" s="48" t="str">
        <f t="shared" si="0"/>
        <v/>
      </c>
      <c r="CX9" s="48" t="str">
        <f t="shared" si="0"/>
        <v/>
      </c>
      <c r="CY9" s="48" t="str">
        <f t="shared" si="0"/>
        <v/>
      </c>
      <c r="CZ9" s="48" t="str">
        <f t="shared" si="0"/>
        <v>"5+Colo",</v>
      </c>
      <c r="DA9" s="48" t="str">
        <f t="shared" si="21"/>
        <v>"words2",</v>
      </c>
      <c r="DB9" s="48" t="str">
        <f t="shared" si="22"/>
        <v>"words3",</v>
      </c>
      <c r="DC9" s="48" t="str">
        <f t="shared" si="23"/>
        <v/>
      </c>
      <c r="DD9" s="48" t="str">
        <f t="shared" si="24"/>
        <v>"lets15",</v>
      </c>
      <c r="DE9" s="48" t="str">
        <f t="shared" si="25"/>
        <v>"startC",</v>
      </c>
      <c r="DF9" s="48" t="str">
        <f t="shared" si="26"/>
        <v/>
      </c>
      <c r="DG9" s="48" t="str">
        <f t="shared" si="27"/>
        <v/>
      </c>
      <c r="DH9" s="48" t="str">
        <f t="shared" si="28"/>
        <v>"with_v",</v>
      </c>
      <c r="DI9" s="48" t="str">
        <f t="shared" si="29"/>
        <v/>
      </c>
      <c r="DJ9" s="48" t="str">
        <f t="shared" si="30"/>
        <v/>
      </c>
      <c r="DK9" s="48" t="str">
        <f t="shared" si="31"/>
        <v/>
      </c>
      <c r="DL9" s="48" t="str">
        <f t="shared" si="32"/>
        <v/>
      </c>
      <c r="DM9" s="48" t="str" cm="1">
        <f t="array" ref="DM9">IF(CG9=3,CHAR(34) &amp; _xlfn.TEXTJOIN("", TRUE, RIGHT(HP9:HX9, 2)) &amp; CHAR(34) &amp; ",", "")</f>
        <v/>
      </c>
      <c r="DN9" s="48" t="str">
        <f t="shared" si="33"/>
        <v/>
      </c>
      <c r="DO9" s="48" t="str">
        <f t="shared" si="34"/>
        <v/>
      </c>
      <c r="DP9" s="6" t="str">
        <f t="shared" si="35"/>
        <v>"year00",</v>
      </c>
      <c r="DQ9" s="6" t="str">
        <f t="shared" si="36"/>
        <v/>
      </c>
      <c r="DR9" s="6" t="str">
        <f t="shared" si="37"/>
        <v/>
      </c>
      <c r="DS9" s="6" t="str">
        <f t="shared" si="38"/>
        <v/>
      </c>
      <c r="DT9" s="6" t="str">
        <f t="shared" si="39"/>
        <v/>
      </c>
      <c r="DU9" s="6" t="str">
        <f t="shared" si="40"/>
        <v/>
      </c>
      <c r="DV9" s="48" t="str">
        <f t="shared" si="41"/>
        <v>"smallc",</v>
      </c>
      <c r="DW9" s="48" t="str">
        <f t="shared" si="1"/>
        <v/>
      </c>
      <c r="DX9" s="48" t="str">
        <f t="shared" si="1"/>
        <v/>
      </c>
      <c r="DY9" s="48" t="str">
        <f t="shared" si="1"/>
        <v>"3Bands",</v>
      </c>
      <c r="DZ9" s="48" t="str">
        <f t="shared" si="1"/>
        <v/>
      </c>
      <c r="EA9" s="48" t="str">
        <f t="shared" si="2"/>
        <v>"Diagon",</v>
      </c>
      <c r="EB9" s="48" t="str">
        <f t="shared" si="2"/>
        <v/>
      </c>
      <c r="EC9" s="48" t="str">
        <f t="shared" si="2"/>
        <v/>
      </c>
      <c r="ED9" s="48" t="str">
        <f t="shared" si="2"/>
        <v/>
      </c>
      <c r="EE9" s="48" t="str">
        <f t="shared" si="2"/>
        <v/>
      </c>
      <c r="EF9" s="48" t="str">
        <f t="shared" si="42"/>
        <v/>
      </c>
      <c r="EG9" s="48" t="str">
        <f t="shared" si="3"/>
        <v/>
      </c>
      <c r="EH9" s="48" t="str">
        <f t="shared" si="3"/>
        <v/>
      </c>
      <c r="EI9" s="48" t="str">
        <f t="shared" si="3"/>
        <v/>
      </c>
      <c r="EJ9" s="48" t="str">
        <f t="shared" si="3"/>
        <v/>
      </c>
      <c r="EK9" s="48" t="str">
        <f t="shared" si="3"/>
        <v/>
      </c>
      <c r="EL9" s="48" t="str">
        <f t="shared" si="3"/>
        <v/>
      </c>
      <c r="EM9" s="48" t="str">
        <f t="shared" si="3"/>
        <v>"Trside",</v>
      </c>
      <c r="EN9" s="48" t="str">
        <f t="shared" si="3"/>
        <v/>
      </c>
      <c r="EO9" s="48" t="str">
        <f t="shared" si="3"/>
        <v/>
      </c>
      <c r="EP9" s="48" t="str">
        <f t="shared" si="3"/>
        <v/>
      </c>
      <c r="EQ9" s="48" t="str">
        <f t="shared" si="3"/>
        <v/>
      </c>
      <c r="ER9" s="48" t="str">
        <f t="shared" si="3"/>
        <v/>
      </c>
      <c r="ES9" s="48" t="str">
        <f t="shared" si="3"/>
        <v/>
      </c>
      <c r="ET9" s="48" t="str">
        <f t="shared" si="3"/>
        <v>"Geogrh",</v>
      </c>
      <c r="EU9" s="48" t="str">
        <f t="shared" si="3"/>
        <v/>
      </c>
      <c r="EV9" s="48" t="str">
        <f t="shared" si="3"/>
        <v/>
      </c>
      <c r="EW9" s="48" t="str">
        <f t="shared" si="3"/>
        <v/>
      </c>
      <c r="EX9" s="48" t="str">
        <f t="shared" si="3"/>
        <v/>
      </c>
      <c r="EY9" s="48" t="str">
        <f t="shared" si="3"/>
        <v/>
      </c>
      <c r="EZ9" s="48" t="str">
        <f t="shared" si="3"/>
        <v/>
      </c>
      <c r="FA9" s="48" t="str">
        <f t="shared" si="43"/>
        <v>"staWHI",</v>
      </c>
      <c r="FB9" s="48" t="str">
        <f t="shared" si="44"/>
        <v/>
      </c>
      <c r="FC9" s="48" t="str">
        <f t="shared" si="45"/>
        <v/>
      </c>
      <c r="FD9" s="48" t="str">
        <f t="shared" si="46"/>
        <v/>
      </c>
      <c r="FE9" s="48" t="str">
        <f t="shared" si="47"/>
        <v/>
      </c>
      <c r="FF9" s="48" t="str">
        <f t="shared" si="48"/>
        <v/>
      </c>
      <c r="FG9" s="48" t="str">
        <f t="shared" si="49"/>
        <v/>
      </c>
      <c r="FH9" s="48" t="str">
        <f t="shared" si="50"/>
        <v/>
      </c>
      <c r="FI9" s="48" t="str">
        <f t="shared" si="51"/>
        <v/>
      </c>
      <c r="FJ9" s="48" t="str">
        <f t="shared" si="52"/>
        <v>"NO_BLA",</v>
      </c>
      <c r="FK9" s="48" t="str">
        <f t="shared" si="53"/>
        <v/>
      </c>
      <c r="FL9" s="48" t="str">
        <f t="shared" si="54"/>
        <v/>
      </c>
      <c r="FM9" s="48" t="str">
        <f t="shared" si="55"/>
        <v/>
      </c>
      <c r="FN9" s="48" t="str">
        <f t="shared" si="56"/>
        <v/>
      </c>
      <c r="FO9" s="48" t="str">
        <f t="shared" si="57"/>
        <v/>
      </c>
      <c r="FP9" s="48" t="str">
        <f t="shared" si="58"/>
        <v/>
      </c>
      <c r="FQ9" s="48" t="str">
        <f t="shared" si="59"/>
        <v/>
      </c>
      <c r="FR9" s="48" t="str">
        <f t="shared" si="60"/>
        <v/>
      </c>
      <c r="FS9" s="48" t="str">
        <f t="shared" si="61"/>
        <v/>
      </c>
      <c r="FT9" s="48" t="str">
        <f t="shared" si="62"/>
        <v>"myrGRE",</v>
      </c>
      <c r="FU9" s="48" t="str">
        <f t="shared" si="63"/>
        <v/>
      </c>
      <c r="FV9" s="48" t="str">
        <f t="shared" si="64"/>
        <v/>
      </c>
      <c r="FW9" s="48" t="str">
        <f t="shared" si="65"/>
        <v/>
      </c>
      <c r="FX9" s="48" t="str">
        <f t="shared" si="66"/>
        <v/>
      </c>
      <c r="FY9" s="48" t="str">
        <f t="shared" si="67"/>
        <v/>
      </c>
      <c r="FZ9" s="48" t="str">
        <f t="shared" si="68"/>
        <v/>
      </c>
      <c r="GA9" s="48" t="str">
        <f t="shared" si="69"/>
        <v/>
      </c>
      <c r="GB9" s="48" t="str">
        <f t="shared" si="70"/>
        <v/>
      </c>
      <c r="GC9" s="48" t="str">
        <f t="shared" si="71"/>
        <v/>
      </c>
      <c r="GD9" s="48" t="str">
        <f t="shared" si="72"/>
        <v/>
      </c>
      <c r="GE9" s="48" t="str">
        <f t="shared" si="73"/>
        <v/>
      </c>
      <c r="GF9" s="48" t="str">
        <f t="shared" si="74"/>
        <v/>
      </c>
      <c r="GG9" s="48" t="str">
        <f t="shared" si="75"/>
        <v/>
      </c>
      <c r="GH9" s="48" t="str">
        <f t="shared" si="76"/>
        <v/>
      </c>
      <c r="GI9" s="48" t="str">
        <f t="shared" si="77"/>
        <v/>
      </c>
      <c r="GJ9" s="48" t="str">
        <f t="shared" si="78"/>
        <v/>
      </c>
      <c r="GK9" s="48" t="str">
        <f t="shared" si="79"/>
        <v>"HasSta",</v>
      </c>
      <c r="GL9" s="48" t="str">
        <f t="shared" si="4"/>
        <v>"1Stars",</v>
      </c>
      <c r="GM9" s="48" t="str">
        <f t="shared" si="4"/>
        <v/>
      </c>
      <c r="GN9" s="48" t="str">
        <f t="shared" si="4"/>
        <v/>
      </c>
      <c r="GP9" s="48" t="str">
        <f t="shared" si="80"/>
        <v>"State"</v>
      </c>
      <c r="GS9" s="48" t="str">
        <f t="shared" si="81"/>
        <v>["5+Colo","words2","words3","lets15","startC","with_v","year00","smallc","3Bands","Diagon","Trside","Geogrh","staWHI","NO_BLA","myrGRE","HasSta","1Stars"]</v>
      </c>
      <c r="GT9" s="48" t="str">
        <f t="shared" si="5"/>
        <v/>
      </c>
      <c r="GU9" s="48" t="str">
        <f t="shared" si="5"/>
        <v>"cl_BLU",</v>
      </c>
      <c r="GV9" s="48" t="str">
        <f t="shared" si="5"/>
        <v>"cl_GRE",</v>
      </c>
      <c r="GW9" s="48" t="str">
        <f t="shared" si="5"/>
        <v>"cl_RED",</v>
      </c>
      <c r="GX9" s="48" t="str">
        <f t="shared" si="5"/>
        <v>"cl_YEL",</v>
      </c>
      <c r="GY9" s="48" t="str">
        <f t="shared" si="5"/>
        <v/>
      </c>
      <c r="GZ9" s="48" t="str">
        <f t="shared" si="5"/>
        <v/>
      </c>
      <c r="HA9" s="48" t="str">
        <f t="shared" si="5"/>
        <v/>
      </c>
      <c r="HB9" s="48" t="str">
        <f t="shared" si="5"/>
        <v>"cl_WHI",</v>
      </c>
      <c r="HC9" s="48" t="str">
        <f t="shared" si="82"/>
        <v>["cl_BLU","cl_GRE","cl_RED","cl_YEL","cl_WHI"]</v>
      </c>
      <c r="HE9" s="71"/>
      <c r="HF9" s="72" t="str">
        <f t="shared" si="83"/>
        <v>{couname:"[VEN] Capital District (Caracas)",year:"2022",region:"rgn_South America",Colors:["cl_BLU","cl_GRE","cl_RED","cl_YEL","cl_WHI"],Items:["5+Colo","words2","words3","lets15","startC","with_v","year00","smallc","3Bands","Diagon","Trside","Geogrh","staWHI","NO_BLA","myrGRE","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links: "https://en.wikipedia.org/wiki/List_of_flags_of_Venezuela#Administrative_divisions_flags"},</v>
      </c>
      <c r="HG9" s="73" t="str">
        <f t="shared" si="84"/>
        <v>{couname:"[VEN] Capital District (Caracas)",year:"2022",region:"rgn_South America",Colors:["cl_BLU","cl_GRE","cl_RED","cl_YEL","cl_WHI"],Items:["5+Colo","words2","words3","lets15","startC","with_v","year00","smallc","3Bands","Diagon","Trside","Geogrh","staWHI","NO_BLA","myrGRE","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links: "https://en.wikipedia.org/wiki/List_of_flags_of_Venezuela#Administrative_divisions_flags"},</v>
      </c>
      <c r="HH9" s="48" t="str">
        <f t="shared" si="85"/>
        <v>"\nThe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v>
      </c>
      <c r="HI9" s="48" t="str">
        <f t="shared" si="86"/>
        <v>"\nThe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v>
      </c>
      <c r="HJ9" s="48" t="str">
        <f t="shared" si="87"/>
        <v>"2022"</v>
      </c>
      <c r="HL9" s="48" t="str">
        <f t="shared" si="88"/>
        <v>"https://en.wikipedia.org/wiki/List_of_flags_of_Venezuela#Administrative_divisions_flags"</v>
      </c>
      <c r="HM9" s="72" t="str">
        <f t="shared" si="89"/>
        <v>{"couname":"[VEN] Capital District (Caracas)","year":"2022","region":"rgn_South America","Colors":["cl_BLU","cl_GRE","cl_RED","cl_YEL","cl_WHI"],"Items":["5+Colo","words2","words3","lets15","startC","with_v","year00","smallc","3Bands","Diagon","Trside","Geogrh","staWHI","NO_BLA","myrGRE","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 "links": "https://en.wikipedia.org/wiki/List_of_flags_of_Venezuela#Administrative_divisions_flags"},</v>
      </c>
      <c r="HN9" s="74" t="str">
        <f t="shared" si="90"/>
        <v>{"couname":"[VEN] Capital District (Caracas)","year":"2022","region":"rgn_South America","Colors":["cl_BLU","cl_GRE","cl_RED","cl_YEL","cl_WHI"],"Items":["5+Colo","words2","words3","lets15","startC","with_v","year00","smallc","3Bands","Diagon","Trside","Geogrh","staWHI","NO_BLA","myrGRE","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 "links": "https://en.wikipedia.org/wiki/List_of_flags_of_Venezuela#Administrative_divisions_flags"},</v>
      </c>
      <c r="HO9" s="75">
        <v>45583</v>
      </c>
      <c r="HP9" s="48" t="str" cm="1">
        <f t="array" ref="HP9">IF(_xlfn.TEXTJOIN(", ", TRUE, IF(ISNUMBER(SEARCH("BLA", BL9:BT9)), COLUMN(BL9:BT9) - COLUMN(BL9) + 1, ""))&lt;&gt;"","BLA","")</f>
        <v/>
      </c>
      <c r="HQ9" s="48" t="str" cm="1">
        <f t="array" ref="HQ9">IF(_xlfn.TEXTJOIN(", ", TRUE, IF(ISNUMBER(SEARCH("BLU", BL9:BT9)), COLUMN(BL9:BT9) - COLUMN(BL9) + 1, ""))&lt;&gt;"","BLU","")</f>
        <v>BLU</v>
      </c>
      <c r="HR9" s="48" t="str" cm="1">
        <f t="array" ref="HR9">IF(_xlfn.TEXTJOIN(", ", TRUE, IF(ISNUMBER(SEARCH("GRE", BL9:BT9)), COLUMN(BL9:BT9) - COLUMN(BL9) + 1, ""))&lt;&gt;"","GRE","")</f>
        <v>GRE</v>
      </c>
      <c r="HS9" s="48" t="str" cm="1">
        <f t="array" ref="HS9">IF(_xlfn.TEXTJOIN(", ", TRUE, IF(ISNUMBER(SEARCH("RED", BL9:BT9)), COLUMN(BL9:BT9) - COLUMN(BL9) + 1, ""))&lt;&gt;"","RED","")</f>
        <v>RED</v>
      </c>
      <c r="HT9" s="48" t="str" cm="1">
        <f t="array" ref="HT9">IF(_xlfn.TEXTJOIN(", ", TRUE, IF(ISNUMBER(SEARCH("YEL", BL9:BT9)), COLUMN(BL9:BT9) - COLUMN(BL9) + 1, ""))&lt;&gt;"","YEL","")</f>
        <v>YEL</v>
      </c>
      <c r="HU9" s="48" t="str" cm="1">
        <f t="array" ref="HU9">IF(_xlfn.TEXTJOIN(", ", TRUE, IF(ISNUMBER(SEARCH("ORA", BL9:BT9)), COLUMN(BL9:BT9) - COLUMN(BL9) + 1, ""))&lt;&gt;"","ORA","")</f>
        <v/>
      </c>
      <c r="HV9" s="48" t="str" cm="1">
        <f t="array" ref="HV9">IF(_xlfn.TEXTJOIN(", ", TRUE, IF(ISNUMBER(SEARCH("BRO", BL9:BT9)), COLUMN(BL9:BT9) - COLUMN(BL9) + 1, ""))&lt;&gt;"","BRO","")</f>
        <v/>
      </c>
      <c r="HW9" s="48" t="str" cm="1">
        <f t="array" ref="HW9">IF(_xlfn.TEXTJOIN(", ", TRUE, IF(ISNUMBER(SEARCH("PUR", BL9:BT9)), COLUMN(BL9:BT9) - COLUMN(BL9) + 1, ""))&lt;&gt;"","PUR","")</f>
        <v/>
      </c>
      <c r="HX9" s="48" t="str" cm="1">
        <f t="array" ref="HX9">IF(_xlfn.TEXTJOIN(", ", TRUE, IF(ISNUMBER(SEARCH("WHI", BL9:BT9)), COLUMN(BL9:BT9) - COLUMN(BL9) + 1, ""))&lt;&gt;"","WHI","")</f>
        <v>WHI</v>
      </c>
      <c r="HY9" s="76"/>
      <c r="HZ9" s="76"/>
      <c r="IA9" s="6" t="s">
        <v>172</v>
      </c>
      <c r="IB9" s="6"/>
      <c r="IC9" s="77"/>
      <c r="ID9" s="77"/>
      <c r="IE9" s="77"/>
      <c r="IF9" s="77"/>
      <c r="IG9" s="77"/>
      <c r="IH9" s="77"/>
      <c r="II9" s="77"/>
      <c r="IJ9" s="77"/>
      <c r="IK9" s="77"/>
      <c r="IL9" s="48">
        <f t="shared" si="91"/>
        <v>0</v>
      </c>
      <c r="IM9" s="45">
        <f t="shared" si="92"/>
        <v>-5</v>
      </c>
      <c r="IN9" s="78" t="str">
        <f t="shared" si="93"/>
        <v>http://mkweb.bcgsc.ca/color-summarizer/?url=https://upload.wikimedia.org/wikipedia/commons/thumb/0/08/Flag_of_Caracas_%282022%29.svg/320px-Flag_of_Caracas_%282022%29.svg.png&amp;precision=low&amp;num_clusters=5&amp;text=1</v>
      </c>
      <c r="IO9" s="48" t="str">
        <f t="shared" si="94"/>
        <v/>
      </c>
      <c r="IP9" s="48" t="str">
        <f t="shared" si="95"/>
        <v>"blue"</v>
      </c>
      <c r="IQ9" s="48" t="str">
        <f t="shared" si="96"/>
        <v>"green"</v>
      </c>
      <c r="IR9" s="48" t="str">
        <f t="shared" si="97"/>
        <v>"red"</v>
      </c>
      <c r="IS9" s="48" t="str">
        <f t="shared" si="98"/>
        <v>"yellow"</v>
      </c>
      <c r="IT9" s="48" t="str">
        <f t="shared" si="99"/>
        <v/>
      </c>
      <c r="IU9" s="48" t="str">
        <f t="shared" si="100"/>
        <v/>
      </c>
      <c r="IV9" s="48" t="str">
        <f t="shared" si="101"/>
        <v/>
      </c>
      <c r="IW9" s="48" t="str">
        <f t="shared" si="102"/>
        <v>"white"</v>
      </c>
      <c r="IX9" s="48" t="str">
        <f t="shared" si="103"/>
        <v>{"url":"http://mkweb.bcgsc.ca/color-summarizer/?url=https://upload.wikimedia.org/wikipedia/commons/thumb/0/08/Flag_of_Caracas_%282022%29.svg/320px-Flag_of_Caracas_%282022%29.svg.png&amp;precision=low&amp;num_clusters=5&amp;text=1","name":"[VEN] Capital District (Caracas)"},</v>
      </c>
      <c r="IY9" s="48">
        <v>326</v>
      </c>
    </row>
    <row r="10" spans="1:259" s="48" customFormat="1" ht="38.4" customHeight="1" thickBot="1" x14ac:dyDescent="0.35">
      <c r="A10" s="79" t="s">
        <v>732</v>
      </c>
      <c r="B10" s="40" t="e" vm="109">
        <v>#VALUE!</v>
      </c>
      <c r="C10" s="41">
        <v>2</v>
      </c>
      <c r="D10" s="42" t="s">
        <v>733</v>
      </c>
      <c r="E10" s="43" t="s">
        <v>734</v>
      </c>
      <c r="F10" s="44" t="s">
        <v>166</v>
      </c>
      <c r="G10" s="45">
        <f>COUNTIF($A$1:$A$8305,A10)</f>
        <v>1</v>
      </c>
      <c r="H10" s="46"/>
      <c r="I10" s="47" t="s">
        <v>730</v>
      </c>
      <c r="J10" s="48" t="str">
        <f>""</f>
        <v/>
      </c>
      <c r="K10" s="49"/>
      <c r="L10" s="50"/>
      <c r="M10" s="50"/>
      <c r="N10" s="51" t="s">
        <v>169</v>
      </c>
      <c r="O10" s="52">
        <v>1995</v>
      </c>
      <c r="P10" s="53" t="s">
        <v>735</v>
      </c>
      <c r="Q10" s="54">
        <v>1</v>
      </c>
      <c r="R10" s="55" t="s">
        <v>169</v>
      </c>
      <c r="S10" s="56">
        <v>4</v>
      </c>
      <c r="T10" s="57" t="s">
        <v>173</v>
      </c>
      <c r="U10" s="58" t="s">
        <v>172</v>
      </c>
      <c r="V10" s="58" t="s">
        <v>173</v>
      </c>
      <c r="W10" s="58" t="s">
        <v>172</v>
      </c>
      <c r="X10" s="58" t="s">
        <v>172</v>
      </c>
      <c r="Y10" s="58" t="s">
        <v>172</v>
      </c>
      <c r="Z10" s="58" t="s">
        <v>172</v>
      </c>
      <c r="AA10" s="58" t="s">
        <v>172</v>
      </c>
      <c r="AB10" s="58" t="s">
        <v>172</v>
      </c>
      <c r="AC10" s="58" t="s">
        <v>172</v>
      </c>
      <c r="AD10" s="58" t="s">
        <v>173</v>
      </c>
      <c r="AE10" s="58" t="s">
        <v>172</v>
      </c>
      <c r="AF10" s="59" t="s">
        <v>172</v>
      </c>
      <c r="AG10" s="59" t="s">
        <v>172</v>
      </c>
      <c r="AH10" s="59" t="s">
        <v>172</v>
      </c>
      <c r="AI10" s="59" t="s">
        <v>172</v>
      </c>
      <c r="AJ10" s="59" t="s">
        <v>172</v>
      </c>
      <c r="AK10" s="59" t="s">
        <v>172</v>
      </c>
      <c r="AL10" s="59" t="s">
        <v>172</v>
      </c>
      <c r="AM10" s="59" t="s">
        <v>172</v>
      </c>
      <c r="AN10" s="59" t="s">
        <v>172</v>
      </c>
      <c r="AO10" s="59" t="s">
        <v>173</v>
      </c>
      <c r="AP10" s="59" t="s">
        <v>172</v>
      </c>
      <c r="AQ10" s="59" t="s">
        <v>172</v>
      </c>
      <c r="AR10" s="59" t="s">
        <v>172</v>
      </c>
      <c r="AS10" s="59" t="s">
        <v>172</v>
      </c>
      <c r="AT10" s="60">
        <v>0</v>
      </c>
      <c r="AU10" s="59" t="s">
        <v>383</v>
      </c>
      <c r="AV10" s="59" t="str">
        <f>IF(LEFT(A10,1)="[",LEFT(A10,5)&amp;AU10&amp;A10,"")</f>
        <v>[VEN]State[VEN] Carabobo</v>
      </c>
      <c r="AW10" s="59" t="str">
        <f>C10&amp;A10</f>
        <v>2[VEN] Carabobo</v>
      </c>
      <c r="AX10" s="61"/>
      <c r="AY10" s="61"/>
      <c r="AZ10" s="62" t="s">
        <v>174</v>
      </c>
      <c r="BA10" s="62" t="s">
        <v>174</v>
      </c>
      <c r="BB10" s="62"/>
      <c r="BC10" s="63"/>
      <c r="BD10" s="64" t="s">
        <v>159</v>
      </c>
      <c r="BE10" s="47"/>
      <c r="BF10" s="64" t="s">
        <v>159</v>
      </c>
      <c r="BG10" s="64" t="s">
        <v>174</v>
      </c>
      <c r="BH10" s="64" t="s">
        <v>159</v>
      </c>
      <c r="BI10" s="64"/>
      <c r="BJ10" s="64"/>
      <c r="BK10" s="47"/>
      <c r="BL10" s="64" t="s">
        <v>151</v>
      </c>
      <c r="BM10" s="64" t="s">
        <v>174</v>
      </c>
      <c r="BN10" s="64" t="s">
        <v>174</v>
      </c>
      <c r="BO10" s="64" t="s">
        <v>154</v>
      </c>
      <c r="BP10" s="64" t="s">
        <v>174</v>
      </c>
      <c r="BQ10" s="64" t="s">
        <v>174</v>
      </c>
      <c r="BR10" s="64" t="s">
        <v>174</v>
      </c>
      <c r="BS10" s="64" t="s">
        <v>174</v>
      </c>
      <c r="BT10" s="64" t="s">
        <v>159</v>
      </c>
      <c r="BU10" s="65"/>
      <c r="BV10" s="66"/>
      <c r="BW10" s="66">
        <v>0</v>
      </c>
      <c r="BX10" s="47"/>
      <c r="CB10" s="6"/>
      <c r="CC10" s="6"/>
      <c r="CD10" s="67">
        <v>0</v>
      </c>
      <c r="CE10" s="67">
        <v>0</v>
      </c>
      <c r="CF10" s="67" t="e">
        <v>#REF!</v>
      </c>
      <c r="CG10" s="68" cm="1">
        <f t="array" ref="CG10">SUMPRODUCT(--(LEN(TRIM(BL10:BT10))&gt;0))</f>
        <v>3</v>
      </c>
      <c r="CH10" s="59" t="str">
        <f t="shared" si="6"/>
        <v>n</v>
      </c>
      <c r="CI10" s="59" t="str">
        <f t="shared" si="7"/>
        <v>y</v>
      </c>
      <c r="CJ10" s="59" t="str">
        <f t="shared" si="8"/>
        <v>n</v>
      </c>
      <c r="CK10" s="59" t="str">
        <f t="shared" si="9"/>
        <v>n</v>
      </c>
      <c r="CL10" s="59" t="str">
        <f t="shared" si="10"/>
        <v>n</v>
      </c>
      <c r="CM10" s="59" t="str">
        <f t="shared" si="11"/>
        <v>n</v>
      </c>
      <c r="CN10" s="59" t="str">
        <f t="shared" si="12"/>
        <v>n</v>
      </c>
      <c r="CO10" s="59" t="str">
        <f t="shared" si="13"/>
        <v>y</v>
      </c>
      <c r="CP10" s="59" t="str">
        <f t="shared" si="14"/>
        <v>y</v>
      </c>
      <c r="CQ10" s="59" t="str">
        <f t="shared" si="15"/>
        <v>n</v>
      </c>
      <c r="CR10" s="59" t="str">
        <f t="shared" si="16"/>
        <v>n</v>
      </c>
      <c r="CS10" s="59" t="str">
        <f t="shared" si="17"/>
        <v>n</v>
      </c>
      <c r="CT10" s="69" t="str">
        <f t="shared" si="18"/>
        <v>"[VEN] Carabobo"</v>
      </c>
      <c r="CU10" s="70" t="str">
        <f t="shared" si="19"/>
        <v>"rgn_South America"</v>
      </c>
      <c r="CV10" s="48" t="str">
        <f t="shared" si="20"/>
        <v>"https://upload.wikimedia.org/wikipedia/commons/thumb/5/52/Flag_of_Carabobo_State.svg/320px-Flag_of_Carabobo_State.svg.png"</v>
      </c>
      <c r="CW10" s="48" t="str">
        <f t="shared" si="0"/>
        <v/>
      </c>
      <c r="CX10" s="48" t="str">
        <f t="shared" si="0"/>
        <v>"3Color",</v>
      </c>
      <c r="CY10" s="48" t="str">
        <f t="shared" si="0"/>
        <v/>
      </c>
      <c r="CZ10" s="48" t="str">
        <f t="shared" si="0"/>
        <v/>
      </c>
      <c r="DA10" s="48" t="str">
        <f t="shared" si="21"/>
        <v/>
      </c>
      <c r="DB10" s="48" t="str">
        <f t="shared" si="22"/>
        <v/>
      </c>
      <c r="DD10" s="48" t="str">
        <f>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"lets08",</v>
      </c>
      <c r="DE10" s="48" t="str">
        <f>CHAR(34)&amp;"start"&amp;IFERROR(LEFT(SUBSTITUTE(A10,"["&amp;MID(A10,FIND("[",A10)+1,FIND("]",A10)-FIND("[",A10)-1)&amp;"] ",""),1),LEFT(A10,1))&amp;CHAR(34)&amp;","</f>
        <v>"startC",</v>
      </c>
      <c r="DF10" s="48" t="str">
        <f t="shared" si="26"/>
        <v/>
      </c>
      <c r="DG10" s="48" t="str">
        <f t="shared" si="27"/>
        <v/>
      </c>
      <c r="DH10" s="48" t="str">
        <f t="shared" si="28"/>
        <v>"with_v",</v>
      </c>
      <c r="DI10" s="48" t="str">
        <f t="shared" si="29"/>
        <v/>
      </c>
      <c r="DJ10" s="48" t="str">
        <f t="shared" si="30"/>
        <v/>
      </c>
      <c r="DK10" s="48" t="str">
        <f t="shared" si="31"/>
        <v/>
      </c>
      <c r="DL10" s="48" t="str">
        <f t="shared" si="32"/>
        <v/>
      </c>
      <c r="DM10" s="48" t="str" cm="1">
        <f t="array" ref="DM10">IF(CG10=3,CHAR(34) &amp; _xlfn.TEXTJOIN("", TRUE, RIGHT(HP10:HX10, 2)) &amp; CHAR(34) &amp; ",", "")</f>
        <v>"LAEDHI",</v>
      </c>
      <c r="DN10" s="48" t="str">
        <f t="shared" si="33"/>
        <v/>
      </c>
      <c r="DO10" s="48" t="str">
        <f t="shared" si="34"/>
        <v>"year19",</v>
      </c>
      <c r="DP10" s="6" t="str">
        <f t="shared" si="35"/>
        <v/>
      </c>
      <c r="DQ10" s="6" t="str">
        <f t="shared" si="36"/>
        <v/>
      </c>
      <c r="DR10" s="6" t="str">
        <f t="shared" si="37"/>
        <v/>
      </c>
      <c r="DS10" s="6" t="str">
        <f t="shared" si="38"/>
        <v/>
      </c>
      <c r="DT10" s="6" t="str">
        <f t="shared" si="39"/>
        <v>"allhor",</v>
      </c>
      <c r="DU10" s="6" t="str">
        <f t="shared" si="40"/>
        <v/>
      </c>
      <c r="DW10" s="48" t="str">
        <f t="shared" si="1"/>
        <v/>
      </c>
      <c r="DX10" s="48" t="str">
        <f t="shared" si="1"/>
        <v/>
      </c>
      <c r="DY10" s="48" t="str">
        <f t="shared" si="1"/>
        <v/>
      </c>
      <c r="DZ10" s="48" t="str">
        <f t="shared" si="1"/>
        <v>"4+Band",</v>
      </c>
      <c r="EA10" s="48" t="str">
        <f t="shared" si="2"/>
        <v>"Diagon",</v>
      </c>
      <c r="EB10" s="48" t="str">
        <f t="shared" si="2"/>
        <v/>
      </c>
      <c r="EC10" s="48" t="str">
        <f t="shared" si="2"/>
        <v>"Horizo",</v>
      </c>
      <c r="ED10" s="48" t="str">
        <f t="shared" si="2"/>
        <v/>
      </c>
      <c r="EE10" s="48" t="str">
        <f t="shared" si="2"/>
        <v/>
      </c>
      <c r="EF10" s="48" t="str">
        <f t="shared" si="42"/>
        <v/>
      </c>
      <c r="EG10" s="48" t="str">
        <f t="shared" si="3"/>
        <v/>
      </c>
      <c r="EH10" s="48" t="str">
        <f t="shared" si="3"/>
        <v/>
      </c>
      <c r="EI10" s="48" t="str">
        <f t="shared" si="3"/>
        <v/>
      </c>
      <c r="EJ10" s="48" t="str">
        <f t="shared" si="3"/>
        <v/>
      </c>
      <c r="EK10" s="48" t="str">
        <f t="shared" si="3"/>
        <v>"HasSun",</v>
      </c>
      <c r="EL10" s="48" t="str">
        <f t="shared" si="3"/>
        <v/>
      </c>
      <c r="EM10" s="48" t="str">
        <f t="shared" si="3"/>
        <v/>
      </c>
      <c r="EN10" s="48" t="str">
        <f t="shared" si="3"/>
        <v/>
      </c>
      <c r="EO10" s="48" t="str">
        <f t="shared" si="3"/>
        <v/>
      </c>
      <c r="EP10" s="48" t="str">
        <f t="shared" si="3"/>
        <v/>
      </c>
      <c r="EQ10" s="48" t="str">
        <f t="shared" si="3"/>
        <v/>
      </c>
      <c r="ER10" s="48" t="str">
        <f t="shared" si="3"/>
        <v/>
      </c>
      <c r="ES10" s="48" t="str">
        <f t="shared" si="3"/>
        <v/>
      </c>
      <c r="ET10" s="48" t="str">
        <f t="shared" si="3"/>
        <v/>
      </c>
      <c r="EU10" s="48" t="str">
        <f t="shared" si="3"/>
        <v/>
      </c>
      <c r="EV10" s="48" t="str">
        <f t="shared" si="3"/>
        <v>"Builds",</v>
      </c>
      <c r="EW10" s="48" t="str">
        <f t="shared" si="3"/>
        <v/>
      </c>
      <c r="EX10" s="48" t="str">
        <f t="shared" si="3"/>
        <v/>
      </c>
      <c r="EY10" s="48" t="str">
        <f t="shared" si="3"/>
        <v/>
      </c>
      <c r="EZ10" s="48" t="str">
        <f t="shared" si="3"/>
        <v/>
      </c>
      <c r="FA10" s="48" t="str">
        <f t="shared" si="43"/>
        <v/>
      </c>
      <c r="FB10" s="48" t="str">
        <f t="shared" si="44"/>
        <v/>
      </c>
      <c r="FD10" s="48" t="str">
        <f t="shared" si="46"/>
        <v/>
      </c>
      <c r="FE10" s="48" t="str">
        <f t="shared" si="47"/>
        <v>"NO_BLU",</v>
      </c>
      <c r="FF10" s="48" t="str">
        <f t="shared" si="48"/>
        <v/>
      </c>
      <c r="FG10" s="48" t="str">
        <f t="shared" si="49"/>
        <v/>
      </c>
      <c r="FH10" s="48" t="str">
        <f t="shared" si="50"/>
        <v>"NO_GRE",</v>
      </c>
      <c r="FI10" s="48" t="str">
        <f t="shared" si="51"/>
        <v>"NO_YEL",</v>
      </c>
      <c r="FJ10" s="48" t="str">
        <f t="shared" si="52"/>
        <v/>
      </c>
      <c r="FK10" s="48" t="str">
        <f t="shared" si="53"/>
        <v/>
      </c>
      <c r="FL10" s="48" t="str">
        <f t="shared" si="54"/>
        <v/>
      </c>
      <c r="FM10" s="48" t="str">
        <f t="shared" si="55"/>
        <v/>
      </c>
      <c r="FN10" s="48" t="str">
        <f t="shared" si="56"/>
        <v/>
      </c>
      <c r="FO10" s="48" t="str">
        <f t="shared" si="57"/>
        <v/>
      </c>
      <c r="FP10" s="48" t="str">
        <f t="shared" si="58"/>
        <v/>
      </c>
      <c r="FQ10" s="48" t="str">
        <f t="shared" si="59"/>
        <v>"001WHI",</v>
      </c>
      <c r="FR10" s="48" t="str">
        <f t="shared" si="60"/>
        <v/>
      </c>
      <c r="FS10" s="48" t="str">
        <f t="shared" si="61"/>
        <v>"003WHI",</v>
      </c>
      <c r="FT10" s="48" t="str">
        <f t="shared" si="62"/>
        <v>"myrWHI",</v>
      </c>
      <c r="FU10" s="48" t="str">
        <f t="shared" si="63"/>
        <v/>
      </c>
      <c r="FV10" s="48" t="str">
        <f t="shared" si="64"/>
        <v/>
      </c>
      <c r="FW10" s="48" t="str">
        <f t="shared" si="65"/>
        <v/>
      </c>
      <c r="FY10" s="48" t="str">
        <f t="shared" si="67"/>
        <v/>
      </c>
      <c r="FZ10" s="48" t="str">
        <f t="shared" si="68"/>
        <v/>
      </c>
      <c r="GA10" s="48" t="str">
        <f t="shared" si="69"/>
        <v/>
      </c>
      <c r="GB10" s="48" t="str">
        <f t="shared" si="70"/>
        <v/>
      </c>
      <c r="GE10" s="48" t="str">
        <f t="shared" si="73"/>
        <v/>
      </c>
      <c r="GF10" s="48" t="str">
        <f t="shared" si="74"/>
        <v/>
      </c>
      <c r="GG10" s="48" t="str">
        <f t="shared" si="75"/>
        <v/>
      </c>
      <c r="GH10" s="48" t="str">
        <f t="shared" si="76"/>
        <v/>
      </c>
      <c r="GI10" s="48" t="str">
        <f t="shared" si="77"/>
        <v/>
      </c>
      <c r="GJ10" s="48" t="str">
        <f t="shared" si="78"/>
        <v>"NoStar",</v>
      </c>
      <c r="GK10" s="48" t="str">
        <f t="shared" si="79"/>
        <v/>
      </c>
      <c r="GL10" s="48" t="str">
        <f t="shared" si="4"/>
        <v/>
      </c>
      <c r="GM10" s="48" t="str">
        <f t="shared" si="4"/>
        <v/>
      </c>
      <c r="GN10" s="48" t="str">
        <f t="shared" si="4"/>
        <v/>
      </c>
      <c r="GP10" s="48" t="str">
        <f t="shared" si="80"/>
        <v>"State"</v>
      </c>
      <c r="GS10" s="48" t="str">
        <f t="shared" si="81"/>
        <v>["3Color","lets08","startC","with_v","LAEDHI","year19","allhor","4+Band","Diagon","Horizo","HasSun","Builds","NO_BLU","NO_GRE","NO_YEL","001WHI","003WHI","myrWHI","NoStar"]</v>
      </c>
      <c r="GT10" s="48" t="str">
        <f t="shared" si="5"/>
        <v>"cl_BLA",</v>
      </c>
      <c r="GU10" s="48" t="str">
        <f t="shared" si="5"/>
        <v/>
      </c>
      <c r="GV10" s="48" t="str">
        <f t="shared" si="5"/>
        <v/>
      </c>
      <c r="GW10" s="48" t="str">
        <f t="shared" si="5"/>
        <v>"cl_RED",</v>
      </c>
      <c r="GX10" s="48" t="str">
        <f t="shared" si="5"/>
        <v/>
      </c>
      <c r="GY10" s="48" t="str">
        <f t="shared" si="5"/>
        <v/>
      </c>
      <c r="GZ10" s="48" t="str">
        <f t="shared" si="5"/>
        <v/>
      </c>
      <c r="HA10" s="48" t="str">
        <f t="shared" si="5"/>
        <v/>
      </c>
      <c r="HB10" s="48" t="str">
        <f t="shared" si="5"/>
        <v>"cl_WHI",</v>
      </c>
      <c r="HC10" s="48" t="str">
        <f t="shared" si="82"/>
        <v>["cl_BLA","cl_RED","cl_WHI"]</v>
      </c>
      <c r="HE10" s="71"/>
      <c r="HF10" s="72" t="str">
        <f t="shared" si="83"/>
        <v>{couname:"[VEN] Carabobo",year:"1995",region:"rgn_South America",Colors:["cl_BLA","cl_RED","cl_WHI"],Items:["3Color","lets08","startC","with_v","LAEDHI","year19","allhor","4+Band","Diagon","Horizo","HasSun","Builds","NO_BLU","NO_GRE","NO_YEL","001WHI","003WHI","myrWHI","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links: "https://en.wikipedia.org/wiki/List_of_flags_of_Venezuela#Administrative_divisions_flags"},</v>
      </c>
      <c r="HG10" s="73" t="str">
        <f t="shared" si="84"/>
        <v>{couname:"[VEN] Carabobo",year:"1995",region:"rgn_South America",Colors:["cl_BLA","cl_RED","cl_WHI"],Items:["3Color","lets08","startC","with_v","LAEDHI","year19","allhor","4+Band","Diagon","Horizo","HasSun","Builds","NO_BLU","NO_GRE","NO_YEL","001WHI","003WHI","myrWHI","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links: "https://en.wikipedia.org/wiki/List_of_flags_of_Venezuela#Administrative_divisions_flags"},</v>
      </c>
      <c r="HH10" s="48" t="str">
        <f t="shared" si="85"/>
        <v>"\nHorizontal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v>
      </c>
      <c r="HI10" s="48" t="str">
        <f t="shared" si="86"/>
        <v>"\nHorizontal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v>
      </c>
      <c r="HJ10" s="48" t="str">
        <f t="shared" si="87"/>
        <v>"1995"</v>
      </c>
      <c r="HL10" s="48" t="str">
        <f t="shared" si="88"/>
        <v>"https://en.wikipedia.org/wiki/List_of_flags_of_Venezuela#Administrative_divisions_flags"</v>
      </c>
      <c r="HM10" s="72" t="str">
        <f t="shared" si="89"/>
        <v>{"couname":"[VEN] Carabobo","year":"1995","region":"rgn_South America","Colors":["cl_BLA","cl_RED","cl_WHI"],"Items":["3Color","lets08","startC","with_v","LAEDHI","year19","allhor","4+Band","Diagon","Horizo","HasSun","Builds","NO_BLU","NO_GRE","NO_YEL","001WHI","003WHI","myrWHI","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 "links": "https://en.wikipedia.org/wiki/List_of_flags_of_Venezuela#Administrative_divisions_flags"},</v>
      </c>
      <c r="HN10" s="74" t="str">
        <f t="shared" si="90"/>
        <v>{"couname":"[VEN] Carabobo","year":"1995","region":"rgn_South America","Colors":["cl_BLA","cl_RED","cl_WHI"],"Items":["3Color","lets08","startC","with_v","LAEDHI","year19","allhor","4+Band","Diagon","Horizo","HasSun","Builds","NO_BLU","NO_GRE","NO_YEL","001WHI","003WHI","myrWHI","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 "links": "https://en.wikipedia.org/wiki/List_of_flags_of_Venezuela#Administrative_divisions_flags"},</v>
      </c>
      <c r="HO10" s="75">
        <v>45610</v>
      </c>
      <c r="HP10" s="48" t="str" cm="1">
        <f t="array" ref="HP10">IF(_xlfn.TEXTJOIN(", ", TRUE, IF(ISNUMBER(SEARCH("BLA", BL10:BT10)), COLUMN(BL10:BT10) - COLUMN(BL10) + 1, ""))&lt;&gt;"","BLA","")</f>
        <v>BLA</v>
      </c>
      <c r="HQ10" s="48" t="str" cm="1">
        <f t="array" ref="HQ10">IF(_xlfn.TEXTJOIN(", ", TRUE, IF(ISNUMBER(SEARCH("BLU", BL10:BT10)), COLUMN(BL10:BT10) - COLUMN(BL10) + 1, ""))&lt;&gt;"","BLU","")</f>
        <v/>
      </c>
      <c r="HR10" s="48" t="str" cm="1">
        <f t="array" ref="HR10">IF(_xlfn.TEXTJOIN(", ", TRUE, IF(ISNUMBER(SEARCH("GRE", BL10:BT10)), COLUMN(BL10:BT10) - COLUMN(BL10) + 1, ""))&lt;&gt;"","GRE","")</f>
        <v/>
      </c>
      <c r="HS10" s="48" t="str" cm="1">
        <f t="array" ref="HS10">IF(_xlfn.TEXTJOIN(", ", TRUE, IF(ISNUMBER(SEARCH("RED", BL10:BT10)), COLUMN(BL10:BT10) - COLUMN(BL10) + 1, ""))&lt;&gt;"","RED","")</f>
        <v>RED</v>
      </c>
      <c r="HT10" s="48" t="str" cm="1">
        <f t="array" ref="HT10">IF(_xlfn.TEXTJOIN(", ", TRUE, IF(ISNUMBER(SEARCH("YEL", BL10:BT10)), COLUMN(BL10:BT10) - COLUMN(BL10) + 1, ""))&lt;&gt;"","YEL","")</f>
        <v/>
      </c>
      <c r="HU10" s="48" t="str" cm="1">
        <f t="array" ref="HU10">IF(_xlfn.TEXTJOIN(", ", TRUE, IF(ISNUMBER(SEARCH("ORA", BL10:BT10)), COLUMN(BL10:BT10) - COLUMN(BL10) + 1, ""))&lt;&gt;"","ORA","")</f>
        <v/>
      </c>
      <c r="HV10" s="48" t="str" cm="1">
        <f t="array" ref="HV10">IF(_xlfn.TEXTJOIN(", ", TRUE, IF(ISNUMBER(SEARCH("BRO", BL10:BT10)), COLUMN(BL10:BT10) - COLUMN(BL10) + 1, ""))&lt;&gt;"","BRO","")</f>
        <v/>
      </c>
      <c r="HW10" s="48" t="str" cm="1">
        <f t="array" ref="HW10">IF(_xlfn.TEXTJOIN(", ", TRUE, IF(ISNUMBER(SEARCH("PUR", BL10:BT10)), COLUMN(BL10:BT10) - COLUMN(BL10) + 1, ""))&lt;&gt;"","PUR","")</f>
        <v/>
      </c>
      <c r="HX10" s="48" t="str" cm="1">
        <f t="array" ref="HX10">IF(_xlfn.TEXTJOIN(", ", TRUE, IF(ISNUMBER(SEARCH("WHI", BL10:BT10)), COLUMN(BL10:BT10) - COLUMN(BL10) + 1, ""))&lt;&gt;"","WHI","")</f>
        <v>WHI</v>
      </c>
      <c r="HY10" s="76"/>
      <c r="HZ10" s="76"/>
      <c r="IA10" s="6"/>
      <c r="IB10" s="6"/>
      <c r="IC10" s="77"/>
      <c r="ID10" s="77"/>
      <c r="IE10" s="77"/>
      <c r="IF10" s="77"/>
      <c r="IG10" s="77"/>
      <c r="IH10" s="77"/>
      <c r="II10" s="77"/>
      <c r="IJ10" s="77"/>
      <c r="IK10" s="77"/>
      <c r="IM10" s="45">
        <f t="shared" si="92"/>
        <v>-3</v>
      </c>
      <c r="IN10" s="78" t="str">
        <f t="shared" si="93"/>
        <v>http://mkweb.bcgsc.ca/color-summarizer/?url=https://upload.wikimedia.org/wikipedia/commons/thumb/5/52/Flag_of_Carabobo_State.svg/320px-Flag_of_Carabobo_State.svg.png&amp;precision=low&amp;num_clusters=3&amp;text=1</v>
      </c>
      <c r="IO10" s="48" t="str">
        <f t="shared" si="94"/>
        <v>"black"</v>
      </c>
      <c r="IP10" s="48" t="str">
        <f t="shared" si="95"/>
        <v/>
      </c>
      <c r="IQ10" s="48" t="str">
        <f t="shared" si="96"/>
        <v/>
      </c>
      <c r="IR10" s="48" t="str">
        <f t="shared" si="97"/>
        <v>"red"</v>
      </c>
      <c r="IS10" s="48" t="str">
        <f t="shared" si="98"/>
        <v/>
      </c>
      <c r="IT10" s="48" t="str">
        <f t="shared" si="99"/>
        <v/>
      </c>
      <c r="IU10" s="48" t="str">
        <f t="shared" si="100"/>
        <v/>
      </c>
      <c r="IV10" s="48" t="str">
        <f t="shared" si="101"/>
        <v/>
      </c>
      <c r="IW10" s="48" t="str">
        <f t="shared" si="102"/>
        <v>"white"</v>
      </c>
      <c r="IX10" s="48" t="str">
        <f t="shared" si="103"/>
        <v>{"url":"http://mkweb.bcgsc.ca/color-summarizer/?url=https://upload.wikimedia.org/wikipedia/commons/thumb/5/52/Flag_of_Carabobo_State.svg/320px-Flag_of_Carabobo_State.svg.png&amp;precision=low&amp;num_clusters=3&amp;text=1","name":"[VEN] Carabobo"},</v>
      </c>
      <c r="IY10" s="48">
        <v>1254</v>
      </c>
    </row>
    <row r="11" spans="1:259" s="48" customFormat="1" ht="38.4" customHeight="1" thickBot="1" x14ac:dyDescent="0.35">
      <c r="A11" s="79" t="s">
        <v>736</v>
      </c>
      <c r="B11" s="40" t="e" vm="110">
        <v>#VALUE!</v>
      </c>
      <c r="C11" s="41">
        <v>2</v>
      </c>
      <c r="D11" s="42" t="s">
        <v>737</v>
      </c>
      <c r="E11" s="43" t="s">
        <v>738</v>
      </c>
      <c r="F11" s="44" t="s">
        <v>166</v>
      </c>
      <c r="G11" s="45">
        <f>COUNTIF($A$1:$A$8305,A11)</f>
        <v>1</v>
      </c>
      <c r="H11" s="46"/>
      <c r="I11" s="47" t="s">
        <v>739</v>
      </c>
      <c r="J11" s="48" t="str">
        <f>""</f>
        <v/>
      </c>
      <c r="K11" s="49"/>
      <c r="L11" s="50"/>
      <c r="M11" s="50"/>
      <c r="N11" s="51" t="s">
        <v>169</v>
      </c>
      <c r="O11" s="52">
        <v>1997</v>
      </c>
      <c r="P11" s="53" t="s">
        <v>740</v>
      </c>
      <c r="Q11" s="54">
        <v>1</v>
      </c>
      <c r="R11" s="55" t="s">
        <v>169</v>
      </c>
      <c r="S11" s="56">
        <v>3</v>
      </c>
      <c r="T11" s="57" t="s">
        <v>172</v>
      </c>
      <c r="U11" s="58" t="s">
        <v>172</v>
      </c>
      <c r="V11" s="58" t="s">
        <v>173</v>
      </c>
      <c r="W11" s="58" t="s">
        <v>172</v>
      </c>
      <c r="X11" s="58" t="s">
        <v>173</v>
      </c>
      <c r="Y11" s="58" t="s">
        <v>172</v>
      </c>
      <c r="Z11" s="58" t="s">
        <v>172</v>
      </c>
      <c r="AA11" s="58" t="s">
        <v>172</v>
      </c>
      <c r="AB11" s="58" t="s">
        <v>172</v>
      </c>
      <c r="AC11" s="58" t="s">
        <v>172</v>
      </c>
      <c r="AD11" s="58" t="s">
        <v>173</v>
      </c>
      <c r="AE11" s="58" t="s">
        <v>172</v>
      </c>
      <c r="AF11" s="59" t="s">
        <v>172</v>
      </c>
      <c r="AG11" s="59" t="s">
        <v>172</v>
      </c>
      <c r="AH11" s="59" t="s">
        <v>172</v>
      </c>
      <c r="AI11" s="59" t="s">
        <v>172</v>
      </c>
      <c r="AJ11" s="59" t="s">
        <v>172</v>
      </c>
      <c r="AK11" s="59" t="s">
        <v>172</v>
      </c>
      <c r="AL11" s="59" t="s">
        <v>172</v>
      </c>
      <c r="AM11" s="59" t="s">
        <v>172</v>
      </c>
      <c r="AN11" s="59" t="s">
        <v>172</v>
      </c>
      <c r="AO11" s="59" t="s">
        <v>172</v>
      </c>
      <c r="AP11" s="59" t="s">
        <v>172</v>
      </c>
      <c r="AQ11" s="59" t="s">
        <v>172</v>
      </c>
      <c r="AR11" s="59" t="s">
        <v>172</v>
      </c>
      <c r="AS11" s="59" t="s">
        <v>172</v>
      </c>
      <c r="AT11" s="60">
        <v>0</v>
      </c>
      <c r="AU11" s="59" t="s">
        <v>383</v>
      </c>
      <c r="AV11" s="59" t="str">
        <f>IF(LEFT(A11,1)="[",LEFT(A11,5)&amp;AU11&amp;A11,"")</f>
        <v>[VEN]State[VEN] Cojedes</v>
      </c>
      <c r="AW11" s="59" t="str">
        <f>C11&amp;A11</f>
        <v>2[VEN] Cojedes</v>
      </c>
      <c r="AX11" s="61"/>
      <c r="AY11" s="61"/>
      <c r="AZ11" s="62" t="s">
        <v>174</v>
      </c>
      <c r="BA11" s="62" t="s">
        <v>174</v>
      </c>
      <c r="BB11" s="62"/>
      <c r="BC11" s="63"/>
      <c r="BD11" s="64" t="s">
        <v>159</v>
      </c>
      <c r="BE11" s="47"/>
      <c r="BF11" s="64"/>
      <c r="BG11" s="64" t="s">
        <v>174</v>
      </c>
      <c r="BH11" s="64"/>
      <c r="BI11" s="64"/>
      <c r="BJ11" s="64"/>
      <c r="BK11" s="47"/>
      <c r="BL11" s="64" t="s">
        <v>151</v>
      </c>
      <c r="BM11" s="64" t="s">
        <v>152</v>
      </c>
      <c r="BN11" s="64" t="s">
        <v>174</v>
      </c>
      <c r="BO11" s="64" t="s">
        <v>154</v>
      </c>
      <c r="BP11" s="64" t="s">
        <v>174</v>
      </c>
      <c r="BQ11" s="64" t="s">
        <v>174</v>
      </c>
      <c r="BR11" s="64" t="s">
        <v>174</v>
      </c>
      <c r="BS11" s="64" t="s">
        <v>174</v>
      </c>
      <c r="BT11" s="64" t="s">
        <v>159</v>
      </c>
      <c r="BU11" s="65"/>
      <c r="BV11" s="66"/>
      <c r="BW11" s="66">
        <v>0</v>
      </c>
      <c r="BX11" s="47"/>
      <c r="BY11" s="48" t="s">
        <v>173</v>
      </c>
      <c r="CB11" s="6"/>
      <c r="CC11" s="6"/>
      <c r="CD11" s="67">
        <v>0</v>
      </c>
      <c r="CE11" s="67">
        <v>0</v>
      </c>
      <c r="CF11" s="67" t="e">
        <v>#REF!</v>
      </c>
      <c r="CG11" s="68" cm="1">
        <f t="array" ref="CG11">SUMPRODUCT(--(LEN(TRIM(BL11:BT11))&gt;0))</f>
        <v>4</v>
      </c>
      <c r="CH11" s="59" t="str">
        <f t="shared" si="6"/>
        <v>n</v>
      </c>
      <c r="CI11" s="59" t="str">
        <f t="shared" si="7"/>
        <v>n</v>
      </c>
      <c r="CJ11" s="59" t="str">
        <f t="shared" si="8"/>
        <v>y</v>
      </c>
      <c r="CK11" s="59" t="str">
        <f t="shared" si="9"/>
        <v>n</v>
      </c>
      <c r="CL11" s="59" t="str">
        <f t="shared" si="10"/>
        <v>n</v>
      </c>
      <c r="CM11" s="59" t="str">
        <f t="shared" si="11"/>
        <v>n</v>
      </c>
      <c r="CN11" s="59" t="str">
        <f t="shared" si="12"/>
        <v>y</v>
      </c>
      <c r="CO11" s="59" t="str">
        <f t="shared" si="13"/>
        <v>n</v>
      </c>
      <c r="CP11" s="59" t="str">
        <f t="shared" si="14"/>
        <v>y</v>
      </c>
      <c r="CQ11" s="59" t="str">
        <f t="shared" si="15"/>
        <v>n</v>
      </c>
      <c r="CR11" s="59" t="str">
        <f t="shared" si="16"/>
        <v>n</v>
      </c>
      <c r="CS11" s="59" t="str">
        <f t="shared" si="17"/>
        <v>n</v>
      </c>
      <c r="CT11" s="69" t="str">
        <f t="shared" si="18"/>
        <v>"[VEN] Cojedes"</v>
      </c>
      <c r="CU11" s="70" t="str">
        <f t="shared" si="19"/>
        <v>"rgn_South America"</v>
      </c>
      <c r="CV11" s="48" t="str">
        <f t="shared" si="20"/>
        <v>"https://upload.wikimedia.org/wikipedia/commons/thumb/7/7d/Flag_of_Cojedes_State.svg/320px-Flag_of_Cojedes_State.svg.png"</v>
      </c>
      <c r="CW11" s="48" t="str">
        <f t="shared" si="0"/>
        <v/>
      </c>
      <c r="CX11" s="48" t="str">
        <f t="shared" si="0"/>
        <v/>
      </c>
      <c r="CY11" s="48" t="str">
        <f t="shared" si="0"/>
        <v>"4Color",</v>
      </c>
      <c r="CZ11" s="48" t="str">
        <f t="shared" si="0"/>
        <v/>
      </c>
      <c r="DA11" s="48" t="str">
        <f t="shared" si="21"/>
        <v/>
      </c>
      <c r="DB11" s="48" t="str">
        <f t="shared" si="22"/>
        <v/>
      </c>
      <c r="DD11" s="48" t="str">
        <f>IF(LEN(CHAR(34)&amp;"lets"&amp;LEN(SUBSTITUTE(SUBSTITUTE(IFERROR(TRIM(SUBSTITUTE(A11,MID(A11,FIND("[",A11),FIND("]",A11)-FIND("[",A11)+1),"")),A11)," ",""),"-",""))&amp;CHAR(34)&amp;",")=9,CHAR(34)&amp;"lets"&amp;LEN(SUBSTITUTE(SUBSTITUTE(IFERROR(TRIM(SUBSTITUTE(A11,MID(A11,FIND("[",A11),FIND("]",A11)-FIND("[",A11)+1),"")),A11)," ",""),"-",""))&amp;CHAR(34)&amp;",",CHAR(34)&amp;"lets0"&amp;LEN(SUBSTITUTE(SUBSTITUTE(IFERROR(TRIM(SUBSTITUTE(A11,MID(A11,FIND("[",A11),FIND("]",A11)-FIND("[",A11)+1),"")),A11)," ",""),"-",""))&amp;CHAR(34)&amp;",")</f>
        <v>"lets07",</v>
      </c>
      <c r="DE11" s="48" t="str">
        <f>CHAR(34)&amp;"start"&amp;IFERROR(LEFT(SUBSTITUTE(A11,"["&amp;MID(A11,FIND("[",A11)+1,FIND("]",A11)-FIND("[",A11)-1)&amp;"] ",""),1),LEFT(A11,1))&amp;CHAR(34)&amp;","</f>
        <v>"startC",</v>
      </c>
      <c r="DF11" s="48" t="str">
        <f t="shared" si="26"/>
        <v/>
      </c>
      <c r="DG11" s="48" t="str">
        <f t="shared" si="27"/>
        <v/>
      </c>
      <c r="DH11" s="48" t="str">
        <f t="shared" si="28"/>
        <v>"with_v",</v>
      </c>
      <c r="DI11" s="48" t="str">
        <f t="shared" si="29"/>
        <v/>
      </c>
      <c r="DJ11" s="48" t="str">
        <f t="shared" si="30"/>
        <v/>
      </c>
      <c r="DK11" s="48" t="str">
        <f t="shared" si="31"/>
        <v/>
      </c>
      <c r="DL11" s="48" t="str">
        <f t="shared" si="32"/>
        <v/>
      </c>
      <c r="DM11" s="48" t="str" cm="1">
        <f t="array" ref="DM11">IF(CG11=3,CHAR(34) &amp; _xlfn.TEXTJOIN("", TRUE, RIGHT(HP11:HX11, 2)) &amp; CHAR(34) &amp; ",", "")</f>
        <v/>
      </c>
      <c r="DN11" s="48" t="str">
        <f t="shared" si="33"/>
        <v/>
      </c>
      <c r="DO11" s="48" t="str">
        <f t="shared" si="34"/>
        <v>"year19",</v>
      </c>
      <c r="DP11" s="6" t="str">
        <f t="shared" si="35"/>
        <v/>
      </c>
      <c r="DQ11" s="6" t="str">
        <f t="shared" si="36"/>
        <v/>
      </c>
      <c r="DR11" s="6" t="str">
        <f t="shared" si="37"/>
        <v>"dgband",</v>
      </c>
      <c r="DS11" s="6" t="str">
        <f t="shared" si="38"/>
        <v/>
      </c>
      <c r="DT11" s="6" t="str">
        <f t="shared" si="39"/>
        <v/>
      </c>
      <c r="DU11" s="6" t="str">
        <f t="shared" si="40"/>
        <v/>
      </c>
      <c r="DW11" s="48" t="str">
        <f t="shared" si="1"/>
        <v/>
      </c>
      <c r="DX11" s="48" t="str">
        <f t="shared" si="1"/>
        <v/>
      </c>
      <c r="DY11" s="48" t="str">
        <f t="shared" si="1"/>
        <v>"3Bands",</v>
      </c>
      <c r="DZ11" s="48" t="str">
        <f t="shared" si="1"/>
        <v/>
      </c>
      <c r="EA11" s="48" t="str">
        <f t="shared" si="2"/>
        <v/>
      </c>
      <c r="EB11" s="48" t="str">
        <f t="shared" si="2"/>
        <v/>
      </c>
      <c r="EC11" s="48" t="str">
        <f t="shared" si="2"/>
        <v>"Horizo",</v>
      </c>
      <c r="ED11" s="48" t="str">
        <f t="shared" si="2"/>
        <v/>
      </c>
      <c r="EE11" s="48" t="str">
        <f t="shared" si="2"/>
        <v>"Circle",</v>
      </c>
      <c r="EF11" s="48" t="str">
        <f t="shared" si="42"/>
        <v/>
      </c>
      <c r="EG11" s="48" t="str">
        <f t="shared" si="3"/>
        <v/>
      </c>
      <c r="EH11" s="48" t="str">
        <f t="shared" si="3"/>
        <v/>
      </c>
      <c r="EI11" s="48" t="str">
        <f t="shared" si="3"/>
        <v/>
      </c>
      <c r="EJ11" s="48" t="str">
        <f t="shared" si="3"/>
        <v/>
      </c>
      <c r="EK11" s="48" t="str">
        <f t="shared" si="3"/>
        <v>"HasSun",</v>
      </c>
      <c r="EL11" s="48" t="str">
        <f t="shared" si="3"/>
        <v/>
      </c>
      <c r="EM11" s="48" t="str">
        <f t="shared" si="3"/>
        <v/>
      </c>
      <c r="EN11" s="48" t="str">
        <f t="shared" si="3"/>
        <v/>
      </c>
      <c r="EO11" s="48" t="str">
        <f t="shared" si="3"/>
        <v/>
      </c>
      <c r="EP11" s="48" t="str">
        <f t="shared" si="3"/>
        <v/>
      </c>
      <c r="EQ11" s="48" t="str">
        <f t="shared" si="3"/>
        <v/>
      </c>
      <c r="ER11" s="48" t="str">
        <f t="shared" si="3"/>
        <v/>
      </c>
      <c r="ES11" s="48" t="str">
        <f t="shared" si="3"/>
        <v/>
      </c>
      <c r="ET11" s="48" t="str">
        <f t="shared" si="3"/>
        <v/>
      </c>
      <c r="EU11" s="48" t="str">
        <f t="shared" si="3"/>
        <v/>
      </c>
      <c r="EV11" s="48" t="str">
        <f t="shared" si="3"/>
        <v/>
      </c>
      <c r="EW11" s="48" t="str">
        <f t="shared" si="3"/>
        <v/>
      </c>
      <c r="EX11" s="48" t="str">
        <f t="shared" si="3"/>
        <v/>
      </c>
      <c r="EY11" s="48" t="str">
        <f t="shared" si="3"/>
        <v/>
      </c>
      <c r="EZ11" s="48" t="str">
        <f t="shared" si="3"/>
        <v/>
      </c>
      <c r="FA11" s="48" t="str">
        <f t="shared" si="43"/>
        <v/>
      </c>
      <c r="FB11" s="48" t="str">
        <f t="shared" si="44"/>
        <v/>
      </c>
      <c r="FD11" s="48" t="str">
        <f t="shared" si="46"/>
        <v/>
      </c>
      <c r="FE11" s="48" t="str">
        <f t="shared" si="47"/>
        <v/>
      </c>
      <c r="FF11" s="48" t="str">
        <f t="shared" si="48"/>
        <v/>
      </c>
      <c r="FG11" s="48" t="str">
        <f t="shared" si="49"/>
        <v/>
      </c>
      <c r="FH11" s="48" t="str">
        <f t="shared" si="50"/>
        <v>"NO_GRE",</v>
      </c>
      <c r="FI11" s="48" t="str">
        <f t="shared" si="51"/>
        <v>"NO_YEL",</v>
      </c>
      <c r="FJ11" s="48" t="str">
        <f t="shared" si="52"/>
        <v/>
      </c>
      <c r="FK11" s="48" t="str">
        <f t="shared" si="53"/>
        <v/>
      </c>
      <c r="FL11" s="48" t="str">
        <f t="shared" si="54"/>
        <v/>
      </c>
      <c r="FM11" s="48" t="str">
        <f t="shared" si="55"/>
        <v/>
      </c>
      <c r="FN11" s="48" t="str">
        <f t="shared" si="56"/>
        <v/>
      </c>
      <c r="FO11" s="48" t="str">
        <f t="shared" si="57"/>
        <v/>
      </c>
      <c r="FP11" s="48" t="str">
        <f t="shared" si="58"/>
        <v/>
      </c>
      <c r="FQ11" s="48" t="str">
        <f t="shared" si="59"/>
        <v/>
      </c>
      <c r="FR11" s="48" t="str">
        <f t="shared" si="60"/>
        <v/>
      </c>
      <c r="FS11" s="48" t="str">
        <f t="shared" si="61"/>
        <v/>
      </c>
      <c r="FT11" s="48" t="str">
        <f t="shared" si="62"/>
        <v>"myrWHI",</v>
      </c>
      <c r="FU11" s="48" t="str">
        <f t="shared" si="63"/>
        <v/>
      </c>
      <c r="FV11" s="48" t="str">
        <f t="shared" si="64"/>
        <v/>
      </c>
      <c r="FW11" s="48" t="str">
        <f t="shared" si="65"/>
        <v/>
      </c>
      <c r="FY11" s="48" t="str">
        <f t="shared" si="67"/>
        <v/>
      </c>
      <c r="FZ11" s="48" t="str">
        <f t="shared" si="68"/>
        <v/>
      </c>
      <c r="GA11" s="48" t="str">
        <f t="shared" si="69"/>
        <v/>
      </c>
      <c r="GB11" s="48" t="str">
        <f t="shared" si="70"/>
        <v/>
      </c>
      <c r="GE11" s="48" t="str">
        <f t="shared" si="73"/>
        <v/>
      </c>
      <c r="GF11" s="48" t="str">
        <f t="shared" si="74"/>
        <v/>
      </c>
      <c r="GG11" s="48" t="str">
        <f t="shared" si="75"/>
        <v/>
      </c>
      <c r="GH11" s="48" t="str">
        <f t="shared" si="76"/>
        <v/>
      </c>
      <c r="GI11" s="48" t="str">
        <f t="shared" si="77"/>
        <v/>
      </c>
      <c r="GJ11" s="48" t="str">
        <f t="shared" si="78"/>
        <v>"NoStar",</v>
      </c>
      <c r="GK11" s="48" t="str">
        <f t="shared" si="79"/>
        <v/>
      </c>
      <c r="GL11" s="48" t="str">
        <f t="shared" si="4"/>
        <v/>
      </c>
      <c r="GM11" s="48" t="str">
        <f t="shared" si="4"/>
        <v/>
      </c>
      <c r="GN11" s="48" t="str">
        <f t="shared" si="4"/>
        <v/>
      </c>
      <c r="GP11" s="48" t="str">
        <f t="shared" si="80"/>
        <v>"State"</v>
      </c>
      <c r="GS11" s="48" t="str">
        <f t="shared" si="81"/>
        <v>["4Color","lets07","startC","with_v","year19","dgband","3Bands","Horizo","Circle","HasSun","NO_GRE","NO_YEL","myrWHI","NoStar"]</v>
      </c>
      <c r="GT11" s="48" t="str">
        <f t="shared" si="5"/>
        <v>"cl_BLA",</v>
      </c>
      <c r="GU11" s="48" t="str">
        <f t="shared" si="5"/>
        <v>"cl_BLU",</v>
      </c>
      <c r="GV11" s="48" t="str">
        <f t="shared" si="5"/>
        <v/>
      </c>
      <c r="GW11" s="48" t="str">
        <f t="shared" si="5"/>
        <v>"cl_RED",</v>
      </c>
      <c r="GX11" s="48" t="str">
        <f t="shared" si="5"/>
        <v/>
      </c>
      <c r="GY11" s="48" t="str">
        <f t="shared" si="5"/>
        <v/>
      </c>
      <c r="GZ11" s="48" t="str">
        <f t="shared" si="5"/>
        <v/>
      </c>
      <c r="HA11" s="48" t="str">
        <f t="shared" si="5"/>
        <v/>
      </c>
      <c r="HB11" s="48" t="str">
        <f t="shared" si="5"/>
        <v>"cl_WHI",</v>
      </c>
      <c r="HC11" s="48" t="str">
        <f t="shared" si="82"/>
        <v>["cl_BLA","cl_BLU","cl_RED","cl_WHI"]</v>
      </c>
      <c r="HE11" s="71"/>
      <c r="HF11" s="72" t="str">
        <f t="shared" si="83"/>
        <v>{couname:"[VEN] Cojedes",year:"1997",region:"rgn_South America",Colors:["cl_BLA","cl_BLU","cl_RED","cl_WHI"],Items:["4Color","lets07","startC","with_v","year19","dgband","3Bands","Horizo","Circle","HasSun","NO_GRE","NO_YEL","myrWHI","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links: "https://www.crwflags.com/fotw/flags/ve-h.html"},</v>
      </c>
      <c r="HG11" s="73" t="str">
        <f t="shared" si="84"/>
        <v>{couname:"[VEN] Cojedes",year:"1997",region:"rgn_South America",Colors:["cl_BLA","cl_BLU","cl_RED","cl_WHI"],Items:["4Color","lets07","startC","with_v","year19","dgband","3Bands","Horizo","Circle","HasSun","NO_GRE","NO_YEL","myrWHI","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links: "https://www.crwflags.com/fotw/flags/ve-h.html"},</v>
      </c>
      <c r="HH11" s="48" t="str">
        <f t="shared" si="85"/>
        <v>"\nThe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v>
      </c>
      <c r="HI11" s="48" t="str">
        <f t="shared" si="86"/>
        <v>"\nThe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v>
      </c>
      <c r="HJ11" s="48" t="str">
        <f t="shared" si="87"/>
        <v>"1997"</v>
      </c>
      <c r="HL11" s="48" t="str">
        <f t="shared" si="88"/>
        <v>"https://www.crwflags.com/fotw/flags/ve-h.html"</v>
      </c>
      <c r="HM11" s="72" t="str">
        <f t="shared" si="89"/>
        <v>{"couname":"[VEN] Cojedes","year":"1997","region":"rgn_South America","Colors":["cl_BLA","cl_BLU","cl_RED","cl_WHI"],"Items":["4Color","lets07","startC","with_v","year19","dgband","3Bands","Horizo","Circle","HasSun","NO_GRE","NO_YEL","myrWHI","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 "links": "https://www.crwflags.com/fotw/flags/ve-h.html"},</v>
      </c>
      <c r="HN11" s="74" t="str">
        <f t="shared" si="90"/>
        <v>{"couname":"[VEN] Cojedes","year":"1997","region":"rgn_South America","Colors":["cl_BLA","cl_BLU","cl_RED","cl_WHI"],"Items":["4Color","lets07","startC","with_v","year19","dgband","3Bands","Horizo","Circle","HasSun","NO_GRE","NO_YEL","myrWHI","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 "links": "https://www.crwflags.com/fotw/flags/ve-h.html"},</v>
      </c>
      <c r="HO11" s="75">
        <v>45610</v>
      </c>
      <c r="HP11" s="48" t="str" cm="1">
        <f t="array" ref="HP11">IF(_xlfn.TEXTJOIN(", ", TRUE, IF(ISNUMBER(SEARCH("BLA", BL11:BT11)), COLUMN(BL11:BT11) - COLUMN(BL11) + 1, ""))&lt;&gt;"","BLA","")</f>
        <v>BLA</v>
      </c>
      <c r="HQ11" s="48" t="str" cm="1">
        <f t="array" ref="HQ11">IF(_xlfn.TEXTJOIN(", ", TRUE, IF(ISNUMBER(SEARCH("BLU", BL11:BT11)), COLUMN(BL11:BT11) - COLUMN(BL11) + 1, ""))&lt;&gt;"","BLU","")</f>
        <v>BLU</v>
      </c>
      <c r="HR11" s="48" t="str" cm="1">
        <f t="array" ref="HR11">IF(_xlfn.TEXTJOIN(", ", TRUE, IF(ISNUMBER(SEARCH("GRE", BL11:BT11)), COLUMN(BL11:BT11) - COLUMN(BL11) + 1, ""))&lt;&gt;"","GRE","")</f>
        <v/>
      </c>
      <c r="HS11" s="48" t="str" cm="1">
        <f t="array" ref="HS11">IF(_xlfn.TEXTJOIN(", ", TRUE, IF(ISNUMBER(SEARCH("RED", BL11:BT11)), COLUMN(BL11:BT11) - COLUMN(BL11) + 1, ""))&lt;&gt;"","RED","")</f>
        <v>RED</v>
      </c>
      <c r="HT11" s="48" t="str" cm="1">
        <f t="array" ref="HT11">IF(_xlfn.TEXTJOIN(", ", TRUE, IF(ISNUMBER(SEARCH("YEL", BL11:BT11)), COLUMN(BL11:BT11) - COLUMN(BL11) + 1, ""))&lt;&gt;"","YEL","")</f>
        <v/>
      </c>
      <c r="HU11" s="48" t="str" cm="1">
        <f t="array" ref="HU11">IF(_xlfn.TEXTJOIN(", ", TRUE, IF(ISNUMBER(SEARCH("ORA", BL11:BT11)), COLUMN(BL11:BT11) - COLUMN(BL11) + 1, ""))&lt;&gt;"","ORA","")</f>
        <v/>
      </c>
      <c r="HV11" s="48" t="str" cm="1">
        <f t="array" ref="HV11">IF(_xlfn.TEXTJOIN(", ", TRUE, IF(ISNUMBER(SEARCH("BRO", BL11:BT11)), COLUMN(BL11:BT11) - COLUMN(BL11) + 1, ""))&lt;&gt;"","BRO","")</f>
        <v/>
      </c>
      <c r="HW11" s="48" t="str" cm="1">
        <f t="array" ref="HW11">IF(_xlfn.TEXTJOIN(", ", TRUE, IF(ISNUMBER(SEARCH("PUR", BL11:BT11)), COLUMN(BL11:BT11) - COLUMN(BL11) + 1, ""))&lt;&gt;"","PUR","")</f>
        <v/>
      </c>
      <c r="HX11" s="48" t="str" cm="1">
        <f t="array" ref="HX11">IF(_xlfn.TEXTJOIN(", ", TRUE, IF(ISNUMBER(SEARCH("WHI", BL11:BT11)), COLUMN(BL11:BT11) - COLUMN(BL11) + 1, ""))&lt;&gt;"","WHI","")</f>
        <v>WHI</v>
      </c>
      <c r="HY11" s="76"/>
      <c r="HZ11" s="76"/>
      <c r="IA11" s="6"/>
      <c r="IB11" s="6"/>
      <c r="IC11" s="77"/>
      <c r="ID11" s="77"/>
      <c r="IE11" s="77"/>
      <c r="IF11" s="77"/>
      <c r="IG11" s="77"/>
      <c r="IH11" s="77"/>
      <c r="II11" s="77"/>
      <c r="IJ11" s="77"/>
      <c r="IK11" s="77"/>
      <c r="IM11" s="45">
        <f t="shared" si="92"/>
        <v>-4</v>
      </c>
      <c r="IN11" s="78" t="str">
        <f t="shared" si="93"/>
        <v>http://mkweb.bcgsc.ca/color-summarizer/?url=https://upload.wikimedia.org/wikipedia/commons/thumb/7/7d/Flag_of_Cojedes_State.svg/320px-Flag_of_Cojedes_State.svg.png&amp;precision=low&amp;num_clusters=4&amp;text=1</v>
      </c>
      <c r="IO11" s="48" t="str">
        <f t="shared" si="94"/>
        <v>"black"</v>
      </c>
      <c r="IP11" s="48" t="str">
        <f t="shared" si="95"/>
        <v>"blue"</v>
      </c>
      <c r="IQ11" s="48" t="str">
        <f t="shared" si="96"/>
        <v/>
      </c>
      <c r="IR11" s="48" t="str">
        <f t="shared" si="97"/>
        <v>"red"</v>
      </c>
      <c r="IS11" s="48" t="str">
        <f t="shared" si="98"/>
        <v/>
      </c>
      <c r="IT11" s="48" t="str">
        <f t="shared" si="99"/>
        <v/>
      </c>
      <c r="IU11" s="48" t="str">
        <f t="shared" si="100"/>
        <v/>
      </c>
      <c r="IV11" s="48" t="str">
        <f t="shared" si="101"/>
        <v/>
      </c>
      <c r="IW11" s="48" t="str">
        <f t="shared" si="102"/>
        <v>"white"</v>
      </c>
      <c r="IX11" s="48" t="str">
        <f t="shared" si="103"/>
        <v>{"url":"http://mkweb.bcgsc.ca/color-summarizer/?url=https://upload.wikimedia.org/wikipedia/commons/thumb/7/7d/Flag_of_Cojedes_State.svg/320px-Flag_of_Cojedes_State.svg.png&amp;precision=low&amp;num_clusters=4&amp;text=1","name":"[VEN] Cojedes"},</v>
      </c>
      <c r="IY11" s="48">
        <v>1255</v>
      </c>
    </row>
    <row r="12" spans="1:259" s="48" customFormat="1" ht="38.4" customHeight="1" thickBot="1" x14ac:dyDescent="0.35">
      <c r="A12" s="79" t="s">
        <v>741</v>
      </c>
      <c r="B12" s="40" t="e" vm="111">
        <v>#VALUE!</v>
      </c>
      <c r="C12" s="41">
        <v>2</v>
      </c>
      <c r="D12" s="42" t="s">
        <v>742</v>
      </c>
      <c r="E12" s="43" t="s">
        <v>743</v>
      </c>
      <c r="F12" s="44" t="s">
        <v>166</v>
      </c>
      <c r="G12" s="45">
        <f>COUNTIF($A$1:$A$8305,A12)</f>
        <v>1</v>
      </c>
      <c r="H12" s="46"/>
      <c r="I12" s="47" t="s">
        <v>744</v>
      </c>
      <c r="J12" s="48" t="str">
        <f>""</f>
        <v/>
      </c>
      <c r="K12" s="49"/>
      <c r="L12" s="50"/>
      <c r="M12" s="50"/>
      <c r="N12" s="51" t="s">
        <v>169</v>
      </c>
      <c r="O12" s="52">
        <v>2004</v>
      </c>
      <c r="P12" s="53" t="s">
        <v>745</v>
      </c>
      <c r="Q12" s="54">
        <v>2</v>
      </c>
      <c r="R12" s="55" t="s">
        <v>169</v>
      </c>
      <c r="S12" s="56">
        <v>3</v>
      </c>
      <c r="T12" s="57" t="s">
        <v>173</v>
      </c>
      <c r="U12" s="58" t="s">
        <v>172</v>
      </c>
      <c r="V12" s="58" t="s">
        <v>173</v>
      </c>
      <c r="W12" s="58" t="s">
        <v>172</v>
      </c>
      <c r="X12" s="58" t="s">
        <v>173</v>
      </c>
      <c r="Y12" s="58" t="s">
        <v>172</v>
      </c>
      <c r="Z12" s="58" t="s">
        <v>172</v>
      </c>
      <c r="AA12" s="58" t="s">
        <v>173</v>
      </c>
      <c r="AB12" s="58" t="s">
        <v>173</v>
      </c>
      <c r="AC12" s="58" t="s">
        <v>172</v>
      </c>
      <c r="AD12" s="58" t="s">
        <v>173</v>
      </c>
      <c r="AE12" s="58" t="s">
        <v>172</v>
      </c>
      <c r="AF12" s="59" t="s">
        <v>173</v>
      </c>
      <c r="AG12" s="59" t="s">
        <v>173</v>
      </c>
      <c r="AH12" s="59" t="s">
        <v>172</v>
      </c>
      <c r="AI12" s="59" t="s">
        <v>172</v>
      </c>
      <c r="AJ12" s="59" t="s">
        <v>172</v>
      </c>
      <c r="AK12" s="59" t="s">
        <v>172</v>
      </c>
      <c r="AL12" s="59" t="s">
        <v>172</v>
      </c>
      <c r="AM12" s="59" t="s">
        <v>173</v>
      </c>
      <c r="AN12" s="59" t="s">
        <v>173</v>
      </c>
      <c r="AO12" s="59" t="s">
        <v>172</v>
      </c>
      <c r="AP12" s="59" t="s">
        <v>172</v>
      </c>
      <c r="AQ12" s="59" t="s">
        <v>172</v>
      </c>
      <c r="AR12" s="59" t="s">
        <v>172</v>
      </c>
      <c r="AS12" s="59" t="s">
        <v>172</v>
      </c>
      <c r="AT12" s="60">
        <v>5</v>
      </c>
      <c r="AU12" s="59" t="s">
        <v>383</v>
      </c>
      <c r="AV12" s="59" t="str">
        <f>IF(LEFT(A12,1)="[",LEFT(A12,5)&amp;AU12&amp;A12,"")</f>
        <v>[VEN]State[VEN] Delta Amacuro</v>
      </c>
      <c r="AW12" s="59" t="str">
        <f>C12&amp;A12</f>
        <v>2[VEN] Delta Amacuro</v>
      </c>
      <c r="AX12" s="61"/>
      <c r="AY12" s="61"/>
      <c r="AZ12" s="62" t="s">
        <v>174</v>
      </c>
      <c r="BA12" s="62" t="s">
        <v>174</v>
      </c>
      <c r="BB12" s="62"/>
      <c r="BC12" s="63"/>
      <c r="BD12" s="64" t="s">
        <v>159</v>
      </c>
      <c r="BE12" s="47"/>
      <c r="BF12" s="64"/>
      <c r="BG12" s="64" t="s">
        <v>174</v>
      </c>
      <c r="BH12" s="64"/>
      <c r="BI12" s="64"/>
      <c r="BJ12" s="64"/>
      <c r="BK12" s="47"/>
      <c r="BL12" s="64" t="s">
        <v>151</v>
      </c>
      <c r="BM12" s="64" t="s">
        <v>174</v>
      </c>
      <c r="BN12" s="64" t="s">
        <v>153</v>
      </c>
      <c r="BO12" s="64" t="s">
        <v>154</v>
      </c>
      <c r="BP12" s="64" t="s">
        <v>155</v>
      </c>
      <c r="BQ12" s="64" t="s">
        <v>174</v>
      </c>
      <c r="BR12" s="64" t="s">
        <v>174</v>
      </c>
      <c r="BS12" s="64" t="s">
        <v>174</v>
      </c>
      <c r="BT12" s="64" t="s">
        <v>159</v>
      </c>
      <c r="BU12" s="65"/>
      <c r="BV12" s="66"/>
      <c r="BW12" s="66">
        <v>0</v>
      </c>
      <c r="BX12" s="47"/>
      <c r="CB12" s="6"/>
      <c r="CC12" s="6"/>
      <c r="CD12" s="67">
        <v>0</v>
      </c>
      <c r="CE12" s="67">
        <v>0</v>
      </c>
      <c r="CF12" s="67" t="e">
        <v>#REF!</v>
      </c>
      <c r="CG12" s="68" cm="1">
        <f t="array" ref="CG12">SUMPRODUCT(--(LEN(TRIM(BL12:BT12))&gt;0))</f>
        <v>5</v>
      </c>
      <c r="CH12" s="59" t="str">
        <f t="shared" si="6"/>
        <v>n</v>
      </c>
      <c r="CI12" s="59" t="str">
        <f t="shared" si="7"/>
        <v>n</v>
      </c>
      <c r="CJ12" s="59" t="str">
        <f t="shared" si="8"/>
        <v>n</v>
      </c>
      <c r="CK12" s="59" t="str">
        <f t="shared" si="9"/>
        <v>y</v>
      </c>
      <c r="CL12" s="59" t="str">
        <f t="shared" si="10"/>
        <v>n</v>
      </c>
      <c r="CM12" s="59" t="str">
        <f t="shared" si="11"/>
        <v>n</v>
      </c>
      <c r="CN12" s="59" t="str">
        <f t="shared" si="12"/>
        <v>y</v>
      </c>
      <c r="CO12" s="59" t="str">
        <f t="shared" si="13"/>
        <v>n</v>
      </c>
      <c r="CP12" s="59" t="str">
        <f t="shared" si="14"/>
        <v>n</v>
      </c>
      <c r="CQ12" s="59" t="str">
        <f t="shared" si="15"/>
        <v>n</v>
      </c>
      <c r="CR12" s="59" t="str">
        <f t="shared" si="16"/>
        <v>n</v>
      </c>
      <c r="CS12" s="59" t="str">
        <f t="shared" si="17"/>
        <v>y</v>
      </c>
      <c r="CT12" s="69" t="str">
        <f t="shared" si="18"/>
        <v>"[VEN] Delta Amacuro"</v>
      </c>
      <c r="CU12" s="70" t="str">
        <f t="shared" si="19"/>
        <v>"rgn_South America"</v>
      </c>
      <c r="CV12" s="48" t="str">
        <f t="shared" si="20"/>
        <v>"https://upload.wikimedia.org/wikipedia/commons/thumb/2/20/Flag_of_Delta_Amacuro_State.svg/320px-Flag_of_Delta_Amacuro_State.svg.png"</v>
      </c>
      <c r="CW12" s="48" t="str">
        <f t="shared" si="0"/>
        <v/>
      </c>
      <c r="CX12" s="48" t="str">
        <f t="shared" si="0"/>
        <v/>
      </c>
      <c r="CY12" s="48" t="str">
        <f t="shared" si="0"/>
        <v/>
      </c>
      <c r="CZ12" s="48" t="str">
        <f t="shared" si="0"/>
        <v>"5+Colo",</v>
      </c>
      <c r="DA12" s="48" t="str">
        <f t="shared" si="21"/>
        <v>"words2",</v>
      </c>
      <c r="DB12" s="48" t="str">
        <f t="shared" si="22"/>
        <v/>
      </c>
      <c r="DD12" s="48" t="str">
        <f>IF(LEN(CHAR(34)&amp;"lets"&amp;LEN(SUBSTITUTE(SUBSTITUTE(IFERROR(TRIM(SUBSTITUTE(A12,MID(A12,FIND("[",A12),FIND("]",A12)-FIND("[",A12)+1),"")),A12)," ",""),"-",""))&amp;CHAR(34)&amp;",")=9,CHAR(34)&amp;"lets"&amp;LEN(SUBSTITUTE(SUBSTITUTE(IFERROR(TRIM(SUBSTITUTE(A12,MID(A12,FIND("[",A12),FIND("]",A12)-FIND("[",A12)+1),"")),A12)," ",""),"-",""))&amp;CHAR(34)&amp;",",CHAR(34)&amp;"lets0"&amp;LEN(SUBSTITUTE(SUBSTITUTE(IFERROR(TRIM(SUBSTITUTE(A12,MID(A12,FIND("[",A12),FIND("]",A12)-FIND("[",A12)+1),"")),A12)," ",""),"-",""))&amp;CHAR(34)&amp;",")</f>
        <v>"lets12",</v>
      </c>
      <c r="DE12" s="48" t="str">
        <f>CHAR(34)&amp;"start"&amp;IFERROR(LEFT(SUBSTITUTE(A12,"["&amp;MID(A12,FIND("[",A12)+1,FIND("]",A12)-FIND("[",A12)-1)&amp;"] ",""),1),LEFT(A12,1))&amp;CHAR(34)&amp;","</f>
        <v>"startD",</v>
      </c>
      <c r="DF12" s="48" t="str">
        <f t="shared" si="26"/>
        <v/>
      </c>
      <c r="DG12" s="48" t="str">
        <f t="shared" si="27"/>
        <v/>
      </c>
      <c r="DH12" s="48" t="str">
        <f t="shared" si="28"/>
        <v>"with_v",</v>
      </c>
      <c r="DI12" s="48" t="str">
        <f t="shared" si="29"/>
        <v/>
      </c>
      <c r="DJ12" s="48" t="str">
        <f t="shared" si="30"/>
        <v/>
      </c>
      <c r="DK12" s="48" t="str">
        <f t="shared" si="31"/>
        <v/>
      </c>
      <c r="DL12" s="48" t="str">
        <f t="shared" si="32"/>
        <v/>
      </c>
      <c r="DM12" s="48" t="str" cm="1">
        <f t="array" ref="DM12">IF(CG12=3,CHAR(34) &amp; _xlfn.TEXTJOIN("", TRUE, RIGHT(HP12:HX12, 2)) &amp; CHAR(34) &amp; ",", "")</f>
        <v/>
      </c>
      <c r="DN12" s="48" t="str">
        <f t="shared" si="33"/>
        <v/>
      </c>
      <c r="DO12" s="48" t="str">
        <f t="shared" si="34"/>
        <v/>
      </c>
      <c r="DP12" s="6" t="str">
        <f t="shared" si="35"/>
        <v>"year00",</v>
      </c>
      <c r="DQ12" s="6" t="str">
        <f t="shared" si="36"/>
        <v/>
      </c>
      <c r="DR12" s="6" t="str">
        <f t="shared" si="37"/>
        <v/>
      </c>
      <c r="DS12" s="6" t="str">
        <f t="shared" si="38"/>
        <v/>
      </c>
      <c r="DT12" s="6" t="str">
        <f t="shared" si="39"/>
        <v>"allhor",</v>
      </c>
      <c r="DU12" s="6" t="str">
        <f t="shared" si="40"/>
        <v/>
      </c>
      <c r="DW12" s="48" t="str">
        <f t="shared" si="1"/>
        <v/>
      </c>
      <c r="DX12" s="48" t="str">
        <f t="shared" si="1"/>
        <v/>
      </c>
      <c r="DY12" s="48" t="str">
        <f t="shared" si="1"/>
        <v>"3Bands",</v>
      </c>
      <c r="DZ12" s="48" t="str">
        <f t="shared" si="1"/>
        <v/>
      </c>
      <c r="EA12" s="48" t="str">
        <f t="shared" si="2"/>
        <v>"Diagon",</v>
      </c>
      <c r="EB12" s="48" t="str">
        <f t="shared" si="2"/>
        <v/>
      </c>
      <c r="EC12" s="48" t="str">
        <f t="shared" si="2"/>
        <v>"Horizo",</v>
      </c>
      <c r="ED12" s="48" t="str">
        <f t="shared" si="2"/>
        <v/>
      </c>
      <c r="EE12" s="48" t="str">
        <f t="shared" si="2"/>
        <v>"Circle",</v>
      </c>
      <c r="EF12" s="48" t="str">
        <f t="shared" si="42"/>
        <v/>
      </c>
      <c r="EG12" s="48" t="str">
        <f t="shared" si="3"/>
        <v/>
      </c>
      <c r="EH12" s="48" t="str">
        <f t="shared" si="3"/>
        <v>"Plants",</v>
      </c>
      <c r="EI12" s="48" t="str">
        <f t="shared" si="3"/>
        <v>"Texted",</v>
      </c>
      <c r="EJ12" s="48" t="str">
        <f t="shared" si="3"/>
        <v/>
      </c>
      <c r="EK12" s="48" t="str">
        <f t="shared" si="3"/>
        <v>"HasSun",</v>
      </c>
      <c r="EL12" s="48" t="str">
        <f t="shared" si="3"/>
        <v/>
      </c>
      <c r="EM12" s="48" t="str">
        <f t="shared" si="3"/>
        <v>"Trside",</v>
      </c>
      <c r="EN12" s="48" t="str">
        <f t="shared" si="3"/>
        <v>"Unequa",</v>
      </c>
      <c r="EO12" s="48" t="str">
        <f t="shared" si="3"/>
        <v/>
      </c>
      <c r="EP12" s="48" t="str">
        <f t="shared" si="3"/>
        <v/>
      </c>
      <c r="EQ12" s="48" t="str">
        <f t="shared" si="3"/>
        <v/>
      </c>
      <c r="ER12" s="48" t="str">
        <f t="shared" si="3"/>
        <v/>
      </c>
      <c r="ES12" s="48" t="str">
        <f t="shared" si="3"/>
        <v/>
      </c>
      <c r="ET12" s="48" t="str">
        <f t="shared" si="3"/>
        <v>"Geogrh",</v>
      </c>
      <c r="EU12" s="48" t="str">
        <f t="shared" si="3"/>
        <v>"Humans",</v>
      </c>
      <c r="EV12" s="48" t="str">
        <f t="shared" si="3"/>
        <v/>
      </c>
      <c r="EW12" s="48" t="str">
        <f t="shared" si="3"/>
        <v/>
      </c>
      <c r="EX12" s="48" t="str">
        <f t="shared" si="3"/>
        <v/>
      </c>
      <c r="EY12" s="48" t="str">
        <f t="shared" si="3"/>
        <v/>
      </c>
      <c r="EZ12" s="48" t="str">
        <f t="shared" si="3"/>
        <v/>
      </c>
      <c r="FA12" s="48" t="str">
        <f t="shared" si="43"/>
        <v>"sta",</v>
      </c>
      <c r="FB12" s="48" t="str">
        <f t="shared" si="44"/>
        <v/>
      </c>
      <c r="FD12" s="48" t="str">
        <f t="shared" si="46"/>
        <v/>
      </c>
      <c r="FE12" s="48" t="str">
        <f t="shared" si="47"/>
        <v>"NO_BLU",</v>
      </c>
      <c r="FF12" s="48" t="str">
        <f t="shared" si="48"/>
        <v/>
      </c>
      <c r="FG12" s="48" t="str">
        <f t="shared" si="49"/>
        <v/>
      </c>
      <c r="FH12" s="48" t="str">
        <f t="shared" si="50"/>
        <v/>
      </c>
      <c r="FI12" s="48" t="str">
        <f t="shared" si="51"/>
        <v/>
      </c>
      <c r="FJ12" s="48" t="str">
        <f t="shared" si="52"/>
        <v/>
      </c>
      <c r="FK12" s="48" t="str">
        <f t="shared" si="53"/>
        <v/>
      </c>
      <c r="FL12" s="48" t="str">
        <f t="shared" si="54"/>
        <v/>
      </c>
      <c r="FM12" s="48" t="str">
        <f t="shared" si="55"/>
        <v/>
      </c>
      <c r="FN12" s="48" t="str">
        <f t="shared" si="56"/>
        <v/>
      </c>
      <c r="FO12" s="48" t="str">
        <f t="shared" si="57"/>
        <v/>
      </c>
      <c r="FP12" s="48" t="str">
        <f t="shared" si="58"/>
        <v/>
      </c>
      <c r="FQ12" s="48" t="str">
        <f t="shared" si="59"/>
        <v/>
      </c>
      <c r="FR12" s="48" t="str">
        <f t="shared" si="60"/>
        <v/>
      </c>
      <c r="FS12" s="48" t="str">
        <f t="shared" si="61"/>
        <v/>
      </c>
      <c r="FT12" s="48" t="str">
        <f t="shared" si="62"/>
        <v>"myrWHI",</v>
      </c>
      <c r="FU12" s="48" t="str">
        <f t="shared" si="63"/>
        <v/>
      </c>
      <c r="FV12" s="48" t="str">
        <f t="shared" si="64"/>
        <v/>
      </c>
      <c r="FW12" s="48" t="str">
        <f t="shared" si="65"/>
        <v/>
      </c>
      <c r="FY12" s="48" t="str">
        <f t="shared" si="67"/>
        <v/>
      </c>
      <c r="FZ12" s="48" t="str">
        <f t="shared" si="68"/>
        <v/>
      </c>
      <c r="GA12" s="48" t="str">
        <f t="shared" si="69"/>
        <v/>
      </c>
      <c r="GB12" s="48" t="str">
        <f t="shared" si="70"/>
        <v/>
      </c>
      <c r="GE12" s="48" t="str">
        <f t="shared" si="73"/>
        <v/>
      </c>
      <c r="GF12" s="48" t="str">
        <f t="shared" si="74"/>
        <v/>
      </c>
      <c r="GG12" s="48" t="str">
        <f t="shared" si="75"/>
        <v/>
      </c>
      <c r="GH12" s="48" t="str">
        <f t="shared" si="76"/>
        <v/>
      </c>
      <c r="GI12" s="48" t="str">
        <f t="shared" si="77"/>
        <v/>
      </c>
      <c r="GJ12" s="48" t="str">
        <f t="shared" si="78"/>
        <v/>
      </c>
      <c r="GK12" s="48" t="str">
        <f t="shared" si="79"/>
        <v>"HasSta",</v>
      </c>
      <c r="GL12" s="48" t="str">
        <f t="shared" si="4"/>
        <v/>
      </c>
      <c r="GM12" s="48" t="str">
        <f t="shared" si="4"/>
        <v/>
      </c>
      <c r="GN12" s="48" t="str">
        <f t="shared" si="4"/>
        <v>"3+Star",</v>
      </c>
      <c r="GP12" s="48" t="str">
        <f t="shared" si="80"/>
        <v>"State"</v>
      </c>
      <c r="GS12" s="48" t="str">
        <f t="shared" si="81"/>
        <v>["5+Colo","words2","lets12","startD","with_v","year00","allhor","3Bands","Diagon","Horizo","Circle","Plants","Texted","HasSun","Trside","Unequa","Geogrh","Humans","sta","NO_BLU","myrWHI","HasSta","3+Star"]</v>
      </c>
      <c r="GT12" s="48" t="str">
        <f t="shared" si="5"/>
        <v>"cl_BLA",</v>
      </c>
      <c r="GU12" s="48" t="str">
        <f t="shared" si="5"/>
        <v/>
      </c>
      <c r="GV12" s="48" t="str">
        <f t="shared" si="5"/>
        <v>"cl_GRE",</v>
      </c>
      <c r="GW12" s="48" t="str">
        <f t="shared" si="5"/>
        <v>"cl_RED",</v>
      </c>
      <c r="GX12" s="48" t="str">
        <f t="shared" si="5"/>
        <v>"cl_YEL",</v>
      </c>
      <c r="GY12" s="48" t="str">
        <f t="shared" si="5"/>
        <v/>
      </c>
      <c r="GZ12" s="48" t="str">
        <f t="shared" si="5"/>
        <v/>
      </c>
      <c r="HA12" s="48" t="str">
        <f t="shared" si="5"/>
        <v/>
      </c>
      <c r="HB12" s="48" t="str">
        <f t="shared" si="5"/>
        <v>"cl_WHI",</v>
      </c>
      <c r="HC12" s="48" t="str">
        <f t="shared" si="82"/>
        <v>["cl_BLA","cl_GRE","cl_RED","cl_YEL","cl_WHI"]</v>
      </c>
      <c r="HE12" s="71"/>
      <c r="HF12" s="72" t="str">
        <f t="shared" si="83"/>
        <v>{couname:"[VEN] Delta Amacuro",year:"2004",region:"rgn_South America",Colors:["cl_BLA","cl_GRE","cl_RED","cl_YEL","cl_WHI"],Items:["5+Colo","words2","lets12","startD","with_v","year00","allhor","3Bands","Diagon","Horizo","Circle","Plants","Texted","HasSun","Trside","Unequa","Geogrh","Humans","sta","NO_BLU","myrWHI","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links: "https://www.crwflags.com/fotw/flags/ve-y.html"},</v>
      </c>
      <c r="HG12" s="73" t="str">
        <f t="shared" si="84"/>
        <v>{couname:"[VEN] Delta Amacuro",year:"2004",region:"rgn_South America",Colors:["cl_BLA","cl_GRE","cl_RED","cl_YEL","cl_WHI"],Items:["5+Colo","words2","lets12","startD","with_v","year00","allhor","3Bands","Diagon","Horizo","Circle","Plants","Texted","HasSun","Trside","Unequa","Geogrh","Humans","sta","NO_BLU","myrWHI","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links: "https://www.crwflags.com/fotw/flags/ve-y.html"},</v>
      </c>
      <c r="HH12" s="48" t="str">
        <f t="shared" si="85"/>
        <v>"\nThe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v>
      </c>
      <c r="HI12" s="48" t="str">
        <f t="shared" si="86"/>
        <v>"\nThe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v>
      </c>
      <c r="HJ12" s="48" t="str">
        <f t="shared" si="87"/>
        <v>"2004"</v>
      </c>
      <c r="HL12" s="48" t="str">
        <f t="shared" si="88"/>
        <v>"https://www.crwflags.com/fotw/flags/ve-y.html"</v>
      </c>
      <c r="HM12" s="72" t="str">
        <f t="shared" si="89"/>
        <v>{"couname":"[VEN] Delta Amacuro","year":"2004","region":"rgn_South America","Colors":["cl_BLA","cl_GRE","cl_RED","cl_YEL","cl_WHI"],"Items":["5+Colo","words2","lets12","startD","with_v","year00","allhor","3Bands","Diagon","Horizo","Circle","Plants","Texted","HasSun","Trside","Unequa","Geogrh","Humans","sta","NO_BLU","myrWHI","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 "links": "https://www.crwflags.com/fotw/flags/ve-y.html"},</v>
      </c>
      <c r="HN12" s="74" t="str">
        <f t="shared" si="90"/>
        <v>{"couname":"[VEN] Delta Amacuro","year":"2004","region":"rgn_South America","Colors":["cl_BLA","cl_GRE","cl_RED","cl_YEL","cl_WHI"],"Items":["5+Colo","words2","lets12","startD","with_v","year00","allhor","3Bands","Diagon","Horizo","Circle","Plants","Texted","HasSun","Trside","Unequa","Geogrh","Humans","sta","NO_BLU","myrWHI","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 "links": "https://www.crwflags.com/fotw/flags/ve-y.html"},</v>
      </c>
      <c r="HO12" s="75">
        <v>45610</v>
      </c>
      <c r="HP12" s="48" t="str" cm="1">
        <f t="array" ref="HP12">IF(_xlfn.TEXTJOIN(", ", TRUE, IF(ISNUMBER(SEARCH("BLA", BL12:BT12)), COLUMN(BL12:BT12) - COLUMN(BL12) + 1, ""))&lt;&gt;"","BLA","")</f>
        <v>BLA</v>
      </c>
      <c r="HQ12" s="48" t="str" cm="1">
        <f t="array" ref="HQ12">IF(_xlfn.TEXTJOIN(", ", TRUE, IF(ISNUMBER(SEARCH("BLU", BL12:BT12)), COLUMN(BL12:BT12) - COLUMN(BL12) + 1, ""))&lt;&gt;"","BLU","")</f>
        <v/>
      </c>
      <c r="HR12" s="48" t="str" cm="1">
        <f t="array" ref="HR12">IF(_xlfn.TEXTJOIN(", ", TRUE, IF(ISNUMBER(SEARCH("GRE", BL12:BT12)), COLUMN(BL12:BT12) - COLUMN(BL12) + 1, ""))&lt;&gt;"","GRE","")</f>
        <v>GRE</v>
      </c>
      <c r="HS12" s="48" t="str" cm="1">
        <f t="array" ref="HS12">IF(_xlfn.TEXTJOIN(", ", TRUE, IF(ISNUMBER(SEARCH("RED", BL12:BT12)), COLUMN(BL12:BT12) - COLUMN(BL12) + 1, ""))&lt;&gt;"","RED","")</f>
        <v>RED</v>
      </c>
      <c r="HT12" s="48" t="str" cm="1">
        <f t="array" ref="HT12">IF(_xlfn.TEXTJOIN(", ", TRUE, IF(ISNUMBER(SEARCH("YEL", BL12:BT12)), COLUMN(BL12:BT12) - COLUMN(BL12) + 1, ""))&lt;&gt;"","YEL","")</f>
        <v>YEL</v>
      </c>
      <c r="HU12" s="48" t="str" cm="1">
        <f t="array" ref="HU12">IF(_xlfn.TEXTJOIN(", ", TRUE, IF(ISNUMBER(SEARCH("ORA", BL12:BT12)), COLUMN(BL12:BT12) - COLUMN(BL12) + 1, ""))&lt;&gt;"","ORA","")</f>
        <v/>
      </c>
      <c r="HV12" s="48" t="str" cm="1">
        <f t="array" ref="HV12">IF(_xlfn.TEXTJOIN(", ", TRUE, IF(ISNUMBER(SEARCH("BRO", BL12:BT12)), COLUMN(BL12:BT12) - COLUMN(BL12) + 1, ""))&lt;&gt;"","BRO","")</f>
        <v/>
      </c>
      <c r="HW12" s="48" t="str" cm="1">
        <f t="array" ref="HW12">IF(_xlfn.TEXTJOIN(", ", TRUE, IF(ISNUMBER(SEARCH("PUR", BL12:BT12)), COLUMN(BL12:BT12) - COLUMN(BL12) + 1, ""))&lt;&gt;"","PUR","")</f>
        <v/>
      </c>
      <c r="HX12" s="48" t="str" cm="1">
        <f t="array" ref="HX12">IF(_xlfn.TEXTJOIN(", ", TRUE, IF(ISNUMBER(SEARCH("WHI", BL12:BT12)), COLUMN(BL12:BT12) - COLUMN(BL12) + 1, ""))&lt;&gt;"","WHI","")</f>
        <v>WHI</v>
      </c>
      <c r="HY12" s="76"/>
      <c r="HZ12" s="76"/>
      <c r="IA12" s="6"/>
      <c r="IB12" s="6"/>
      <c r="IC12" s="77"/>
      <c r="ID12" s="77"/>
      <c r="IE12" s="77"/>
      <c r="IF12" s="77"/>
      <c r="IG12" s="77"/>
      <c r="IH12" s="77"/>
      <c r="II12" s="77"/>
      <c r="IJ12" s="77"/>
      <c r="IK12" s="77"/>
      <c r="IM12" s="45">
        <f t="shared" si="92"/>
        <v>-5</v>
      </c>
      <c r="IN12" s="78" t="str">
        <f t="shared" si="93"/>
        <v>http://mkweb.bcgsc.ca/color-summarizer/?url=https://upload.wikimedia.org/wikipedia/commons/thumb/2/20/Flag_of_Delta_Amacuro_State.svg/320px-Flag_of_Delta_Amacuro_State.svg.png&amp;precision=low&amp;num_clusters=5&amp;text=1</v>
      </c>
      <c r="IO12" s="48" t="str">
        <f t="shared" si="94"/>
        <v>"black"</v>
      </c>
      <c r="IP12" s="48" t="str">
        <f t="shared" si="95"/>
        <v/>
      </c>
      <c r="IQ12" s="48" t="str">
        <f t="shared" si="96"/>
        <v>"green"</v>
      </c>
      <c r="IR12" s="48" t="str">
        <f t="shared" si="97"/>
        <v>"red"</v>
      </c>
      <c r="IS12" s="48" t="str">
        <f t="shared" si="98"/>
        <v>"yellow"</v>
      </c>
      <c r="IT12" s="48" t="str">
        <f t="shared" si="99"/>
        <v/>
      </c>
      <c r="IU12" s="48" t="str">
        <f t="shared" si="100"/>
        <v/>
      </c>
      <c r="IV12" s="48" t="str">
        <f t="shared" si="101"/>
        <v/>
      </c>
      <c r="IW12" s="48" t="str">
        <f t="shared" si="102"/>
        <v>"white"</v>
      </c>
      <c r="IX12" s="48" t="str">
        <f t="shared" si="103"/>
        <v>{"url":"http://mkweb.bcgsc.ca/color-summarizer/?url=https://upload.wikimedia.org/wikipedia/commons/thumb/2/20/Flag_of_Delta_Amacuro_State.svg/320px-Flag_of_Delta_Amacuro_State.svg.png&amp;precision=low&amp;num_clusters=5&amp;text=1","name":"[VEN] Delta Amacuro"},</v>
      </c>
      <c r="IY12" s="48">
        <v>1256</v>
      </c>
    </row>
    <row r="13" spans="1:259" s="48" customFormat="1" ht="38.4" customHeight="1" thickBot="1" x14ac:dyDescent="0.35">
      <c r="A13" s="79" t="s">
        <v>746</v>
      </c>
      <c r="B13" s="40" t="e" vm="112">
        <v>#VALUE!</v>
      </c>
      <c r="C13" s="41">
        <v>2</v>
      </c>
      <c r="D13" s="42" t="s">
        <v>747</v>
      </c>
      <c r="E13" s="43" t="s">
        <v>748</v>
      </c>
      <c r="F13" s="44" t="s">
        <v>166</v>
      </c>
      <c r="G13" s="45">
        <f>COUNTIF($A$1:$A$8305,A13)</f>
        <v>1</v>
      </c>
      <c r="H13" s="46"/>
      <c r="I13" s="47" t="s">
        <v>749</v>
      </c>
      <c r="J13" s="48" t="str">
        <f>""</f>
        <v/>
      </c>
      <c r="K13" s="49"/>
      <c r="L13" s="50"/>
      <c r="M13" s="50"/>
      <c r="N13" s="51" t="s">
        <v>169</v>
      </c>
      <c r="O13" s="52">
        <v>2006</v>
      </c>
      <c r="P13" s="53" t="s">
        <v>750</v>
      </c>
      <c r="Q13" s="54">
        <v>1</v>
      </c>
      <c r="R13" s="55" t="s">
        <v>169</v>
      </c>
      <c r="S13" s="56">
        <v>2</v>
      </c>
      <c r="T13" s="57" t="s">
        <v>172</v>
      </c>
      <c r="U13" s="58" t="s">
        <v>172</v>
      </c>
      <c r="V13" s="58" t="s">
        <v>173</v>
      </c>
      <c r="W13" s="58" t="s">
        <v>172</v>
      </c>
      <c r="X13" s="58" t="s">
        <v>173</v>
      </c>
      <c r="Y13" s="58" t="s">
        <v>172</v>
      </c>
      <c r="Z13" s="58" t="s">
        <v>172</v>
      </c>
      <c r="AA13" s="58" t="s">
        <v>172</v>
      </c>
      <c r="AB13" s="58" t="s">
        <v>173</v>
      </c>
      <c r="AC13" s="58" t="s">
        <v>172</v>
      </c>
      <c r="AD13" s="58" t="s">
        <v>173</v>
      </c>
      <c r="AE13" s="58" t="s">
        <v>173</v>
      </c>
      <c r="AF13" s="59" t="s">
        <v>172</v>
      </c>
      <c r="AG13" s="59" t="s">
        <v>172</v>
      </c>
      <c r="AH13" s="59" t="s">
        <v>172</v>
      </c>
      <c r="AI13" s="59" t="s">
        <v>172</v>
      </c>
      <c r="AJ13" s="59" t="s">
        <v>172</v>
      </c>
      <c r="AK13" s="59" t="s">
        <v>172</v>
      </c>
      <c r="AL13" s="59" t="s">
        <v>172</v>
      </c>
      <c r="AM13" s="59" t="s">
        <v>172</v>
      </c>
      <c r="AN13" s="59" t="s">
        <v>172</v>
      </c>
      <c r="AO13" s="59" t="s">
        <v>172</v>
      </c>
      <c r="AP13" s="59" t="s">
        <v>172</v>
      </c>
      <c r="AQ13" s="59" t="s">
        <v>172</v>
      </c>
      <c r="AR13" s="59" t="s">
        <v>172</v>
      </c>
      <c r="AS13" s="59" t="s">
        <v>172</v>
      </c>
      <c r="AT13" s="60">
        <v>0</v>
      </c>
      <c r="AU13" s="59" t="s">
        <v>383</v>
      </c>
      <c r="AV13" s="59" t="str">
        <f>IF(LEFT(A13,1)="[",LEFT(A13,5)&amp;AU13&amp;A13,"")</f>
        <v>[VEN]State[VEN] Falcón</v>
      </c>
      <c r="AW13" s="59" t="str">
        <f>C13&amp;A13</f>
        <v>2[VEN] Falcón</v>
      </c>
      <c r="AX13" s="61" t="str">
        <f>_xlfn.TEXTJOIN(";",TRUE,AU13:AW13)</f>
        <v>State;[VEN]State[VEN] Falcón;2[VEN] Falcón</v>
      </c>
      <c r="AY13" s="61"/>
      <c r="AZ13" s="62" t="s">
        <v>159</v>
      </c>
      <c r="BA13" s="62"/>
      <c r="BB13" s="62"/>
      <c r="BC13" s="63"/>
      <c r="BD13" s="64" t="s">
        <v>154</v>
      </c>
      <c r="BE13" s="47"/>
      <c r="BF13" s="64" t="s">
        <v>159</v>
      </c>
      <c r="BG13" s="64"/>
      <c r="BH13" s="64" t="s">
        <v>154</v>
      </c>
      <c r="BI13" s="64"/>
      <c r="BJ13" s="64"/>
      <c r="BK13" s="47"/>
      <c r="BL13" s="64" t="s">
        <v>154</v>
      </c>
      <c r="BM13" s="64" t="s">
        <v>159</v>
      </c>
      <c r="BN13" s="64" t="s">
        <v>152</v>
      </c>
      <c r="BO13" s="64"/>
      <c r="BP13" s="64"/>
      <c r="BQ13" s="64"/>
      <c r="BR13" s="64"/>
      <c r="BS13" s="64"/>
      <c r="BT13" s="64"/>
      <c r="BU13" s="65" t="s">
        <v>172</v>
      </c>
      <c r="BV13" s="66" t="s">
        <v>278</v>
      </c>
      <c r="BW13" s="66" t="s">
        <v>270</v>
      </c>
      <c r="BX13" s="47"/>
      <c r="CB13" s="6" t="s">
        <v>138</v>
      </c>
      <c r="CC13" s="6"/>
      <c r="CD13" s="67">
        <v>0</v>
      </c>
      <c r="CE13" s="67">
        <v>0</v>
      </c>
      <c r="CF13" s="67" t="e">
        <v>#REF!</v>
      </c>
      <c r="CG13" s="68" cm="1">
        <f t="array" ref="CG13">SUMPRODUCT(--(LEN(TRIM(BL13:BT13))&gt;0))</f>
        <v>3</v>
      </c>
      <c r="CH13" s="59" t="str">
        <f t="shared" si="6"/>
        <v>n</v>
      </c>
      <c r="CI13" s="59" t="str">
        <f t="shared" si="7"/>
        <v>y</v>
      </c>
      <c r="CJ13" s="59" t="str">
        <f t="shared" si="8"/>
        <v>n</v>
      </c>
      <c r="CK13" s="59" t="str">
        <f t="shared" si="9"/>
        <v>n</v>
      </c>
      <c r="CL13" s="59" t="str">
        <f t="shared" si="10"/>
        <v>n</v>
      </c>
      <c r="CM13" s="59" t="str">
        <f t="shared" si="11"/>
        <v>y</v>
      </c>
      <c r="CN13" s="59" t="str">
        <f t="shared" si="12"/>
        <v>n</v>
      </c>
      <c r="CO13" s="59" t="str">
        <f t="shared" si="13"/>
        <v>n</v>
      </c>
      <c r="CP13" s="59" t="str">
        <f t="shared" si="14"/>
        <v>y</v>
      </c>
      <c r="CQ13" s="59" t="str">
        <f t="shared" si="15"/>
        <v>n</v>
      </c>
      <c r="CR13" s="59" t="str">
        <f t="shared" si="16"/>
        <v>n</v>
      </c>
      <c r="CS13" s="59" t="str">
        <f t="shared" si="17"/>
        <v>n</v>
      </c>
      <c r="CT13" s="69" t="str">
        <f t="shared" si="18"/>
        <v>"[VEN] Falcón"</v>
      </c>
      <c r="CU13" s="70" t="str">
        <f t="shared" si="19"/>
        <v>"rgn_South America"</v>
      </c>
      <c r="CV13" s="48" t="str">
        <f t="shared" si="20"/>
        <v>"https://upload.wikimedia.org/wikipedia/commons/thumb/0/0e/Flag_of_Falc%C3%B3n.svg/320px-Flag_of_Falc%C3%B3n.svg.png"</v>
      </c>
      <c r="CW13" s="48" t="str">
        <f t="shared" si="0"/>
        <v/>
      </c>
      <c r="CX13" s="48" t="str">
        <f t="shared" si="0"/>
        <v>"3Color",</v>
      </c>
      <c r="CY13" s="48" t="str">
        <f t="shared" si="0"/>
        <v/>
      </c>
      <c r="CZ13" s="48" t="str">
        <f t="shared" si="0"/>
        <v/>
      </c>
      <c r="DA13" s="48" t="str">
        <f t="shared" si="21"/>
        <v/>
      </c>
      <c r="DB13" s="48" t="str">
        <f t="shared" si="22"/>
        <v/>
      </c>
      <c r="DC13" s="48" t="str">
        <f>IF(Q13=2,CHAR(34)&amp;"exact2"&amp;CHAR(34)&amp;",","")</f>
        <v/>
      </c>
      <c r="DD13" s="48" t="str">
        <f>IF(LEN(CHAR(34)&amp;"lets"&amp;LEN(SUBSTITUTE(SUBSTITUTE(IFERROR(TRIM(SUBSTITUTE(SUBSTITUTE(SUBSTITUTE(IFERROR(TRIM(SUBSTITUTE(A13,MID(A13,FIND("(",A13),FIND(")",A13)-FIND("(",A13)+1),"")),A13),"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",""),"-",""))&amp;CHAR(34)&amp;",")=9,CHAR(34)&amp;"lets"&amp;LEN(SUBSTITUTE(SUBSTITUTE(IFERROR(TRIM(SUBSTITUTE(SUBSTITUTE(SUBSTITUTE(IFERROR(TRIM(SUBSTITUTE(A13,MID(A13,FIND("(",A13),FIND(")",A13)-FIND("(",A13)+1),"")),A13),"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",""),"-",""))&amp;CHAR(34)&amp;",",CHAR(34)&amp;"lets0"&amp;LEN(SUBSTITUTE(SUBSTITUTE(IFERROR(TRIM(SUBSTITUTE(SUBSTITUTE(SUBSTITUTE(IFERROR(TRIM(SUBSTITUTE(A13,MID(A13,FIND("(",A13),FIND(")",A13)-FIND("(",A13)+1),"")),A13),"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f>
        <v>"lets06",</v>
      </c>
      <c r="DE13" s="48" t="str">
        <f>IFERROR(CHAR(34)&amp;"start"&amp;LEFT(TRIM(SUBSTITUTE(SUBSTITUTE(TRIM(SUBSTITUTE(SUBSTITUTE(A13, MID(A13, FIND("[", A13), FIND("]", A13) - FIND("[", A13) + 1), ""), "  ", " ")), MID(TRIM(SUBSTITUTE(SUBSTITUTE(A13, MID(A13, FIND("[", A13), FIND("]", A13) - FIND("[", A13) + 1), ""), "  ", " ")), FIND("[", TRIM(SUBSTITUTE(SUBSTITUTE(A13, MID(A13, FIND("[", A13), FIND("]", A13) - FIND("[", A13) + 1), ""), "  ", " "))), FIND("]", TRIM(SUBSTITUTE(SUBSTITUTE(A13, MID(A13, FIND("[", A13), FIND("]", A13) - FIND("[", A13) + 1), ""), "  ", " "))) - FIND("[", TRIM(SUBSTITUTE(SUBSTITUTE(A13, MID(A13, FIND("[", A13), FIND("]", A13) - FIND("[", A13) + 1), ""), "  ", " "))) + 1), ""), "  ", " ")),1)&amp;CHAR(34)&amp;",",CHAR(34)&amp;"start"&amp;IFERROR(LEFT(SUBSTITUTE(A13,"["&amp;MID(A13,FIND("[",A13)+1,FIND("]",A13)-FIND("[",A13)-1)&amp;"] ",""),1),LEFT(A13,1))&amp;CHAR(34)&amp;",")</f>
        <v>"startF",</v>
      </c>
      <c r="DF13" s="48" t="str">
        <f t="shared" si="26"/>
        <v/>
      </c>
      <c r="DG13" s="48" t="str">
        <f t="shared" si="27"/>
        <v/>
      </c>
      <c r="DH13" s="48" t="str">
        <f t="shared" si="28"/>
        <v>"with_v",</v>
      </c>
      <c r="DI13" s="48" t="str">
        <f t="shared" si="29"/>
        <v/>
      </c>
      <c r="DJ13" s="48" t="str">
        <f t="shared" si="30"/>
        <v/>
      </c>
      <c r="DK13" s="48" t="str">
        <f t="shared" si="31"/>
        <v/>
      </c>
      <c r="DL13" s="48" t="str">
        <f t="shared" si="32"/>
        <v/>
      </c>
      <c r="DM13" s="48" t="str" cm="1">
        <f t="array" ref="DM13">IF(CG13=3,CHAR(34) &amp; _xlfn.TEXTJOIN("", TRUE, RIGHT(HP13:HX13, 2)) &amp; CHAR(34) &amp; ",", "")</f>
        <v>"LUEDHI",</v>
      </c>
      <c r="DN13" s="48" t="str">
        <f t="shared" si="33"/>
        <v/>
      </c>
      <c r="DO13" s="48" t="str">
        <f t="shared" si="34"/>
        <v/>
      </c>
      <c r="DP13" s="6" t="str">
        <f t="shared" si="35"/>
        <v>"year00",</v>
      </c>
      <c r="DQ13" s="6" t="str">
        <f t="shared" si="36"/>
        <v/>
      </c>
      <c r="DR13" s="6" t="str">
        <f t="shared" si="37"/>
        <v/>
      </c>
      <c r="DS13" s="6" t="str">
        <f t="shared" si="38"/>
        <v/>
      </c>
      <c r="DT13" s="6" t="str">
        <f t="shared" si="39"/>
        <v>"allhor",</v>
      </c>
      <c r="DU13" s="6" t="str">
        <f t="shared" si="40"/>
        <v/>
      </c>
      <c r="DV13" s="48" t="str">
        <f>IF(IA13&lt;&gt;"",(IF(IA13="y",CHAR(34)&amp;"largec"&amp;CHAR(34)&amp;",",CHAR(34)&amp;"smallc"&amp;CHAR(34)&amp;",")),"")</f>
        <v/>
      </c>
      <c r="DW13" s="48" t="str">
        <f t="shared" si="1"/>
        <v/>
      </c>
      <c r="DX13" s="48" t="str">
        <f t="shared" si="1"/>
        <v>"2Bands",</v>
      </c>
      <c r="DY13" s="48" t="str">
        <f t="shared" si="1"/>
        <v/>
      </c>
      <c r="DZ13" s="48" t="str">
        <f t="shared" si="1"/>
        <v/>
      </c>
      <c r="EA13" s="48" t="str">
        <f t="shared" si="2"/>
        <v/>
      </c>
      <c r="EB13" s="48" t="str">
        <f t="shared" si="2"/>
        <v/>
      </c>
      <c r="EC13" s="48" t="str">
        <f t="shared" si="2"/>
        <v>"Horizo",</v>
      </c>
      <c r="ED13" s="48" t="str">
        <f t="shared" si="2"/>
        <v/>
      </c>
      <c r="EE13" s="48" t="str">
        <f t="shared" si="2"/>
        <v>"Circle",</v>
      </c>
      <c r="EF13" s="48" t="str">
        <f t="shared" si="42"/>
        <v/>
      </c>
      <c r="EG13" s="48" t="str">
        <f t="shared" si="3"/>
        <v/>
      </c>
      <c r="EH13" s="48" t="str">
        <f t="shared" si="3"/>
        <v/>
      </c>
      <c r="EI13" s="48" t="str">
        <f t="shared" si="3"/>
        <v>"Texted",</v>
      </c>
      <c r="EJ13" s="48" t="str">
        <f t="shared" si="3"/>
        <v/>
      </c>
      <c r="EK13" s="48" t="str">
        <f t="shared" si="3"/>
        <v>"HasSun",</v>
      </c>
      <c r="EL13" s="48" t="str">
        <f t="shared" si="3"/>
        <v>"IsMoon",</v>
      </c>
      <c r="EM13" s="48" t="str">
        <f t="shared" si="3"/>
        <v/>
      </c>
      <c r="EN13" s="48" t="str">
        <f t="shared" si="3"/>
        <v/>
      </c>
      <c r="EO13" s="48" t="str">
        <f t="shared" si="3"/>
        <v/>
      </c>
      <c r="EP13" s="48" t="str">
        <f t="shared" si="3"/>
        <v/>
      </c>
      <c r="EQ13" s="48" t="str">
        <f t="shared" si="3"/>
        <v/>
      </c>
      <c r="ER13" s="48" t="str">
        <f t="shared" si="3"/>
        <v/>
      </c>
      <c r="ES13" s="48" t="str">
        <f t="shared" si="3"/>
        <v/>
      </c>
      <c r="ET13" s="48" t="str">
        <f t="shared" si="3"/>
        <v/>
      </c>
      <c r="EU13" s="48" t="str">
        <f t="shared" si="3"/>
        <v/>
      </c>
      <c r="EV13" s="48" t="str">
        <f t="shared" si="3"/>
        <v/>
      </c>
      <c r="EW13" s="48" t="str">
        <f t="shared" si="3"/>
        <v/>
      </c>
      <c r="EX13" s="48" t="str">
        <f t="shared" si="3"/>
        <v/>
      </c>
      <c r="EY13" s="48" t="str">
        <f t="shared" si="3"/>
        <v/>
      </c>
      <c r="EZ13" s="48" t="str">
        <f t="shared" si="3"/>
        <v/>
      </c>
      <c r="FA13" s="48" t="str">
        <f t="shared" si="43"/>
        <v/>
      </c>
      <c r="FB13" s="48" t="str">
        <f t="shared" si="44"/>
        <v/>
      </c>
      <c r="FC13" s="48" t="str">
        <f>IF(AND(AT13&gt;0,BB13&lt;&gt;""),CHAR(34)&amp;"sta"&amp;BB13&amp;CHAR(34)&amp;",","")</f>
        <v/>
      </c>
      <c r="FD13" s="48" t="str">
        <f t="shared" si="46"/>
        <v/>
      </c>
      <c r="FE13" s="48" t="str">
        <f t="shared" si="47"/>
        <v/>
      </c>
      <c r="FF13" s="48" t="str">
        <f t="shared" si="48"/>
        <v/>
      </c>
      <c r="FG13" s="48" t="str">
        <f t="shared" si="49"/>
        <v/>
      </c>
      <c r="FH13" s="48" t="str">
        <f t="shared" si="50"/>
        <v>"NO_GRE",</v>
      </c>
      <c r="FI13" s="48" t="str">
        <f t="shared" si="51"/>
        <v>"NO_YEL",</v>
      </c>
      <c r="FJ13" s="48" t="str">
        <f t="shared" si="52"/>
        <v>"NO_BLA",</v>
      </c>
      <c r="FK13" s="48" t="str">
        <f t="shared" si="53"/>
        <v/>
      </c>
      <c r="FL13" s="48" t="str">
        <f t="shared" si="54"/>
        <v/>
      </c>
      <c r="FM13" s="48" t="str">
        <f t="shared" si="55"/>
        <v/>
      </c>
      <c r="FN13" s="48" t="str">
        <f t="shared" si="56"/>
        <v/>
      </c>
      <c r="FO13" s="48" t="str">
        <f t="shared" si="57"/>
        <v/>
      </c>
      <c r="FP13" s="48" t="str">
        <f t="shared" si="58"/>
        <v/>
      </c>
      <c r="FQ13" s="48" t="str">
        <f t="shared" si="59"/>
        <v>"001WHI",</v>
      </c>
      <c r="FR13" s="48" t="str">
        <f t="shared" si="60"/>
        <v/>
      </c>
      <c r="FS13" s="48" t="str">
        <f t="shared" si="61"/>
        <v>"003RED",</v>
      </c>
      <c r="FT13" s="48" t="str">
        <f t="shared" si="62"/>
        <v>"myrRED",</v>
      </c>
      <c r="FU13" s="48" t="str">
        <f t="shared" si="63"/>
        <v/>
      </c>
      <c r="FV13" s="48" t="str">
        <f t="shared" si="64"/>
        <v/>
      </c>
      <c r="FW13" s="48" t="str">
        <f t="shared" si="65"/>
        <v/>
      </c>
      <c r="FX13" s="48" t="str">
        <f>SUBSTITUTE(IFERROR(SEARCH("[",A13),IFERROR(IF(AND(CA13&lt;&gt;"y",SEARCH("Europe",R13)&gt;0),CHAR(34)&amp;"noeuni"&amp;CHAR(34)&amp;",",""),"")),"1","")</f>
        <v/>
      </c>
      <c r="FY13" s="48" t="str">
        <f t="shared" si="67"/>
        <v/>
      </c>
      <c r="FZ13" s="48" t="str">
        <f t="shared" si="68"/>
        <v/>
      </c>
      <c r="GA13" s="48" t="str">
        <f t="shared" si="69"/>
        <v/>
      </c>
      <c r="GB13" s="48" t="str">
        <f t="shared" si="70"/>
        <v>"spanis",</v>
      </c>
      <c r="GC13" s="48" t="str">
        <f>IFERROR(IF(SEARCH("Portuguese",CB13)&gt;0,CHAR(34)&amp;"portug"&amp;CHAR(34)&amp;",",""),"")</f>
        <v/>
      </c>
      <c r="GD13" s="48" t="str">
        <f>IFERROR(IF(SEARCH("German",CB13)&gt;0,CHAR(34)&amp;"german"&amp;CHAR(34)&amp;",",""),"")</f>
        <v/>
      </c>
      <c r="GE13" s="48" t="str">
        <f t="shared" si="73"/>
        <v/>
      </c>
      <c r="GF13" s="48" t="str">
        <f>IFERROR(IF(SEARCH("Histor",AU13)&gt;0,CHAR(34)&amp;"histor"&amp;CHAR(34)&amp;",",""),"")</f>
        <v/>
      </c>
      <c r="GG13" s="48" t="str">
        <f t="shared" si="75"/>
        <v/>
      </c>
      <c r="GH13" s="48" t="str">
        <f t="shared" si="76"/>
        <v/>
      </c>
      <c r="GI13" s="48" t="str">
        <f t="shared" si="77"/>
        <v/>
      </c>
      <c r="GJ13" s="48" t="str">
        <f t="shared" si="78"/>
        <v>"NoStar",</v>
      </c>
      <c r="GK13" s="48" t="str">
        <f t="shared" si="79"/>
        <v/>
      </c>
      <c r="GL13" s="48" t="str">
        <f t="shared" si="4"/>
        <v/>
      </c>
      <c r="GM13" s="48" t="str">
        <f t="shared" si="4"/>
        <v/>
      </c>
      <c r="GN13" s="48" t="str">
        <f t="shared" si="4"/>
        <v/>
      </c>
      <c r="GP13" s="48" t="str">
        <f t="shared" si="80"/>
        <v>"State"</v>
      </c>
      <c r="GS13" s="48" t="str">
        <f t="shared" si="81"/>
        <v>["3Color","lets06","startF","with_v","LUEDHI","year00","allhor","2Bands","Horizo","Circle","Texted","HasSun","IsMoon","NO_GRE","NO_YEL","NO_BLA","001WHI","003RED","myrRED","spanis","NoStar"]</v>
      </c>
      <c r="GT13" s="48" t="str">
        <f t="shared" si="5"/>
        <v>"cl_RED",</v>
      </c>
      <c r="GU13" s="48" t="str">
        <f t="shared" si="5"/>
        <v>"cl_WHI",</v>
      </c>
      <c r="GV13" s="48" t="str">
        <f t="shared" si="5"/>
        <v>"cl_BLU",</v>
      </c>
      <c r="GW13" s="48" t="str">
        <f t="shared" si="5"/>
        <v/>
      </c>
      <c r="GX13" s="48" t="str">
        <f t="shared" si="5"/>
        <v/>
      </c>
      <c r="GY13" s="48" t="str">
        <f t="shared" si="5"/>
        <v/>
      </c>
      <c r="GZ13" s="48" t="str">
        <f t="shared" si="5"/>
        <v/>
      </c>
      <c r="HA13" s="48" t="str">
        <f t="shared" si="5"/>
        <v/>
      </c>
      <c r="HB13" s="48" t="str">
        <f t="shared" si="5"/>
        <v/>
      </c>
      <c r="HC13" s="48" t="str">
        <f t="shared" si="82"/>
        <v>["cl_RED","cl_WHI","cl_BLU"]</v>
      </c>
      <c r="HE13" s="71"/>
      <c r="HF13" s="72" t="str">
        <f t="shared" si="83"/>
        <v>{couname:"[VEN] Falcón",year:"2006",region:"rgn_South America",Colors:["cl_RED","cl_WHI","cl_BLU"],Items:["3Color","lets06","startF","with_v","LUEDHI","year00","allhor","2Bands","Horizo","Circle","Texted","HasSun","IsMoon","NO_GRE","NO_YEL","NO_BLA","001WHI","003RED","myrRED","spanis","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links: "https://en.wikipedia.org/wiki/Flag_of_Falc%C3%B3n"},</v>
      </c>
      <c r="HG13" s="73" t="str">
        <f t="shared" si="84"/>
        <v>{couname:"[VEN] Falcón",year:"2006",region:"rgn_South America",Colors:["cl_RED","cl_WHI","cl_BLU"],Items:["3Color","lets06","startF","with_v","LUEDHI","year00","allhor","2Bands","Horizo","Circle","Texted","HasSun","IsMoon","NO_GRE","NO_YEL","NO_BLA","001WHI","003RED","myrRED","spanis","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links: "https://en.wikipedia.org/wiki/Flag_of_Falc%C3%B3n"},</v>
      </c>
      <c r="HH13" s="48" t="str">
        <f t="shared" si="85"/>
        <v>"\nThe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v>
      </c>
      <c r="HI13" s="48" t="str">
        <f t="shared" si="86"/>
        <v>"\nThe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v>
      </c>
      <c r="HJ13" s="48" t="str">
        <f t="shared" si="87"/>
        <v>"2006"</v>
      </c>
      <c r="HL13" s="48" t="str">
        <f t="shared" si="88"/>
        <v>"https://en.wikipedia.org/wiki/Flag_of_Falc%C3%B3n"</v>
      </c>
      <c r="HM13" s="72" t="str">
        <f t="shared" si="89"/>
        <v>{"couname":"[VEN] Falcón","year":"2006","region":"rgn_South America","Colors":["cl_RED","cl_WHI","cl_BLU"],"Items":["3Color","lets06","startF","with_v","LUEDHI","year00","allhor","2Bands","Horizo","Circle","Texted","HasSun","IsMoon","NO_GRE","NO_YEL","NO_BLA","001WHI","003RED","myrRED","spanis","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 "links": "https://en.wikipedia.org/wiki/Flag_of_Falc%C3%B3n"},</v>
      </c>
      <c r="HN13" s="74" t="str">
        <f t="shared" si="90"/>
        <v>{"couname":"[VEN] Falcón","year":"2006","region":"rgn_South America","Colors":["cl_RED","cl_WHI","cl_BLU"],"Items":["3Color","lets06","startF","with_v","LUEDHI","year00","allhor","2Bands","Horizo","Circle","Texted","HasSun","IsMoon","NO_GRE","NO_YEL","NO_BLA","001WHI","003RED","myrRED","spanis","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 "links": "https://en.wikipedia.org/wiki/Flag_of_Falc%C3%B3n"},</v>
      </c>
      <c r="HO13" s="75"/>
      <c r="HP13" s="48" t="str" cm="1">
        <f t="array" ref="HP13">IF(_xlfn.TEXTJOIN(", ", TRUE, IF(ISNUMBER(SEARCH("BLA", BL13:BT13)), COLUMN(BL13:BT13) - COLUMN(BL13) + 1, ""))&lt;&gt;"","BLA","")</f>
        <v/>
      </c>
      <c r="HQ13" s="48" t="str" cm="1">
        <f t="array" ref="HQ13">IF(_xlfn.TEXTJOIN(", ", TRUE, IF(ISNUMBER(SEARCH("BLU", BL13:BT13)), COLUMN(BL13:BT13) - COLUMN(BL13) + 1, ""))&lt;&gt;"","BLU","")</f>
        <v>BLU</v>
      </c>
      <c r="HR13" s="48" t="str" cm="1">
        <f t="array" ref="HR13">IF(_xlfn.TEXTJOIN(", ", TRUE, IF(ISNUMBER(SEARCH("GRE", BL13:BT13)), COLUMN(BL13:BT13) - COLUMN(BL13) + 1, ""))&lt;&gt;"","GRE","")</f>
        <v/>
      </c>
      <c r="HS13" s="48" t="str" cm="1">
        <f t="array" ref="HS13">IF(_xlfn.TEXTJOIN(", ", TRUE, IF(ISNUMBER(SEARCH("RED", BL13:BT13)), COLUMN(BL13:BT13) - COLUMN(BL13) + 1, ""))&lt;&gt;"","RED","")</f>
        <v>RED</v>
      </c>
      <c r="HT13" s="48" t="str" cm="1">
        <f t="array" ref="HT13">IF(_xlfn.TEXTJOIN(", ", TRUE, IF(ISNUMBER(SEARCH("YEL", BL13:BT13)), COLUMN(BL13:BT13) - COLUMN(BL13) + 1, ""))&lt;&gt;"","YEL","")</f>
        <v/>
      </c>
      <c r="HU13" s="48" t="str" cm="1">
        <f t="array" ref="HU13">IF(_xlfn.TEXTJOIN(", ", TRUE, IF(ISNUMBER(SEARCH("ORA", BL13:BT13)), COLUMN(BL13:BT13) - COLUMN(BL13) + 1, ""))&lt;&gt;"","ORA","")</f>
        <v/>
      </c>
      <c r="HV13" s="48" t="str" cm="1">
        <f t="array" ref="HV13">IF(_xlfn.TEXTJOIN(", ", TRUE, IF(ISNUMBER(SEARCH("BRO", BL13:BT13)), COLUMN(BL13:BT13) - COLUMN(BL13) + 1, ""))&lt;&gt;"","BRO","")</f>
        <v/>
      </c>
      <c r="HW13" s="48" t="str" cm="1">
        <f t="array" ref="HW13">IF(_xlfn.TEXTJOIN(", ", TRUE, IF(ISNUMBER(SEARCH("PUR", BL13:BT13)), COLUMN(BL13:BT13) - COLUMN(BL13) + 1, ""))&lt;&gt;"","PUR","")</f>
        <v/>
      </c>
      <c r="HX13" s="48" t="str" cm="1">
        <f t="array" ref="HX13">IF(_xlfn.TEXTJOIN(", ", TRUE, IF(ISNUMBER(SEARCH("WHI", BL13:BT13)), COLUMN(BL13:BT13) - COLUMN(BL13) + 1, ""))&lt;&gt;"","WHI","")</f>
        <v>WHI</v>
      </c>
      <c r="HY13" s="76"/>
      <c r="HZ13" s="76"/>
      <c r="IA13" s="6"/>
      <c r="IB13" s="6"/>
      <c r="IC13" s="77"/>
      <c r="ID13" s="77"/>
      <c r="IE13" s="77"/>
      <c r="IF13" s="77"/>
      <c r="IG13" s="77"/>
      <c r="IH13" s="77"/>
      <c r="II13" s="77"/>
      <c r="IJ13" s="77"/>
      <c r="IK13" s="77"/>
      <c r="IL13" s="48">
        <f>SUM(IC13:IK13)</f>
        <v>0</v>
      </c>
      <c r="IM13" s="45">
        <f t="shared" si="92"/>
        <v>-3</v>
      </c>
      <c r="IN13" s="78" t="str">
        <f t="shared" si="93"/>
        <v>http://mkweb.bcgsc.ca/color-summarizer/?url=https://upload.wikimedia.org/wikipedia/commons/thumb/0/0e/Flag_of_Falc%C3%B3n.svg/320px-Flag_of_Falc%C3%B3n.svg.png&amp;precision=low&amp;num_clusters=3&amp;text=1</v>
      </c>
      <c r="IO13" s="48" t="str">
        <f t="shared" si="94"/>
        <v/>
      </c>
      <c r="IP13" s="48" t="str">
        <f t="shared" si="95"/>
        <v>"blue"</v>
      </c>
      <c r="IQ13" s="48" t="str">
        <f t="shared" si="96"/>
        <v/>
      </c>
      <c r="IR13" s="48" t="str">
        <f t="shared" si="97"/>
        <v>"red"</v>
      </c>
      <c r="IS13" s="48" t="str">
        <f t="shared" si="98"/>
        <v/>
      </c>
      <c r="IT13" s="48" t="str">
        <f t="shared" si="99"/>
        <v/>
      </c>
      <c r="IU13" s="48" t="str">
        <f t="shared" si="100"/>
        <v/>
      </c>
      <c r="IV13" s="48" t="str">
        <f t="shared" si="101"/>
        <v/>
      </c>
      <c r="IW13" s="48" t="str">
        <f t="shared" si="102"/>
        <v>"white"</v>
      </c>
      <c r="IX13" s="48" t="str">
        <f t="shared" si="103"/>
        <v>{"url":"http://mkweb.bcgsc.ca/color-summarizer/?url=https://upload.wikimedia.org/wikipedia/commons/thumb/0/0e/Flag_of_Falc%C3%B3n.svg/320px-Flag_of_Falc%C3%B3n.svg.png&amp;precision=low&amp;num_clusters=3&amp;text=1","name":"[VEN] Falcón"},</v>
      </c>
      <c r="IY13" s="48">
        <v>45</v>
      </c>
    </row>
    <row r="14" spans="1:259" s="48" customFormat="1" ht="38.4" customHeight="1" thickBot="1" x14ac:dyDescent="0.35">
      <c r="A14" s="79" t="s">
        <v>751</v>
      </c>
      <c r="B14" s="40" t="e" vm="113">
        <v>#VALUE!</v>
      </c>
      <c r="C14" s="41">
        <v>2</v>
      </c>
      <c r="D14" s="42" t="s">
        <v>752</v>
      </c>
      <c r="E14" s="43" t="s">
        <v>753</v>
      </c>
      <c r="F14" s="44" t="s">
        <v>166</v>
      </c>
      <c r="G14" s="45">
        <f>COUNTIF($A$1:$A$8305,A14)</f>
        <v>1</v>
      </c>
      <c r="H14" s="46"/>
      <c r="I14" s="47" t="s">
        <v>730</v>
      </c>
      <c r="J14" s="48" t="str">
        <f>""</f>
        <v/>
      </c>
      <c r="K14" s="49"/>
      <c r="L14" s="50"/>
      <c r="M14" s="50"/>
      <c r="N14" s="51" t="s">
        <v>169</v>
      </c>
      <c r="O14" s="52">
        <v>1995</v>
      </c>
      <c r="P14" s="53" t="s">
        <v>754</v>
      </c>
      <c r="Q14" s="54">
        <v>1</v>
      </c>
      <c r="R14" s="55" t="s">
        <v>169</v>
      </c>
      <c r="S14" s="56">
        <v>4</v>
      </c>
      <c r="T14" s="57" t="s">
        <v>172</v>
      </c>
      <c r="U14" s="58" t="s">
        <v>172</v>
      </c>
      <c r="V14" s="58" t="s">
        <v>173</v>
      </c>
      <c r="W14" s="58" t="s">
        <v>172</v>
      </c>
      <c r="X14" s="58" t="s">
        <v>172</v>
      </c>
      <c r="Y14" s="58" t="s">
        <v>173</v>
      </c>
      <c r="Z14" s="58" t="s">
        <v>172</v>
      </c>
      <c r="AA14" s="58" t="s">
        <v>173</v>
      </c>
      <c r="AB14" s="58" t="s">
        <v>172</v>
      </c>
      <c r="AC14" s="58" t="s">
        <v>173</v>
      </c>
      <c r="AD14" s="58" t="s">
        <v>172</v>
      </c>
      <c r="AE14" s="58" t="s">
        <v>172</v>
      </c>
      <c r="AF14" s="59" t="s">
        <v>172</v>
      </c>
      <c r="AG14" s="59" t="s">
        <v>173</v>
      </c>
      <c r="AH14" s="59" t="s">
        <v>173</v>
      </c>
      <c r="AI14" s="59" t="s">
        <v>172</v>
      </c>
      <c r="AJ14" s="59" t="s">
        <v>172</v>
      </c>
      <c r="AK14" s="59" t="s">
        <v>172</v>
      </c>
      <c r="AL14" s="59" t="s">
        <v>172</v>
      </c>
      <c r="AM14" s="59" t="s">
        <v>173</v>
      </c>
      <c r="AN14" s="59" t="s">
        <v>173</v>
      </c>
      <c r="AO14" s="59" t="s">
        <v>172</v>
      </c>
      <c r="AP14" s="59" t="s">
        <v>172</v>
      </c>
      <c r="AQ14" s="59" t="s">
        <v>172</v>
      </c>
      <c r="AR14" s="59" t="s">
        <v>172</v>
      </c>
      <c r="AS14" s="59" t="s">
        <v>172</v>
      </c>
      <c r="AT14" s="60">
        <v>15</v>
      </c>
      <c r="AU14" s="59" t="s">
        <v>383</v>
      </c>
      <c r="AV14" s="59" t="str">
        <f>IF(LEFT(A14,1)="[",LEFT(A14,5)&amp;AU14&amp;A14,"")</f>
        <v>[VEN]State[VEN] Guárico</v>
      </c>
      <c r="AW14" s="59" t="str">
        <f>C14&amp;A14</f>
        <v>2[VEN] Guárico</v>
      </c>
      <c r="AX14" s="61"/>
      <c r="AY14" s="61"/>
      <c r="AZ14" s="62" t="s">
        <v>155</v>
      </c>
      <c r="BA14" s="62" t="s">
        <v>174</v>
      </c>
      <c r="BB14" s="62"/>
      <c r="BC14" s="63"/>
      <c r="BD14" s="64" t="s">
        <v>152</v>
      </c>
      <c r="BE14" s="47"/>
      <c r="BF14" s="64" t="s">
        <v>174</v>
      </c>
      <c r="BG14" s="64" t="s">
        <v>174</v>
      </c>
      <c r="BH14" s="64" t="s">
        <v>174</v>
      </c>
      <c r="BI14" s="64"/>
      <c r="BJ14" s="64"/>
      <c r="BK14" s="47"/>
      <c r="BL14" s="64" t="s">
        <v>174</v>
      </c>
      <c r="BM14" s="64" t="s">
        <v>152</v>
      </c>
      <c r="BN14" s="64" t="s">
        <v>174</v>
      </c>
      <c r="BO14" s="64" t="s">
        <v>174</v>
      </c>
      <c r="BP14" s="64" t="s">
        <v>155</v>
      </c>
      <c r="BQ14" s="64" t="s">
        <v>174</v>
      </c>
      <c r="BR14" s="64" t="s">
        <v>174</v>
      </c>
      <c r="BS14" s="64" t="s">
        <v>174</v>
      </c>
      <c r="BT14" s="64" t="s">
        <v>174</v>
      </c>
      <c r="BU14" s="65"/>
      <c r="BV14" s="66"/>
      <c r="BW14" s="66">
        <v>0</v>
      </c>
      <c r="BX14" s="47"/>
      <c r="CB14" s="6"/>
      <c r="CC14" s="6"/>
      <c r="CD14" s="67">
        <v>0</v>
      </c>
      <c r="CE14" s="67">
        <v>0</v>
      </c>
      <c r="CF14" s="67" t="e">
        <v>#REF!</v>
      </c>
      <c r="CG14" s="68" cm="1">
        <f t="array" ref="CG14">SUMPRODUCT(--(LEN(TRIM(BL14:BT14))&gt;0))</f>
        <v>2</v>
      </c>
      <c r="CH14" s="59" t="str">
        <f t="shared" si="6"/>
        <v>y</v>
      </c>
      <c r="CI14" s="59" t="str">
        <f t="shared" si="7"/>
        <v>n</v>
      </c>
      <c r="CJ14" s="59" t="str">
        <f t="shared" si="8"/>
        <v>n</v>
      </c>
      <c r="CK14" s="59" t="str">
        <f t="shared" si="9"/>
        <v>n</v>
      </c>
      <c r="CL14" s="59" t="str">
        <f t="shared" si="10"/>
        <v>n</v>
      </c>
      <c r="CM14" s="59" t="str">
        <f t="shared" si="11"/>
        <v>n</v>
      </c>
      <c r="CN14" s="59" t="str">
        <f t="shared" si="12"/>
        <v>n</v>
      </c>
      <c r="CO14" s="59" t="str">
        <f t="shared" si="13"/>
        <v>y</v>
      </c>
      <c r="CP14" s="59" t="str">
        <f t="shared" si="14"/>
        <v>n</v>
      </c>
      <c r="CQ14" s="59" t="str">
        <f t="shared" si="15"/>
        <v>n</v>
      </c>
      <c r="CR14" s="59" t="str">
        <f t="shared" si="16"/>
        <v>n</v>
      </c>
      <c r="CS14" s="59" t="str">
        <f t="shared" si="17"/>
        <v>y</v>
      </c>
      <c r="CT14" s="69" t="str">
        <f t="shared" si="18"/>
        <v>"[VEN] Guárico"</v>
      </c>
      <c r="CU14" s="70" t="str">
        <f t="shared" si="19"/>
        <v>"rgn_South America"</v>
      </c>
      <c r="CV14" s="48" t="str">
        <f t="shared" si="20"/>
        <v>"https://upload.wikimedia.org/wikipedia/commons/thumb/a/a2/Flag_of_Gu%C3%A1rico_State.svg/320px-Flag_of_Gu%C3%A1rico_State.svg.png"</v>
      </c>
      <c r="CW14" s="48" t="str">
        <f t="shared" si="0"/>
        <v>"2Color",</v>
      </c>
      <c r="CX14" s="48" t="str">
        <f t="shared" si="0"/>
        <v/>
      </c>
      <c r="CY14" s="48" t="str">
        <f t="shared" si="0"/>
        <v/>
      </c>
      <c r="CZ14" s="48" t="str">
        <f t="shared" si="0"/>
        <v/>
      </c>
      <c r="DA14" s="48" t="str">
        <f t="shared" si="21"/>
        <v/>
      </c>
      <c r="DB14" s="48" t="str">
        <f t="shared" si="22"/>
        <v/>
      </c>
      <c r="DD14" s="48" t="str">
        <f>IF(LEN(CHAR(34)&amp;"lets"&amp;LEN(SUBSTITUTE(SUBSTITUTE(IFERROR(TRIM(SUBSTITUTE(A14,MID(A14,FIND("[",A14),FIND("]",A14)-FIND("[",A14)+1),"")),A14)," ",""),"-",""))&amp;CHAR(34)&amp;",")=9,CHAR(34)&amp;"lets"&amp;LEN(SUBSTITUTE(SUBSTITUTE(IFERROR(TRIM(SUBSTITUTE(A14,MID(A14,FIND("[",A14),FIND("]",A14)-FIND("[",A14)+1),"")),A14)," ",""),"-",""))&amp;CHAR(34)&amp;",",CHAR(34)&amp;"lets0"&amp;LEN(SUBSTITUTE(SUBSTITUTE(IFERROR(TRIM(SUBSTITUTE(A14,MID(A14,FIND("[",A14),FIND("]",A14)-FIND("[",A14)+1),"")),A14)," ",""),"-",""))&amp;CHAR(34)&amp;",")</f>
        <v>"lets07",</v>
      </c>
      <c r="DE14" s="48" t="str">
        <f>CHAR(34)&amp;"start"&amp;IFERROR(LEFT(SUBSTITUTE(A14,"["&amp;MID(A14,FIND("[",A14)+1,FIND("]",A14)-FIND("[",A14)-1)&amp;"] ",""),1),LEFT(A14,1))&amp;CHAR(34)&amp;","</f>
        <v>"startG",</v>
      </c>
      <c r="DF14" s="48" t="str">
        <f t="shared" si="26"/>
        <v/>
      </c>
      <c r="DG14" s="48" t="str">
        <f t="shared" si="27"/>
        <v/>
      </c>
      <c r="DH14" s="48" t="str">
        <f t="shared" si="28"/>
        <v>"with_v",</v>
      </c>
      <c r="DI14" s="48" t="str">
        <f t="shared" si="29"/>
        <v/>
      </c>
      <c r="DJ14" s="48" t="str">
        <f t="shared" si="30"/>
        <v/>
      </c>
      <c r="DK14" s="48" t="str">
        <f t="shared" si="31"/>
        <v/>
      </c>
      <c r="DL14" s="48" t="str">
        <f t="shared" si="32"/>
        <v>"BLUYEL",</v>
      </c>
      <c r="DM14" s="48" t="str" cm="1">
        <f t="array" ref="DM14">IF(CG14=3,CHAR(34) &amp; _xlfn.TEXTJOIN("", TRUE, RIGHT(HP14:HX14, 2)) &amp; CHAR(34) &amp; ",", "")</f>
        <v/>
      </c>
      <c r="DN14" s="48" t="str">
        <f t="shared" si="33"/>
        <v/>
      </c>
      <c r="DO14" s="48" t="str">
        <f t="shared" si="34"/>
        <v>"year19",</v>
      </c>
      <c r="DP14" s="6" t="str">
        <f t="shared" si="35"/>
        <v/>
      </c>
      <c r="DQ14" s="6" t="str">
        <f t="shared" si="36"/>
        <v/>
      </c>
      <c r="DR14" s="6" t="str">
        <f t="shared" si="37"/>
        <v/>
      </c>
      <c r="DS14" s="6" t="str">
        <f t="shared" si="38"/>
        <v/>
      </c>
      <c r="DT14" s="6" t="str">
        <f t="shared" si="39"/>
        <v>"allhor",</v>
      </c>
      <c r="DU14" s="6" t="str">
        <f t="shared" si="40"/>
        <v/>
      </c>
      <c r="DW14" s="48" t="str">
        <f t="shared" si="1"/>
        <v/>
      </c>
      <c r="DX14" s="48" t="str">
        <f t="shared" si="1"/>
        <v/>
      </c>
      <c r="DY14" s="48" t="str">
        <f t="shared" si="1"/>
        <v/>
      </c>
      <c r="DZ14" s="48" t="str">
        <f t="shared" si="1"/>
        <v>"4+Band",</v>
      </c>
      <c r="EA14" s="48" t="str">
        <f t="shared" si="2"/>
        <v/>
      </c>
      <c r="EB14" s="48" t="str">
        <f t="shared" si="2"/>
        <v/>
      </c>
      <c r="EC14" s="48" t="str">
        <f t="shared" si="2"/>
        <v>"Horizo",</v>
      </c>
      <c r="ED14" s="48" t="str">
        <f t="shared" si="2"/>
        <v/>
      </c>
      <c r="EE14" s="48" t="str">
        <f t="shared" si="2"/>
        <v/>
      </c>
      <c r="EF14" s="48" t="str">
        <f t="shared" si="42"/>
        <v>"Animal",</v>
      </c>
      <c r="EG14" s="48" t="str">
        <f t="shared" si="3"/>
        <v/>
      </c>
      <c r="EH14" s="48" t="str">
        <f t="shared" si="3"/>
        <v>"Plants",</v>
      </c>
      <c r="EI14" s="48" t="str">
        <f t="shared" si="3"/>
        <v/>
      </c>
      <c r="EJ14" s="48" t="str">
        <f t="shared" si="3"/>
        <v>"Weapon",</v>
      </c>
      <c r="EK14" s="48" t="str">
        <f t="shared" si="3"/>
        <v/>
      </c>
      <c r="EL14" s="48" t="str">
        <f t="shared" si="3"/>
        <v/>
      </c>
      <c r="EM14" s="48" t="str">
        <f t="shared" si="3"/>
        <v/>
      </c>
      <c r="EN14" s="48" t="str">
        <f t="shared" si="3"/>
        <v>"Unequa",</v>
      </c>
      <c r="EO14" s="48" t="str">
        <f t="shared" si="3"/>
        <v>"Center",</v>
      </c>
      <c r="EP14" s="48" t="str">
        <f t="shared" si="3"/>
        <v/>
      </c>
      <c r="EQ14" s="48" t="str">
        <f t="shared" si="3"/>
        <v/>
      </c>
      <c r="ER14" s="48" t="str">
        <f t="shared" si="3"/>
        <v/>
      </c>
      <c r="ES14" s="48" t="str">
        <f t="shared" si="3"/>
        <v/>
      </c>
      <c r="ET14" s="48" t="str">
        <f t="shared" si="3"/>
        <v>"Geogrh",</v>
      </c>
      <c r="EU14" s="48" t="str">
        <f t="shared" si="3"/>
        <v>"Humans",</v>
      </c>
      <c r="EV14" s="48" t="str">
        <f t="shared" ref="EV14:EZ26" si="104">IF(AO14="y",CHAR(34)&amp;AO$1&amp;CHAR(34)&amp;",","")</f>
        <v/>
      </c>
      <c r="EW14" s="48" t="str">
        <f t="shared" si="104"/>
        <v/>
      </c>
      <c r="EX14" s="48" t="str">
        <f t="shared" si="104"/>
        <v/>
      </c>
      <c r="EY14" s="48" t="str">
        <f t="shared" si="104"/>
        <v/>
      </c>
      <c r="EZ14" s="48" t="str">
        <f t="shared" si="104"/>
        <v/>
      </c>
      <c r="FA14" s="48" t="str">
        <f t="shared" si="43"/>
        <v>"staYEL",</v>
      </c>
      <c r="FB14" s="48" t="str">
        <f t="shared" si="44"/>
        <v/>
      </c>
      <c r="FD14" s="48" t="str">
        <f t="shared" si="46"/>
        <v/>
      </c>
      <c r="FE14" s="48" t="str">
        <f t="shared" si="47"/>
        <v/>
      </c>
      <c r="FF14" s="48" t="str">
        <f t="shared" si="48"/>
        <v>"NO_WHI",</v>
      </c>
      <c r="FG14" s="48" t="str">
        <f t="shared" si="49"/>
        <v>"NO_RED",</v>
      </c>
      <c r="FH14" s="48" t="str">
        <f t="shared" si="50"/>
        <v>"NO_GRE",</v>
      </c>
      <c r="FI14" s="48" t="str">
        <f t="shared" si="51"/>
        <v/>
      </c>
      <c r="FJ14" s="48" t="str">
        <f t="shared" si="52"/>
        <v>"NO_BLA",</v>
      </c>
      <c r="FK14" s="48" t="str">
        <f t="shared" si="53"/>
        <v>"WHGRNO",</v>
      </c>
      <c r="FL14" s="48" t="str">
        <f t="shared" si="54"/>
        <v/>
      </c>
      <c r="FM14" s="48" t="str">
        <f t="shared" si="55"/>
        <v>"BAWHNO",</v>
      </c>
      <c r="FN14" s="48" t="str">
        <f t="shared" si="56"/>
        <v/>
      </c>
      <c r="FO14" s="48" t="str">
        <f t="shared" si="57"/>
        <v/>
      </c>
      <c r="FP14" s="48" t="str">
        <f t="shared" si="58"/>
        <v>"WHRENO",</v>
      </c>
      <c r="FQ14" s="48" t="str">
        <f t="shared" si="59"/>
        <v/>
      </c>
      <c r="FR14" s="48" t="str">
        <f t="shared" si="60"/>
        <v/>
      </c>
      <c r="FS14" s="48" t="str">
        <f t="shared" si="61"/>
        <v/>
      </c>
      <c r="FT14" s="48" t="str">
        <f t="shared" si="62"/>
        <v>"myrBLU",</v>
      </c>
      <c r="FU14" s="48" t="str">
        <f t="shared" si="63"/>
        <v/>
      </c>
      <c r="FV14" s="48" t="str">
        <f t="shared" si="64"/>
        <v/>
      </c>
      <c r="FW14" s="48" t="str">
        <f t="shared" si="65"/>
        <v/>
      </c>
      <c r="FY14" s="48" t="str">
        <f t="shared" si="67"/>
        <v/>
      </c>
      <c r="FZ14" s="48" t="str">
        <f t="shared" si="68"/>
        <v/>
      </c>
      <c r="GA14" s="48" t="str">
        <f t="shared" si="69"/>
        <v/>
      </c>
      <c r="GB14" s="48" t="str">
        <f t="shared" si="70"/>
        <v/>
      </c>
      <c r="GE14" s="48" t="str">
        <f t="shared" si="73"/>
        <v/>
      </c>
      <c r="GF14" s="48" t="str">
        <f t="shared" ref="GF14:GF26" si="105">IFERROR(IF(SEARCH("Historical",AU14)&gt;0,CHAR(34)&amp;"histor"&amp;CHAR(34)&amp;",",""),"")</f>
        <v/>
      </c>
      <c r="GG14" s="48" t="str">
        <f t="shared" si="75"/>
        <v/>
      </c>
      <c r="GH14" s="48" t="str">
        <f t="shared" si="76"/>
        <v/>
      </c>
      <c r="GI14" s="48" t="str">
        <f t="shared" si="77"/>
        <v/>
      </c>
      <c r="GJ14" s="48" t="str">
        <f t="shared" si="78"/>
        <v/>
      </c>
      <c r="GK14" s="48" t="str">
        <f t="shared" si="79"/>
        <v>"HasSta",</v>
      </c>
      <c r="GL14" s="48" t="str">
        <f t="shared" si="4"/>
        <v/>
      </c>
      <c r="GM14" s="48" t="str">
        <f t="shared" si="4"/>
        <v/>
      </c>
      <c r="GN14" s="48" t="str">
        <f t="shared" si="4"/>
        <v>"3+Star",</v>
      </c>
      <c r="GP14" s="48" t="str">
        <f t="shared" si="80"/>
        <v>"State"</v>
      </c>
      <c r="GS14" s="48" t="str">
        <f t="shared" si="81"/>
        <v>["2Color","lets07","startG","with_v","BLUYEL","year19","allhor","4+Band","Horizo","Animal","Plants","Weapon","Unequa","Center","Geogrh","Humans","staYEL","NO_WHI","NO_RED","NO_GRE","NO_BLA","WHGRNO","BAWHNO","WHRENO","myrBLU","HasSta","3+Star"]</v>
      </c>
      <c r="GT14" s="48" t="str">
        <f t="shared" si="5"/>
        <v/>
      </c>
      <c r="GU14" s="48" t="str">
        <f t="shared" si="5"/>
        <v>"cl_BLU",</v>
      </c>
      <c r="GV14" s="48" t="str">
        <f t="shared" si="5"/>
        <v/>
      </c>
      <c r="GW14" s="48" t="str">
        <f t="shared" si="5"/>
        <v/>
      </c>
      <c r="GX14" s="48" t="str">
        <f t="shared" si="5"/>
        <v>"cl_YEL",</v>
      </c>
      <c r="GY14" s="48" t="str">
        <f t="shared" si="5"/>
        <v/>
      </c>
      <c r="GZ14" s="48" t="str">
        <f t="shared" si="5"/>
        <v/>
      </c>
      <c r="HA14" s="48" t="str">
        <f t="shared" si="5"/>
        <v/>
      </c>
      <c r="HB14" s="48" t="str">
        <f t="shared" si="5"/>
        <v/>
      </c>
      <c r="HC14" s="48" t="str">
        <f t="shared" si="82"/>
        <v>["cl_BLU","cl_YEL"]</v>
      </c>
      <c r="HE14" s="71"/>
      <c r="HF14" s="72" t="str">
        <f t="shared" si="83"/>
        <v>{couname:"[VEN] Guárico",year:"1995",region:"rgn_South America",Colors:["cl_BLU","cl_YEL"],Items:["2Color","lets07","startG","with_v","BLUYEL","year19","allhor","4+Band","Horizo","Animal","Plants","Weapon","Unequa","Center","Geogrh","Humans","staYEL","NO_WHI","NO_RED","NO_GRE","NO_BLA","WHGRNO","BAWHNO","WHRENO","myrBLU","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links: "https://en.wikipedia.org/wiki/List_of_flags_of_Venezuela#Administrative_divisions_flags"},</v>
      </c>
      <c r="HG14" s="73" t="str">
        <f t="shared" si="84"/>
        <v>{couname:"[VEN] Guárico",year:"1995",region:"rgn_South America",Colors:["cl_BLU","cl_YEL"],Items:["2Color","lets07","startG","with_v","BLUYEL","year19","allhor","4+Band","Horizo","Animal","Plants","Weapon","Unequa","Center","Geogrh","Humans","staYEL","NO_WHI","NO_RED","NO_GRE","NO_BLA","WHGRNO","BAWHNO","WHRENO","myrBLU","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links: "https://en.wikipedia.org/wiki/List_of_flags_of_Venezuela#Administrative_divisions_flags"},</v>
      </c>
      <c r="HH14" s="48" t="str">
        <f t="shared" si="85"/>
        <v>"\nThe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v>
      </c>
      <c r="HI14" s="48" t="str">
        <f t="shared" si="86"/>
        <v>"\nThe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v>
      </c>
      <c r="HJ14" s="48" t="str">
        <f t="shared" si="87"/>
        <v>"1995"</v>
      </c>
      <c r="HL14" s="48" t="str">
        <f t="shared" si="88"/>
        <v>"https://en.wikipedia.org/wiki/List_of_flags_of_Venezuela#Administrative_divisions_flags"</v>
      </c>
      <c r="HM14" s="72" t="str">
        <f t="shared" si="89"/>
        <v>{"couname":"[VEN] Guárico","year":"1995","region":"rgn_South America","Colors":["cl_BLU","cl_YEL"],"Items":["2Color","lets07","startG","with_v","BLUYEL","year19","allhor","4+Band","Horizo","Animal","Plants","Weapon","Unequa","Center","Geogrh","Humans","staYEL","NO_WHI","NO_RED","NO_GRE","NO_BLA","WHGRNO","BAWHNO","WHRENO","myrBLU","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 "links": "https://en.wikipedia.org/wiki/List_of_flags_of_Venezuela#Administrative_divisions_flags"},</v>
      </c>
      <c r="HN14" s="74" t="str">
        <f t="shared" si="90"/>
        <v>{"couname":"[VEN] Guárico","year":"1995","region":"rgn_South America","Colors":["cl_BLU","cl_YEL"],"Items":["2Color","lets07","startG","with_v","BLUYEL","year19","allhor","4+Band","Horizo","Animal","Plants","Weapon","Unequa","Center","Geogrh","Humans","staYEL","NO_WHI","NO_RED","NO_GRE","NO_BLA","WHGRNO","BAWHNO","WHRENO","myrBLU","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 "links": "https://en.wikipedia.org/wiki/List_of_flags_of_Venezuela#Administrative_divisions_flags"},</v>
      </c>
      <c r="HO14" s="75">
        <v>45618</v>
      </c>
      <c r="HP14" s="48" t="str" cm="1">
        <f t="array" ref="HP14">IF(_xlfn.TEXTJOIN(", ", TRUE, IF(ISNUMBER(SEARCH("BLA", BL14:BT14)), COLUMN(BL14:BT14) - COLUMN(BL14) + 1, ""))&lt;&gt;"","BLA","")</f>
        <v/>
      </c>
      <c r="HQ14" s="48" t="str" cm="1">
        <f t="array" ref="HQ14">IF(_xlfn.TEXTJOIN(", ", TRUE, IF(ISNUMBER(SEARCH("BLU", BL14:BT14)), COLUMN(BL14:BT14) - COLUMN(BL14) + 1, ""))&lt;&gt;"","BLU","")</f>
        <v>BLU</v>
      </c>
      <c r="HR14" s="48" t="str" cm="1">
        <f t="array" ref="HR14">IF(_xlfn.TEXTJOIN(", ", TRUE, IF(ISNUMBER(SEARCH("GRE", BL14:BT14)), COLUMN(BL14:BT14) - COLUMN(BL14) + 1, ""))&lt;&gt;"","GRE","")</f>
        <v/>
      </c>
      <c r="HS14" s="48" t="str" cm="1">
        <f t="array" ref="HS14">IF(_xlfn.TEXTJOIN(", ", TRUE, IF(ISNUMBER(SEARCH("RED", BL14:BT14)), COLUMN(BL14:BT14) - COLUMN(BL14) + 1, ""))&lt;&gt;"","RED","")</f>
        <v/>
      </c>
      <c r="HT14" s="48" t="str" cm="1">
        <f t="array" ref="HT14">IF(_xlfn.TEXTJOIN(", ", TRUE, IF(ISNUMBER(SEARCH("YEL", BL14:BT14)), COLUMN(BL14:BT14) - COLUMN(BL14) + 1, ""))&lt;&gt;"","YEL","")</f>
        <v>YEL</v>
      </c>
      <c r="HU14" s="48" t="str" cm="1">
        <f t="array" ref="HU14">IF(_xlfn.TEXTJOIN(", ", TRUE, IF(ISNUMBER(SEARCH("ORA", BL14:BT14)), COLUMN(BL14:BT14) - COLUMN(BL14) + 1, ""))&lt;&gt;"","ORA","")</f>
        <v/>
      </c>
      <c r="HV14" s="48" t="str" cm="1">
        <f t="array" ref="HV14">IF(_xlfn.TEXTJOIN(", ", TRUE, IF(ISNUMBER(SEARCH("BRO", BL14:BT14)), COLUMN(BL14:BT14) - COLUMN(BL14) + 1, ""))&lt;&gt;"","BRO","")</f>
        <v/>
      </c>
      <c r="HW14" s="48" t="str" cm="1">
        <f t="array" ref="HW14">IF(_xlfn.TEXTJOIN(", ", TRUE, IF(ISNUMBER(SEARCH("PUR", BL14:BT14)), COLUMN(BL14:BT14) - COLUMN(BL14) + 1, ""))&lt;&gt;"","PUR","")</f>
        <v/>
      </c>
      <c r="HX14" s="48" t="str" cm="1">
        <f t="array" ref="HX14">IF(_xlfn.TEXTJOIN(", ", TRUE, IF(ISNUMBER(SEARCH("WHI", BL14:BT14)), COLUMN(BL14:BT14) - COLUMN(BL14) + 1, ""))&lt;&gt;"","WHI","")</f>
        <v/>
      </c>
      <c r="HY14" s="76"/>
      <c r="HZ14" s="76"/>
      <c r="IA14" s="6"/>
      <c r="IB14" s="6"/>
      <c r="IC14" s="77"/>
      <c r="ID14" s="77"/>
      <c r="IE14" s="77"/>
      <c r="IF14" s="77"/>
      <c r="IG14" s="77"/>
      <c r="IH14" s="77"/>
      <c r="II14" s="77"/>
      <c r="IJ14" s="77"/>
      <c r="IK14" s="77"/>
      <c r="IM14" s="45">
        <f t="shared" si="92"/>
        <v>-2</v>
      </c>
      <c r="IN14" s="78" t="str">
        <f t="shared" si="93"/>
        <v>http://mkweb.bcgsc.ca/color-summarizer/?url=https://upload.wikimedia.org/wikipedia/commons/thumb/a/a2/Flag_of_Gu%C3%A1rico_State.svg/320px-Flag_of_Gu%C3%A1rico_State.svg.png&amp;precision=low&amp;num_clusters=2&amp;text=1</v>
      </c>
      <c r="IO14" s="48" t="str">
        <f t="shared" si="94"/>
        <v/>
      </c>
      <c r="IP14" s="48" t="str">
        <f t="shared" si="95"/>
        <v>"blue"</v>
      </c>
      <c r="IQ14" s="48" t="str">
        <f t="shared" si="96"/>
        <v/>
      </c>
      <c r="IR14" s="48" t="str">
        <f t="shared" si="97"/>
        <v/>
      </c>
      <c r="IS14" s="48" t="str">
        <f t="shared" si="98"/>
        <v>"yellow"</v>
      </c>
      <c r="IT14" s="48" t="str">
        <f t="shared" si="99"/>
        <v/>
      </c>
      <c r="IU14" s="48" t="str">
        <f t="shared" si="100"/>
        <v/>
      </c>
      <c r="IV14" s="48" t="str">
        <f t="shared" si="101"/>
        <v/>
      </c>
      <c r="IW14" s="48" t="str">
        <f t="shared" si="102"/>
        <v/>
      </c>
      <c r="IX14" s="48" t="str">
        <f t="shared" si="103"/>
        <v>{"url":"http://mkweb.bcgsc.ca/color-summarizer/?url=https://upload.wikimedia.org/wikipedia/commons/thumb/a/a2/Flag_of_Gu%C3%A1rico_State.svg/320px-Flag_of_Gu%C3%A1rico_State.svg.png&amp;precision=low&amp;num_clusters=2&amp;text=1","name":"[VEN] Guárico"},</v>
      </c>
      <c r="IY14" s="48">
        <v>959</v>
      </c>
    </row>
    <row r="15" spans="1:259" s="48" customFormat="1" ht="38.4" customHeight="1" thickBot="1" x14ac:dyDescent="0.35">
      <c r="A15" s="79" t="s">
        <v>755</v>
      </c>
      <c r="B15" s="40" t="e" vm="114">
        <v>#VALUE!</v>
      </c>
      <c r="C15" s="41">
        <v>2</v>
      </c>
      <c r="D15" s="42" t="s">
        <v>756</v>
      </c>
      <c r="E15" s="43" t="s">
        <v>757</v>
      </c>
      <c r="F15" s="44" t="s">
        <v>166</v>
      </c>
      <c r="G15" s="45">
        <f>COUNTIF($A$1:$A$8305,A15)</f>
        <v>1</v>
      </c>
      <c r="H15" s="46"/>
      <c r="I15" s="47" t="s">
        <v>758</v>
      </c>
      <c r="J15" s="48" t="str">
        <f>""</f>
        <v/>
      </c>
      <c r="K15" s="49"/>
      <c r="L15" s="50"/>
      <c r="M15" s="50"/>
      <c r="N15" s="51" t="s">
        <v>169</v>
      </c>
      <c r="O15" s="52">
        <v>1999</v>
      </c>
      <c r="P15" s="53" t="s">
        <v>759</v>
      </c>
      <c r="Q15" s="54">
        <v>2</v>
      </c>
      <c r="R15" s="55" t="s">
        <v>169</v>
      </c>
      <c r="S15" s="56">
        <v>6</v>
      </c>
      <c r="T15" s="57" t="s">
        <v>172</v>
      </c>
      <c r="U15" s="58" t="s">
        <v>172</v>
      </c>
      <c r="V15" s="58" t="s">
        <v>173</v>
      </c>
      <c r="W15" s="58" t="s">
        <v>173</v>
      </c>
      <c r="X15" s="58" t="s">
        <v>173</v>
      </c>
      <c r="Y15" s="58" t="s">
        <v>172</v>
      </c>
      <c r="Z15" s="58" t="s">
        <v>172</v>
      </c>
      <c r="AA15" s="58" t="s">
        <v>172</v>
      </c>
      <c r="AB15" s="58" t="s">
        <v>172</v>
      </c>
      <c r="AC15" s="58" t="s">
        <v>172</v>
      </c>
      <c r="AD15" s="58" t="s">
        <v>173</v>
      </c>
      <c r="AE15" s="58" t="s">
        <v>172</v>
      </c>
      <c r="AF15" s="59" t="s">
        <v>172</v>
      </c>
      <c r="AG15" s="59" t="s">
        <v>172</v>
      </c>
      <c r="AH15" s="59" t="s">
        <v>172</v>
      </c>
      <c r="AI15" s="59" t="s">
        <v>172</v>
      </c>
      <c r="AJ15" s="59" t="s">
        <v>172</v>
      </c>
      <c r="AK15" s="59" t="s">
        <v>172</v>
      </c>
      <c r="AL15" s="59" t="s">
        <v>172</v>
      </c>
      <c r="AM15" s="59" t="s">
        <v>172</v>
      </c>
      <c r="AN15" s="59" t="s">
        <v>173</v>
      </c>
      <c r="AO15" s="59" t="s">
        <v>172</v>
      </c>
      <c r="AP15" s="59" t="s">
        <v>172</v>
      </c>
      <c r="AQ15" s="59" t="s">
        <v>172</v>
      </c>
      <c r="AR15" s="59" t="s">
        <v>172</v>
      </c>
      <c r="AS15" s="59" t="s">
        <v>172</v>
      </c>
      <c r="AT15" s="60">
        <v>4</v>
      </c>
      <c r="AU15" s="59" t="s">
        <v>383</v>
      </c>
      <c r="AV15" s="59" t="str">
        <f>IF(LEFT(A15,1)="[",LEFT(A15,5)&amp;AU15&amp;A15,"")</f>
        <v>[VEN]State[VEN] La Guaira</v>
      </c>
      <c r="AW15" s="59" t="str">
        <f>C15&amp;A15</f>
        <v>2[VEN] La Guaira</v>
      </c>
      <c r="AX15" s="61"/>
      <c r="AY15" s="61"/>
      <c r="AZ15" s="62" t="s">
        <v>151</v>
      </c>
      <c r="BA15" s="62" t="s">
        <v>151</v>
      </c>
      <c r="BB15" s="62"/>
      <c r="BC15" s="63"/>
      <c r="BD15" s="64" t="s">
        <v>151</v>
      </c>
      <c r="BE15" s="47"/>
      <c r="BF15" s="64" t="s">
        <v>174</v>
      </c>
      <c r="BG15" s="64" t="s">
        <v>174</v>
      </c>
      <c r="BH15" s="64" t="s">
        <v>174</v>
      </c>
      <c r="BI15" s="64"/>
      <c r="BJ15" s="64"/>
      <c r="BK15" s="47"/>
      <c r="BL15" s="64" t="s">
        <v>151</v>
      </c>
      <c r="BM15" s="64" t="s">
        <v>152</v>
      </c>
      <c r="BN15" s="64" t="s">
        <v>153</v>
      </c>
      <c r="BO15" s="64" t="s">
        <v>174</v>
      </c>
      <c r="BP15" s="64" t="s">
        <v>155</v>
      </c>
      <c r="BQ15" s="64" t="s">
        <v>156</v>
      </c>
      <c r="BR15" s="64" t="s">
        <v>157</v>
      </c>
      <c r="BS15" s="64" t="s">
        <v>158</v>
      </c>
      <c r="BT15" s="64" t="s">
        <v>159</v>
      </c>
      <c r="BU15" s="65"/>
      <c r="BV15" s="66"/>
      <c r="BW15" s="66">
        <v>0</v>
      </c>
      <c r="BX15" s="47"/>
      <c r="CB15" s="6"/>
      <c r="CC15" s="6"/>
      <c r="CD15" s="67">
        <v>0</v>
      </c>
      <c r="CE15" s="67">
        <v>0</v>
      </c>
      <c r="CF15" s="67" t="e">
        <v>#REF!</v>
      </c>
      <c r="CG15" s="68" cm="1">
        <f t="array" ref="CG15">SUMPRODUCT(--(LEN(TRIM(BL15:BT15))&gt;0))</f>
        <v>8</v>
      </c>
      <c r="CH15" s="59" t="str">
        <f t="shared" si="6"/>
        <v>n</v>
      </c>
      <c r="CI15" s="59" t="str">
        <f t="shared" si="7"/>
        <v>n</v>
      </c>
      <c r="CJ15" s="59" t="str">
        <f t="shared" si="8"/>
        <v>n</v>
      </c>
      <c r="CK15" s="59" t="str">
        <f t="shared" si="9"/>
        <v>y</v>
      </c>
      <c r="CL15" s="59" t="str">
        <f t="shared" si="10"/>
        <v>n</v>
      </c>
      <c r="CM15" s="59" t="str">
        <f t="shared" si="11"/>
        <v>n</v>
      </c>
      <c r="CN15" s="59" t="str">
        <f t="shared" si="12"/>
        <v>n</v>
      </c>
      <c r="CO15" s="59" t="str">
        <f t="shared" si="13"/>
        <v>y</v>
      </c>
      <c r="CP15" s="59" t="str">
        <f t="shared" si="14"/>
        <v>n</v>
      </c>
      <c r="CQ15" s="59" t="str">
        <f t="shared" si="15"/>
        <v>n</v>
      </c>
      <c r="CR15" s="59" t="str">
        <f t="shared" si="16"/>
        <v>n</v>
      </c>
      <c r="CS15" s="59" t="str">
        <f t="shared" si="17"/>
        <v>y</v>
      </c>
      <c r="CT15" s="69" t="str">
        <f t="shared" si="18"/>
        <v>"[VEN] La Guaira"</v>
      </c>
      <c r="CU15" s="70" t="str">
        <f t="shared" si="19"/>
        <v>"rgn_South America"</v>
      </c>
      <c r="CV15" s="48" t="str">
        <f t="shared" si="20"/>
        <v>"https://upload.wikimedia.org/wikipedia/commons/thumb/a/a9/Flag_of_Vargas_State.svg/320px-Flag_of_Vargas_State.svg.png"</v>
      </c>
      <c r="CW15" s="48" t="str">
        <f t="shared" si="0"/>
        <v/>
      </c>
      <c r="CX15" s="48" t="str">
        <f t="shared" si="0"/>
        <v/>
      </c>
      <c r="CY15" s="48" t="str">
        <f t="shared" si="0"/>
        <v/>
      </c>
      <c r="CZ15" s="48" t="str">
        <f t="shared" si="0"/>
        <v>"5+Colo",</v>
      </c>
      <c r="DA15" s="48" t="str">
        <f t="shared" si="21"/>
        <v>"words2",</v>
      </c>
      <c r="DB15" s="48" t="str">
        <f t="shared" si="22"/>
        <v/>
      </c>
      <c r="DD15" s="48" t="str">
        <f>IF(LEN(CHAR(34)&amp;"lets"&amp;LEN(SUBSTITUTE(SUBSTITUTE(IFERROR(TRIM(SUBSTITUTE(A15,MID(A15,FIND("[",A15),FIND("]",A15)-FIND("[",A15)+1),"")),A15)," ",""),"-",""))&amp;CHAR(34)&amp;",")=9,CHAR(34)&amp;"lets"&amp;LEN(SUBSTITUTE(SUBSTITUTE(IFERROR(TRIM(SUBSTITUTE(A15,MID(A15,FIND("[",A15),FIND("]",A15)-FIND("[",A15)+1),"")),A15)," ",""),"-",""))&amp;CHAR(34)&amp;",",CHAR(34)&amp;"lets0"&amp;LEN(SUBSTITUTE(SUBSTITUTE(IFERROR(TRIM(SUBSTITUTE(A15,MID(A15,FIND("[",A15),FIND("]",A15)-FIND("[",A15)+1),"")),A15)," ",""),"-",""))&amp;CHAR(34)&amp;",")</f>
        <v>"lets08",</v>
      </c>
      <c r="DE15" s="48" t="str">
        <f>CHAR(34)&amp;"start"&amp;IFERROR(LEFT(SUBSTITUTE(A15,"["&amp;MID(A15,FIND("[",A15)+1,FIND("]",A15)-FIND("[",A15)-1)&amp;"] ",""),1),LEFT(A15,1))&amp;CHAR(34)&amp;","</f>
        <v>"startL",</v>
      </c>
      <c r="DF15" s="48" t="str">
        <f t="shared" si="26"/>
        <v/>
      </c>
      <c r="DG15" s="48" t="str">
        <f t="shared" si="27"/>
        <v/>
      </c>
      <c r="DH15" s="48" t="str">
        <f t="shared" si="28"/>
        <v>"with_v",</v>
      </c>
      <c r="DI15" s="48" t="str">
        <f t="shared" si="29"/>
        <v/>
      </c>
      <c r="DJ15" s="48" t="str">
        <f t="shared" si="30"/>
        <v/>
      </c>
      <c r="DK15" s="48" t="str">
        <f t="shared" si="31"/>
        <v/>
      </c>
      <c r="DL15" s="48" t="str">
        <f t="shared" si="32"/>
        <v/>
      </c>
      <c r="DM15" s="48" t="str" cm="1">
        <f t="array" ref="DM15">IF(CG15=3,CHAR(34) &amp; _xlfn.TEXTJOIN("", TRUE, RIGHT(HP15:HX15, 2)) &amp; CHAR(34) &amp; ",", "")</f>
        <v/>
      </c>
      <c r="DN15" s="48" t="str">
        <f t="shared" si="33"/>
        <v/>
      </c>
      <c r="DO15" s="48" t="str">
        <f t="shared" si="34"/>
        <v>"year19",</v>
      </c>
      <c r="DP15" s="6" t="str">
        <f t="shared" si="35"/>
        <v/>
      </c>
      <c r="DQ15" s="6" t="str">
        <f t="shared" si="36"/>
        <v/>
      </c>
      <c r="DR15" s="6" t="str">
        <f t="shared" si="37"/>
        <v/>
      </c>
      <c r="DS15" s="6" t="str">
        <f t="shared" si="38"/>
        <v/>
      </c>
      <c r="DT15" s="6" t="str">
        <f t="shared" si="39"/>
        <v/>
      </c>
      <c r="DU15" s="6" t="str">
        <f t="shared" si="40"/>
        <v/>
      </c>
      <c r="DW15" s="48" t="str">
        <f t="shared" si="1"/>
        <v/>
      </c>
      <c r="DX15" s="48" t="str">
        <f t="shared" si="1"/>
        <v/>
      </c>
      <c r="DY15" s="48" t="str">
        <f t="shared" si="1"/>
        <v/>
      </c>
      <c r="DZ15" s="48" t="str">
        <f t="shared" si="1"/>
        <v>"4+Band",</v>
      </c>
      <c r="EA15" s="48" t="str">
        <f t="shared" si="2"/>
        <v/>
      </c>
      <c r="EB15" s="48" t="str">
        <f t="shared" si="2"/>
        <v/>
      </c>
      <c r="EC15" s="48" t="str">
        <f t="shared" si="2"/>
        <v>"Horizo",</v>
      </c>
      <c r="ED15" s="48" t="str">
        <f t="shared" si="2"/>
        <v>"Vertic",</v>
      </c>
      <c r="EE15" s="48" t="str">
        <f t="shared" si="2"/>
        <v>"Circle",</v>
      </c>
      <c r="EF15" s="48" t="str">
        <f t="shared" si="42"/>
        <v/>
      </c>
      <c r="EG15" s="48" t="str">
        <f t="shared" ref="EG15:EV26" si="106">IF(Z15="y",CHAR(34)&amp;Z$1&amp;CHAR(34)&amp;",","")</f>
        <v/>
      </c>
      <c r="EH15" s="48" t="str">
        <f t="shared" si="106"/>
        <v/>
      </c>
      <c r="EI15" s="48" t="str">
        <f t="shared" si="106"/>
        <v/>
      </c>
      <c r="EJ15" s="48" t="str">
        <f t="shared" si="106"/>
        <v/>
      </c>
      <c r="EK15" s="48" t="str">
        <f t="shared" si="106"/>
        <v>"HasSun",</v>
      </c>
      <c r="EL15" s="48" t="str">
        <f t="shared" si="106"/>
        <v/>
      </c>
      <c r="EM15" s="48" t="str">
        <f t="shared" si="106"/>
        <v/>
      </c>
      <c r="EN15" s="48" t="str">
        <f t="shared" si="106"/>
        <v/>
      </c>
      <c r="EO15" s="48" t="str">
        <f t="shared" si="106"/>
        <v/>
      </c>
      <c r="EP15" s="48" t="str">
        <f t="shared" si="106"/>
        <v/>
      </c>
      <c r="EQ15" s="48" t="str">
        <f t="shared" si="106"/>
        <v/>
      </c>
      <c r="ER15" s="48" t="str">
        <f t="shared" si="106"/>
        <v/>
      </c>
      <c r="ES15" s="48" t="str">
        <f t="shared" si="106"/>
        <v/>
      </c>
      <c r="ET15" s="48" t="str">
        <f t="shared" si="106"/>
        <v/>
      </c>
      <c r="EU15" s="48" t="str">
        <f t="shared" si="106"/>
        <v>"Humans",</v>
      </c>
      <c r="EV15" s="48" t="str">
        <f t="shared" si="106"/>
        <v/>
      </c>
      <c r="EW15" s="48" t="str">
        <f t="shared" si="104"/>
        <v/>
      </c>
      <c r="EX15" s="48" t="str">
        <f t="shared" si="104"/>
        <v/>
      </c>
      <c r="EY15" s="48" t="str">
        <f t="shared" si="104"/>
        <v/>
      </c>
      <c r="EZ15" s="48" t="str">
        <f t="shared" si="104"/>
        <v/>
      </c>
      <c r="FA15" s="48" t="str">
        <f t="shared" si="43"/>
        <v>"staBLA",</v>
      </c>
      <c r="FB15" s="48" t="str">
        <f t="shared" si="44"/>
        <v>"staBLA",</v>
      </c>
      <c r="FD15" s="48" t="str">
        <f t="shared" si="46"/>
        <v/>
      </c>
      <c r="FE15" s="48" t="str">
        <f t="shared" si="47"/>
        <v/>
      </c>
      <c r="FF15" s="48" t="str">
        <f t="shared" si="48"/>
        <v/>
      </c>
      <c r="FG15" s="48" t="str">
        <f t="shared" si="49"/>
        <v>"NO_RED",</v>
      </c>
      <c r="FH15" s="48" t="str">
        <f t="shared" si="50"/>
        <v/>
      </c>
      <c r="FI15" s="48" t="str">
        <f t="shared" si="51"/>
        <v/>
      </c>
      <c r="FJ15" s="48" t="str">
        <f t="shared" si="52"/>
        <v/>
      </c>
      <c r="FK15" s="48" t="str">
        <f t="shared" si="53"/>
        <v/>
      </c>
      <c r="FL15" s="48" t="str">
        <f t="shared" si="54"/>
        <v/>
      </c>
      <c r="FM15" s="48" t="str">
        <f t="shared" si="55"/>
        <v/>
      </c>
      <c r="FN15" s="48" t="str">
        <f t="shared" si="56"/>
        <v/>
      </c>
      <c r="FO15" s="48" t="str">
        <f t="shared" si="57"/>
        <v/>
      </c>
      <c r="FP15" s="48" t="str">
        <f t="shared" si="58"/>
        <v/>
      </c>
      <c r="FQ15" s="48" t="str">
        <f t="shared" si="59"/>
        <v/>
      </c>
      <c r="FR15" s="48" t="str">
        <f t="shared" si="60"/>
        <v/>
      </c>
      <c r="FS15" s="48" t="str">
        <f t="shared" si="61"/>
        <v/>
      </c>
      <c r="FT15" s="48" t="str">
        <f t="shared" si="62"/>
        <v>"myrBLA",</v>
      </c>
      <c r="FU15" s="48" t="str">
        <f t="shared" si="63"/>
        <v/>
      </c>
      <c r="FV15" s="48" t="str">
        <f t="shared" si="64"/>
        <v/>
      </c>
      <c r="FW15" s="48" t="str">
        <f t="shared" si="65"/>
        <v/>
      </c>
      <c r="FY15" s="48" t="str">
        <f t="shared" si="67"/>
        <v/>
      </c>
      <c r="FZ15" s="48" t="str">
        <f t="shared" si="68"/>
        <v/>
      </c>
      <c r="GA15" s="48" t="str">
        <f t="shared" si="69"/>
        <v/>
      </c>
      <c r="GB15" s="48" t="str">
        <f t="shared" si="70"/>
        <v/>
      </c>
      <c r="GE15" s="48" t="str">
        <f t="shared" si="73"/>
        <v/>
      </c>
      <c r="GF15" s="48" t="str">
        <f t="shared" si="105"/>
        <v/>
      </c>
      <c r="GG15" s="48" t="str">
        <f t="shared" si="75"/>
        <v/>
      </c>
      <c r="GH15" s="48" t="str">
        <f t="shared" si="76"/>
        <v/>
      </c>
      <c r="GI15" s="48" t="str">
        <f t="shared" si="77"/>
        <v/>
      </c>
      <c r="GJ15" s="48" t="str">
        <f t="shared" si="78"/>
        <v/>
      </c>
      <c r="GK15" s="48" t="str">
        <f t="shared" si="79"/>
        <v>"HasSta",</v>
      </c>
      <c r="GL15" s="48" t="str">
        <f t="shared" si="4"/>
        <v/>
      </c>
      <c r="GM15" s="48" t="str">
        <f t="shared" si="4"/>
        <v/>
      </c>
      <c r="GN15" s="48" t="str">
        <f t="shared" si="4"/>
        <v>"3+Star",</v>
      </c>
      <c r="GP15" s="48" t="str">
        <f t="shared" si="80"/>
        <v>"State"</v>
      </c>
      <c r="GS15" s="48" t="str">
        <f t="shared" si="81"/>
        <v>["5+Colo","words2","lets08","startL","with_v","year19","4+Band","Horizo","Vertic","Circle","HasSun","Humans","staBLA","staBLA","NO_RED","myrBLA","HasSta","3+Star"]</v>
      </c>
      <c r="GT15" s="48" t="str">
        <f t="shared" si="5"/>
        <v>"cl_BLA",</v>
      </c>
      <c r="GU15" s="48" t="str">
        <f t="shared" si="5"/>
        <v>"cl_BLU",</v>
      </c>
      <c r="GV15" s="48" t="str">
        <f t="shared" si="5"/>
        <v>"cl_GRE",</v>
      </c>
      <c r="GW15" s="48" t="str">
        <f t="shared" si="5"/>
        <v/>
      </c>
      <c r="GX15" s="48" t="str">
        <f t="shared" si="5"/>
        <v>"cl_YEL",</v>
      </c>
      <c r="GY15" s="48" t="str">
        <f t="shared" si="5"/>
        <v>"cl_ORA",</v>
      </c>
      <c r="GZ15" s="48" t="str">
        <f t="shared" si="5"/>
        <v>"cl_BRO",</v>
      </c>
      <c r="HA15" s="48" t="str">
        <f t="shared" si="5"/>
        <v>"cl_PUR",</v>
      </c>
      <c r="HB15" s="48" t="str">
        <f t="shared" si="5"/>
        <v>"cl_WHI",</v>
      </c>
      <c r="HC15" s="48" t="str">
        <f t="shared" si="82"/>
        <v>["cl_BLA","cl_BLU","cl_GRE","cl_YEL","cl_ORA","cl_BRO","cl_PUR","cl_WHI"]</v>
      </c>
      <c r="HE15" s="71"/>
      <c r="HF15" s="72" t="str">
        <f t="shared" si="83"/>
        <v>{couname:"[VEN] La Guaira",year:"1999",region:"rgn_South America",Colors:["cl_BLA","cl_BLU","cl_GRE","cl_YEL","cl_ORA","cl_BRO","cl_PUR","cl_WHI"],Items:["5+Colo","words2","lets08","startL","with_v","year19","4+Band","Horizo","Vertic","Circle","HasSun","Humans","staBLA","staBLA","NO_RED","myrBLA","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links: "https://en.wikipedia.org/wiki/Flag_of_La_Guaira"},</v>
      </c>
      <c r="HG15" s="73" t="str">
        <f t="shared" si="84"/>
        <v>{couname:"[VEN] La Guaira",year:"1999",region:"rgn_South America",Colors:["cl_BLA","cl_BLU","cl_GRE","cl_YEL","cl_ORA","cl_BRO","cl_PUR","cl_WHI"],Items:["5+Colo","words2","lets08","startL","with_v","year19","4+Band","Horizo","Vertic","Circle","HasSun","Humans","staBLA","staBLA","NO_RED","myrBLA","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links: "https://en.wikipedia.org/wiki/Flag_of_La_Guaira"},</v>
      </c>
      <c r="HH15" s="48" t="str">
        <f t="shared" si="85"/>
        <v>"\nManuel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v>
      </c>
      <c r="HI15" s="48" t="str">
        <f t="shared" si="86"/>
        <v>"\nManuel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v>
      </c>
      <c r="HJ15" s="48" t="str">
        <f t="shared" si="87"/>
        <v>"1999"</v>
      </c>
      <c r="HL15" s="48" t="str">
        <f t="shared" si="88"/>
        <v>"https://en.wikipedia.org/wiki/Flag_of_La_Guaira"</v>
      </c>
      <c r="HM15" s="72" t="str">
        <f t="shared" si="89"/>
        <v>{"couname":"[VEN] La Guaira","year":"1999","region":"rgn_South America","Colors":["cl_BLA","cl_BLU","cl_GRE","cl_YEL","cl_ORA","cl_BRO","cl_PUR","cl_WHI"],"Items":["5+Colo","words2","lets08","startL","with_v","year19","4+Band","Horizo","Vertic","Circle","HasSun","Humans","staBLA","staBLA","NO_RED","myrBLA","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 "links": "https://en.wikipedia.org/wiki/Flag_of_La_Guaira"},</v>
      </c>
      <c r="HN15" s="74" t="str">
        <f t="shared" si="90"/>
        <v>{"couname":"[VEN] La Guaira","year":"1999","region":"rgn_South America","Colors":["cl_BLA","cl_BLU","cl_GRE","cl_YEL","cl_ORA","cl_BRO","cl_PUR","cl_WHI"],"Items":["5+Colo","words2","lets08","startL","with_v","year19","4+Band","Horizo","Vertic","Circle","HasSun","Humans","staBLA","staBLA","NO_RED","myrBLA","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 "links": "https://en.wikipedia.org/wiki/Flag_of_La_Guaira"},</v>
      </c>
      <c r="HO15" s="75">
        <v>45618</v>
      </c>
      <c r="HP15" s="48" t="str" cm="1">
        <f t="array" ref="HP15">IF(_xlfn.TEXTJOIN(", ", TRUE, IF(ISNUMBER(SEARCH("BLA", BL15:BT15)), COLUMN(BL15:BT15) - COLUMN(BL15) + 1, ""))&lt;&gt;"","BLA","")</f>
        <v>BLA</v>
      </c>
      <c r="HQ15" s="48" t="str" cm="1">
        <f t="array" ref="HQ15">IF(_xlfn.TEXTJOIN(", ", TRUE, IF(ISNUMBER(SEARCH("BLU", BL15:BT15)), COLUMN(BL15:BT15) - COLUMN(BL15) + 1, ""))&lt;&gt;"","BLU","")</f>
        <v>BLU</v>
      </c>
      <c r="HR15" s="48" t="str" cm="1">
        <f t="array" ref="HR15">IF(_xlfn.TEXTJOIN(", ", TRUE, IF(ISNUMBER(SEARCH("GRE", BL15:BT15)), COLUMN(BL15:BT15) - COLUMN(BL15) + 1, ""))&lt;&gt;"","GRE","")</f>
        <v>GRE</v>
      </c>
      <c r="HS15" s="48" t="str" cm="1">
        <f t="array" ref="HS15">IF(_xlfn.TEXTJOIN(", ", TRUE, IF(ISNUMBER(SEARCH("RED", BL15:BT15)), COLUMN(BL15:BT15) - COLUMN(BL15) + 1, ""))&lt;&gt;"","RED","")</f>
        <v/>
      </c>
      <c r="HT15" s="48" t="str" cm="1">
        <f t="array" ref="HT15">IF(_xlfn.TEXTJOIN(", ", TRUE, IF(ISNUMBER(SEARCH("YEL", BL15:BT15)), COLUMN(BL15:BT15) - COLUMN(BL15) + 1, ""))&lt;&gt;"","YEL","")</f>
        <v>YEL</v>
      </c>
      <c r="HU15" s="48" t="str" cm="1">
        <f t="array" ref="HU15">IF(_xlfn.TEXTJOIN(", ", TRUE, IF(ISNUMBER(SEARCH("ORA", BL15:BT15)), COLUMN(BL15:BT15) - COLUMN(BL15) + 1, ""))&lt;&gt;"","ORA","")</f>
        <v>ORA</v>
      </c>
      <c r="HV15" s="48" t="str" cm="1">
        <f t="array" ref="HV15">IF(_xlfn.TEXTJOIN(", ", TRUE, IF(ISNUMBER(SEARCH("BRO", BL15:BT15)), COLUMN(BL15:BT15) - COLUMN(BL15) + 1, ""))&lt;&gt;"","BRO","")</f>
        <v>BRO</v>
      </c>
      <c r="HW15" s="48" t="str" cm="1">
        <f t="array" ref="HW15">IF(_xlfn.TEXTJOIN(", ", TRUE, IF(ISNUMBER(SEARCH("PUR", BL15:BT15)), COLUMN(BL15:BT15) - COLUMN(BL15) + 1, ""))&lt;&gt;"","PUR","")</f>
        <v>PUR</v>
      </c>
      <c r="HX15" s="48" t="str" cm="1">
        <f t="array" ref="HX15">IF(_xlfn.TEXTJOIN(", ", TRUE, IF(ISNUMBER(SEARCH("WHI", BL15:BT15)), COLUMN(BL15:BT15) - COLUMN(BL15) + 1, ""))&lt;&gt;"","WHI","")</f>
        <v>WHI</v>
      </c>
      <c r="HY15" s="76"/>
      <c r="HZ15" s="76"/>
      <c r="IA15" s="6"/>
      <c r="IB15" s="6"/>
      <c r="IC15" s="77"/>
      <c r="ID15" s="77"/>
      <c r="IE15" s="77"/>
      <c r="IF15" s="77"/>
      <c r="IG15" s="77"/>
      <c r="IH15" s="77"/>
      <c r="II15" s="77"/>
      <c r="IJ15" s="77"/>
      <c r="IK15" s="77"/>
      <c r="IM15" s="45">
        <f t="shared" si="92"/>
        <v>-8</v>
      </c>
      <c r="IN15" s="78" t="str">
        <f t="shared" si="93"/>
        <v>http://mkweb.bcgsc.ca/color-summarizer/?url=https://upload.wikimedia.org/wikipedia/commons/thumb/a/a9/Flag_of_Vargas_State.svg/320px-Flag_of_Vargas_State.svg.png&amp;precision=low&amp;num_clusters=8&amp;text=1</v>
      </c>
      <c r="IO15" s="48" t="str">
        <f t="shared" si="94"/>
        <v>"black"</v>
      </c>
      <c r="IP15" s="48" t="str">
        <f t="shared" si="95"/>
        <v>"blue"</v>
      </c>
      <c r="IQ15" s="48" t="str">
        <f t="shared" si="96"/>
        <v>"green"</v>
      </c>
      <c r="IR15" s="48" t="str">
        <f t="shared" si="97"/>
        <v/>
      </c>
      <c r="IS15" s="48" t="str">
        <f t="shared" si="98"/>
        <v>"yellow"</v>
      </c>
      <c r="IT15" s="48" t="str">
        <f t="shared" si="99"/>
        <v>"orange"</v>
      </c>
      <c r="IU15" s="48" t="str">
        <f t="shared" si="100"/>
        <v>"brown"</v>
      </c>
      <c r="IV15" s="48" t="str">
        <f t="shared" si="101"/>
        <v>"purple"</v>
      </c>
      <c r="IW15" s="48" t="str">
        <f t="shared" si="102"/>
        <v>"white"</v>
      </c>
      <c r="IX15" s="48" t="str">
        <f t="shared" si="103"/>
        <v>{"url":"http://mkweb.bcgsc.ca/color-summarizer/?url=https://upload.wikimedia.org/wikipedia/commons/thumb/a/a9/Flag_of_Vargas_State.svg/320px-Flag_of_Vargas_State.svg.png&amp;precision=low&amp;num_clusters=8&amp;text=1","name":"[VEN] La Guaira"},</v>
      </c>
      <c r="IY15" s="48">
        <v>961</v>
      </c>
    </row>
    <row r="16" spans="1:259" s="48" customFormat="1" ht="38.4" customHeight="1" thickBot="1" x14ac:dyDescent="0.35">
      <c r="A16" s="79" t="s">
        <v>760</v>
      </c>
      <c r="B16" s="40" t="e" vm="115">
        <v>#VALUE!</v>
      </c>
      <c r="C16" s="41">
        <v>2</v>
      </c>
      <c r="D16" s="42" t="s">
        <v>761</v>
      </c>
      <c r="E16" s="43" t="s">
        <v>762</v>
      </c>
      <c r="F16" s="44" t="s">
        <v>166</v>
      </c>
      <c r="G16" s="45">
        <f>COUNTIF($A$1:$A$8305,A16)</f>
        <v>1</v>
      </c>
      <c r="H16" s="46"/>
      <c r="I16" s="47" t="s">
        <v>763</v>
      </c>
      <c r="J16" s="48" t="str">
        <f>""</f>
        <v/>
      </c>
      <c r="K16" s="49"/>
      <c r="L16" s="50"/>
      <c r="M16" s="50"/>
      <c r="N16" s="51" t="s">
        <v>169</v>
      </c>
      <c r="O16" s="52">
        <v>2000</v>
      </c>
      <c r="P16" s="53" t="s">
        <v>764</v>
      </c>
      <c r="Q16" s="54">
        <v>1</v>
      </c>
      <c r="R16" s="55" t="s">
        <v>169</v>
      </c>
      <c r="S16" s="56">
        <v>2</v>
      </c>
      <c r="T16" s="57" t="s">
        <v>173</v>
      </c>
      <c r="U16" s="58" t="s">
        <v>172</v>
      </c>
      <c r="V16" s="58" t="s">
        <v>173</v>
      </c>
      <c r="W16" s="58" t="s">
        <v>173</v>
      </c>
      <c r="X16" s="58" t="s">
        <v>172</v>
      </c>
      <c r="Y16" s="58" t="s">
        <v>172</v>
      </c>
      <c r="Z16" s="58" t="s">
        <v>172</v>
      </c>
      <c r="AA16" s="58" t="s">
        <v>172</v>
      </c>
      <c r="AB16" s="58" t="s">
        <v>172</v>
      </c>
      <c r="AC16" s="58" t="s">
        <v>172</v>
      </c>
      <c r="AD16" s="58" t="s">
        <v>173</v>
      </c>
      <c r="AE16" s="58" t="s">
        <v>172</v>
      </c>
      <c r="AF16" s="59" t="s">
        <v>172</v>
      </c>
      <c r="AG16" s="59" t="s">
        <v>172</v>
      </c>
      <c r="AH16" s="59" t="s">
        <v>172</v>
      </c>
      <c r="AI16" s="59" t="s">
        <v>172</v>
      </c>
      <c r="AJ16" s="59" t="s">
        <v>172</v>
      </c>
      <c r="AK16" s="59" t="s">
        <v>172</v>
      </c>
      <c r="AL16" s="59" t="s">
        <v>172</v>
      </c>
      <c r="AM16" s="59" t="s">
        <v>172</v>
      </c>
      <c r="AN16" s="59" t="s">
        <v>172</v>
      </c>
      <c r="AO16" s="59" t="s">
        <v>172</v>
      </c>
      <c r="AP16" s="59" t="s">
        <v>172</v>
      </c>
      <c r="AQ16" s="59" t="s">
        <v>172</v>
      </c>
      <c r="AR16" s="59" t="s">
        <v>172</v>
      </c>
      <c r="AS16" s="59" t="s">
        <v>172</v>
      </c>
      <c r="AT16" s="60">
        <v>0</v>
      </c>
      <c r="AU16" s="59" t="s">
        <v>383</v>
      </c>
      <c r="AV16" s="59" t="str">
        <f>IF(LEFT(A16,1)="[",LEFT(A16,5)&amp;AU16&amp;A16,"")</f>
        <v>[VEN]State[VEN] Lara</v>
      </c>
      <c r="AW16" s="59" t="str">
        <f>C16&amp;A16</f>
        <v>2[VEN] Lara</v>
      </c>
      <c r="AX16" s="61"/>
      <c r="AY16" s="61"/>
      <c r="AZ16" s="62" t="s">
        <v>174</v>
      </c>
      <c r="BA16" s="62" t="s">
        <v>174</v>
      </c>
      <c r="BB16" s="62"/>
      <c r="BC16" s="63"/>
      <c r="BD16" s="64" t="s">
        <v>159</v>
      </c>
      <c r="BE16" s="47"/>
      <c r="BF16" s="64" t="s">
        <v>174</v>
      </c>
      <c r="BG16" s="64" t="s">
        <v>174</v>
      </c>
      <c r="BH16" s="64" t="s">
        <v>174</v>
      </c>
      <c r="BI16" s="64"/>
      <c r="BJ16" s="64"/>
      <c r="BK16" s="47"/>
      <c r="BL16" s="64" t="s">
        <v>151</v>
      </c>
      <c r="BM16" s="64" t="s">
        <v>152</v>
      </c>
      <c r="BN16" s="64" t="s">
        <v>153</v>
      </c>
      <c r="BO16" s="64" t="s">
        <v>154</v>
      </c>
      <c r="BP16" s="64" t="s">
        <v>155</v>
      </c>
      <c r="BQ16" s="64" t="s">
        <v>174</v>
      </c>
      <c r="BR16" s="64" t="s">
        <v>174</v>
      </c>
      <c r="BS16" s="64" t="s">
        <v>174</v>
      </c>
      <c r="BT16" s="64" t="s">
        <v>159</v>
      </c>
      <c r="BU16" s="65"/>
      <c r="BV16" s="66"/>
      <c r="BW16" s="66">
        <v>0</v>
      </c>
      <c r="BX16" s="47"/>
      <c r="BY16" s="48" t="s">
        <v>172</v>
      </c>
      <c r="CB16" s="6"/>
      <c r="CC16" s="6"/>
      <c r="CD16" s="67">
        <v>0</v>
      </c>
      <c r="CE16" s="67">
        <v>0</v>
      </c>
      <c r="CF16" s="67" t="e">
        <v>#REF!</v>
      </c>
      <c r="CG16" s="68" cm="1">
        <f t="array" ref="CG16">SUMPRODUCT(--(LEN(TRIM(BL16:BT16))&gt;0))</f>
        <v>6</v>
      </c>
      <c r="CH16" s="59" t="str">
        <f t="shared" si="6"/>
        <v>n</v>
      </c>
      <c r="CI16" s="59" t="str">
        <f t="shared" si="7"/>
        <v>n</v>
      </c>
      <c r="CJ16" s="59" t="str">
        <f t="shared" si="8"/>
        <v>n</v>
      </c>
      <c r="CK16" s="59" t="str">
        <f t="shared" si="9"/>
        <v>y</v>
      </c>
      <c r="CL16" s="59" t="str">
        <f t="shared" si="10"/>
        <v>n</v>
      </c>
      <c r="CM16" s="59" t="str">
        <f t="shared" si="11"/>
        <v>y</v>
      </c>
      <c r="CN16" s="59" t="str">
        <f t="shared" si="12"/>
        <v>n</v>
      </c>
      <c r="CO16" s="59" t="str">
        <f t="shared" si="13"/>
        <v>n</v>
      </c>
      <c r="CP16" s="59" t="str">
        <f t="shared" si="14"/>
        <v>y</v>
      </c>
      <c r="CQ16" s="59" t="str">
        <f t="shared" si="15"/>
        <v>n</v>
      </c>
      <c r="CR16" s="59" t="str">
        <f t="shared" si="16"/>
        <v>n</v>
      </c>
      <c r="CS16" s="59" t="str">
        <f t="shared" si="17"/>
        <v>n</v>
      </c>
      <c r="CT16" s="69" t="str">
        <f t="shared" si="18"/>
        <v>"[VEN] Lara"</v>
      </c>
      <c r="CU16" s="70" t="str">
        <f t="shared" si="19"/>
        <v>"rgn_South America"</v>
      </c>
      <c r="CV16" s="48" t="str">
        <f t="shared" si="20"/>
        <v>"https://upload.wikimedia.org/wikipedia/commons/thumb/4/4b/Flag_of_Lara_State.svg/320px-Flag_of_Lara_State.svg.png"</v>
      </c>
      <c r="CW16" s="48" t="str">
        <f t="shared" si="0"/>
        <v/>
      </c>
      <c r="CX16" s="48" t="str">
        <f t="shared" si="0"/>
        <v/>
      </c>
      <c r="CY16" s="48" t="str">
        <f t="shared" si="0"/>
        <v/>
      </c>
      <c r="CZ16" s="48" t="str">
        <f t="shared" si="0"/>
        <v>"5+Colo",</v>
      </c>
      <c r="DA16" s="48" t="str">
        <f t="shared" si="21"/>
        <v/>
      </c>
      <c r="DB16" s="48" t="str">
        <f t="shared" si="22"/>
        <v/>
      </c>
      <c r="DD16" s="48" t="str">
        <f>IF(LEN(CHAR(34)&amp;"lets"&amp;LEN(SUBSTITUTE(SUBSTITUTE(IFERROR(TRIM(SUBSTITUTE(A16,MID(A16,FIND("[",A16),FIND("]",A16)-FIND("[",A16)+1),"")),A16)," ",""),"-",""))&amp;CHAR(34)&amp;",")=9,CHAR(34)&amp;"lets"&amp;LEN(SUBSTITUTE(SUBSTITUTE(IFERROR(TRIM(SUBSTITUTE(A16,MID(A16,FIND("[",A16),FIND("]",A16)-FIND("[",A16)+1),"")),A16)," ",""),"-",""))&amp;CHAR(34)&amp;",",CHAR(34)&amp;"lets0"&amp;LEN(SUBSTITUTE(SUBSTITUTE(IFERROR(TRIM(SUBSTITUTE(A16,MID(A16,FIND("[",A16),FIND("]",A16)-FIND("[",A16)+1),"")),A16)," ",""),"-",""))&amp;CHAR(34)&amp;",")</f>
        <v>"lets04",</v>
      </c>
      <c r="DE16" s="48" t="str">
        <f>CHAR(34)&amp;"start"&amp;IFERROR(LEFT(SUBSTITUTE(A16,"["&amp;MID(A16,FIND("[",A16)+1,FIND("]",A16)-FIND("[",A16)-1)&amp;"] ",""),1),LEFT(A16,1))&amp;CHAR(34)&amp;","</f>
        <v>"startL",</v>
      </c>
      <c r="DF16" s="48" t="str">
        <f t="shared" si="26"/>
        <v/>
      </c>
      <c r="DG16" s="48" t="str">
        <f t="shared" si="27"/>
        <v/>
      </c>
      <c r="DH16" s="48" t="str">
        <f t="shared" si="28"/>
        <v>"with_v",</v>
      </c>
      <c r="DI16" s="48" t="str">
        <f t="shared" si="29"/>
        <v/>
      </c>
      <c r="DJ16" s="48" t="str">
        <f t="shared" si="30"/>
        <v/>
      </c>
      <c r="DK16" s="48" t="str">
        <f t="shared" si="31"/>
        <v/>
      </c>
      <c r="DL16" s="48" t="str">
        <f t="shared" si="32"/>
        <v/>
      </c>
      <c r="DM16" s="48" t="str" cm="1">
        <f t="array" ref="DM16">IF(CG16=3,CHAR(34) &amp; _xlfn.TEXTJOIN("", TRUE, RIGHT(HP16:HX16, 2)) &amp; CHAR(34) &amp; ",", "")</f>
        <v/>
      </c>
      <c r="DN16" s="48" t="str">
        <f t="shared" si="33"/>
        <v/>
      </c>
      <c r="DO16" s="48" t="str">
        <f t="shared" si="34"/>
        <v/>
      </c>
      <c r="DP16" s="6" t="str">
        <f t="shared" si="35"/>
        <v>"year00",</v>
      </c>
      <c r="DQ16" s="6" t="str">
        <f t="shared" si="36"/>
        <v/>
      </c>
      <c r="DR16" s="6" t="str">
        <f t="shared" si="37"/>
        <v/>
      </c>
      <c r="DS16" s="6" t="str">
        <f t="shared" si="38"/>
        <v/>
      </c>
      <c r="DT16" s="6" t="str">
        <f t="shared" si="39"/>
        <v/>
      </c>
      <c r="DU16" s="6" t="str">
        <f t="shared" si="40"/>
        <v/>
      </c>
      <c r="DW16" s="48" t="str">
        <f t="shared" si="1"/>
        <v/>
      </c>
      <c r="DX16" s="48" t="str">
        <f t="shared" si="1"/>
        <v>"2Bands",</v>
      </c>
      <c r="DY16" s="48" t="str">
        <f t="shared" si="1"/>
        <v/>
      </c>
      <c r="DZ16" s="48" t="str">
        <f t="shared" si="1"/>
        <v/>
      </c>
      <c r="EA16" s="48" t="str">
        <f t="shared" si="2"/>
        <v>"Diagon",</v>
      </c>
      <c r="EB16" s="48" t="str">
        <f t="shared" si="2"/>
        <v/>
      </c>
      <c r="EC16" s="48" t="str">
        <f t="shared" si="2"/>
        <v>"Horizo",</v>
      </c>
      <c r="ED16" s="48" t="str">
        <f t="shared" si="2"/>
        <v>"Vertic",</v>
      </c>
      <c r="EE16" s="48" t="str">
        <f t="shared" si="2"/>
        <v/>
      </c>
      <c r="EF16" s="48" t="str">
        <f t="shared" si="42"/>
        <v/>
      </c>
      <c r="EG16" s="48" t="str">
        <f t="shared" si="106"/>
        <v/>
      </c>
      <c r="EH16" s="48" t="str">
        <f t="shared" si="106"/>
        <v/>
      </c>
      <c r="EI16" s="48" t="str">
        <f t="shared" si="106"/>
        <v/>
      </c>
      <c r="EJ16" s="48" t="str">
        <f t="shared" si="106"/>
        <v/>
      </c>
      <c r="EK16" s="48" t="str">
        <f t="shared" si="106"/>
        <v>"HasSun",</v>
      </c>
      <c r="EL16" s="48" t="str">
        <f t="shared" si="106"/>
        <v/>
      </c>
      <c r="EM16" s="48" t="str">
        <f t="shared" si="106"/>
        <v/>
      </c>
      <c r="EN16" s="48" t="str">
        <f t="shared" si="106"/>
        <v/>
      </c>
      <c r="EO16" s="48" t="str">
        <f t="shared" si="106"/>
        <v/>
      </c>
      <c r="EP16" s="48" t="str">
        <f t="shared" si="106"/>
        <v/>
      </c>
      <c r="EQ16" s="48" t="str">
        <f t="shared" si="106"/>
        <v/>
      </c>
      <c r="ER16" s="48" t="str">
        <f t="shared" si="106"/>
        <v/>
      </c>
      <c r="ES16" s="48" t="str">
        <f t="shared" si="106"/>
        <v/>
      </c>
      <c r="ET16" s="48" t="str">
        <f t="shared" si="106"/>
        <v/>
      </c>
      <c r="EU16" s="48" t="str">
        <f t="shared" si="106"/>
        <v/>
      </c>
      <c r="EV16" s="48" t="str">
        <f t="shared" si="106"/>
        <v/>
      </c>
      <c r="EW16" s="48" t="str">
        <f t="shared" si="104"/>
        <v/>
      </c>
      <c r="EX16" s="48" t="str">
        <f t="shared" si="104"/>
        <v/>
      </c>
      <c r="EY16" s="48" t="str">
        <f t="shared" si="104"/>
        <v/>
      </c>
      <c r="EZ16" s="48" t="str">
        <f t="shared" si="104"/>
        <v/>
      </c>
      <c r="FA16" s="48" t="str">
        <f t="shared" si="43"/>
        <v/>
      </c>
      <c r="FB16" s="48" t="str">
        <f t="shared" si="44"/>
        <v/>
      </c>
      <c r="FD16" s="48" t="str">
        <f t="shared" si="46"/>
        <v/>
      </c>
      <c r="FE16" s="48" t="str">
        <f t="shared" si="47"/>
        <v/>
      </c>
      <c r="FF16" s="48" t="str">
        <f t="shared" si="48"/>
        <v/>
      </c>
      <c r="FG16" s="48" t="str">
        <f t="shared" si="49"/>
        <v/>
      </c>
      <c r="FH16" s="48" t="str">
        <f t="shared" si="50"/>
        <v/>
      </c>
      <c r="FI16" s="48" t="str">
        <f t="shared" si="51"/>
        <v/>
      </c>
      <c r="FJ16" s="48" t="str">
        <f t="shared" si="52"/>
        <v/>
      </c>
      <c r="FK16" s="48" t="str">
        <f t="shared" si="53"/>
        <v/>
      </c>
      <c r="FL16" s="48" t="str">
        <f t="shared" si="54"/>
        <v/>
      </c>
      <c r="FM16" s="48" t="str">
        <f t="shared" si="55"/>
        <v/>
      </c>
      <c r="FN16" s="48" t="str">
        <f t="shared" si="56"/>
        <v/>
      </c>
      <c r="FO16" s="48" t="str">
        <f t="shared" si="57"/>
        <v/>
      </c>
      <c r="FP16" s="48" t="str">
        <f t="shared" si="58"/>
        <v/>
      </c>
      <c r="FQ16" s="48" t="str">
        <f t="shared" si="59"/>
        <v/>
      </c>
      <c r="FR16" s="48" t="str">
        <f t="shared" si="60"/>
        <v/>
      </c>
      <c r="FS16" s="48" t="str">
        <f t="shared" si="61"/>
        <v/>
      </c>
      <c r="FT16" s="48" t="str">
        <f t="shared" si="62"/>
        <v>"myrWHI",</v>
      </c>
      <c r="FU16" s="48" t="str">
        <f t="shared" si="63"/>
        <v/>
      </c>
      <c r="FV16" s="48" t="str">
        <f t="shared" si="64"/>
        <v/>
      </c>
      <c r="FW16" s="48" t="str">
        <f t="shared" si="65"/>
        <v/>
      </c>
      <c r="FY16" s="48" t="str">
        <f t="shared" si="67"/>
        <v/>
      </c>
      <c r="FZ16" s="48" t="str">
        <f t="shared" si="68"/>
        <v/>
      </c>
      <c r="GA16" s="48" t="str">
        <f t="shared" si="69"/>
        <v/>
      </c>
      <c r="GB16" s="48" t="str">
        <f t="shared" si="70"/>
        <v/>
      </c>
      <c r="GE16" s="48" t="str">
        <f t="shared" si="73"/>
        <v/>
      </c>
      <c r="GF16" s="48" t="str">
        <f t="shared" si="105"/>
        <v/>
      </c>
      <c r="GG16" s="48" t="str">
        <f t="shared" si="75"/>
        <v/>
      </c>
      <c r="GH16" s="48" t="str">
        <f t="shared" si="76"/>
        <v/>
      </c>
      <c r="GI16" s="48" t="str">
        <f t="shared" si="77"/>
        <v/>
      </c>
      <c r="GJ16" s="48" t="str">
        <f t="shared" si="78"/>
        <v>"NoStar",</v>
      </c>
      <c r="GK16" s="48" t="str">
        <f t="shared" si="79"/>
        <v/>
      </c>
      <c r="GL16" s="48" t="str">
        <f t="shared" si="4"/>
        <v/>
      </c>
      <c r="GM16" s="48" t="str">
        <f t="shared" si="4"/>
        <v/>
      </c>
      <c r="GN16" s="48" t="str">
        <f t="shared" si="4"/>
        <v/>
      </c>
      <c r="GP16" s="48" t="str">
        <f t="shared" si="80"/>
        <v>"State"</v>
      </c>
      <c r="GS16" s="48" t="str">
        <f t="shared" si="81"/>
        <v>["5+Colo","lets04","startL","with_v","year00","2Bands","Diagon","Horizo","Vertic","HasSun","myrWHI","NoStar"]</v>
      </c>
      <c r="GT16" s="48" t="str">
        <f t="shared" si="5"/>
        <v>"cl_BLA",</v>
      </c>
      <c r="GU16" s="48" t="str">
        <f t="shared" si="5"/>
        <v>"cl_BLU",</v>
      </c>
      <c r="GV16" s="48" t="str">
        <f t="shared" si="5"/>
        <v>"cl_GRE",</v>
      </c>
      <c r="GW16" s="48" t="str">
        <f t="shared" si="5"/>
        <v>"cl_RED",</v>
      </c>
      <c r="GX16" s="48" t="str">
        <f t="shared" si="5"/>
        <v>"cl_YEL",</v>
      </c>
      <c r="GY16" s="48" t="str">
        <f t="shared" si="5"/>
        <v/>
      </c>
      <c r="GZ16" s="48" t="str">
        <f t="shared" si="5"/>
        <v/>
      </c>
      <c r="HA16" s="48" t="str">
        <f t="shared" si="5"/>
        <v/>
      </c>
      <c r="HB16" s="48" t="str">
        <f t="shared" si="5"/>
        <v>"cl_WHI",</v>
      </c>
      <c r="HC16" s="48" t="str">
        <f t="shared" si="82"/>
        <v>["cl_BLA","cl_BLU","cl_GRE","cl_RED","cl_YEL","cl_WHI"]</v>
      </c>
      <c r="HE16" s="71"/>
      <c r="HF16" s="72" t="str">
        <f t="shared" si="83"/>
        <v>{couname:"[VEN] Lara",year:"2000",region:"rgn_South America",Colors:["cl_BLA","cl_BLU","cl_GRE","cl_RED","cl_YEL","cl_WHI"],Items:["5+Colo","lets04","startL","with_v","year00","2Bands","Diagon","Horizo","Vertic","HasSun","myrWHI","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links: "https://www.crwflags.com/fotw/flags/ve-k.html#:~:text=Urdaneta%20(Siquisique)-,Overview,-Flag%20of%20the"},</v>
      </c>
      <c r="HG16" s="73" t="str">
        <f t="shared" si="84"/>
        <v>{couname:"[VEN] Lara",year:"2000",region:"rgn_South America",Colors:["cl_BLA","cl_BLU","cl_GRE","cl_RED","cl_YEL","cl_WHI"],Items:["5+Colo","lets04","startL","with_v","year00","2Bands","Diagon","Horizo","Vertic","HasSun","myrWHI","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links: "https://www.crwflags.com/fotw/flags/ve-k.html#:~:text=Urdaneta%20(Siquisique)-,Overview,-Flag%20of%20the"},</v>
      </c>
      <c r="HH16" s="48" t="str">
        <f t="shared" si="85"/>
        <v>"\nThe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v>
      </c>
      <c r="HI16" s="48" t="str">
        <f t="shared" si="86"/>
        <v>"\nThe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v>
      </c>
      <c r="HJ16" s="48" t="str">
        <f t="shared" si="87"/>
        <v>"2000"</v>
      </c>
      <c r="HL16" s="48" t="str">
        <f t="shared" si="88"/>
        <v>"https://www.crwflags.com/fotw/flags/ve-k.html#:~:text=Urdaneta%20(Siquisique)-,Overview,-Flag%20of%20the"</v>
      </c>
      <c r="HM16" s="72" t="str">
        <f t="shared" si="89"/>
        <v>{"couname":"[VEN] Lara","year":"2000","region":"rgn_South America","Colors":["cl_BLA","cl_BLU","cl_GRE","cl_RED","cl_YEL","cl_WHI"],"Items":["5+Colo","lets04","startL","with_v","year00","2Bands","Diagon","Horizo","Vertic","HasSun","myrWHI","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 "links": "https://www.crwflags.com/fotw/flags/ve-k.html#:~:text=Urdaneta%20(Siquisique)-,Overview,-Flag%20of%20the"},</v>
      </c>
      <c r="HN16" s="74" t="str">
        <f t="shared" si="90"/>
        <v>{"couname":"[VEN] Lara","year":"2000","region":"rgn_South America","Colors":["cl_BLA","cl_BLU","cl_GRE","cl_RED","cl_YEL","cl_WHI"],"Items":["5+Colo","lets04","startL","with_v","year00","2Bands","Diagon","Horizo","Vertic","HasSun","myrWHI","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 "links": "https://www.crwflags.com/fotw/flags/ve-k.html#:~:text=Urdaneta%20(Siquisique)-,Overview,-Flag%20of%20the"},</v>
      </c>
      <c r="HO16" s="75">
        <v>45618</v>
      </c>
      <c r="HP16" s="48" t="str" cm="1">
        <f t="array" ref="HP16">IF(_xlfn.TEXTJOIN(", ", TRUE, IF(ISNUMBER(SEARCH("BLA", BL16:BT16)), COLUMN(BL16:BT16) - COLUMN(BL16) + 1, ""))&lt;&gt;"","BLA","")</f>
        <v>BLA</v>
      </c>
      <c r="HQ16" s="48" t="str" cm="1">
        <f t="array" ref="HQ16">IF(_xlfn.TEXTJOIN(", ", TRUE, IF(ISNUMBER(SEARCH("BLU", BL16:BT16)), COLUMN(BL16:BT16) - COLUMN(BL16) + 1, ""))&lt;&gt;"","BLU","")</f>
        <v>BLU</v>
      </c>
      <c r="HR16" s="48" t="str" cm="1">
        <f t="array" ref="HR16">IF(_xlfn.TEXTJOIN(", ", TRUE, IF(ISNUMBER(SEARCH("GRE", BL16:BT16)), COLUMN(BL16:BT16) - COLUMN(BL16) + 1, ""))&lt;&gt;"","GRE","")</f>
        <v>GRE</v>
      </c>
      <c r="HS16" s="48" t="str" cm="1">
        <f t="array" ref="HS16">IF(_xlfn.TEXTJOIN(", ", TRUE, IF(ISNUMBER(SEARCH("RED", BL16:BT16)), COLUMN(BL16:BT16) - COLUMN(BL16) + 1, ""))&lt;&gt;"","RED","")</f>
        <v>RED</v>
      </c>
      <c r="HT16" s="48" t="str" cm="1">
        <f t="array" ref="HT16">IF(_xlfn.TEXTJOIN(", ", TRUE, IF(ISNUMBER(SEARCH("YEL", BL16:BT16)), COLUMN(BL16:BT16) - COLUMN(BL16) + 1, ""))&lt;&gt;"","YEL","")</f>
        <v>YEL</v>
      </c>
      <c r="HU16" s="48" t="str" cm="1">
        <f t="array" ref="HU16">IF(_xlfn.TEXTJOIN(", ", TRUE, IF(ISNUMBER(SEARCH("ORA", BL16:BT16)), COLUMN(BL16:BT16) - COLUMN(BL16) + 1, ""))&lt;&gt;"","ORA","")</f>
        <v/>
      </c>
      <c r="HV16" s="48" t="str" cm="1">
        <f t="array" ref="HV16">IF(_xlfn.TEXTJOIN(", ", TRUE, IF(ISNUMBER(SEARCH("BRO", BL16:BT16)), COLUMN(BL16:BT16) - COLUMN(BL16) + 1, ""))&lt;&gt;"","BRO","")</f>
        <v/>
      </c>
      <c r="HW16" s="48" t="str" cm="1">
        <f t="array" ref="HW16">IF(_xlfn.TEXTJOIN(", ", TRUE, IF(ISNUMBER(SEARCH("PUR", BL16:BT16)), COLUMN(BL16:BT16) - COLUMN(BL16) + 1, ""))&lt;&gt;"","PUR","")</f>
        <v/>
      </c>
      <c r="HX16" s="48" t="str" cm="1">
        <f t="array" ref="HX16">IF(_xlfn.TEXTJOIN(", ", TRUE, IF(ISNUMBER(SEARCH("WHI", BL16:BT16)), COLUMN(BL16:BT16) - COLUMN(BL16) + 1, ""))&lt;&gt;"","WHI","")</f>
        <v>WHI</v>
      </c>
      <c r="HY16" s="76"/>
      <c r="HZ16" s="76"/>
      <c r="IA16" s="6"/>
      <c r="IB16" s="6"/>
      <c r="IC16" s="77"/>
      <c r="ID16" s="77"/>
      <c r="IE16" s="77"/>
      <c r="IF16" s="77"/>
      <c r="IG16" s="77"/>
      <c r="IH16" s="77"/>
      <c r="II16" s="77"/>
      <c r="IJ16" s="77"/>
      <c r="IK16" s="77"/>
      <c r="IM16" s="45">
        <f t="shared" si="92"/>
        <v>-6</v>
      </c>
      <c r="IN16" s="78" t="str">
        <f t="shared" si="93"/>
        <v>http://mkweb.bcgsc.ca/color-summarizer/?url=https://upload.wikimedia.org/wikipedia/commons/thumb/4/4b/Flag_of_Lara_State.svg/320px-Flag_of_Lara_State.svg.png&amp;precision=low&amp;num_clusters=6&amp;text=1</v>
      </c>
      <c r="IO16" s="48" t="str">
        <f t="shared" si="94"/>
        <v>"black"</v>
      </c>
      <c r="IP16" s="48" t="str">
        <f t="shared" si="95"/>
        <v>"blue"</v>
      </c>
      <c r="IQ16" s="48" t="str">
        <f t="shared" si="96"/>
        <v>"green"</v>
      </c>
      <c r="IR16" s="48" t="str">
        <f t="shared" si="97"/>
        <v>"red"</v>
      </c>
      <c r="IS16" s="48" t="str">
        <f t="shared" si="98"/>
        <v>"yellow"</v>
      </c>
      <c r="IT16" s="48" t="str">
        <f t="shared" si="99"/>
        <v/>
      </c>
      <c r="IU16" s="48" t="str">
        <f t="shared" si="100"/>
        <v/>
      </c>
      <c r="IV16" s="48" t="str">
        <f t="shared" si="101"/>
        <v/>
      </c>
      <c r="IW16" s="48" t="str">
        <f t="shared" si="102"/>
        <v>"white"</v>
      </c>
      <c r="IX16" s="48" t="str">
        <f t="shared" si="103"/>
        <v>{"url":"http://mkweb.bcgsc.ca/color-summarizer/?url=https://upload.wikimedia.org/wikipedia/commons/thumb/4/4b/Flag_of_Lara_State.svg/320px-Flag_of_Lara_State.svg.png&amp;precision=low&amp;num_clusters=6&amp;text=1","name":"[VEN] Lara"},</v>
      </c>
      <c r="IY16" s="48">
        <v>962</v>
      </c>
    </row>
    <row r="17" spans="1:259" s="48" customFormat="1" ht="38.4" customHeight="1" thickBot="1" x14ac:dyDescent="0.35">
      <c r="A17" s="79" t="s">
        <v>765</v>
      </c>
      <c r="B17" s="40" t="e" vm="116">
        <v>#VALUE!</v>
      </c>
      <c r="C17" s="41">
        <v>2</v>
      </c>
      <c r="D17" s="42" t="s">
        <v>766</v>
      </c>
      <c r="E17" s="43" t="s">
        <v>767</v>
      </c>
      <c r="F17" s="44" t="s">
        <v>166</v>
      </c>
      <c r="G17" s="45">
        <f>COUNTIF($A$1:$A$8305,A17)</f>
        <v>1</v>
      </c>
      <c r="H17" s="46"/>
      <c r="I17" s="47" t="s">
        <v>768</v>
      </c>
      <c r="J17" s="48" t="str">
        <f>""</f>
        <v/>
      </c>
      <c r="K17" s="49"/>
      <c r="L17" s="50"/>
      <c r="M17" s="50"/>
      <c r="N17" s="51" t="s">
        <v>169</v>
      </c>
      <c r="O17" s="52">
        <v>1996</v>
      </c>
      <c r="P17" s="53" t="s">
        <v>769</v>
      </c>
      <c r="Q17" s="54">
        <v>1</v>
      </c>
      <c r="R17" s="55" t="s">
        <v>169</v>
      </c>
      <c r="S17" s="56">
        <v>3</v>
      </c>
      <c r="T17" s="57" t="s">
        <v>173</v>
      </c>
      <c r="U17" s="58" t="s">
        <v>172</v>
      </c>
      <c r="V17" s="58" t="s">
        <v>172</v>
      </c>
      <c r="W17" s="58" t="s">
        <v>172</v>
      </c>
      <c r="X17" s="58" t="s">
        <v>172</v>
      </c>
      <c r="Y17" s="58" t="s">
        <v>172</v>
      </c>
      <c r="Z17" s="58" t="s">
        <v>172</v>
      </c>
      <c r="AA17" s="58" t="s">
        <v>172</v>
      </c>
      <c r="AB17" s="58" t="s">
        <v>172</v>
      </c>
      <c r="AC17" s="58" t="s">
        <v>172</v>
      </c>
      <c r="AD17" s="58" t="s">
        <v>172</v>
      </c>
      <c r="AE17" s="58" t="s">
        <v>172</v>
      </c>
      <c r="AF17" s="59" t="s">
        <v>173</v>
      </c>
      <c r="AG17" s="59" t="s">
        <v>172</v>
      </c>
      <c r="AH17" s="59" t="s">
        <v>173</v>
      </c>
      <c r="AI17" s="59" t="s">
        <v>172</v>
      </c>
      <c r="AJ17" s="59" t="s">
        <v>172</v>
      </c>
      <c r="AK17" s="59" t="s">
        <v>172</v>
      </c>
      <c r="AL17" s="59" t="s">
        <v>172</v>
      </c>
      <c r="AM17" s="59" t="s">
        <v>172</v>
      </c>
      <c r="AN17" s="59" t="s">
        <v>172</v>
      </c>
      <c r="AO17" s="59" t="s">
        <v>172</v>
      </c>
      <c r="AP17" s="59" t="s">
        <v>172</v>
      </c>
      <c r="AQ17" s="59" t="s">
        <v>172</v>
      </c>
      <c r="AR17" s="59" t="s">
        <v>172</v>
      </c>
      <c r="AS17" s="59" t="s">
        <v>172</v>
      </c>
      <c r="AT17" s="60">
        <v>1</v>
      </c>
      <c r="AU17" s="59" t="s">
        <v>383</v>
      </c>
      <c r="AV17" s="59" t="str">
        <f>IF(LEFT(A17,1)="[",LEFT(A17,5)&amp;AU17&amp;A17,"")</f>
        <v>[VEN]State[VEN] Mérida</v>
      </c>
      <c r="AW17" s="59" t="str">
        <f>C17&amp;A17</f>
        <v>2[VEN] Mérida</v>
      </c>
      <c r="AX17" s="61"/>
      <c r="AY17" s="61"/>
      <c r="AZ17" s="62" t="s">
        <v>159</v>
      </c>
      <c r="BA17" s="62" t="s">
        <v>174</v>
      </c>
      <c r="BB17" s="62"/>
      <c r="BC17" s="63"/>
      <c r="BD17" s="64" t="s">
        <v>153</v>
      </c>
      <c r="BE17" s="47"/>
      <c r="BF17" s="64" t="s">
        <v>174</v>
      </c>
      <c r="BG17" s="64" t="s">
        <v>174</v>
      </c>
      <c r="BH17" s="64" t="s">
        <v>174</v>
      </c>
      <c r="BI17" s="64"/>
      <c r="BJ17" s="64"/>
      <c r="BK17" s="47"/>
      <c r="BL17" s="64" t="s">
        <v>174</v>
      </c>
      <c r="BM17" s="64" t="s">
        <v>152</v>
      </c>
      <c r="BN17" s="64" t="s">
        <v>153</v>
      </c>
      <c r="BO17" s="64" t="s">
        <v>174</v>
      </c>
      <c r="BP17" s="64" t="s">
        <v>155</v>
      </c>
      <c r="BQ17" s="64" t="s">
        <v>156</v>
      </c>
      <c r="BR17" s="64" t="s">
        <v>174</v>
      </c>
      <c r="BS17" s="64" t="s">
        <v>174</v>
      </c>
      <c r="BT17" s="64" t="s">
        <v>159</v>
      </c>
      <c r="BU17" s="65"/>
      <c r="BV17" s="66"/>
      <c r="BW17" s="66">
        <v>0</v>
      </c>
      <c r="BX17" s="47"/>
      <c r="BY17" s="48" t="s">
        <v>172</v>
      </c>
      <c r="CB17" s="6"/>
      <c r="CC17" s="6"/>
      <c r="CD17" s="67">
        <v>1</v>
      </c>
      <c r="CE17" s="67">
        <v>0</v>
      </c>
      <c r="CF17" s="67" t="e">
        <v>#REF!</v>
      </c>
      <c r="CG17" s="68" cm="1">
        <f t="array" ref="CG17">SUMPRODUCT(--(LEN(TRIM(BL17:BT17))&gt;0))</f>
        <v>5</v>
      </c>
      <c r="CH17" s="59" t="str">
        <f t="shared" si="6"/>
        <v>n</v>
      </c>
      <c r="CI17" s="59" t="str">
        <f t="shared" si="7"/>
        <v>n</v>
      </c>
      <c r="CJ17" s="59" t="str">
        <f t="shared" si="8"/>
        <v>n</v>
      </c>
      <c r="CK17" s="59" t="str">
        <f t="shared" si="9"/>
        <v>y</v>
      </c>
      <c r="CL17" s="59" t="str">
        <f t="shared" si="10"/>
        <v>n</v>
      </c>
      <c r="CM17" s="59" t="str">
        <f t="shared" si="11"/>
        <v>n</v>
      </c>
      <c r="CN17" s="59" t="str">
        <f t="shared" si="12"/>
        <v>y</v>
      </c>
      <c r="CO17" s="59" t="str">
        <f t="shared" si="13"/>
        <v>n</v>
      </c>
      <c r="CP17" s="59" t="str">
        <f t="shared" si="14"/>
        <v>n</v>
      </c>
      <c r="CQ17" s="59" t="str">
        <f t="shared" si="15"/>
        <v>y</v>
      </c>
      <c r="CR17" s="59" t="str">
        <f t="shared" si="16"/>
        <v>n</v>
      </c>
      <c r="CS17" s="59" t="str">
        <f t="shared" si="17"/>
        <v>n</v>
      </c>
      <c r="CT17" s="69" t="str">
        <f t="shared" si="18"/>
        <v>"[VEN] Mérida"</v>
      </c>
      <c r="CU17" s="70" t="str">
        <f t="shared" si="19"/>
        <v>"rgn_South America"</v>
      </c>
      <c r="CV17" s="48" t="str">
        <f t="shared" si="20"/>
        <v>"https://upload.wikimedia.org/wikipedia/commons/thumb/9/9f/Flag_of_M%C3%A9rida_State.svg/320px-Flag_of_M%C3%A9rida_State.svg.png"</v>
      </c>
      <c r="CW17" s="48" t="str">
        <f t="shared" si="0"/>
        <v/>
      </c>
      <c r="CX17" s="48" t="str">
        <f t="shared" si="0"/>
        <v/>
      </c>
      <c r="CY17" s="48" t="str">
        <f t="shared" si="0"/>
        <v/>
      </c>
      <c r="CZ17" s="48" t="str">
        <f t="shared" si="0"/>
        <v>"5+Colo",</v>
      </c>
      <c r="DA17" s="48" t="str">
        <f t="shared" si="21"/>
        <v/>
      </c>
      <c r="DB17" s="48" t="str">
        <f t="shared" si="22"/>
        <v/>
      </c>
      <c r="DD17" s="48" t="str">
        <f>IF(LEN(CHAR(34)&amp;"lets"&amp;LEN(SUBSTITUTE(SUBSTITUTE(IFERROR(TRIM(SUBSTITUTE(A17,MID(A17,FIND("[",A17),FIND("]",A17)-FIND("[",A17)+1),"")),A17)," ",""),"-",""))&amp;CHAR(34)&amp;",")=9,CHAR(34)&amp;"lets"&amp;LEN(SUBSTITUTE(SUBSTITUTE(IFERROR(TRIM(SUBSTITUTE(A17,MID(A17,FIND("[",A17),FIND("]",A17)-FIND("[",A17)+1),"")),A17)," ",""),"-",""))&amp;CHAR(34)&amp;",",CHAR(34)&amp;"lets0"&amp;LEN(SUBSTITUTE(SUBSTITUTE(IFERROR(TRIM(SUBSTITUTE(A17,MID(A17,FIND("[",A17),FIND("]",A17)-FIND("[",A17)+1),"")),A17)," ",""),"-",""))&amp;CHAR(34)&amp;",")</f>
        <v>"lets06",</v>
      </c>
      <c r="DE17" s="48" t="str">
        <f>CHAR(34)&amp;"start"&amp;IFERROR(LEFT(SUBSTITUTE(A17,"["&amp;MID(A17,FIND("[",A17)+1,FIND("]",A17)-FIND("[",A17)-1)&amp;"] ",""),1),LEFT(A17,1))&amp;CHAR(34)&amp;","</f>
        <v>"startM",</v>
      </c>
      <c r="DF17" s="48" t="str">
        <f t="shared" si="26"/>
        <v/>
      </c>
      <c r="DG17" s="48" t="str">
        <f t="shared" si="27"/>
        <v/>
      </c>
      <c r="DH17" s="48" t="str">
        <f t="shared" si="28"/>
        <v>"with_v",</v>
      </c>
      <c r="DI17" s="48" t="str">
        <f t="shared" si="29"/>
        <v/>
      </c>
      <c r="DJ17" s="48" t="str">
        <f t="shared" si="30"/>
        <v/>
      </c>
      <c r="DK17" s="48" t="str">
        <f t="shared" si="31"/>
        <v/>
      </c>
      <c r="DL17" s="48" t="str">
        <f t="shared" si="32"/>
        <v/>
      </c>
      <c r="DM17" s="48" t="str" cm="1">
        <f t="array" ref="DM17">IF(CG17=3,CHAR(34) &amp; _xlfn.TEXTJOIN("", TRUE, RIGHT(HP17:HX17, 2)) &amp; CHAR(34) &amp; ",", "")</f>
        <v/>
      </c>
      <c r="DN17" s="48" t="str">
        <f t="shared" si="33"/>
        <v/>
      </c>
      <c r="DO17" s="48" t="str">
        <f t="shared" si="34"/>
        <v>"year19",</v>
      </c>
      <c r="DP17" s="6" t="str">
        <f t="shared" si="35"/>
        <v/>
      </c>
      <c r="DQ17" s="6" t="str">
        <f t="shared" si="36"/>
        <v/>
      </c>
      <c r="DR17" s="6" t="str">
        <f t="shared" si="37"/>
        <v/>
      </c>
      <c r="DS17" s="6" t="str">
        <f t="shared" si="38"/>
        <v/>
      </c>
      <c r="DT17" s="6" t="str">
        <f t="shared" si="39"/>
        <v/>
      </c>
      <c r="DU17" s="6" t="str">
        <f t="shared" si="40"/>
        <v/>
      </c>
      <c r="DW17" s="48" t="str">
        <f t="shared" si="1"/>
        <v/>
      </c>
      <c r="DX17" s="48" t="str">
        <f t="shared" si="1"/>
        <v/>
      </c>
      <c r="DY17" s="48" t="str">
        <f t="shared" si="1"/>
        <v>"3Bands",</v>
      </c>
      <c r="DZ17" s="48" t="str">
        <f t="shared" si="1"/>
        <v/>
      </c>
      <c r="EA17" s="48" t="str">
        <f t="shared" si="2"/>
        <v>"Diagon",</v>
      </c>
      <c r="EB17" s="48" t="str">
        <f t="shared" si="2"/>
        <v/>
      </c>
      <c r="EC17" s="48" t="str">
        <f t="shared" si="2"/>
        <v/>
      </c>
      <c r="ED17" s="48" t="str">
        <f t="shared" si="2"/>
        <v/>
      </c>
      <c r="EE17" s="48" t="str">
        <f t="shared" si="2"/>
        <v/>
      </c>
      <c r="EF17" s="48" t="str">
        <f t="shared" si="42"/>
        <v/>
      </c>
      <c r="EG17" s="48" t="str">
        <f t="shared" si="106"/>
        <v/>
      </c>
      <c r="EH17" s="48" t="str">
        <f t="shared" si="106"/>
        <v/>
      </c>
      <c r="EI17" s="48" t="str">
        <f t="shared" si="106"/>
        <v/>
      </c>
      <c r="EJ17" s="48" t="str">
        <f t="shared" si="106"/>
        <v/>
      </c>
      <c r="EK17" s="48" t="str">
        <f t="shared" si="106"/>
        <v/>
      </c>
      <c r="EL17" s="48" t="str">
        <f t="shared" si="106"/>
        <v/>
      </c>
      <c r="EM17" s="48" t="str">
        <f t="shared" si="106"/>
        <v>"Trside",</v>
      </c>
      <c r="EN17" s="48" t="str">
        <f t="shared" si="106"/>
        <v/>
      </c>
      <c r="EO17" s="48" t="str">
        <f t="shared" si="106"/>
        <v>"Center",</v>
      </c>
      <c r="EP17" s="48" t="str">
        <f t="shared" si="106"/>
        <v/>
      </c>
      <c r="EQ17" s="48" t="str">
        <f t="shared" si="106"/>
        <v/>
      </c>
      <c r="ER17" s="48" t="str">
        <f t="shared" si="106"/>
        <v/>
      </c>
      <c r="ES17" s="48" t="str">
        <f t="shared" si="106"/>
        <v/>
      </c>
      <c r="ET17" s="48" t="str">
        <f t="shared" si="106"/>
        <v/>
      </c>
      <c r="EU17" s="48" t="str">
        <f t="shared" si="106"/>
        <v/>
      </c>
      <c r="EV17" s="48" t="str">
        <f t="shared" si="106"/>
        <v/>
      </c>
      <c r="EW17" s="48" t="str">
        <f t="shared" si="104"/>
        <v/>
      </c>
      <c r="EX17" s="48" t="str">
        <f t="shared" si="104"/>
        <v/>
      </c>
      <c r="EY17" s="48" t="str">
        <f t="shared" si="104"/>
        <v/>
      </c>
      <c r="EZ17" s="48" t="str">
        <f t="shared" si="104"/>
        <v/>
      </c>
      <c r="FA17" s="48" t="str">
        <f t="shared" si="43"/>
        <v>"staWHI",</v>
      </c>
      <c r="FB17" s="48" t="str">
        <f t="shared" si="44"/>
        <v/>
      </c>
      <c r="FD17" s="48" t="str">
        <f t="shared" si="46"/>
        <v/>
      </c>
      <c r="FE17" s="48" t="str">
        <f t="shared" si="47"/>
        <v/>
      </c>
      <c r="FF17" s="48" t="str">
        <f t="shared" si="48"/>
        <v/>
      </c>
      <c r="FG17" s="48" t="str">
        <f t="shared" si="49"/>
        <v>"NO_RED",</v>
      </c>
      <c r="FH17" s="48" t="str">
        <f t="shared" si="50"/>
        <v/>
      </c>
      <c r="FI17" s="48" t="str">
        <f t="shared" si="51"/>
        <v/>
      </c>
      <c r="FJ17" s="48" t="str">
        <f t="shared" si="52"/>
        <v>"NO_BLA",</v>
      </c>
      <c r="FK17" s="48" t="str">
        <f t="shared" si="53"/>
        <v/>
      </c>
      <c r="FL17" s="48" t="str">
        <f t="shared" si="54"/>
        <v/>
      </c>
      <c r="FM17" s="48" t="str">
        <f t="shared" si="55"/>
        <v/>
      </c>
      <c r="FN17" s="48" t="str">
        <f t="shared" si="56"/>
        <v/>
      </c>
      <c r="FO17" s="48" t="str">
        <f t="shared" si="57"/>
        <v/>
      </c>
      <c r="FP17" s="48" t="str">
        <f t="shared" si="58"/>
        <v/>
      </c>
      <c r="FQ17" s="48" t="str">
        <f t="shared" si="59"/>
        <v/>
      </c>
      <c r="FR17" s="48" t="str">
        <f t="shared" si="60"/>
        <v/>
      </c>
      <c r="FS17" s="48" t="str">
        <f t="shared" si="61"/>
        <v/>
      </c>
      <c r="FT17" s="48" t="str">
        <f t="shared" si="62"/>
        <v>"myrGRE",</v>
      </c>
      <c r="FU17" s="48" t="str">
        <f t="shared" si="63"/>
        <v/>
      </c>
      <c r="FV17" s="48" t="str">
        <f t="shared" si="64"/>
        <v/>
      </c>
      <c r="FW17" s="48" t="str">
        <f t="shared" si="65"/>
        <v/>
      </c>
      <c r="FY17" s="48" t="str">
        <f t="shared" si="67"/>
        <v/>
      </c>
      <c r="FZ17" s="48" t="str">
        <f t="shared" si="68"/>
        <v/>
      </c>
      <c r="GA17" s="48" t="str">
        <f t="shared" si="69"/>
        <v/>
      </c>
      <c r="GB17" s="48" t="str">
        <f t="shared" si="70"/>
        <v/>
      </c>
      <c r="GE17" s="48" t="str">
        <f t="shared" si="73"/>
        <v/>
      </c>
      <c r="GF17" s="48" t="str">
        <f t="shared" si="105"/>
        <v/>
      </c>
      <c r="GG17" s="48" t="str">
        <f t="shared" si="75"/>
        <v/>
      </c>
      <c r="GH17" s="48" t="str">
        <f t="shared" si="76"/>
        <v>"southc",</v>
      </c>
      <c r="GI17" s="48" t="str">
        <f t="shared" si="77"/>
        <v/>
      </c>
      <c r="GJ17" s="48" t="str">
        <f t="shared" si="78"/>
        <v/>
      </c>
      <c r="GK17" s="48" t="str">
        <f t="shared" si="79"/>
        <v>"HasSta",</v>
      </c>
      <c r="GL17" s="48" t="str">
        <f t="shared" si="4"/>
        <v>"1Stars",</v>
      </c>
      <c r="GM17" s="48" t="str">
        <f t="shared" si="4"/>
        <v/>
      </c>
      <c r="GN17" s="48" t="str">
        <f t="shared" si="4"/>
        <v/>
      </c>
      <c r="GP17" s="48" t="str">
        <f t="shared" si="80"/>
        <v>"State"</v>
      </c>
      <c r="GS17" s="48" t="str">
        <f t="shared" si="81"/>
        <v>["5+Colo","lets06","startM","with_v","year19","3Bands","Diagon","Trside","Center","staWHI","NO_RED","NO_BLA","myrGRE","southc","HasSta","1Stars"]</v>
      </c>
      <c r="GT17" s="48" t="str">
        <f t="shared" si="5"/>
        <v/>
      </c>
      <c r="GU17" s="48" t="str">
        <f t="shared" si="5"/>
        <v>"cl_BLU",</v>
      </c>
      <c r="GV17" s="48" t="str">
        <f t="shared" si="5"/>
        <v>"cl_GRE",</v>
      </c>
      <c r="GW17" s="48" t="str">
        <f t="shared" si="5"/>
        <v/>
      </c>
      <c r="GX17" s="48" t="str">
        <f t="shared" si="5"/>
        <v>"cl_YEL",</v>
      </c>
      <c r="GY17" s="48" t="str">
        <f t="shared" si="5"/>
        <v>"cl_ORA",</v>
      </c>
      <c r="GZ17" s="48" t="str">
        <f t="shared" si="5"/>
        <v/>
      </c>
      <c r="HA17" s="48" t="str">
        <f t="shared" si="5"/>
        <v/>
      </c>
      <c r="HB17" s="48" t="str">
        <f t="shared" si="5"/>
        <v>"cl_WHI",</v>
      </c>
      <c r="HC17" s="48" t="str">
        <f t="shared" si="82"/>
        <v>["cl_BLU","cl_GRE","cl_YEL","cl_ORA","cl_WHI"]</v>
      </c>
      <c r="HE17" s="71"/>
      <c r="HF17" s="72" t="str">
        <f t="shared" si="83"/>
        <v>{couname:"[VEN] Mérida",year:"1996",region:"rgn_South America",Colors:["cl_BLU","cl_GRE","cl_YEL","cl_ORA","cl_WHI"],Items:["5+Colo","lets06","startM","with_v","year19","3Bands","Diagon","Trside","Center","staWHI","NO_RED","NO_BLA","myrGRE","southc","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links: "https://www.crwflags.com/fotw/flags/ve-l.html#:~:text=(in%20Spanish)-,Overview,-The%20M%C3%A9rida%20flag"},</v>
      </c>
      <c r="HG17" s="73" t="str">
        <f t="shared" si="84"/>
        <v>{couname:"[VEN] Mérida",year:"1996",region:"rgn_South America",Colors:["cl_BLU","cl_GRE","cl_YEL","cl_ORA","cl_WHI"],Items:["5+Colo","lets06","startM","with_v","year19","3Bands","Diagon","Trside","Center","staWHI","NO_RED","NO_BLA","myrGRE","southc","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links: "https://www.crwflags.com/fotw/flags/ve-l.html#:~:text=(in%20Spanish)-,Overview,-The%20M%C3%A9rida%20flag"},</v>
      </c>
      <c r="HH17" s="48" t="str">
        <f t="shared" si="85"/>
        <v>"\nThe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v>
      </c>
      <c r="HI17" s="48" t="str">
        <f t="shared" si="86"/>
        <v>"\nThe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v>
      </c>
      <c r="HJ17" s="48" t="str">
        <f t="shared" si="87"/>
        <v>"1996"</v>
      </c>
      <c r="HL17" s="48" t="str">
        <f t="shared" si="88"/>
        <v>"https://www.crwflags.com/fotw/flags/ve-l.html#:~:text=(in%20Spanish)-,Overview,-The%20M%C3%A9rida%20flag"</v>
      </c>
      <c r="HM17" s="72" t="str">
        <f t="shared" si="89"/>
        <v>{"couname":"[VEN] Mérida","year":"1996","region":"rgn_South America","Colors":["cl_BLU","cl_GRE","cl_YEL","cl_ORA","cl_WHI"],"Items":["5+Colo","lets06","startM","with_v","year19","3Bands","Diagon","Trside","Center","staWHI","NO_RED","NO_BLA","myrGRE","southc","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 "links": "https://www.crwflags.com/fotw/flags/ve-l.html#:~:text=(in%20Spanish)-,Overview,-The%20M%C3%A9rida%20flag"},</v>
      </c>
      <c r="HN17" s="74" t="str">
        <f t="shared" si="90"/>
        <v>{"couname":"[VEN] Mérida","year":"1996","region":"rgn_South America","Colors":["cl_BLU","cl_GRE","cl_YEL","cl_ORA","cl_WHI"],"Items":["5+Colo","lets06","startM","with_v","year19","3Bands","Diagon","Trside","Center","staWHI","NO_RED","NO_BLA","myrGRE","southc","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 "links": "https://www.crwflags.com/fotw/flags/ve-l.html#:~:text=(in%20Spanish)-,Overview,-The%20M%C3%A9rida%20flag"},</v>
      </c>
      <c r="HO17" s="75">
        <v>45618</v>
      </c>
      <c r="HP17" s="48" t="str" cm="1">
        <f t="array" ref="HP17">IF(_xlfn.TEXTJOIN(", ", TRUE, IF(ISNUMBER(SEARCH("BLA", BL17:BT17)), COLUMN(BL17:BT17) - COLUMN(BL17) + 1, ""))&lt;&gt;"","BLA","")</f>
        <v/>
      </c>
      <c r="HQ17" s="48" t="str" cm="1">
        <f t="array" ref="HQ17">IF(_xlfn.TEXTJOIN(", ", TRUE, IF(ISNUMBER(SEARCH("BLU", BL17:BT17)), COLUMN(BL17:BT17) - COLUMN(BL17) + 1, ""))&lt;&gt;"","BLU","")</f>
        <v>BLU</v>
      </c>
      <c r="HR17" s="48" t="str" cm="1">
        <f t="array" ref="HR17">IF(_xlfn.TEXTJOIN(", ", TRUE, IF(ISNUMBER(SEARCH("GRE", BL17:BT17)), COLUMN(BL17:BT17) - COLUMN(BL17) + 1, ""))&lt;&gt;"","GRE","")</f>
        <v>GRE</v>
      </c>
      <c r="HS17" s="48" t="str" cm="1">
        <f t="array" ref="HS17">IF(_xlfn.TEXTJOIN(", ", TRUE, IF(ISNUMBER(SEARCH("RED", BL17:BT17)), COLUMN(BL17:BT17) - COLUMN(BL17) + 1, ""))&lt;&gt;"","RED","")</f>
        <v/>
      </c>
      <c r="HT17" s="48" t="str" cm="1">
        <f t="array" ref="HT17">IF(_xlfn.TEXTJOIN(", ", TRUE, IF(ISNUMBER(SEARCH("YEL", BL17:BT17)), COLUMN(BL17:BT17) - COLUMN(BL17) + 1, ""))&lt;&gt;"","YEL","")</f>
        <v>YEL</v>
      </c>
      <c r="HU17" s="48" t="str" cm="1">
        <f t="array" ref="HU17">IF(_xlfn.TEXTJOIN(", ", TRUE, IF(ISNUMBER(SEARCH("ORA", BL17:BT17)), COLUMN(BL17:BT17) - COLUMN(BL17) + 1, ""))&lt;&gt;"","ORA","")</f>
        <v>ORA</v>
      </c>
      <c r="HV17" s="48" t="str" cm="1">
        <f t="array" ref="HV17">IF(_xlfn.TEXTJOIN(", ", TRUE, IF(ISNUMBER(SEARCH("BRO", BL17:BT17)), COLUMN(BL17:BT17) - COLUMN(BL17) + 1, ""))&lt;&gt;"","BRO","")</f>
        <v/>
      </c>
      <c r="HW17" s="48" t="str" cm="1">
        <f t="array" ref="HW17">IF(_xlfn.TEXTJOIN(", ", TRUE, IF(ISNUMBER(SEARCH("PUR", BL17:BT17)), COLUMN(BL17:BT17) - COLUMN(BL17) + 1, ""))&lt;&gt;"","PUR","")</f>
        <v/>
      </c>
      <c r="HX17" s="48" t="str" cm="1">
        <f t="array" ref="HX17">IF(_xlfn.TEXTJOIN(", ", TRUE, IF(ISNUMBER(SEARCH("WHI", BL17:BT17)), COLUMN(BL17:BT17) - COLUMN(BL17) + 1, ""))&lt;&gt;"","WHI","")</f>
        <v>WHI</v>
      </c>
      <c r="HY17" s="76"/>
      <c r="HZ17" s="76"/>
      <c r="IA17" s="6"/>
      <c r="IB17" s="6"/>
      <c r="IC17" s="77"/>
      <c r="ID17" s="77"/>
      <c r="IE17" s="77"/>
      <c r="IF17" s="77"/>
      <c r="IG17" s="77"/>
      <c r="IH17" s="77"/>
      <c r="II17" s="77"/>
      <c r="IJ17" s="77"/>
      <c r="IK17" s="77"/>
      <c r="IM17" s="45">
        <f t="shared" si="92"/>
        <v>-5</v>
      </c>
      <c r="IN17" s="78" t="str">
        <f t="shared" si="93"/>
        <v>http://mkweb.bcgsc.ca/color-summarizer/?url=https://upload.wikimedia.org/wikipedia/commons/thumb/9/9f/Flag_of_M%C3%A9rida_State.svg/320px-Flag_of_M%C3%A9rida_State.svg.png&amp;precision=low&amp;num_clusters=5&amp;text=1</v>
      </c>
      <c r="IO17" s="48" t="str">
        <f t="shared" si="94"/>
        <v/>
      </c>
      <c r="IP17" s="48" t="str">
        <f t="shared" si="95"/>
        <v>"blue"</v>
      </c>
      <c r="IQ17" s="48" t="str">
        <f t="shared" si="96"/>
        <v>"green"</v>
      </c>
      <c r="IR17" s="48" t="str">
        <f t="shared" si="97"/>
        <v/>
      </c>
      <c r="IS17" s="48" t="str">
        <f t="shared" si="98"/>
        <v>"yellow"</v>
      </c>
      <c r="IT17" s="48" t="str">
        <f t="shared" si="99"/>
        <v>"orange"</v>
      </c>
      <c r="IU17" s="48" t="str">
        <f t="shared" si="100"/>
        <v/>
      </c>
      <c r="IV17" s="48" t="str">
        <f t="shared" si="101"/>
        <v/>
      </c>
      <c r="IW17" s="48" t="str">
        <f t="shared" si="102"/>
        <v>"white"</v>
      </c>
      <c r="IX17" s="48" t="str">
        <f t="shared" si="103"/>
        <v>{"url":"http://mkweb.bcgsc.ca/color-summarizer/?url=https://upload.wikimedia.org/wikipedia/commons/thumb/9/9f/Flag_of_M%C3%A9rida_State.svg/320px-Flag_of_M%C3%A9rida_State.svg.png&amp;precision=low&amp;num_clusters=5&amp;text=1","name":"[VEN] Mérida"},</v>
      </c>
      <c r="IY17" s="48">
        <v>963</v>
      </c>
    </row>
    <row r="18" spans="1:259" s="48" customFormat="1" ht="38.4" customHeight="1" thickBot="1" x14ac:dyDescent="0.35">
      <c r="A18" s="79" t="s">
        <v>770</v>
      </c>
      <c r="B18" s="40" t="e" vm="117">
        <v>#VALUE!</v>
      </c>
      <c r="C18" s="41">
        <v>2</v>
      </c>
      <c r="D18" s="42" t="s">
        <v>771</v>
      </c>
      <c r="E18" s="43" t="s">
        <v>772</v>
      </c>
      <c r="F18" s="44" t="s">
        <v>166</v>
      </c>
      <c r="G18" s="45">
        <f>COUNTIF($A$1:$A$8305,A18)</f>
        <v>1</v>
      </c>
      <c r="H18" s="46"/>
      <c r="I18" s="47" t="s">
        <v>773</v>
      </c>
      <c r="J18" s="48" t="str">
        <f>""</f>
        <v/>
      </c>
      <c r="K18" s="49"/>
      <c r="L18" s="50"/>
      <c r="M18" s="50"/>
      <c r="N18" s="51" t="s">
        <v>169</v>
      </c>
      <c r="O18" s="52">
        <v>2006</v>
      </c>
      <c r="P18" s="53" t="s">
        <v>774</v>
      </c>
      <c r="Q18" s="54">
        <v>1</v>
      </c>
      <c r="R18" s="55" t="s">
        <v>169</v>
      </c>
      <c r="S18" s="56">
        <v>3</v>
      </c>
      <c r="T18" s="57" t="s">
        <v>172</v>
      </c>
      <c r="U18" s="58" t="s">
        <v>172</v>
      </c>
      <c r="V18" s="58" t="s">
        <v>173</v>
      </c>
      <c r="W18" s="58" t="s">
        <v>172</v>
      </c>
      <c r="X18" s="58" t="s">
        <v>173</v>
      </c>
      <c r="Y18" s="58" t="s">
        <v>172</v>
      </c>
      <c r="Z18" s="58" t="s">
        <v>172</v>
      </c>
      <c r="AA18" s="58" t="s">
        <v>173</v>
      </c>
      <c r="AB18" s="58" t="s">
        <v>173</v>
      </c>
      <c r="AC18" s="58" t="s">
        <v>172</v>
      </c>
      <c r="AD18" s="58" t="s">
        <v>172</v>
      </c>
      <c r="AE18" s="58" t="s">
        <v>172</v>
      </c>
      <c r="AF18" s="59" t="s">
        <v>172</v>
      </c>
      <c r="AG18" s="59" t="s">
        <v>173</v>
      </c>
      <c r="AH18" s="59" t="s">
        <v>173</v>
      </c>
      <c r="AI18" s="59" t="s">
        <v>172</v>
      </c>
      <c r="AJ18" s="59" t="s">
        <v>172</v>
      </c>
      <c r="AK18" s="59" t="s">
        <v>172</v>
      </c>
      <c r="AL18" s="59" t="s">
        <v>172</v>
      </c>
      <c r="AM18" s="59" t="s">
        <v>172</v>
      </c>
      <c r="AN18" s="59" t="s">
        <v>172</v>
      </c>
      <c r="AO18" s="59" t="s">
        <v>172</v>
      </c>
      <c r="AP18" s="59" t="s">
        <v>172</v>
      </c>
      <c r="AQ18" s="59" t="s">
        <v>172</v>
      </c>
      <c r="AR18" s="59" t="s">
        <v>172</v>
      </c>
      <c r="AS18" s="59" t="s">
        <v>172</v>
      </c>
      <c r="AT18" s="60">
        <v>6</v>
      </c>
      <c r="AU18" s="59" t="s">
        <v>383</v>
      </c>
      <c r="AV18" s="59" t="str">
        <f>IF(LEFT(A18,1)="[",LEFT(A18,5)&amp;AU18&amp;A18,"")</f>
        <v>[VEN]State[VEN] Miranda</v>
      </c>
      <c r="AW18" s="59" t="str">
        <f>C18&amp;A18</f>
        <v>2[VEN] Miranda</v>
      </c>
      <c r="AX18" s="61" t="str">
        <f>_xlfn.TEXTJOIN(";",TRUE,AU18:AW18)</f>
        <v>State;[VEN]State[VEN] Miranda;2[VEN] Miranda</v>
      </c>
      <c r="AY18" s="61"/>
      <c r="AZ18" s="62"/>
      <c r="BA18" s="62"/>
      <c r="BB18" s="62"/>
      <c r="BC18" s="63"/>
      <c r="BD18" s="64" t="s">
        <v>159</v>
      </c>
      <c r="BE18" s="47"/>
      <c r="BF18" s="64"/>
      <c r="BG18" s="64"/>
      <c r="BH18" s="64"/>
      <c r="BI18" s="64"/>
      <c r="BJ18" s="64"/>
      <c r="BK18" s="47"/>
      <c r="BL18" s="64" t="s">
        <v>154</v>
      </c>
      <c r="BM18" s="64" t="s">
        <v>159</v>
      </c>
      <c r="BN18" s="64"/>
      <c r="BO18" s="64"/>
      <c r="BP18" s="64"/>
      <c r="BQ18" s="64"/>
      <c r="BR18" s="64"/>
      <c r="BS18" s="64"/>
      <c r="BT18" s="64"/>
      <c r="BU18" s="65"/>
      <c r="BV18" s="66"/>
      <c r="BW18" s="66">
        <v>0</v>
      </c>
      <c r="BX18" s="47"/>
      <c r="CB18" s="6"/>
      <c r="CC18" s="6"/>
      <c r="CD18" s="67">
        <v>0</v>
      </c>
      <c r="CE18" s="67">
        <v>0</v>
      </c>
      <c r="CF18" s="67" t="e">
        <v>#REF!</v>
      </c>
      <c r="CG18" s="68" cm="1">
        <f t="array" ref="CG18">SUMPRODUCT(--(LEN(TRIM(BL18:BT18))&gt;0))</f>
        <v>2</v>
      </c>
      <c r="CH18" s="59" t="str">
        <f t="shared" si="6"/>
        <v>y</v>
      </c>
      <c r="CI18" s="59" t="str">
        <f t="shared" si="7"/>
        <v>n</v>
      </c>
      <c r="CJ18" s="59" t="str">
        <f t="shared" si="8"/>
        <v>n</v>
      </c>
      <c r="CK18" s="59" t="str">
        <f t="shared" si="9"/>
        <v>n</v>
      </c>
      <c r="CL18" s="59" t="str">
        <f t="shared" si="10"/>
        <v>n</v>
      </c>
      <c r="CM18" s="59" t="str">
        <f t="shared" si="11"/>
        <v>n</v>
      </c>
      <c r="CN18" s="59" t="str">
        <f t="shared" si="12"/>
        <v>y</v>
      </c>
      <c r="CO18" s="59" t="str">
        <f t="shared" si="13"/>
        <v>n</v>
      </c>
      <c r="CP18" s="59" t="str">
        <f t="shared" si="14"/>
        <v>n</v>
      </c>
      <c r="CQ18" s="59" t="str">
        <f t="shared" si="15"/>
        <v>n</v>
      </c>
      <c r="CR18" s="59" t="str">
        <f t="shared" si="16"/>
        <v>n</v>
      </c>
      <c r="CS18" s="59" t="str">
        <f t="shared" si="17"/>
        <v>y</v>
      </c>
      <c r="CT18" s="69" t="str">
        <f t="shared" si="18"/>
        <v>"[VEN] Miranda"</v>
      </c>
      <c r="CU18" s="70" t="str">
        <f t="shared" si="19"/>
        <v>"rgn_South America"</v>
      </c>
      <c r="CV18" s="48" t="str">
        <f t="shared" si="20"/>
        <v>"https://upload.wikimedia.org/wikipedia/commons/thumb/9/92/Flag_of_Miranda_state.svg/320px-Flag_of_Miranda_state.svg.png"</v>
      </c>
      <c r="CW18" s="48" t="str">
        <f t="shared" ref="CW18:CZ26" si="107">IF(CH18="y",CHAR(34)&amp;CH$1&amp;CHAR(34)&amp;",","")</f>
        <v>"2Color",</v>
      </c>
      <c r="CX18" s="48" t="str">
        <f t="shared" si="107"/>
        <v/>
      </c>
      <c r="CY18" s="48" t="str">
        <f t="shared" si="107"/>
        <v/>
      </c>
      <c r="CZ18" s="48" t="str">
        <f t="shared" si="107"/>
        <v/>
      </c>
      <c r="DA18" s="48" t="str">
        <f t="shared" si="21"/>
        <v/>
      </c>
      <c r="DB18" s="48" t="str">
        <f t="shared" si="22"/>
        <v/>
      </c>
      <c r="DC18" s="48" t="str">
        <f>IF(Q18=2,CHAR(34)&amp;"exact2"&amp;CHAR(34)&amp;",","")</f>
        <v/>
      </c>
      <c r="DD18" s="48" t="str">
        <f>IF(LEN(CHAR(34)&amp;"lets"&amp;LEN(SUBSTITUTE(SUBSTITUTE(IFERROR(TRIM(SUBSTITUTE(SUBSTITUTE(SUBSTITUTE(IFERROR(TRIM(SUBSTITUTE(A18,MID(A18,FIND("(",A18),FIND(")",A18)-FIND("(",A18)+1),"")),A18),"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",""),"-",""))&amp;CHAR(34)&amp;",")=9,CHAR(34)&amp;"lets"&amp;LEN(SUBSTITUTE(SUBSTITUTE(IFERROR(TRIM(SUBSTITUTE(SUBSTITUTE(SUBSTITUTE(IFERROR(TRIM(SUBSTITUTE(A18,MID(A18,FIND("(",A18),FIND(")",A18)-FIND("(",A18)+1),"")),A18),"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",""),"-",""))&amp;CHAR(34)&amp;",",CHAR(34)&amp;"lets0"&amp;LEN(SUBSTITUTE(SUBSTITUTE(IFERROR(TRIM(SUBSTITUTE(SUBSTITUTE(SUBSTITUTE(IFERROR(TRIM(SUBSTITUTE(A18,MID(A18,FIND("(",A18),FIND(")",A18)-FIND("(",A18)+1),"")),A18),"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f>
        <v>"lets07",</v>
      </c>
      <c r="DE18" s="48" t="str">
        <f>IFERROR(CHAR(34)&amp;"start"&amp;LEFT(TRIM(SUBSTITUTE(SUBSTITUTE(TRIM(SUBSTITUTE(SUBSTITUTE(A18, MID(A18, FIND("[", A18), FIND("]", A18) - FIND("[", A18) + 1), ""), "  ", " ")), MID(TRIM(SUBSTITUTE(SUBSTITUTE(A18, MID(A18, FIND("[", A18), FIND("]", A18) - FIND("[", A18) + 1), ""), "  ", " ")), FIND("[", TRIM(SUBSTITUTE(SUBSTITUTE(A18, MID(A18, FIND("[", A18), FIND("]", A18) - FIND("[", A18) + 1), ""), "  ", " "))), FIND("]", TRIM(SUBSTITUTE(SUBSTITUTE(A18, MID(A18, FIND("[", A18), FIND("]", A18) - FIND("[", A18) + 1), ""), "  ", " "))) - FIND("[", TRIM(SUBSTITUTE(SUBSTITUTE(A18, MID(A18, FIND("[", A18), FIND("]", A18) - FIND("[", A18) + 1), ""), "  ", " "))) + 1), ""), "  ", " ")),1)&amp;CHAR(34)&amp;",",CHAR(34)&amp;"start"&amp;IFERROR(LEFT(SUBSTITUTE(A18,"["&amp;MID(A18,FIND("[",A18)+1,FIND("]",A18)-FIND("[",A18)-1)&amp;"] ",""),1),LEFT(A18,1))&amp;CHAR(34)&amp;",")</f>
        <v>"startM",</v>
      </c>
      <c r="DF18" s="48" t="str">
        <f t="shared" si="26"/>
        <v/>
      </c>
      <c r="DG18" s="48" t="str">
        <f t="shared" si="27"/>
        <v/>
      </c>
      <c r="DH18" s="48" t="str">
        <f t="shared" si="28"/>
        <v>"with_v",</v>
      </c>
      <c r="DI18" s="48" t="str">
        <f t="shared" si="29"/>
        <v/>
      </c>
      <c r="DJ18" s="48" t="str">
        <f t="shared" si="30"/>
        <v/>
      </c>
      <c r="DK18" s="48" t="str">
        <f t="shared" si="31"/>
        <v/>
      </c>
      <c r="DL18" s="48" t="str">
        <f t="shared" si="32"/>
        <v>"REDWHI",</v>
      </c>
      <c r="DM18" s="48" t="str" cm="1">
        <f t="array" ref="DM18">IF(CG18=3,CHAR(34) &amp; _xlfn.TEXTJOIN("", TRUE, RIGHT(HP18:HX18, 2)) &amp; CHAR(34) &amp; ",", "")</f>
        <v/>
      </c>
      <c r="DN18" s="48" t="str">
        <f t="shared" si="33"/>
        <v/>
      </c>
      <c r="DO18" s="48" t="str">
        <f t="shared" si="34"/>
        <v/>
      </c>
      <c r="DP18" s="6" t="str">
        <f t="shared" si="35"/>
        <v>"year00",</v>
      </c>
      <c r="DQ18" s="6" t="str">
        <f t="shared" si="36"/>
        <v/>
      </c>
      <c r="DR18" s="6" t="str">
        <f t="shared" si="37"/>
        <v/>
      </c>
      <c r="DS18" s="6" t="str">
        <f t="shared" si="38"/>
        <v/>
      </c>
      <c r="DT18" s="6" t="str">
        <f t="shared" si="39"/>
        <v>"allhor",</v>
      </c>
      <c r="DU18" s="6" t="str">
        <f t="shared" si="40"/>
        <v/>
      </c>
      <c r="DV18" s="48" t="str">
        <f>IF(IA18&lt;&gt;"",(IF(IA18="y",CHAR(34)&amp;"largec"&amp;CHAR(34)&amp;",",CHAR(34)&amp;"smallc"&amp;CHAR(34)&amp;",")),"")</f>
        <v/>
      </c>
      <c r="DW18" s="48" t="str">
        <f t="shared" ref="DW18:DZ26" si="108">IF(CL18="y",CHAR(34)&amp;CL$1&amp;CHAR(34)&amp;",","")</f>
        <v/>
      </c>
      <c r="DX18" s="48" t="str">
        <f t="shared" si="108"/>
        <v/>
      </c>
      <c r="DY18" s="48" t="str">
        <f t="shared" si="108"/>
        <v>"3Bands",</v>
      </c>
      <c r="DZ18" s="48" t="str">
        <f t="shared" si="108"/>
        <v/>
      </c>
      <c r="EA18" s="48" t="str">
        <f t="shared" ref="EA18:EE26" si="109">IF(T18="y",CHAR(34)&amp;T$1&amp;CHAR(34)&amp;",","")</f>
        <v/>
      </c>
      <c r="EB18" s="48" t="str">
        <f t="shared" si="109"/>
        <v/>
      </c>
      <c r="EC18" s="48" t="str">
        <f t="shared" si="109"/>
        <v>"Horizo",</v>
      </c>
      <c r="ED18" s="48" t="str">
        <f t="shared" si="109"/>
        <v/>
      </c>
      <c r="EE18" s="48" t="str">
        <f t="shared" si="109"/>
        <v>"Circle",</v>
      </c>
      <c r="EF18" s="48" t="str">
        <f t="shared" si="42"/>
        <v/>
      </c>
      <c r="EG18" s="48" t="str">
        <f t="shared" si="106"/>
        <v/>
      </c>
      <c r="EH18" s="48" t="str">
        <f t="shared" si="106"/>
        <v>"Plants",</v>
      </c>
      <c r="EI18" s="48" t="str">
        <f t="shared" si="106"/>
        <v>"Texted",</v>
      </c>
      <c r="EJ18" s="48" t="str">
        <f t="shared" si="106"/>
        <v/>
      </c>
      <c r="EK18" s="48" t="str">
        <f t="shared" si="106"/>
        <v/>
      </c>
      <c r="EL18" s="48" t="str">
        <f t="shared" si="106"/>
        <v/>
      </c>
      <c r="EM18" s="48" t="str">
        <f t="shared" si="106"/>
        <v/>
      </c>
      <c r="EN18" s="48" t="str">
        <f t="shared" si="106"/>
        <v>"Unequa",</v>
      </c>
      <c r="EO18" s="48" t="str">
        <f t="shared" si="106"/>
        <v>"Center",</v>
      </c>
      <c r="EP18" s="48" t="str">
        <f t="shared" si="106"/>
        <v/>
      </c>
      <c r="EQ18" s="48" t="str">
        <f t="shared" si="106"/>
        <v/>
      </c>
      <c r="ER18" s="48" t="str">
        <f t="shared" si="106"/>
        <v/>
      </c>
      <c r="ES18" s="48" t="str">
        <f t="shared" si="106"/>
        <v/>
      </c>
      <c r="ET18" s="48" t="str">
        <f t="shared" si="106"/>
        <v/>
      </c>
      <c r="EU18" s="48" t="str">
        <f t="shared" si="106"/>
        <v/>
      </c>
      <c r="EV18" s="48" t="str">
        <f t="shared" si="106"/>
        <v/>
      </c>
      <c r="EW18" s="48" t="str">
        <f t="shared" si="104"/>
        <v/>
      </c>
      <c r="EX18" s="48" t="str">
        <f t="shared" si="104"/>
        <v/>
      </c>
      <c r="EY18" s="48" t="str">
        <f t="shared" si="104"/>
        <v/>
      </c>
      <c r="EZ18" s="48" t="str">
        <f t="shared" si="104"/>
        <v/>
      </c>
      <c r="FA18" s="48" t="str">
        <f t="shared" si="43"/>
        <v>"sta",</v>
      </c>
      <c r="FB18" s="48" t="str">
        <f t="shared" si="44"/>
        <v/>
      </c>
      <c r="FC18" s="48" t="str">
        <f>IF(AND(AT18&gt;0,BB18&lt;&gt;""),CHAR(34)&amp;"sta"&amp;BB18&amp;CHAR(34)&amp;",","")</f>
        <v/>
      </c>
      <c r="FD18" s="48" t="str">
        <f t="shared" si="46"/>
        <v/>
      </c>
      <c r="FE18" s="48" t="str">
        <f t="shared" si="47"/>
        <v>"NO_BLU",</v>
      </c>
      <c r="FF18" s="48" t="str">
        <f t="shared" si="48"/>
        <v/>
      </c>
      <c r="FG18" s="48" t="str">
        <f t="shared" si="49"/>
        <v/>
      </c>
      <c r="FH18" s="48" t="str">
        <f t="shared" si="50"/>
        <v>"NO_GRE",</v>
      </c>
      <c r="FI18" s="48" t="str">
        <f t="shared" si="51"/>
        <v>"NO_YEL",</v>
      </c>
      <c r="FJ18" s="48" t="str">
        <f t="shared" si="52"/>
        <v>"NO_BLA",</v>
      </c>
      <c r="FK18" s="48" t="str">
        <f t="shared" si="53"/>
        <v/>
      </c>
      <c r="FL18" s="48" t="str">
        <f t="shared" si="54"/>
        <v/>
      </c>
      <c r="FM18" s="48" t="str">
        <f t="shared" si="55"/>
        <v/>
      </c>
      <c r="FN18" s="48" t="str">
        <f t="shared" si="56"/>
        <v/>
      </c>
      <c r="FO18" s="48" t="str">
        <f t="shared" si="57"/>
        <v/>
      </c>
      <c r="FP18" s="48" t="str">
        <f t="shared" si="58"/>
        <v/>
      </c>
      <c r="FQ18" s="48" t="str">
        <f t="shared" si="59"/>
        <v/>
      </c>
      <c r="FR18" s="48" t="str">
        <f t="shared" si="60"/>
        <v/>
      </c>
      <c r="FS18" s="48" t="str">
        <f t="shared" si="61"/>
        <v/>
      </c>
      <c r="FT18" s="48" t="str">
        <f t="shared" si="62"/>
        <v>"myrWHI",</v>
      </c>
      <c r="FU18" s="48" t="str">
        <f t="shared" si="63"/>
        <v/>
      </c>
      <c r="FV18" s="48" t="str">
        <f t="shared" si="64"/>
        <v/>
      </c>
      <c r="FW18" s="48" t="str">
        <f t="shared" si="65"/>
        <v/>
      </c>
      <c r="FX18" s="48" t="str">
        <f>SUBSTITUTE(IFERROR(SEARCH("[",A18),IFERROR(IF(AND(CA18&lt;&gt;"y",SEARCH("Europe",R18)&gt;0),CHAR(34)&amp;"noeuni"&amp;CHAR(34)&amp;",",""),"")),"1","")</f>
        <v/>
      </c>
      <c r="FY18" s="48" t="str">
        <f t="shared" si="67"/>
        <v/>
      </c>
      <c r="FZ18" s="48" t="str">
        <f t="shared" si="68"/>
        <v/>
      </c>
      <c r="GA18" s="48" t="str">
        <f t="shared" si="69"/>
        <v/>
      </c>
      <c r="GB18" s="48" t="str">
        <f t="shared" si="70"/>
        <v/>
      </c>
      <c r="GC18" s="48" t="str">
        <f>IFERROR(IF(SEARCH("Portuguese",CB18)&gt;0,CHAR(34)&amp;"portug"&amp;CHAR(34)&amp;",",""),"")</f>
        <v/>
      </c>
      <c r="GD18" s="48" t="str">
        <f>IFERROR(IF(SEARCH("German",CB18)&gt;0,CHAR(34)&amp;"german"&amp;CHAR(34)&amp;",",""),"")</f>
        <v/>
      </c>
      <c r="GE18" s="48" t="str">
        <f t="shared" si="73"/>
        <v/>
      </c>
      <c r="GF18" s="48" t="str">
        <f t="shared" si="105"/>
        <v/>
      </c>
      <c r="GG18" s="48" t="str">
        <f t="shared" si="75"/>
        <v/>
      </c>
      <c r="GH18" s="48" t="str">
        <f t="shared" si="76"/>
        <v/>
      </c>
      <c r="GI18" s="48" t="str">
        <f t="shared" si="77"/>
        <v/>
      </c>
      <c r="GJ18" s="48" t="str">
        <f t="shared" si="78"/>
        <v/>
      </c>
      <c r="GK18" s="48" t="str">
        <f t="shared" si="79"/>
        <v>"HasSta",</v>
      </c>
      <c r="GL18" s="48" t="str">
        <f t="shared" ref="GL18:GN26" si="110">IF(CQ18="y",CHAR(34)&amp;CQ$1&amp;CHAR(34)&amp;",","")</f>
        <v/>
      </c>
      <c r="GM18" s="48" t="str">
        <f t="shared" si="110"/>
        <v/>
      </c>
      <c r="GN18" s="48" t="str">
        <f t="shared" si="110"/>
        <v>"3+Star",</v>
      </c>
      <c r="GP18" s="48" t="str">
        <f t="shared" si="80"/>
        <v>"State"</v>
      </c>
      <c r="GS18" s="48" t="str">
        <f t="shared" si="81"/>
        <v>["2Color","lets07","startM","with_v","REDWHI","year00","allhor","3Bands","Horizo","Circle","Plants","Texted","Unequa","Center","sta","NO_BLU","NO_GRE","NO_YEL","NO_BLA","myrWHI","HasSta","3+Star"]</v>
      </c>
      <c r="GT18" s="48" t="str">
        <f t="shared" ref="GT18:HB26" si="111">IF(BL18&lt;&gt;"",CHAR(34)&amp;"cl_"&amp;BL18&amp;CHAR(34)&amp;",","")</f>
        <v>"cl_RED",</v>
      </c>
      <c r="GU18" s="48" t="str">
        <f t="shared" si="111"/>
        <v>"cl_WHI",</v>
      </c>
      <c r="GV18" s="48" t="str">
        <f t="shared" si="111"/>
        <v/>
      </c>
      <c r="GW18" s="48" t="str">
        <f t="shared" si="111"/>
        <v/>
      </c>
      <c r="GX18" s="48" t="str">
        <f t="shared" si="111"/>
        <v/>
      </c>
      <c r="GY18" s="48" t="str">
        <f t="shared" si="111"/>
        <v/>
      </c>
      <c r="GZ18" s="48" t="str">
        <f t="shared" si="111"/>
        <v/>
      </c>
      <c r="HA18" s="48" t="str">
        <f t="shared" si="111"/>
        <v/>
      </c>
      <c r="HB18" s="48" t="str">
        <f t="shared" si="111"/>
        <v/>
      </c>
      <c r="HC18" s="48" t="str">
        <f t="shared" si="82"/>
        <v>["cl_RED","cl_WHI"]</v>
      </c>
      <c r="HE18" s="71"/>
      <c r="HF18" s="72" t="str">
        <f t="shared" si="83"/>
        <v>{couname:"[VEN] Miranda",year:"2006",region:"rgn_South America",Colors:["cl_RED","cl_WHI"],Items:["2Color","lets07","startM","with_v","REDWHI","year00","allhor","3Bands","Horizo","Circle","Plants","Texted","Unequa","Center","sta","NO_BLU","NO_GRE","NO_YEL","NO_BLA","myrWHI","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links: "https://www.crwflags.com/fotw/flags/ve-m.html#:~:text=(previous%20symbols)-,Overview,-According%20to%20report"},</v>
      </c>
      <c r="HG18" s="73" t="str">
        <f t="shared" si="84"/>
        <v>{couname:"[VEN] Miranda",year:"2006",region:"rgn_South America",Colors:["cl_RED","cl_WHI"],Items:["2Color","lets07","startM","with_v","REDWHI","year00","allhor","3Bands","Horizo","Circle","Plants","Texted","Unequa","Center","sta","NO_BLU","NO_GRE","NO_YEL","NO_BLA","myrWHI","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links: "https://www.crwflags.com/fotw/flags/ve-m.html#:~:text=(previous%20symbols)-,Overview,-According%20to%20report"},</v>
      </c>
      <c r="HH18" s="48" t="str">
        <f t="shared" si="85"/>
        <v>"\nSeven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v>
      </c>
      <c r="HI18" s="48" t="str">
        <f t="shared" si="86"/>
        <v>"\nSeven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v>
      </c>
      <c r="HJ18" s="48" t="str">
        <f t="shared" si="87"/>
        <v>"2006"</v>
      </c>
      <c r="HL18" s="48" t="str">
        <f t="shared" si="88"/>
        <v>"https://www.crwflags.com/fotw/flags/ve-m.html#:~:text=(previous%20symbols)-,Overview,-According%20to%20report"</v>
      </c>
      <c r="HM18" s="72" t="str">
        <f t="shared" si="89"/>
        <v>{"couname":"[VEN] Miranda","year":"2006","region":"rgn_South America","Colors":["cl_RED","cl_WHI"],"Items":["2Color","lets07","startM","with_v","REDWHI","year00","allhor","3Bands","Horizo","Circle","Plants","Texted","Unequa","Center","sta","NO_BLU","NO_GRE","NO_YEL","NO_BLA","myrWHI","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 "links": "https://www.crwflags.com/fotw/flags/ve-m.html#:~:text=(previous%20symbols)-,Overview,-According%20to%20report"},</v>
      </c>
      <c r="HN18" s="74" t="str">
        <f t="shared" si="90"/>
        <v>{"couname":"[VEN] Miranda","year":"2006","region":"rgn_South America","Colors":["cl_RED","cl_WHI"],"Items":["2Color","lets07","startM","with_v","REDWHI","year00","allhor","3Bands","Horizo","Circle","Plants","Texted","Unequa","Center","sta","NO_BLU","NO_GRE","NO_YEL","NO_BLA","myrWHI","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 "links": "https://www.crwflags.com/fotw/flags/ve-m.html#:~:text=(previous%20symbols)-,Overview,-According%20to%20report"},</v>
      </c>
      <c r="HO18" s="75"/>
      <c r="HP18" s="48" t="str" cm="1">
        <f t="array" ref="HP18">IF(_xlfn.TEXTJOIN(", ", TRUE, IF(ISNUMBER(SEARCH("BLA", BL18:BT18)), COLUMN(BL18:BT18) - COLUMN(BL18) + 1, ""))&lt;&gt;"","BLA","")</f>
        <v/>
      </c>
      <c r="HQ18" s="48" t="str" cm="1">
        <f t="array" ref="HQ18">IF(_xlfn.TEXTJOIN(", ", TRUE, IF(ISNUMBER(SEARCH("BLU", BL18:BT18)), COLUMN(BL18:BT18) - COLUMN(BL18) + 1, ""))&lt;&gt;"","BLU","")</f>
        <v/>
      </c>
      <c r="HR18" s="48" t="str" cm="1">
        <f t="array" ref="HR18">IF(_xlfn.TEXTJOIN(", ", TRUE, IF(ISNUMBER(SEARCH("GRE", BL18:BT18)), COLUMN(BL18:BT18) - COLUMN(BL18) + 1, ""))&lt;&gt;"","GRE","")</f>
        <v/>
      </c>
      <c r="HS18" s="48" t="str" cm="1">
        <f t="array" ref="HS18">IF(_xlfn.TEXTJOIN(", ", TRUE, IF(ISNUMBER(SEARCH("RED", BL18:BT18)), COLUMN(BL18:BT18) - COLUMN(BL18) + 1, ""))&lt;&gt;"","RED","")</f>
        <v>RED</v>
      </c>
      <c r="HT18" s="48" t="str" cm="1">
        <f t="array" ref="HT18">IF(_xlfn.TEXTJOIN(", ", TRUE, IF(ISNUMBER(SEARCH("YEL", BL18:BT18)), COLUMN(BL18:BT18) - COLUMN(BL18) + 1, ""))&lt;&gt;"","YEL","")</f>
        <v/>
      </c>
      <c r="HU18" s="48" t="str" cm="1">
        <f t="array" ref="HU18">IF(_xlfn.TEXTJOIN(", ", TRUE, IF(ISNUMBER(SEARCH("ORA", BL18:BT18)), COLUMN(BL18:BT18) - COLUMN(BL18) + 1, ""))&lt;&gt;"","ORA","")</f>
        <v/>
      </c>
      <c r="HV18" s="48" t="str" cm="1">
        <f t="array" ref="HV18">IF(_xlfn.TEXTJOIN(", ", TRUE, IF(ISNUMBER(SEARCH("BRO", BL18:BT18)), COLUMN(BL18:BT18) - COLUMN(BL18) + 1, ""))&lt;&gt;"","BRO","")</f>
        <v/>
      </c>
      <c r="HW18" s="48" t="str" cm="1">
        <f t="array" ref="HW18">IF(_xlfn.TEXTJOIN(", ", TRUE, IF(ISNUMBER(SEARCH("PUR", BL18:BT18)), COLUMN(BL18:BT18) - COLUMN(BL18) + 1, ""))&lt;&gt;"","PUR","")</f>
        <v/>
      </c>
      <c r="HX18" s="48" t="str" cm="1">
        <f t="array" ref="HX18">IF(_xlfn.TEXTJOIN(", ", TRUE, IF(ISNUMBER(SEARCH("WHI", BL18:BT18)), COLUMN(BL18:BT18) - COLUMN(BL18) + 1, ""))&lt;&gt;"","WHI","")</f>
        <v>WHI</v>
      </c>
      <c r="HY18" s="76"/>
      <c r="HZ18" s="76"/>
      <c r="IA18" s="6"/>
      <c r="IB18" s="6"/>
      <c r="IC18" s="77"/>
      <c r="ID18" s="77"/>
      <c r="IE18" s="77"/>
      <c r="IF18" s="77"/>
      <c r="IG18" s="77"/>
      <c r="IH18" s="77"/>
      <c r="II18" s="77"/>
      <c r="IJ18" s="77"/>
      <c r="IK18" s="77"/>
      <c r="IL18" s="48">
        <f>SUM(IC18:IK18)</f>
        <v>0</v>
      </c>
      <c r="IM18" s="45">
        <f t="shared" si="92"/>
        <v>-2</v>
      </c>
      <c r="IN18" s="78" t="str">
        <f t="shared" si="93"/>
        <v>http://mkweb.bcgsc.ca/color-summarizer/?url=https://upload.wikimedia.org/wikipedia/commons/thumb/9/92/Flag_of_Miranda_state.svg/320px-Flag_of_Miranda_state.svg.png&amp;precision=low&amp;num_clusters=2&amp;text=1</v>
      </c>
      <c r="IO18" s="48" t="str">
        <f t="shared" si="94"/>
        <v/>
      </c>
      <c r="IP18" s="48" t="str">
        <f t="shared" si="95"/>
        <v/>
      </c>
      <c r="IQ18" s="48" t="str">
        <f t="shared" si="96"/>
        <v/>
      </c>
      <c r="IR18" s="48" t="str">
        <f t="shared" si="97"/>
        <v>"red"</v>
      </c>
      <c r="IS18" s="48" t="str">
        <f t="shared" si="98"/>
        <v/>
      </c>
      <c r="IT18" s="48" t="str">
        <f t="shared" si="99"/>
        <v/>
      </c>
      <c r="IU18" s="48" t="str">
        <f t="shared" si="100"/>
        <v/>
      </c>
      <c r="IV18" s="48" t="str">
        <f t="shared" si="101"/>
        <v/>
      </c>
      <c r="IW18" s="48" t="str">
        <f t="shared" si="102"/>
        <v>"white"</v>
      </c>
      <c r="IX18" s="48" t="str">
        <f t="shared" si="103"/>
        <v>{"url":"http://mkweb.bcgsc.ca/color-summarizer/?url=https://upload.wikimedia.org/wikipedia/commons/thumb/9/92/Flag_of_Miranda_state.svg/320px-Flag_of_Miranda_state.svg.png&amp;precision=low&amp;num_clusters=2&amp;text=1","name":"[VEN] Miranda"},</v>
      </c>
      <c r="IY18" s="48">
        <v>375</v>
      </c>
    </row>
    <row r="19" spans="1:259" s="48" customFormat="1" ht="38.4" customHeight="1" thickBot="1" x14ac:dyDescent="0.35">
      <c r="A19" s="79" t="s">
        <v>775</v>
      </c>
      <c r="B19" s="40" t="e" vm="118">
        <v>#VALUE!</v>
      </c>
      <c r="C19" s="41">
        <v>2</v>
      </c>
      <c r="D19" s="42" t="s">
        <v>776</v>
      </c>
      <c r="E19" s="43" t="s">
        <v>777</v>
      </c>
      <c r="F19" s="44" t="s">
        <v>166</v>
      </c>
      <c r="G19" s="45">
        <f>COUNTIF($A$1:$A$8305,A19)</f>
        <v>1</v>
      </c>
      <c r="H19" s="46"/>
      <c r="I19" s="47" t="s">
        <v>778</v>
      </c>
      <c r="J19" s="48" t="str">
        <f>""</f>
        <v/>
      </c>
      <c r="K19" s="49"/>
      <c r="L19" s="50"/>
      <c r="M19" s="50"/>
      <c r="N19" s="51" t="s">
        <v>169</v>
      </c>
      <c r="O19" s="52">
        <v>2003</v>
      </c>
      <c r="P19" s="53" t="s">
        <v>779</v>
      </c>
      <c r="Q19" s="54">
        <v>1</v>
      </c>
      <c r="R19" s="55" t="s">
        <v>169</v>
      </c>
      <c r="S19" s="56">
        <v>7</v>
      </c>
      <c r="T19" s="57" t="s">
        <v>172</v>
      </c>
      <c r="U19" s="58" t="s">
        <v>172</v>
      </c>
      <c r="V19" s="58" t="s">
        <v>173</v>
      </c>
      <c r="W19" s="58" t="s">
        <v>172</v>
      </c>
      <c r="X19" s="58" t="s">
        <v>172</v>
      </c>
      <c r="Y19" s="58" t="s">
        <v>172</v>
      </c>
      <c r="Z19" s="58" t="s">
        <v>172</v>
      </c>
      <c r="AA19" s="58" t="s">
        <v>172</v>
      </c>
      <c r="AB19" s="58" t="s">
        <v>172</v>
      </c>
      <c r="AC19" s="58" t="s">
        <v>173</v>
      </c>
      <c r="AD19" s="58" t="s">
        <v>173</v>
      </c>
      <c r="AE19" s="58" t="s">
        <v>172</v>
      </c>
      <c r="AF19" s="59" t="s">
        <v>172</v>
      </c>
      <c r="AG19" s="59" t="s">
        <v>172</v>
      </c>
      <c r="AH19" s="59" t="s">
        <v>173</v>
      </c>
      <c r="AI19" s="59" t="s">
        <v>172</v>
      </c>
      <c r="AJ19" s="59" t="s">
        <v>172</v>
      </c>
      <c r="AK19" s="59" t="s">
        <v>172</v>
      </c>
      <c r="AL19" s="59" t="s">
        <v>172</v>
      </c>
      <c r="AM19" s="59" t="s">
        <v>172</v>
      </c>
      <c r="AN19" s="59" t="s">
        <v>173</v>
      </c>
      <c r="AO19" s="59" t="s">
        <v>172</v>
      </c>
      <c r="AP19" s="59" t="s">
        <v>172</v>
      </c>
      <c r="AQ19" s="59" t="s">
        <v>172</v>
      </c>
      <c r="AR19" s="59" t="s">
        <v>172</v>
      </c>
      <c r="AS19" s="59" t="s">
        <v>172</v>
      </c>
      <c r="AT19" s="60">
        <v>13</v>
      </c>
      <c r="AU19" s="59" t="s">
        <v>383</v>
      </c>
      <c r="AV19" s="59" t="str">
        <f>IF(LEFT(A19,1)="[",LEFT(A19,5)&amp;AU19&amp;A19,"")</f>
        <v>[VEN]State[VEN] Monagas</v>
      </c>
      <c r="AW19" s="59" t="str">
        <f>C19&amp;A19</f>
        <v>2[VEN] Monagas</v>
      </c>
      <c r="AX19" s="61"/>
      <c r="AY19" s="61"/>
      <c r="AZ19" s="62" t="s">
        <v>159</v>
      </c>
      <c r="BA19" s="62" t="s">
        <v>174</v>
      </c>
      <c r="BB19" s="62"/>
      <c r="BC19" s="63"/>
      <c r="BD19" s="64" t="s">
        <v>159</v>
      </c>
      <c r="BE19" s="47"/>
      <c r="BF19" s="64" t="s">
        <v>174</v>
      </c>
      <c r="BG19" s="64" t="s">
        <v>174</v>
      </c>
      <c r="BH19" s="64" t="s">
        <v>174</v>
      </c>
      <c r="BI19" s="64"/>
      <c r="BJ19" s="64"/>
      <c r="BK19" s="47"/>
      <c r="BL19" s="64" t="s">
        <v>151</v>
      </c>
      <c r="BM19" s="64" t="s">
        <v>174</v>
      </c>
      <c r="BN19" s="64" t="s">
        <v>153</v>
      </c>
      <c r="BO19" s="64" t="s">
        <v>154</v>
      </c>
      <c r="BP19" s="64" t="s">
        <v>155</v>
      </c>
      <c r="BQ19" s="64" t="s">
        <v>174</v>
      </c>
      <c r="BR19" s="64" t="s">
        <v>174</v>
      </c>
      <c r="BS19" s="64" t="s">
        <v>158</v>
      </c>
      <c r="BT19" s="64" t="s">
        <v>159</v>
      </c>
      <c r="BU19" s="65"/>
      <c r="BV19" s="66"/>
      <c r="BW19" s="66">
        <v>0</v>
      </c>
      <c r="BX19" s="47"/>
      <c r="BY19" s="48" t="s">
        <v>172</v>
      </c>
      <c r="CB19" s="6"/>
      <c r="CC19" s="6"/>
      <c r="CD19" s="67">
        <v>0</v>
      </c>
      <c r="CE19" s="67">
        <v>0</v>
      </c>
      <c r="CF19" s="67" t="e">
        <v>#REF!</v>
      </c>
      <c r="CG19" s="68" cm="1">
        <f t="array" ref="CG19">SUMPRODUCT(--(LEN(TRIM(BL19:BT19))&gt;0))</f>
        <v>6</v>
      </c>
      <c r="CH19" s="59" t="str">
        <f t="shared" si="6"/>
        <v>n</v>
      </c>
      <c r="CI19" s="59" t="str">
        <f t="shared" si="7"/>
        <v>n</v>
      </c>
      <c r="CJ19" s="59" t="str">
        <f t="shared" si="8"/>
        <v>n</v>
      </c>
      <c r="CK19" s="59" t="str">
        <f t="shared" si="9"/>
        <v>y</v>
      </c>
      <c r="CL19" s="59" t="str">
        <f t="shared" si="10"/>
        <v>n</v>
      </c>
      <c r="CM19" s="59" t="str">
        <f t="shared" si="11"/>
        <v>n</v>
      </c>
      <c r="CN19" s="59" t="str">
        <f t="shared" si="12"/>
        <v>n</v>
      </c>
      <c r="CO19" s="59" t="str">
        <f t="shared" si="13"/>
        <v>y</v>
      </c>
      <c r="CP19" s="59" t="str">
        <f t="shared" si="14"/>
        <v>n</v>
      </c>
      <c r="CQ19" s="59" t="str">
        <f t="shared" si="15"/>
        <v>n</v>
      </c>
      <c r="CR19" s="59" t="str">
        <f t="shared" si="16"/>
        <v>n</v>
      </c>
      <c r="CS19" s="59" t="str">
        <f t="shared" si="17"/>
        <v>y</v>
      </c>
      <c r="CT19" s="69" t="str">
        <f t="shared" si="18"/>
        <v>"[VEN] Monagas"</v>
      </c>
      <c r="CU19" s="70" t="str">
        <f t="shared" si="19"/>
        <v>"rgn_South America"</v>
      </c>
      <c r="CV19" s="48" t="str">
        <f t="shared" si="20"/>
        <v>"https://upload.wikimedia.org/wikipedia/commons/thumb/3/31/Flag_of_Monagas_State.svg/320px-Flag_of_Monagas_State.svg.png"</v>
      </c>
      <c r="CW19" s="48" t="str">
        <f t="shared" si="107"/>
        <v/>
      </c>
      <c r="CX19" s="48" t="str">
        <f t="shared" si="107"/>
        <v/>
      </c>
      <c r="CY19" s="48" t="str">
        <f t="shared" si="107"/>
        <v/>
      </c>
      <c r="CZ19" s="48" t="str">
        <f t="shared" si="107"/>
        <v>"5+Colo",</v>
      </c>
      <c r="DA19" s="48" t="str">
        <f t="shared" si="21"/>
        <v/>
      </c>
      <c r="DB19" s="48" t="str">
        <f t="shared" si="22"/>
        <v/>
      </c>
      <c r="DD19" s="48" t="str">
        <f t="shared" ref="DD19:DD25" si="112">IF(LEN(CHAR(34)&amp;"lets"&amp;LEN(SUBSTITUTE(SUBSTITUTE(IFERROR(TRIM(SUBSTITUTE(A19,MID(A19,FIND("[",A19),FIND("]",A19)-FIND("[",A19)+1),"")),A19)," ",""),"-",""))&amp;CHAR(34)&amp;",")=9,CHAR(34)&amp;"lets"&amp;LEN(SUBSTITUTE(SUBSTITUTE(IFERROR(TRIM(SUBSTITUTE(A19,MID(A19,FIND("[",A19),FIND("]",A19)-FIND("[",A19)+1),"")),A19)," ",""),"-",""))&amp;CHAR(34)&amp;",",CHAR(34)&amp;"lets0"&amp;LEN(SUBSTITUTE(SUBSTITUTE(IFERROR(TRIM(SUBSTITUTE(A19,MID(A19,FIND("[",A19),FIND("]",A19)-FIND("[",A19)+1),"")),A19)," ",""),"-",""))&amp;CHAR(34)&amp;",")</f>
        <v>"lets07",</v>
      </c>
      <c r="DE19" s="48" t="str">
        <f t="shared" ref="DE19:DE25" si="113">CHAR(34)&amp;"start"&amp;IFERROR(LEFT(SUBSTITUTE(A19,"["&amp;MID(A19,FIND("[",A19)+1,FIND("]",A19)-FIND("[",A19)-1)&amp;"] ",""),1),LEFT(A19,1))&amp;CHAR(34)&amp;","</f>
        <v>"startM",</v>
      </c>
      <c r="DF19" s="48" t="str">
        <f t="shared" si="26"/>
        <v/>
      </c>
      <c r="DG19" s="48" t="str">
        <f t="shared" si="27"/>
        <v/>
      </c>
      <c r="DH19" s="48" t="str">
        <f t="shared" si="28"/>
        <v>"with_v",</v>
      </c>
      <c r="DI19" s="48" t="str">
        <f t="shared" si="29"/>
        <v/>
      </c>
      <c r="DJ19" s="48" t="str">
        <f t="shared" si="30"/>
        <v/>
      </c>
      <c r="DK19" s="48" t="str">
        <f t="shared" si="31"/>
        <v/>
      </c>
      <c r="DL19" s="48" t="str">
        <f t="shared" si="32"/>
        <v/>
      </c>
      <c r="DM19" s="48" t="str" cm="1">
        <f t="array" ref="DM19">IF(CG19=3,CHAR(34) &amp; _xlfn.TEXTJOIN("", TRUE, RIGHT(HP19:HX19, 2)) &amp; CHAR(34) &amp; ",", "")</f>
        <v/>
      </c>
      <c r="DN19" s="48" t="str">
        <f t="shared" si="33"/>
        <v/>
      </c>
      <c r="DO19" s="48" t="str">
        <f t="shared" si="34"/>
        <v/>
      </c>
      <c r="DP19" s="6" t="str">
        <f t="shared" si="35"/>
        <v>"year00",</v>
      </c>
      <c r="DQ19" s="6" t="str">
        <f t="shared" si="36"/>
        <v/>
      </c>
      <c r="DR19" s="6" t="str">
        <f t="shared" si="37"/>
        <v/>
      </c>
      <c r="DS19" s="6" t="str">
        <f t="shared" si="38"/>
        <v/>
      </c>
      <c r="DT19" s="6" t="str">
        <f t="shared" si="39"/>
        <v>"allhor",</v>
      </c>
      <c r="DU19" s="6" t="str">
        <f t="shared" si="40"/>
        <v/>
      </c>
      <c r="DW19" s="48" t="str">
        <f t="shared" si="108"/>
        <v/>
      </c>
      <c r="DX19" s="48" t="str">
        <f t="shared" si="108"/>
        <v/>
      </c>
      <c r="DY19" s="48" t="str">
        <f t="shared" si="108"/>
        <v/>
      </c>
      <c r="DZ19" s="48" t="str">
        <f t="shared" si="108"/>
        <v>"4+Band",</v>
      </c>
      <c r="EA19" s="48" t="str">
        <f t="shared" si="109"/>
        <v/>
      </c>
      <c r="EB19" s="48" t="str">
        <f t="shared" si="109"/>
        <v/>
      </c>
      <c r="EC19" s="48" t="str">
        <f t="shared" si="109"/>
        <v>"Horizo",</v>
      </c>
      <c r="ED19" s="48" t="str">
        <f t="shared" si="109"/>
        <v/>
      </c>
      <c r="EE19" s="48" t="str">
        <f t="shared" si="109"/>
        <v/>
      </c>
      <c r="EF19" s="48" t="str">
        <f t="shared" si="42"/>
        <v/>
      </c>
      <c r="EG19" s="48" t="str">
        <f t="shared" si="106"/>
        <v/>
      </c>
      <c r="EH19" s="48" t="str">
        <f t="shared" si="106"/>
        <v/>
      </c>
      <c r="EI19" s="48" t="str">
        <f t="shared" si="106"/>
        <v/>
      </c>
      <c r="EJ19" s="48" t="str">
        <f t="shared" si="106"/>
        <v>"Weapon",</v>
      </c>
      <c r="EK19" s="48" t="str">
        <f t="shared" si="106"/>
        <v>"HasSun",</v>
      </c>
      <c r="EL19" s="48" t="str">
        <f t="shared" si="106"/>
        <v/>
      </c>
      <c r="EM19" s="48" t="str">
        <f t="shared" si="106"/>
        <v/>
      </c>
      <c r="EN19" s="48" t="str">
        <f t="shared" si="106"/>
        <v/>
      </c>
      <c r="EO19" s="48" t="str">
        <f t="shared" si="106"/>
        <v>"Center",</v>
      </c>
      <c r="EP19" s="48" t="str">
        <f t="shared" si="106"/>
        <v/>
      </c>
      <c r="EQ19" s="48" t="str">
        <f t="shared" si="106"/>
        <v/>
      </c>
      <c r="ER19" s="48" t="str">
        <f t="shared" si="106"/>
        <v/>
      </c>
      <c r="ES19" s="48" t="str">
        <f t="shared" si="106"/>
        <v/>
      </c>
      <c r="ET19" s="48" t="str">
        <f t="shared" si="106"/>
        <v/>
      </c>
      <c r="EU19" s="48" t="str">
        <f t="shared" si="106"/>
        <v>"Humans",</v>
      </c>
      <c r="EV19" s="48" t="str">
        <f t="shared" si="106"/>
        <v/>
      </c>
      <c r="EW19" s="48" t="str">
        <f t="shared" si="104"/>
        <v/>
      </c>
      <c r="EX19" s="48" t="str">
        <f t="shared" si="104"/>
        <v/>
      </c>
      <c r="EY19" s="48" t="str">
        <f t="shared" si="104"/>
        <v/>
      </c>
      <c r="EZ19" s="48" t="str">
        <f t="shared" si="104"/>
        <v/>
      </c>
      <c r="FA19" s="48" t="str">
        <f t="shared" si="43"/>
        <v>"staWHI",</v>
      </c>
      <c r="FB19" s="48" t="str">
        <f t="shared" si="44"/>
        <v/>
      </c>
      <c r="FD19" s="48" t="str">
        <f t="shared" si="46"/>
        <v/>
      </c>
      <c r="FE19" s="48" t="str">
        <f t="shared" si="47"/>
        <v>"NO_BLU",</v>
      </c>
      <c r="FF19" s="48" t="str">
        <f t="shared" si="48"/>
        <v/>
      </c>
      <c r="FG19" s="48" t="str">
        <f t="shared" si="49"/>
        <v/>
      </c>
      <c r="FH19" s="48" t="str">
        <f t="shared" si="50"/>
        <v/>
      </c>
      <c r="FI19" s="48" t="str">
        <f t="shared" si="51"/>
        <v/>
      </c>
      <c r="FJ19" s="48" t="str">
        <f t="shared" si="52"/>
        <v/>
      </c>
      <c r="FK19" s="48" t="str">
        <f t="shared" si="53"/>
        <v/>
      </c>
      <c r="FL19" s="48" t="str">
        <f t="shared" si="54"/>
        <v/>
      </c>
      <c r="FM19" s="48" t="str">
        <f t="shared" si="55"/>
        <v/>
      </c>
      <c r="FN19" s="48" t="str">
        <f t="shared" si="56"/>
        <v/>
      </c>
      <c r="FO19" s="48" t="str">
        <f t="shared" si="57"/>
        <v/>
      </c>
      <c r="FP19" s="48" t="str">
        <f t="shared" si="58"/>
        <v/>
      </c>
      <c r="FQ19" s="48" t="str">
        <f t="shared" si="59"/>
        <v/>
      </c>
      <c r="FR19" s="48" t="str">
        <f t="shared" si="60"/>
        <v/>
      </c>
      <c r="FS19" s="48" t="str">
        <f t="shared" si="61"/>
        <v/>
      </c>
      <c r="FT19" s="48" t="str">
        <f t="shared" si="62"/>
        <v>"myrWHI",</v>
      </c>
      <c r="FU19" s="48" t="str">
        <f t="shared" si="63"/>
        <v/>
      </c>
      <c r="FV19" s="48" t="str">
        <f t="shared" si="64"/>
        <v/>
      </c>
      <c r="FW19" s="48" t="str">
        <f t="shared" si="65"/>
        <v/>
      </c>
      <c r="FY19" s="48" t="str">
        <f t="shared" si="67"/>
        <v/>
      </c>
      <c r="FZ19" s="48" t="str">
        <f t="shared" si="68"/>
        <v/>
      </c>
      <c r="GA19" s="48" t="str">
        <f t="shared" si="69"/>
        <v/>
      </c>
      <c r="GB19" s="48" t="str">
        <f t="shared" si="70"/>
        <v/>
      </c>
      <c r="GE19" s="48" t="str">
        <f t="shared" si="73"/>
        <v/>
      </c>
      <c r="GF19" s="48" t="str">
        <f t="shared" si="105"/>
        <v/>
      </c>
      <c r="GG19" s="48" t="str">
        <f t="shared" si="75"/>
        <v/>
      </c>
      <c r="GH19" s="48" t="str">
        <f t="shared" si="76"/>
        <v/>
      </c>
      <c r="GI19" s="48" t="str">
        <f t="shared" si="77"/>
        <v/>
      </c>
      <c r="GJ19" s="48" t="str">
        <f t="shared" si="78"/>
        <v/>
      </c>
      <c r="GK19" s="48" t="str">
        <f t="shared" si="79"/>
        <v>"HasSta",</v>
      </c>
      <c r="GL19" s="48" t="str">
        <f t="shared" si="110"/>
        <v/>
      </c>
      <c r="GM19" s="48" t="str">
        <f t="shared" si="110"/>
        <v/>
      </c>
      <c r="GN19" s="48" t="str">
        <f t="shared" si="110"/>
        <v>"3+Star",</v>
      </c>
      <c r="GP19" s="48" t="str">
        <f t="shared" si="80"/>
        <v>"State"</v>
      </c>
      <c r="GS19" s="48" t="str">
        <f t="shared" si="81"/>
        <v>["5+Colo","lets07","startM","with_v","year00","allhor","4+Band","Horizo","Weapon","HasSun","Center","Humans","staWHI","NO_BLU","myrWHI","HasSta","3+Star"]</v>
      </c>
      <c r="GT19" s="48" t="str">
        <f t="shared" si="111"/>
        <v>"cl_BLA",</v>
      </c>
      <c r="GU19" s="48" t="str">
        <f t="shared" si="111"/>
        <v/>
      </c>
      <c r="GV19" s="48" t="str">
        <f t="shared" si="111"/>
        <v>"cl_GRE",</v>
      </c>
      <c r="GW19" s="48" t="str">
        <f t="shared" si="111"/>
        <v>"cl_RED",</v>
      </c>
      <c r="GX19" s="48" t="str">
        <f t="shared" si="111"/>
        <v>"cl_YEL",</v>
      </c>
      <c r="GY19" s="48" t="str">
        <f t="shared" si="111"/>
        <v/>
      </c>
      <c r="GZ19" s="48" t="str">
        <f t="shared" si="111"/>
        <v/>
      </c>
      <c r="HA19" s="48" t="str">
        <f t="shared" si="111"/>
        <v>"cl_PUR",</v>
      </c>
      <c r="HB19" s="48" t="str">
        <f t="shared" si="111"/>
        <v>"cl_WHI",</v>
      </c>
      <c r="HC19" s="48" t="str">
        <f t="shared" si="82"/>
        <v>["cl_BLA","cl_GRE","cl_RED","cl_YEL","cl_PUR","cl_WHI"]</v>
      </c>
      <c r="HE19" s="71"/>
      <c r="HF19" s="72" t="str">
        <f t="shared" si="83"/>
        <v>{couname:"[VEN] Monagas",year:"2003",region:"rgn_South America",Colors:["cl_BLA","cl_GRE","cl_RED","cl_YEL","cl_PUR","cl_WHI"],Items:["5+Colo","lets07","startM","with_v","year00","allhor","4+Band","Horizo","Weapon","HasSun","Center","Humans","staWHI","NO_BLU","myrWHI","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links: "https://venezuela.justia.com/estatales/monagas/leyes/reforma-de-la-ley-de-simbolos-y-sellos-del-estado-monagas/gdoc/"},</v>
      </c>
      <c r="HG19" s="73" t="str">
        <f t="shared" si="84"/>
        <v>{couname:"[VEN] Monagas",year:"2003",region:"rgn_South America",Colors:["cl_BLA","cl_GRE","cl_RED","cl_YEL","cl_PUR","cl_WHI"],Items:["5+Colo","lets07","startM","with_v","year00","allhor","4+Band","Horizo","Weapon","HasSun","Center","Humans","staWHI","NO_BLU","myrWHI","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links: "https://venezuela.justia.com/estatales/monagas/leyes/reforma-de-la-ley-de-simbolos-y-sellos-del-estado-monagas/gdoc/"},</v>
      </c>
      <c r="HH19" s="48" t="str">
        <f t="shared" si="85"/>
        <v>"\nThe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v>
      </c>
      <c r="HI19" s="48" t="str">
        <f t="shared" si="86"/>
        <v>"\nThe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v>
      </c>
      <c r="HJ19" s="48" t="str">
        <f t="shared" si="87"/>
        <v>"2003"</v>
      </c>
      <c r="HL19" s="48" t="str">
        <f t="shared" si="88"/>
        <v>"https://venezuela.justia.com/estatales/monagas/leyes/reforma-de-la-ley-de-simbolos-y-sellos-del-estado-monagas/gdoc/"</v>
      </c>
      <c r="HM19" s="72" t="str">
        <f t="shared" si="89"/>
        <v>{"couname":"[VEN] Monagas","year":"2003","region":"rgn_South America","Colors":["cl_BLA","cl_GRE","cl_RED","cl_YEL","cl_PUR","cl_WHI"],"Items":["5+Colo","lets07","startM","with_v","year00","allhor","4+Band","Horizo","Weapon","HasSun","Center","Humans","staWHI","NO_BLU","myrWHI","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 "links": "https://venezuela.justia.com/estatales/monagas/leyes/reforma-de-la-ley-de-simbolos-y-sellos-del-estado-monagas/gdoc/"},</v>
      </c>
      <c r="HN19" s="74" t="str">
        <f t="shared" si="90"/>
        <v>{"couname":"[VEN] Monagas","year":"2003","region":"rgn_South America","Colors":["cl_BLA","cl_GRE","cl_RED","cl_YEL","cl_PUR","cl_WHI"],"Items":["5+Colo","lets07","startM","with_v","year00","allhor","4+Band","Horizo","Weapon","HasSun","Center","Humans","staWHI","NO_BLU","myrWHI","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 "links": "https://venezuela.justia.com/estatales/monagas/leyes/reforma-de-la-ley-de-simbolos-y-sellos-del-estado-monagas/gdoc/"},</v>
      </c>
      <c r="HO19" s="75">
        <v>45618</v>
      </c>
      <c r="HP19" s="48" t="str" cm="1">
        <f t="array" ref="HP19">IF(_xlfn.TEXTJOIN(", ", TRUE, IF(ISNUMBER(SEARCH("BLA", BL19:BT19)), COLUMN(BL19:BT19) - COLUMN(BL19) + 1, ""))&lt;&gt;"","BLA","")</f>
        <v>BLA</v>
      </c>
      <c r="HQ19" s="48" t="str" cm="1">
        <f t="array" ref="HQ19">IF(_xlfn.TEXTJOIN(", ", TRUE, IF(ISNUMBER(SEARCH("BLU", BL19:BT19)), COLUMN(BL19:BT19) - COLUMN(BL19) + 1, ""))&lt;&gt;"","BLU","")</f>
        <v/>
      </c>
      <c r="HR19" s="48" t="str" cm="1">
        <f t="array" ref="HR19">IF(_xlfn.TEXTJOIN(", ", TRUE, IF(ISNUMBER(SEARCH("GRE", BL19:BT19)), COLUMN(BL19:BT19) - COLUMN(BL19) + 1, ""))&lt;&gt;"","GRE","")</f>
        <v>GRE</v>
      </c>
      <c r="HS19" s="48" t="str" cm="1">
        <f t="array" ref="HS19">IF(_xlfn.TEXTJOIN(", ", TRUE, IF(ISNUMBER(SEARCH("RED", BL19:BT19)), COLUMN(BL19:BT19) - COLUMN(BL19) + 1, ""))&lt;&gt;"","RED","")</f>
        <v>RED</v>
      </c>
      <c r="HT19" s="48" t="str" cm="1">
        <f t="array" ref="HT19">IF(_xlfn.TEXTJOIN(", ", TRUE, IF(ISNUMBER(SEARCH("YEL", BL19:BT19)), COLUMN(BL19:BT19) - COLUMN(BL19) + 1, ""))&lt;&gt;"","YEL","")</f>
        <v>YEL</v>
      </c>
      <c r="HU19" s="48" t="str" cm="1">
        <f t="array" ref="HU19">IF(_xlfn.TEXTJOIN(", ", TRUE, IF(ISNUMBER(SEARCH("ORA", BL19:BT19)), COLUMN(BL19:BT19) - COLUMN(BL19) + 1, ""))&lt;&gt;"","ORA","")</f>
        <v/>
      </c>
      <c r="HV19" s="48" t="str" cm="1">
        <f t="array" ref="HV19">IF(_xlfn.TEXTJOIN(", ", TRUE, IF(ISNUMBER(SEARCH("BRO", BL19:BT19)), COLUMN(BL19:BT19) - COLUMN(BL19) + 1, ""))&lt;&gt;"","BRO","")</f>
        <v/>
      </c>
      <c r="HW19" s="48" t="str" cm="1">
        <f t="array" ref="HW19">IF(_xlfn.TEXTJOIN(", ", TRUE, IF(ISNUMBER(SEARCH("PUR", BL19:BT19)), COLUMN(BL19:BT19) - COLUMN(BL19) + 1, ""))&lt;&gt;"","PUR","")</f>
        <v>PUR</v>
      </c>
      <c r="HX19" s="48" t="str" cm="1">
        <f t="array" ref="HX19">IF(_xlfn.TEXTJOIN(", ", TRUE, IF(ISNUMBER(SEARCH("WHI", BL19:BT19)), COLUMN(BL19:BT19) - COLUMN(BL19) + 1, ""))&lt;&gt;"","WHI","")</f>
        <v>WHI</v>
      </c>
      <c r="HY19" s="76"/>
      <c r="HZ19" s="76"/>
      <c r="IA19" s="6"/>
      <c r="IB19" s="6"/>
      <c r="IC19" s="77"/>
      <c r="ID19" s="77"/>
      <c r="IE19" s="77"/>
      <c r="IF19" s="77"/>
      <c r="IG19" s="77"/>
      <c r="IH19" s="77"/>
      <c r="II19" s="77"/>
      <c r="IJ19" s="77"/>
      <c r="IK19" s="77"/>
      <c r="IM19" s="45">
        <f t="shared" si="92"/>
        <v>-6</v>
      </c>
      <c r="IN19" s="78" t="str">
        <f t="shared" si="93"/>
        <v>http://mkweb.bcgsc.ca/color-summarizer/?url=https://upload.wikimedia.org/wikipedia/commons/thumb/3/31/Flag_of_Monagas_State.svg/320px-Flag_of_Monagas_State.svg.png&amp;precision=low&amp;num_clusters=6&amp;text=1</v>
      </c>
      <c r="IO19" s="48" t="str">
        <f t="shared" si="94"/>
        <v>"black"</v>
      </c>
      <c r="IP19" s="48" t="str">
        <f t="shared" si="95"/>
        <v/>
      </c>
      <c r="IQ19" s="48" t="str">
        <f t="shared" si="96"/>
        <v>"green"</v>
      </c>
      <c r="IR19" s="48" t="str">
        <f t="shared" si="97"/>
        <v>"red"</v>
      </c>
      <c r="IS19" s="48" t="str">
        <f t="shared" si="98"/>
        <v>"yellow"</v>
      </c>
      <c r="IT19" s="48" t="str">
        <f t="shared" si="99"/>
        <v/>
      </c>
      <c r="IU19" s="48" t="str">
        <f t="shared" si="100"/>
        <v/>
      </c>
      <c r="IV19" s="48" t="str">
        <f t="shared" si="101"/>
        <v>"purple"</v>
      </c>
      <c r="IW19" s="48" t="str">
        <f t="shared" si="102"/>
        <v>"white"</v>
      </c>
      <c r="IX19" s="48" t="str">
        <f t="shared" si="103"/>
        <v>{"url":"http://mkweb.bcgsc.ca/color-summarizer/?url=https://upload.wikimedia.org/wikipedia/commons/thumb/3/31/Flag_of_Monagas_State.svg/320px-Flag_of_Monagas_State.svg.png&amp;precision=low&amp;num_clusters=6&amp;text=1","name":"[VEN] Monagas"},</v>
      </c>
      <c r="IY19" s="48">
        <v>964</v>
      </c>
    </row>
    <row r="20" spans="1:259" s="48" customFormat="1" ht="38.4" customHeight="1" thickBot="1" x14ac:dyDescent="0.35">
      <c r="A20" s="79" t="s">
        <v>780</v>
      </c>
      <c r="B20" s="40" t="e" vm="119">
        <v>#VALUE!</v>
      </c>
      <c r="C20" s="41">
        <v>2</v>
      </c>
      <c r="D20" s="42" t="s">
        <v>781</v>
      </c>
      <c r="E20" s="43" t="s">
        <v>782</v>
      </c>
      <c r="F20" s="44" t="s">
        <v>166</v>
      </c>
      <c r="G20" s="45">
        <f>COUNTIF($A$1:$A$8305,A20)</f>
        <v>1</v>
      </c>
      <c r="H20" s="46"/>
      <c r="I20" s="47" t="s">
        <v>783</v>
      </c>
      <c r="J20" s="48" t="str">
        <f>""</f>
        <v/>
      </c>
      <c r="K20" s="49"/>
      <c r="L20" s="50"/>
      <c r="M20" s="50"/>
      <c r="N20" s="51" t="s">
        <v>169</v>
      </c>
      <c r="O20" s="52">
        <v>1998</v>
      </c>
      <c r="P20" s="53" t="s">
        <v>784</v>
      </c>
      <c r="Q20" s="54">
        <v>2</v>
      </c>
      <c r="R20" s="55" t="s">
        <v>169</v>
      </c>
      <c r="S20" s="56">
        <v>3</v>
      </c>
      <c r="T20" s="57" t="s">
        <v>172</v>
      </c>
      <c r="U20" s="58" t="s">
        <v>172</v>
      </c>
      <c r="V20" s="58" t="s">
        <v>173</v>
      </c>
      <c r="W20" s="58" t="s">
        <v>172</v>
      </c>
      <c r="X20" s="58" t="s">
        <v>172</v>
      </c>
      <c r="Y20" s="58" t="s">
        <v>172</v>
      </c>
      <c r="Z20" s="58" t="s">
        <v>172</v>
      </c>
      <c r="AA20" s="58" t="s">
        <v>172</v>
      </c>
      <c r="AB20" s="58" t="s">
        <v>172</v>
      </c>
      <c r="AC20" s="58" t="s">
        <v>172</v>
      </c>
      <c r="AD20" s="58" t="s">
        <v>173</v>
      </c>
      <c r="AE20" s="58" t="s">
        <v>172</v>
      </c>
      <c r="AF20" s="59" t="s">
        <v>172</v>
      </c>
      <c r="AG20" s="59" t="s">
        <v>172</v>
      </c>
      <c r="AH20" s="59" t="s">
        <v>172</v>
      </c>
      <c r="AI20" s="59" t="s">
        <v>172</v>
      </c>
      <c r="AJ20" s="59" t="s">
        <v>172</v>
      </c>
      <c r="AK20" s="59" t="s">
        <v>172</v>
      </c>
      <c r="AL20" s="59" t="s">
        <v>172</v>
      </c>
      <c r="AM20" s="59" t="s">
        <v>172</v>
      </c>
      <c r="AN20" s="59" t="s">
        <v>172</v>
      </c>
      <c r="AO20" s="59" t="s">
        <v>172</v>
      </c>
      <c r="AP20" s="59" t="s">
        <v>172</v>
      </c>
      <c r="AQ20" s="59" t="s">
        <v>172</v>
      </c>
      <c r="AR20" s="59" t="s">
        <v>172</v>
      </c>
      <c r="AS20" s="59" t="s">
        <v>172</v>
      </c>
      <c r="AT20" s="60">
        <v>3</v>
      </c>
      <c r="AU20" s="59" t="s">
        <v>383</v>
      </c>
      <c r="AV20" s="59" t="str">
        <f>IF(LEFT(A20,1)="[",LEFT(A20,5)&amp;AU20&amp;A20,"")</f>
        <v>[VEN]State[VEN] Nueva Esparta</v>
      </c>
      <c r="AW20" s="59" t="str">
        <f>C20&amp;A20</f>
        <v>2[VEN] Nueva Esparta</v>
      </c>
      <c r="AX20" s="61"/>
      <c r="AY20" s="61"/>
      <c r="AZ20" s="62" t="s">
        <v>159</v>
      </c>
      <c r="BA20" s="62" t="s">
        <v>174</v>
      </c>
      <c r="BB20" s="62"/>
      <c r="BC20" s="63"/>
      <c r="BD20" s="64" t="s">
        <v>152</v>
      </c>
      <c r="BE20" s="47"/>
      <c r="BF20" s="64" t="s">
        <v>153</v>
      </c>
      <c r="BG20" s="64" t="s">
        <v>174</v>
      </c>
      <c r="BH20" s="64" t="s">
        <v>152</v>
      </c>
      <c r="BI20" s="64"/>
      <c r="BJ20" s="64"/>
      <c r="BK20" s="47"/>
      <c r="BL20" s="64" t="s">
        <v>174</v>
      </c>
      <c r="BM20" s="64" t="s">
        <v>152</v>
      </c>
      <c r="BN20" s="64" t="s">
        <v>153</v>
      </c>
      <c r="BO20" s="64" t="s">
        <v>174</v>
      </c>
      <c r="BP20" s="64" t="s">
        <v>174</v>
      </c>
      <c r="BQ20" s="64" t="s">
        <v>174</v>
      </c>
      <c r="BR20" s="64" t="s">
        <v>174</v>
      </c>
      <c r="BS20" s="64" t="s">
        <v>174</v>
      </c>
      <c r="BT20" s="64" t="s">
        <v>159</v>
      </c>
      <c r="BU20" s="65" t="s">
        <v>172</v>
      </c>
      <c r="BV20" s="66"/>
      <c r="BW20" s="66">
        <v>0</v>
      </c>
      <c r="BX20" s="47"/>
      <c r="CB20" s="6"/>
      <c r="CC20" s="6"/>
      <c r="CD20" s="67">
        <v>0</v>
      </c>
      <c r="CE20" s="67">
        <v>0</v>
      </c>
      <c r="CF20" s="67" t="e">
        <v>#REF!</v>
      </c>
      <c r="CG20" s="68" cm="1">
        <f t="array" ref="CG20">SUMPRODUCT(--(LEN(TRIM(BL20:BT20))&gt;0))</f>
        <v>3</v>
      </c>
      <c r="CH20" s="59" t="str">
        <f t="shared" si="6"/>
        <v>n</v>
      </c>
      <c r="CI20" s="59" t="str">
        <f t="shared" si="7"/>
        <v>y</v>
      </c>
      <c r="CJ20" s="59" t="str">
        <f t="shared" si="8"/>
        <v>n</v>
      </c>
      <c r="CK20" s="59" t="str">
        <f t="shared" si="9"/>
        <v>n</v>
      </c>
      <c r="CL20" s="59" t="str">
        <f t="shared" si="10"/>
        <v>n</v>
      </c>
      <c r="CM20" s="59" t="str">
        <f t="shared" si="11"/>
        <v>n</v>
      </c>
      <c r="CN20" s="59" t="str">
        <f t="shared" si="12"/>
        <v>y</v>
      </c>
      <c r="CO20" s="59" t="str">
        <f t="shared" si="13"/>
        <v>n</v>
      </c>
      <c r="CP20" s="59" t="str">
        <f t="shared" si="14"/>
        <v>n</v>
      </c>
      <c r="CQ20" s="59" t="str">
        <f t="shared" si="15"/>
        <v>n</v>
      </c>
      <c r="CR20" s="59" t="str">
        <f t="shared" si="16"/>
        <v>n</v>
      </c>
      <c r="CS20" s="59" t="str">
        <f t="shared" si="17"/>
        <v>y</v>
      </c>
      <c r="CT20" s="69" t="str">
        <f t="shared" si="18"/>
        <v>"[VEN] Nueva Esparta"</v>
      </c>
      <c r="CU20" s="70" t="str">
        <f t="shared" si="19"/>
        <v>"rgn_South America"</v>
      </c>
      <c r="CV20" s="48" t="str">
        <f t="shared" si="20"/>
        <v>"https://upload.wikimedia.org/wikipedia/commons/thumb/6/6a/Flag_of_Nueva_Esparta.svg/320px-Flag_of_Nueva_Esparta.svg.png"</v>
      </c>
      <c r="CW20" s="48" t="str">
        <f t="shared" si="107"/>
        <v/>
      </c>
      <c r="CX20" s="48" t="str">
        <f t="shared" si="107"/>
        <v>"3Color",</v>
      </c>
      <c r="CY20" s="48" t="str">
        <f t="shared" si="107"/>
        <v/>
      </c>
      <c r="CZ20" s="48" t="str">
        <f t="shared" si="107"/>
        <v/>
      </c>
      <c r="DA20" s="48" t="str">
        <f t="shared" si="21"/>
        <v>"words2",</v>
      </c>
      <c r="DB20" s="48" t="str">
        <f t="shared" si="22"/>
        <v/>
      </c>
      <c r="DD20" s="48" t="str">
        <f t="shared" si="112"/>
        <v>"lets12",</v>
      </c>
      <c r="DE20" s="48" t="str">
        <f t="shared" si="113"/>
        <v>"startN",</v>
      </c>
      <c r="DF20" s="48" t="str">
        <f t="shared" si="26"/>
        <v/>
      </c>
      <c r="DG20" s="48" t="str">
        <f t="shared" si="27"/>
        <v/>
      </c>
      <c r="DH20" s="48" t="str">
        <f t="shared" si="28"/>
        <v>"with_v",</v>
      </c>
      <c r="DI20" s="48" t="str">
        <f t="shared" si="29"/>
        <v/>
      </c>
      <c r="DJ20" s="48" t="str">
        <f t="shared" si="30"/>
        <v/>
      </c>
      <c r="DK20" s="48" t="str">
        <f t="shared" si="31"/>
        <v/>
      </c>
      <c r="DL20" s="48" t="str">
        <f t="shared" si="32"/>
        <v/>
      </c>
      <c r="DM20" s="48" t="str" cm="1">
        <f t="array" ref="DM20">IF(CG20=3,CHAR(34) &amp; _xlfn.TEXTJOIN("", TRUE, RIGHT(HP20:HX20, 2)) &amp; CHAR(34) &amp; ",", "")</f>
        <v>"LUREHI",</v>
      </c>
      <c r="DN20" s="48" t="str">
        <f t="shared" si="33"/>
        <v/>
      </c>
      <c r="DO20" s="48" t="str">
        <f t="shared" si="34"/>
        <v>"year19",</v>
      </c>
      <c r="DP20" s="6" t="str">
        <f t="shared" si="35"/>
        <v/>
      </c>
      <c r="DQ20" s="6" t="str">
        <f t="shared" si="36"/>
        <v/>
      </c>
      <c r="DR20" s="6" t="str">
        <f t="shared" si="37"/>
        <v/>
      </c>
      <c r="DS20" s="6" t="str">
        <f t="shared" si="38"/>
        <v/>
      </c>
      <c r="DT20" s="6" t="str">
        <f t="shared" si="39"/>
        <v>"allhor",</v>
      </c>
      <c r="DU20" s="6" t="str">
        <f t="shared" si="40"/>
        <v/>
      </c>
      <c r="DW20" s="48" t="str">
        <f t="shared" si="108"/>
        <v/>
      </c>
      <c r="DX20" s="48" t="str">
        <f t="shared" si="108"/>
        <v/>
      </c>
      <c r="DY20" s="48" t="str">
        <f t="shared" si="108"/>
        <v>"3Bands",</v>
      </c>
      <c r="DZ20" s="48" t="str">
        <f t="shared" si="108"/>
        <v/>
      </c>
      <c r="EA20" s="48" t="str">
        <f t="shared" si="109"/>
        <v/>
      </c>
      <c r="EB20" s="48" t="str">
        <f t="shared" si="109"/>
        <v/>
      </c>
      <c r="EC20" s="48" t="str">
        <f t="shared" si="109"/>
        <v>"Horizo",</v>
      </c>
      <c r="ED20" s="48" t="str">
        <f t="shared" si="109"/>
        <v/>
      </c>
      <c r="EE20" s="48" t="str">
        <f t="shared" si="109"/>
        <v/>
      </c>
      <c r="EF20" s="48" t="str">
        <f t="shared" si="42"/>
        <v/>
      </c>
      <c r="EG20" s="48" t="str">
        <f t="shared" si="106"/>
        <v/>
      </c>
      <c r="EH20" s="48" t="str">
        <f t="shared" si="106"/>
        <v/>
      </c>
      <c r="EI20" s="48" t="str">
        <f t="shared" si="106"/>
        <v/>
      </c>
      <c r="EJ20" s="48" t="str">
        <f t="shared" si="106"/>
        <v/>
      </c>
      <c r="EK20" s="48" t="str">
        <f t="shared" si="106"/>
        <v>"HasSun",</v>
      </c>
      <c r="EL20" s="48" t="str">
        <f t="shared" si="106"/>
        <v/>
      </c>
      <c r="EM20" s="48" t="str">
        <f t="shared" si="106"/>
        <v/>
      </c>
      <c r="EN20" s="48" t="str">
        <f t="shared" si="106"/>
        <v/>
      </c>
      <c r="EO20" s="48" t="str">
        <f t="shared" si="106"/>
        <v/>
      </c>
      <c r="EP20" s="48" t="str">
        <f t="shared" si="106"/>
        <v/>
      </c>
      <c r="EQ20" s="48" t="str">
        <f t="shared" si="106"/>
        <v/>
      </c>
      <c r="ER20" s="48" t="str">
        <f t="shared" si="106"/>
        <v/>
      </c>
      <c r="ES20" s="48" t="str">
        <f t="shared" si="106"/>
        <v/>
      </c>
      <c r="ET20" s="48" t="str">
        <f t="shared" si="106"/>
        <v/>
      </c>
      <c r="EU20" s="48" t="str">
        <f t="shared" si="106"/>
        <v/>
      </c>
      <c r="EV20" s="48" t="str">
        <f t="shared" si="106"/>
        <v/>
      </c>
      <c r="EW20" s="48" t="str">
        <f t="shared" si="104"/>
        <v/>
      </c>
      <c r="EX20" s="48" t="str">
        <f t="shared" si="104"/>
        <v/>
      </c>
      <c r="EY20" s="48" t="str">
        <f t="shared" si="104"/>
        <v/>
      </c>
      <c r="EZ20" s="48" t="str">
        <f t="shared" si="104"/>
        <v/>
      </c>
      <c r="FA20" s="48" t="str">
        <f t="shared" si="43"/>
        <v>"staWHI",</v>
      </c>
      <c r="FB20" s="48" t="str">
        <f t="shared" si="44"/>
        <v/>
      </c>
      <c r="FD20" s="48" t="str">
        <f t="shared" si="46"/>
        <v/>
      </c>
      <c r="FE20" s="48" t="str">
        <f t="shared" si="47"/>
        <v/>
      </c>
      <c r="FF20" s="48" t="str">
        <f t="shared" si="48"/>
        <v/>
      </c>
      <c r="FG20" s="48" t="str">
        <f t="shared" si="49"/>
        <v>"NO_RED",</v>
      </c>
      <c r="FH20" s="48" t="str">
        <f t="shared" si="50"/>
        <v/>
      </c>
      <c r="FI20" s="48" t="str">
        <f t="shared" si="51"/>
        <v>"NO_YEL",</v>
      </c>
      <c r="FJ20" s="48" t="str">
        <f t="shared" si="52"/>
        <v>"NO_BLA",</v>
      </c>
      <c r="FK20" s="48" t="str">
        <f t="shared" si="53"/>
        <v/>
      </c>
      <c r="FL20" s="48" t="str">
        <f t="shared" si="54"/>
        <v/>
      </c>
      <c r="FM20" s="48" t="str">
        <f t="shared" si="55"/>
        <v/>
      </c>
      <c r="FN20" s="48" t="str">
        <f t="shared" si="56"/>
        <v/>
      </c>
      <c r="FO20" s="48" t="str">
        <f t="shared" si="57"/>
        <v/>
      </c>
      <c r="FP20" s="48" t="str">
        <f t="shared" si="58"/>
        <v/>
      </c>
      <c r="FQ20" s="48" t="str">
        <f t="shared" si="59"/>
        <v>"001GRE",</v>
      </c>
      <c r="FR20" s="48" t="str">
        <f t="shared" si="60"/>
        <v/>
      </c>
      <c r="FS20" s="48" t="str">
        <f t="shared" si="61"/>
        <v>"003BLU",</v>
      </c>
      <c r="FT20" s="48" t="str">
        <f t="shared" si="62"/>
        <v>"myrBLU",</v>
      </c>
      <c r="FU20" s="48" t="str">
        <f t="shared" si="63"/>
        <v/>
      </c>
      <c r="FV20" s="48" t="str">
        <f t="shared" si="64"/>
        <v/>
      </c>
      <c r="FW20" s="48" t="str">
        <f t="shared" si="65"/>
        <v/>
      </c>
      <c r="FY20" s="48" t="str">
        <f t="shared" si="67"/>
        <v/>
      </c>
      <c r="FZ20" s="48" t="str">
        <f t="shared" si="68"/>
        <v/>
      </c>
      <c r="GA20" s="48" t="str">
        <f t="shared" si="69"/>
        <v/>
      </c>
      <c r="GB20" s="48" t="str">
        <f t="shared" si="70"/>
        <v/>
      </c>
      <c r="GE20" s="48" t="str">
        <f t="shared" si="73"/>
        <v/>
      </c>
      <c r="GF20" s="48" t="str">
        <f t="shared" si="105"/>
        <v/>
      </c>
      <c r="GG20" s="48" t="str">
        <f t="shared" si="75"/>
        <v/>
      </c>
      <c r="GH20" s="48" t="str">
        <f t="shared" si="76"/>
        <v/>
      </c>
      <c r="GI20" s="48" t="str">
        <f t="shared" si="77"/>
        <v/>
      </c>
      <c r="GJ20" s="48" t="str">
        <f t="shared" si="78"/>
        <v/>
      </c>
      <c r="GK20" s="48" t="str">
        <f t="shared" si="79"/>
        <v>"HasSta",</v>
      </c>
      <c r="GL20" s="48" t="str">
        <f t="shared" si="110"/>
        <v/>
      </c>
      <c r="GM20" s="48" t="str">
        <f t="shared" si="110"/>
        <v/>
      </c>
      <c r="GN20" s="48" t="str">
        <f t="shared" si="110"/>
        <v>"3+Star",</v>
      </c>
      <c r="GP20" s="48" t="str">
        <f t="shared" si="80"/>
        <v>"State"</v>
      </c>
      <c r="GS20" s="48" t="str">
        <f t="shared" si="81"/>
        <v>["3Color","words2","lets12","startN","with_v","LUREHI","year19","allhor","3Bands","Horizo","HasSun","staWHI","NO_RED","NO_YEL","NO_BLA","001GRE","003BLU","myrBLU","HasSta","3+Star"]</v>
      </c>
      <c r="GT20" s="48" t="str">
        <f t="shared" si="111"/>
        <v/>
      </c>
      <c r="GU20" s="48" t="str">
        <f t="shared" si="111"/>
        <v>"cl_BLU",</v>
      </c>
      <c r="GV20" s="48" t="str">
        <f t="shared" si="111"/>
        <v>"cl_GRE",</v>
      </c>
      <c r="GW20" s="48" t="str">
        <f t="shared" si="111"/>
        <v/>
      </c>
      <c r="GX20" s="48" t="str">
        <f t="shared" si="111"/>
        <v/>
      </c>
      <c r="GY20" s="48" t="str">
        <f t="shared" si="111"/>
        <v/>
      </c>
      <c r="GZ20" s="48" t="str">
        <f t="shared" si="111"/>
        <v/>
      </c>
      <c r="HA20" s="48" t="str">
        <f t="shared" si="111"/>
        <v/>
      </c>
      <c r="HB20" s="48" t="str">
        <f t="shared" si="111"/>
        <v>"cl_WHI",</v>
      </c>
      <c r="HC20" s="48" t="str">
        <f t="shared" si="82"/>
        <v>["cl_BLU","cl_GRE","cl_WHI"]</v>
      </c>
      <c r="HE20" s="71"/>
      <c r="HF20" s="72" t="str">
        <f t="shared" si="83"/>
        <v>{couname:"[VEN] Nueva Esparta",year:"1998",region:"rgn_South America",Colors:["cl_BLU","cl_GRE","cl_WHI"],Items:["3Color","words2","lets12","startN","with_v","LUREHI","year19","allhor","3Bands","Horizo","HasSun","staWHI","NO_RED","NO_YEL","NO_BLA","001GRE","003BLU","myrBLU","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links: "https://www.crwflags.com/fotw/flags/ve-o.html"},</v>
      </c>
      <c r="HG20" s="73" t="str">
        <f t="shared" si="84"/>
        <v>{couname:"[VEN] Nueva Esparta",year:"1998",region:"rgn_South America",Colors:["cl_BLU","cl_GRE","cl_WHI"],Items:["3Color","words2","lets12","startN","with_v","LUREHI","year19","allhor","3Bands","Horizo","HasSun","staWHI","NO_RED","NO_YEL","NO_BLA","001GRE","003BLU","myrBLU","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links: "https://www.crwflags.com/fotw/flags/ve-o.html"},</v>
      </c>
      <c r="HH20" s="48" t="str">
        <f t="shared" si="85"/>
        <v>"\nThe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v>
      </c>
      <c r="HI20" s="48" t="str">
        <f t="shared" si="86"/>
        <v>"\nThe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v>
      </c>
      <c r="HJ20" s="48" t="str">
        <f t="shared" si="87"/>
        <v>"1998"</v>
      </c>
      <c r="HL20" s="48" t="str">
        <f t="shared" si="88"/>
        <v>"https://www.crwflags.com/fotw/flags/ve-o.html"</v>
      </c>
      <c r="HM20" s="72" t="str">
        <f t="shared" si="89"/>
        <v>{"couname":"[VEN] Nueva Esparta","year":"1998","region":"rgn_South America","Colors":["cl_BLU","cl_GRE","cl_WHI"],"Items":["3Color","words2","lets12","startN","with_v","LUREHI","year19","allhor","3Bands","Horizo","HasSun","staWHI","NO_RED","NO_YEL","NO_BLA","001GRE","003BLU","myrBLU","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 "links": "https://www.crwflags.com/fotw/flags/ve-o.html"},</v>
      </c>
      <c r="HN20" s="74" t="str">
        <f t="shared" si="90"/>
        <v>{"couname":"[VEN] Nueva Esparta","year":"1998","region":"rgn_South America","Colors":["cl_BLU","cl_GRE","cl_WHI"],"Items":["3Color","words2","lets12","startN","with_v","LUREHI","year19","allhor","3Bands","Horizo","HasSun","staWHI","NO_RED","NO_YEL","NO_BLA","001GRE","003BLU","myrBLU","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 "links": "https://www.crwflags.com/fotw/flags/ve-o.html"},</v>
      </c>
      <c r="HO20" s="75">
        <v>45610</v>
      </c>
      <c r="HP20" s="48" t="str" cm="1">
        <f t="array" ref="HP20">IF(_xlfn.TEXTJOIN(", ", TRUE, IF(ISNUMBER(SEARCH("BLA", BL20:BT20)), COLUMN(BL20:BT20) - COLUMN(BL20) + 1, ""))&lt;&gt;"","BLA","")</f>
        <v/>
      </c>
      <c r="HQ20" s="48" t="str" cm="1">
        <f t="array" ref="HQ20">IF(_xlfn.TEXTJOIN(", ", TRUE, IF(ISNUMBER(SEARCH("BLU", BL20:BT20)), COLUMN(BL20:BT20) - COLUMN(BL20) + 1, ""))&lt;&gt;"","BLU","")</f>
        <v>BLU</v>
      </c>
      <c r="HR20" s="48" t="str" cm="1">
        <f t="array" ref="HR20">IF(_xlfn.TEXTJOIN(", ", TRUE, IF(ISNUMBER(SEARCH("GRE", BL20:BT20)), COLUMN(BL20:BT20) - COLUMN(BL20) + 1, ""))&lt;&gt;"","GRE","")</f>
        <v>GRE</v>
      </c>
      <c r="HS20" s="48" t="str" cm="1">
        <f t="array" ref="HS20">IF(_xlfn.TEXTJOIN(", ", TRUE, IF(ISNUMBER(SEARCH("RED", BL20:BT20)), COLUMN(BL20:BT20) - COLUMN(BL20) + 1, ""))&lt;&gt;"","RED","")</f>
        <v/>
      </c>
      <c r="HT20" s="48" t="str" cm="1">
        <f t="array" ref="HT20">IF(_xlfn.TEXTJOIN(", ", TRUE, IF(ISNUMBER(SEARCH("YEL", BL20:BT20)), COLUMN(BL20:BT20) - COLUMN(BL20) + 1, ""))&lt;&gt;"","YEL","")</f>
        <v/>
      </c>
      <c r="HU20" s="48" t="str" cm="1">
        <f t="array" ref="HU20">IF(_xlfn.TEXTJOIN(", ", TRUE, IF(ISNUMBER(SEARCH("ORA", BL20:BT20)), COLUMN(BL20:BT20) - COLUMN(BL20) + 1, ""))&lt;&gt;"","ORA","")</f>
        <v/>
      </c>
      <c r="HV20" s="48" t="str" cm="1">
        <f t="array" ref="HV20">IF(_xlfn.TEXTJOIN(", ", TRUE, IF(ISNUMBER(SEARCH("BRO", BL20:BT20)), COLUMN(BL20:BT20) - COLUMN(BL20) + 1, ""))&lt;&gt;"","BRO","")</f>
        <v/>
      </c>
      <c r="HW20" s="48" t="str" cm="1">
        <f t="array" ref="HW20">IF(_xlfn.TEXTJOIN(", ", TRUE, IF(ISNUMBER(SEARCH("PUR", BL20:BT20)), COLUMN(BL20:BT20) - COLUMN(BL20) + 1, ""))&lt;&gt;"","PUR","")</f>
        <v/>
      </c>
      <c r="HX20" s="48" t="str" cm="1">
        <f t="array" ref="HX20">IF(_xlfn.TEXTJOIN(", ", TRUE, IF(ISNUMBER(SEARCH("WHI", BL20:BT20)), COLUMN(BL20:BT20) - COLUMN(BL20) + 1, ""))&lt;&gt;"","WHI","")</f>
        <v>WHI</v>
      </c>
      <c r="HY20" s="76"/>
      <c r="HZ20" s="76"/>
      <c r="IA20" s="6"/>
      <c r="IB20" s="6"/>
      <c r="IC20" s="77"/>
      <c r="ID20" s="77"/>
      <c r="IE20" s="77"/>
      <c r="IF20" s="77"/>
      <c r="IG20" s="77"/>
      <c r="IH20" s="77"/>
      <c r="II20" s="77"/>
      <c r="IJ20" s="77"/>
      <c r="IK20" s="77"/>
      <c r="IM20" s="45">
        <f t="shared" si="92"/>
        <v>-3</v>
      </c>
      <c r="IN20" s="78" t="str">
        <f t="shared" si="93"/>
        <v>http://mkweb.bcgsc.ca/color-summarizer/?url=https://upload.wikimedia.org/wikipedia/commons/thumb/6/6a/Flag_of_Nueva_Esparta.svg/320px-Flag_of_Nueva_Esparta.svg.png&amp;precision=low&amp;num_clusters=3&amp;text=1</v>
      </c>
      <c r="IO20" s="48" t="str">
        <f t="shared" si="94"/>
        <v/>
      </c>
      <c r="IP20" s="48" t="str">
        <f t="shared" si="95"/>
        <v>"blue"</v>
      </c>
      <c r="IQ20" s="48" t="str">
        <f t="shared" si="96"/>
        <v>"green"</v>
      </c>
      <c r="IR20" s="48" t="str">
        <f t="shared" si="97"/>
        <v/>
      </c>
      <c r="IS20" s="48" t="str">
        <f t="shared" si="98"/>
        <v/>
      </c>
      <c r="IT20" s="48" t="str">
        <f t="shared" si="99"/>
        <v/>
      </c>
      <c r="IU20" s="48" t="str">
        <f t="shared" si="100"/>
        <v/>
      </c>
      <c r="IV20" s="48" t="str">
        <f t="shared" si="101"/>
        <v/>
      </c>
      <c r="IW20" s="48" t="str">
        <f t="shared" si="102"/>
        <v>"white"</v>
      </c>
      <c r="IX20" s="48" t="str">
        <f t="shared" si="103"/>
        <v>{"url":"http://mkweb.bcgsc.ca/color-summarizer/?url=https://upload.wikimedia.org/wikipedia/commons/thumb/6/6a/Flag_of_Nueva_Esparta.svg/320px-Flag_of_Nueva_Esparta.svg.png&amp;precision=low&amp;num_clusters=3&amp;text=1","name":"[VEN] Nueva Esparta"},</v>
      </c>
      <c r="IY20" s="48">
        <v>1266</v>
      </c>
    </row>
    <row r="21" spans="1:259" s="48" customFormat="1" ht="38.4" customHeight="1" thickBot="1" x14ac:dyDescent="0.35">
      <c r="A21" s="79" t="s">
        <v>785</v>
      </c>
      <c r="B21" s="40" t="e" vm="120">
        <v>#VALUE!</v>
      </c>
      <c r="C21" s="41">
        <v>2</v>
      </c>
      <c r="D21" s="42" t="s">
        <v>786</v>
      </c>
      <c r="E21" s="43" t="s">
        <v>787</v>
      </c>
      <c r="F21" s="44" t="s">
        <v>166</v>
      </c>
      <c r="G21" s="45">
        <f>COUNTIF($A$1:$A$8305,A21)</f>
        <v>1</v>
      </c>
      <c r="H21" s="46"/>
      <c r="I21" s="47" t="s">
        <v>788</v>
      </c>
      <c r="J21" s="48" t="str">
        <f>""</f>
        <v/>
      </c>
      <c r="K21" s="49"/>
      <c r="L21" s="50"/>
      <c r="M21" s="50"/>
      <c r="N21" s="51" t="s">
        <v>169</v>
      </c>
      <c r="O21" s="52">
        <v>1996</v>
      </c>
      <c r="P21" s="53" t="s">
        <v>789</v>
      </c>
      <c r="Q21" s="54">
        <v>1</v>
      </c>
      <c r="R21" s="55" t="s">
        <v>169</v>
      </c>
      <c r="S21" s="56">
        <v>3</v>
      </c>
      <c r="T21" s="57" t="s">
        <v>172</v>
      </c>
      <c r="U21" s="58" t="s">
        <v>172</v>
      </c>
      <c r="V21" s="58" t="s">
        <v>173</v>
      </c>
      <c r="W21" s="58" t="s">
        <v>172</v>
      </c>
      <c r="X21" s="58" t="s">
        <v>173</v>
      </c>
      <c r="Y21" s="58" t="s">
        <v>172</v>
      </c>
      <c r="Z21" s="58" t="s">
        <v>172</v>
      </c>
      <c r="AA21" s="58" t="s">
        <v>172</v>
      </c>
      <c r="AB21" s="58" t="s">
        <v>172</v>
      </c>
      <c r="AC21" s="58" t="s">
        <v>172</v>
      </c>
      <c r="AD21" s="58" t="s">
        <v>173</v>
      </c>
      <c r="AE21" s="58" t="s">
        <v>172</v>
      </c>
      <c r="AF21" s="59" t="s">
        <v>172</v>
      </c>
      <c r="AG21" s="59" t="s">
        <v>172</v>
      </c>
      <c r="AH21" s="59" t="s">
        <v>172</v>
      </c>
      <c r="AI21" s="59" t="s">
        <v>172</v>
      </c>
      <c r="AJ21" s="59" t="s">
        <v>172</v>
      </c>
      <c r="AK21" s="59" t="s">
        <v>172</v>
      </c>
      <c r="AL21" s="59" t="s">
        <v>172</v>
      </c>
      <c r="AM21" s="59" t="s">
        <v>172</v>
      </c>
      <c r="AN21" s="59" t="s">
        <v>172</v>
      </c>
      <c r="AO21" s="59" t="s">
        <v>172</v>
      </c>
      <c r="AP21" s="59" t="s">
        <v>172</v>
      </c>
      <c r="AQ21" s="59" t="s">
        <v>172</v>
      </c>
      <c r="AR21" s="59" t="s">
        <v>172</v>
      </c>
      <c r="AS21" s="59" t="s">
        <v>172</v>
      </c>
      <c r="AT21" s="60">
        <v>0</v>
      </c>
      <c r="AU21" s="59" t="s">
        <v>383</v>
      </c>
      <c r="AV21" s="59" t="str">
        <f>IF(LEFT(A21,1)="[",LEFT(A21,5)&amp;AU21&amp;A21,"")</f>
        <v>[VEN]State[VEN] Portuguesa</v>
      </c>
      <c r="AW21" s="59" t="str">
        <f>C21&amp;A21</f>
        <v>2[VEN] Portuguesa</v>
      </c>
      <c r="AX21" s="61"/>
      <c r="AY21" s="61"/>
      <c r="AZ21" s="62" t="s">
        <v>174</v>
      </c>
      <c r="BA21" s="62" t="s">
        <v>174</v>
      </c>
      <c r="BB21" s="62"/>
      <c r="BC21" s="63"/>
      <c r="BD21" s="64" t="s">
        <v>159</v>
      </c>
      <c r="BE21" s="47"/>
      <c r="BF21" s="64" t="s">
        <v>174</v>
      </c>
      <c r="BG21" s="64" t="s">
        <v>174</v>
      </c>
      <c r="BH21" s="64" t="s">
        <v>174</v>
      </c>
      <c r="BI21" s="64"/>
      <c r="BJ21" s="64"/>
      <c r="BK21" s="47"/>
      <c r="BL21" s="64" t="s">
        <v>151</v>
      </c>
      <c r="BM21" s="64" t="s">
        <v>152</v>
      </c>
      <c r="BN21" s="64" t="s">
        <v>153</v>
      </c>
      <c r="BO21" s="64" t="s">
        <v>154</v>
      </c>
      <c r="BP21" s="64" t="s">
        <v>155</v>
      </c>
      <c r="BQ21" s="64" t="s">
        <v>156</v>
      </c>
      <c r="BR21" s="64" t="s">
        <v>157</v>
      </c>
      <c r="BS21" s="64" t="s">
        <v>174</v>
      </c>
      <c r="BT21" s="64" t="s">
        <v>159</v>
      </c>
      <c r="BU21" s="65"/>
      <c r="BV21" s="66"/>
      <c r="BW21" s="66">
        <v>0</v>
      </c>
      <c r="BX21" s="47"/>
      <c r="BY21" s="48" t="s">
        <v>172</v>
      </c>
      <c r="CB21" s="6"/>
      <c r="CC21" s="6"/>
      <c r="CD21" s="67">
        <v>0</v>
      </c>
      <c r="CE21" s="67">
        <v>0</v>
      </c>
      <c r="CF21" s="67" t="e">
        <v>#REF!</v>
      </c>
      <c r="CG21" s="68" cm="1">
        <f t="array" ref="CG21">SUMPRODUCT(--(LEN(TRIM(BL21:BT21))&gt;0))</f>
        <v>8</v>
      </c>
      <c r="CH21" s="59" t="str">
        <f t="shared" si="6"/>
        <v>n</v>
      </c>
      <c r="CI21" s="59" t="str">
        <f t="shared" si="7"/>
        <v>n</v>
      </c>
      <c r="CJ21" s="59" t="str">
        <f t="shared" si="8"/>
        <v>n</v>
      </c>
      <c r="CK21" s="59" t="str">
        <f t="shared" si="9"/>
        <v>y</v>
      </c>
      <c r="CL21" s="59" t="str">
        <f t="shared" si="10"/>
        <v>n</v>
      </c>
      <c r="CM21" s="59" t="str">
        <f t="shared" si="11"/>
        <v>n</v>
      </c>
      <c r="CN21" s="59" t="str">
        <f t="shared" si="12"/>
        <v>y</v>
      </c>
      <c r="CO21" s="59" t="str">
        <f t="shared" si="13"/>
        <v>n</v>
      </c>
      <c r="CP21" s="59" t="str">
        <f t="shared" si="14"/>
        <v>y</v>
      </c>
      <c r="CQ21" s="59" t="str">
        <f t="shared" si="15"/>
        <v>n</v>
      </c>
      <c r="CR21" s="59" t="str">
        <f t="shared" si="16"/>
        <v>n</v>
      </c>
      <c r="CS21" s="59" t="str">
        <f t="shared" si="17"/>
        <v>n</v>
      </c>
      <c r="CT21" s="69" t="str">
        <f t="shared" si="18"/>
        <v>"[VEN] Portuguesa"</v>
      </c>
      <c r="CU21" s="70" t="str">
        <f t="shared" si="19"/>
        <v>"rgn_South America"</v>
      </c>
      <c r="CV21" s="48" t="str">
        <f t="shared" si="20"/>
        <v>"https://upload.wikimedia.org/wikipedia/commons/thumb/8/81/Flag_of_Portuguesa.svg/320px-Flag_of_Portuguesa.svg.png"</v>
      </c>
      <c r="CW21" s="48" t="str">
        <f t="shared" si="107"/>
        <v/>
      </c>
      <c r="CX21" s="48" t="str">
        <f t="shared" si="107"/>
        <v/>
      </c>
      <c r="CY21" s="48" t="str">
        <f t="shared" si="107"/>
        <v/>
      </c>
      <c r="CZ21" s="48" t="str">
        <f t="shared" si="107"/>
        <v>"5+Colo",</v>
      </c>
      <c r="DA21" s="48" t="str">
        <f t="shared" si="21"/>
        <v/>
      </c>
      <c r="DB21" s="48" t="str">
        <f t="shared" si="22"/>
        <v/>
      </c>
      <c r="DD21" s="48" t="str">
        <f t="shared" si="112"/>
        <v>"lets10",</v>
      </c>
      <c r="DE21" s="48" t="str">
        <f t="shared" si="113"/>
        <v>"startP",</v>
      </c>
      <c r="DF21" s="48" t="str">
        <f t="shared" si="26"/>
        <v/>
      </c>
      <c r="DG21" s="48" t="str">
        <f t="shared" si="27"/>
        <v/>
      </c>
      <c r="DH21" s="48" t="str">
        <f t="shared" si="28"/>
        <v>"with_v",</v>
      </c>
      <c r="DI21" s="48" t="str">
        <f t="shared" si="29"/>
        <v/>
      </c>
      <c r="DJ21" s="48" t="str">
        <f t="shared" si="30"/>
        <v/>
      </c>
      <c r="DK21" s="48" t="str">
        <f t="shared" si="31"/>
        <v/>
      </c>
      <c r="DL21" s="48" t="str">
        <f t="shared" si="32"/>
        <v/>
      </c>
      <c r="DM21" s="48" t="str" cm="1">
        <f t="array" ref="DM21">IF(CG21=3,CHAR(34) &amp; _xlfn.TEXTJOIN("", TRUE, RIGHT(HP21:HX21, 2)) &amp; CHAR(34) &amp; ",", "")</f>
        <v/>
      </c>
      <c r="DN21" s="48" t="str">
        <f t="shared" si="33"/>
        <v/>
      </c>
      <c r="DO21" s="48" t="str">
        <f t="shared" si="34"/>
        <v>"year19",</v>
      </c>
      <c r="DP21" s="6" t="str">
        <f t="shared" si="35"/>
        <v/>
      </c>
      <c r="DQ21" s="6" t="str">
        <f t="shared" si="36"/>
        <v/>
      </c>
      <c r="DR21" s="6" t="str">
        <f t="shared" si="37"/>
        <v/>
      </c>
      <c r="DS21" s="6" t="str">
        <f t="shared" si="38"/>
        <v/>
      </c>
      <c r="DT21" s="6" t="str">
        <f t="shared" si="39"/>
        <v>"allhor",</v>
      </c>
      <c r="DU21" s="6" t="str">
        <f t="shared" si="40"/>
        <v/>
      </c>
      <c r="DW21" s="48" t="str">
        <f t="shared" si="108"/>
        <v/>
      </c>
      <c r="DX21" s="48" t="str">
        <f t="shared" si="108"/>
        <v/>
      </c>
      <c r="DY21" s="48" t="str">
        <f t="shared" si="108"/>
        <v>"3Bands",</v>
      </c>
      <c r="DZ21" s="48" t="str">
        <f t="shared" si="108"/>
        <v/>
      </c>
      <c r="EA21" s="48" t="str">
        <f t="shared" si="109"/>
        <v/>
      </c>
      <c r="EB21" s="48" t="str">
        <f t="shared" si="109"/>
        <v/>
      </c>
      <c r="EC21" s="48" t="str">
        <f t="shared" si="109"/>
        <v>"Horizo",</v>
      </c>
      <c r="ED21" s="48" t="str">
        <f t="shared" si="109"/>
        <v/>
      </c>
      <c r="EE21" s="48" t="str">
        <f t="shared" si="109"/>
        <v>"Circle",</v>
      </c>
      <c r="EF21" s="48" t="str">
        <f t="shared" si="42"/>
        <v/>
      </c>
      <c r="EG21" s="48" t="str">
        <f t="shared" si="106"/>
        <v/>
      </c>
      <c r="EH21" s="48" t="str">
        <f t="shared" si="106"/>
        <v/>
      </c>
      <c r="EI21" s="48" t="str">
        <f t="shared" si="106"/>
        <v/>
      </c>
      <c r="EJ21" s="48" t="str">
        <f t="shared" si="106"/>
        <v/>
      </c>
      <c r="EK21" s="48" t="str">
        <f t="shared" si="106"/>
        <v>"HasSun",</v>
      </c>
      <c r="EL21" s="48" t="str">
        <f t="shared" si="106"/>
        <v/>
      </c>
      <c r="EM21" s="48" t="str">
        <f t="shared" si="106"/>
        <v/>
      </c>
      <c r="EN21" s="48" t="str">
        <f t="shared" si="106"/>
        <v/>
      </c>
      <c r="EO21" s="48" t="str">
        <f t="shared" si="106"/>
        <v/>
      </c>
      <c r="EP21" s="48" t="str">
        <f t="shared" si="106"/>
        <v/>
      </c>
      <c r="EQ21" s="48" t="str">
        <f t="shared" si="106"/>
        <v/>
      </c>
      <c r="ER21" s="48" t="str">
        <f t="shared" si="106"/>
        <v/>
      </c>
      <c r="ES21" s="48" t="str">
        <f t="shared" si="106"/>
        <v/>
      </c>
      <c r="ET21" s="48" t="str">
        <f t="shared" si="106"/>
        <v/>
      </c>
      <c r="EU21" s="48" t="str">
        <f t="shared" si="106"/>
        <v/>
      </c>
      <c r="EV21" s="48" t="str">
        <f t="shared" si="106"/>
        <v/>
      </c>
      <c r="EW21" s="48" t="str">
        <f t="shared" si="104"/>
        <v/>
      </c>
      <c r="EX21" s="48" t="str">
        <f t="shared" si="104"/>
        <v/>
      </c>
      <c r="EY21" s="48" t="str">
        <f t="shared" si="104"/>
        <v/>
      </c>
      <c r="EZ21" s="48" t="str">
        <f t="shared" si="104"/>
        <v/>
      </c>
      <c r="FA21" s="48" t="str">
        <f t="shared" si="43"/>
        <v/>
      </c>
      <c r="FB21" s="48" t="str">
        <f t="shared" si="44"/>
        <v/>
      </c>
      <c r="FD21" s="48" t="str">
        <f t="shared" si="46"/>
        <v/>
      </c>
      <c r="FE21" s="48" t="str">
        <f t="shared" si="47"/>
        <v/>
      </c>
      <c r="FF21" s="48" t="str">
        <f t="shared" si="48"/>
        <v/>
      </c>
      <c r="FG21" s="48" t="str">
        <f t="shared" si="49"/>
        <v/>
      </c>
      <c r="FH21" s="48" t="str">
        <f t="shared" si="50"/>
        <v/>
      </c>
      <c r="FI21" s="48" t="str">
        <f t="shared" si="51"/>
        <v/>
      </c>
      <c r="FJ21" s="48" t="str">
        <f t="shared" si="52"/>
        <v/>
      </c>
      <c r="FK21" s="48" t="str">
        <f t="shared" si="53"/>
        <v/>
      </c>
      <c r="FL21" s="48" t="str">
        <f t="shared" si="54"/>
        <v/>
      </c>
      <c r="FM21" s="48" t="str">
        <f t="shared" si="55"/>
        <v/>
      </c>
      <c r="FN21" s="48" t="str">
        <f t="shared" si="56"/>
        <v/>
      </c>
      <c r="FO21" s="48" t="str">
        <f t="shared" si="57"/>
        <v/>
      </c>
      <c r="FP21" s="48" t="str">
        <f t="shared" si="58"/>
        <v/>
      </c>
      <c r="FQ21" s="48" t="str">
        <f t="shared" si="59"/>
        <v/>
      </c>
      <c r="FR21" s="48" t="str">
        <f t="shared" si="60"/>
        <v/>
      </c>
      <c r="FS21" s="48" t="str">
        <f t="shared" si="61"/>
        <v/>
      </c>
      <c r="FT21" s="48" t="str">
        <f t="shared" si="62"/>
        <v>"myrWHI",</v>
      </c>
      <c r="FU21" s="48" t="str">
        <f t="shared" si="63"/>
        <v/>
      </c>
      <c r="FV21" s="48" t="str">
        <f t="shared" si="64"/>
        <v/>
      </c>
      <c r="FW21" s="48" t="str">
        <f t="shared" si="65"/>
        <v/>
      </c>
      <c r="FY21" s="48" t="str">
        <f t="shared" si="67"/>
        <v/>
      </c>
      <c r="FZ21" s="48" t="str">
        <f t="shared" si="68"/>
        <v/>
      </c>
      <c r="GA21" s="48" t="str">
        <f t="shared" si="69"/>
        <v/>
      </c>
      <c r="GB21" s="48" t="str">
        <f t="shared" si="70"/>
        <v/>
      </c>
      <c r="GE21" s="48" t="str">
        <f t="shared" si="73"/>
        <v/>
      </c>
      <c r="GF21" s="48" t="str">
        <f t="shared" si="105"/>
        <v/>
      </c>
      <c r="GG21" s="48" t="str">
        <f t="shared" si="75"/>
        <v/>
      </c>
      <c r="GH21" s="48" t="str">
        <f t="shared" si="76"/>
        <v/>
      </c>
      <c r="GI21" s="48" t="str">
        <f t="shared" si="77"/>
        <v/>
      </c>
      <c r="GJ21" s="48" t="str">
        <f t="shared" si="78"/>
        <v>"NoStar",</v>
      </c>
      <c r="GK21" s="48" t="str">
        <f t="shared" si="79"/>
        <v/>
      </c>
      <c r="GL21" s="48" t="str">
        <f t="shared" si="110"/>
        <v/>
      </c>
      <c r="GM21" s="48" t="str">
        <f t="shared" si="110"/>
        <v/>
      </c>
      <c r="GN21" s="48" t="str">
        <f t="shared" si="110"/>
        <v/>
      </c>
      <c r="GP21" s="48" t="str">
        <f t="shared" si="80"/>
        <v>"State"</v>
      </c>
      <c r="GS21" s="48" t="str">
        <f t="shared" si="81"/>
        <v>["5+Colo","lets10","startP","with_v","year19","allhor","3Bands","Horizo","Circle","HasSun","myrWHI","NoStar"]</v>
      </c>
      <c r="GT21" s="48" t="str">
        <f t="shared" si="111"/>
        <v>"cl_BLA",</v>
      </c>
      <c r="GU21" s="48" t="str">
        <f t="shared" si="111"/>
        <v>"cl_BLU",</v>
      </c>
      <c r="GV21" s="48" t="str">
        <f t="shared" si="111"/>
        <v>"cl_GRE",</v>
      </c>
      <c r="GW21" s="48" t="str">
        <f t="shared" si="111"/>
        <v>"cl_RED",</v>
      </c>
      <c r="GX21" s="48" t="str">
        <f t="shared" si="111"/>
        <v>"cl_YEL",</v>
      </c>
      <c r="GY21" s="48" t="str">
        <f t="shared" si="111"/>
        <v>"cl_ORA",</v>
      </c>
      <c r="GZ21" s="48" t="str">
        <f t="shared" si="111"/>
        <v>"cl_BRO",</v>
      </c>
      <c r="HA21" s="48" t="str">
        <f t="shared" si="111"/>
        <v/>
      </c>
      <c r="HB21" s="48" t="str">
        <f t="shared" si="111"/>
        <v>"cl_WHI",</v>
      </c>
      <c r="HC21" s="48" t="str">
        <f t="shared" si="82"/>
        <v>["cl_BLA","cl_BLU","cl_GRE","cl_RED","cl_YEL","cl_ORA","cl_BRO","cl_WHI"]</v>
      </c>
      <c r="HE21" s="71"/>
      <c r="HF21" s="72" t="str">
        <f t="shared" si="83"/>
        <v>{couname:"[VEN] Portuguesa",year:"1996",region:"rgn_South America",Colors:["cl_BLA","cl_BLU","cl_GRE","cl_RED","cl_YEL","cl_ORA","cl_BRO","cl_WHI"],Items:["5+Colo","lets10","startP","with_v","year19","allhor","3Bands","Horizo","Circle","HasSun","myrWHI","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links: "https://www.crwflags.com/fotw/flags/ve-p.html"},</v>
      </c>
      <c r="HG21" s="73" t="str">
        <f t="shared" si="84"/>
        <v>{couname:"[VEN] Portuguesa",year:"1996",region:"rgn_South America",Colors:["cl_BLA","cl_BLU","cl_GRE","cl_RED","cl_YEL","cl_ORA","cl_BRO","cl_WHI"],Items:["5+Colo","lets10","startP","with_v","year19","allhor","3Bands","Horizo","Circle","HasSun","myrWHI","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links: "https://www.crwflags.com/fotw/flags/ve-p.html"},</v>
      </c>
      <c r="HH21" s="48" t="str">
        <f t="shared" si="85"/>
        <v>"\nThe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v>
      </c>
      <c r="HI21" s="48" t="str">
        <f t="shared" si="86"/>
        <v>"\nThe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v>
      </c>
      <c r="HJ21" s="48" t="str">
        <f t="shared" si="87"/>
        <v>"1996"</v>
      </c>
      <c r="HL21" s="48" t="str">
        <f t="shared" si="88"/>
        <v>"https://www.crwflags.com/fotw/flags/ve-p.html"</v>
      </c>
      <c r="HM21" s="72" t="str">
        <f t="shared" si="89"/>
        <v>{"couname":"[VEN] Portuguesa","year":"1996","region":"rgn_South America","Colors":["cl_BLA","cl_BLU","cl_GRE","cl_RED","cl_YEL","cl_ORA","cl_BRO","cl_WHI"],"Items":["5+Colo","lets10","startP","with_v","year19","allhor","3Bands","Horizo","Circle","HasSun","myrWHI","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 "links": "https://www.crwflags.com/fotw/flags/ve-p.html"},</v>
      </c>
      <c r="HN21" s="74" t="str">
        <f t="shared" si="90"/>
        <v>{"couname":"[VEN] Portuguesa","year":"1996","region":"rgn_South America","Colors":["cl_BLA","cl_BLU","cl_GRE","cl_RED","cl_YEL","cl_ORA","cl_BRO","cl_WHI"],"Items":["5+Colo","lets10","startP","with_v","year19","allhor","3Bands","Horizo","Circle","HasSun","myrWHI","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 "links": "https://www.crwflags.com/fotw/flags/ve-p.html"},</v>
      </c>
      <c r="HO21" s="75">
        <v>45618</v>
      </c>
      <c r="HP21" s="48" t="str" cm="1">
        <f t="array" ref="HP21">IF(_xlfn.TEXTJOIN(", ", TRUE, IF(ISNUMBER(SEARCH("BLA", BL21:BT21)), COLUMN(BL21:BT21) - COLUMN(BL21) + 1, ""))&lt;&gt;"","BLA","")</f>
        <v>BLA</v>
      </c>
      <c r="HQ21" s="48" t="str" cm="1">
        <f t="array" ref="HQ21">IF(_xlfn.TEXTJOIN(", ", TRUE, IF(ISNUMBER(SEARCH("BLU", BL21:BT21)), COLUMN(BL21:BT21) - COLUMN(BL21) + 1, ""))&lt;&gt;"","BLU","")</f>
        <v>BLU</v>
      </c>
      <c r="HR21" s="48" t="str" cm="1">
        <f t="array" ref="HR21">IF(_xlfn.TEXTJOIN(", ", TRUE, IF(ISNUMBER(SEARCH("GRE", BL21:BT21)), COLUMN(BL21:BT21) - COLUMN(BL21) + 1, ""))&lt;&gt;"","GRE","")</f>
        <v>GRE</v>
      </c>
      <c r="HS21" s="48" t="str" cm="1">
        <f t="array" ref="HS21">IF(_xlfn.TEXTJOIN(", ", TRUE, IF(ISNUMBER(SEARCH("RED", BL21:BT21)), COLUMN(BL21:BT21) - COLUMN(BL21) + 1, ""))&lt;&gt;"","RED","")</f>
        <v>RED</v>
      </c>
      <c r="HT21" s="48" t="str" cm="1">
        <f t="array" ref="HT21">IF(_xlfn.TEXTJOIN(", ", TRUE, IF(ISNUMBER(SEARCH("YEL", BL21:BT21)), COLUMN(BL21:BT21) - COLUMN(BL21) + 1, ""))&lt;&gt;"","YEL","")</f>
        <v>YEL</v>
      </c>
      <c r="HU21" s="48" t="str" cm="1">
        <f t="array" ref="HU21">IF(_xlfn.TEXTJOIN(", ", TRUE, IF(ISNUMBER(SEARCH("ORA", BL21:BT21)), COLUMN(BL21:BT21) - COLUMN(BL21) + 1, ""))&lt;&gt;"","ORA","")</f>
        <v>ORA</v>
      </c>
      <c r="HV21" s="48" t="str" cm="1">
        <f t="array" ref="HV21">IF(_xlfn.TEXTJOIN(", ", TRUE, IF(ISNUMBER(SEARCH("BRO", BL21:BT21)), COLUMN(BL21:BT21) - COLUMN(BL21) + 1, ""))&lt;&gt;"","BRO","")</f>
        <v>BRO</v>
      </c>
      <c r="HW21" s="48" t="str" cm="1">
        <f t="array" ref="HW21">IF(_xlfn.TEXTJOIN(", ", TRUE, IF(ISNUMBER(SEARCH("PUR", BL21:BT21)), COLUMN(BL21:BT21) - COLUMN(BL21) + 1, ""))&lt;&gt;"","PUR","")</f>
        <v/>
      </c>
      <c r="HX21" s="48" t="str" cm="1">
        <f t="array" ref="HX21">IF(_xlfn.TEXTJOIN(", ", TRUE, IF(ISNUMBER(SEARCH("WHI", BL21:BT21)), COLUMN(BL21:BT21) - COLUMN(BL21) + 1, ""))&lt;&gt;"","WHI","")</f>
        <v>WHI</v>
      </c>
      <c r="HY21" s="76"/>
      <c r="HZ21" s="76"/>
      <c r="IA21" s="6"/>
      <c r="IB21" s="6"/>
      <c r="IC21" s="77"/>
      <c r="ID21" s="77"/>
      <c r="IE21" s="77"/>
      <c r="IF21" s="77"/>
      <c r="IG21" s="77"/>
      <c r="IH21" s="77"/>
      <c r="II21" s="77"/>
      <c r="IJ21" s="77"/>
      <c r="IK21" s="77"/>
      <c r="IM21" s="45">
        <f t="shared" si="92"/>
        <v>-8</v>
      </c>
      <c r="IN21" s="78" t="str">
        <f t="shared" si="93"/>
        <v>http://mkweb.bcgsc.ca/color-summarizer/?url=https://upload.wikimedia.org/wikipedia/commons/thumb/8/81/Flag_of_Portuguesa.svg/320px-Flag_of_Portuguesa.svg.png&amp;precision=low&amp;num_clusters=8&amp;text=1</v>
      </c>
      <c r="IO21" s="48" t="str">
        <f t="shared" si="94"/>
        <v>"black"</v>
      </c>
      <c r="IP21" s="48" t="str">
        <f t="shared" si="95"/>
        <v>"blue"</v>
      </c>
      <c r="IQ21" s="48" t="str">
        <f t="shared" si="96"/>
        <v>"green"</v>
      </c>
      <c r="IR21" s="48" t="str">
        <f t="shared" si="97"/>
        <v>"red"</v>
      </c>
      <c r="IS21" s="48" t="str">
        <f t="shared" si="98"/>
        <v>"yellow"</v>
      </c>
      <c r="IT21" s="48" t="str">
        <f t="shared" si="99"/>
        <v>"orange"</v>
      </c>
      <c r="IU21" s="48" t="str">
        <f t="shared" si="100"/>
        <v>"brown"</v>
      </c>
      <c r="IV21" s="48" t="str">
        <f t="shared" si="101"/>
        <v/>
      </c>
      <c r="IW21" s="48" t="str">
        <f t="shared" si="102"/>
        <v>"white"</v>
      </c>
      <c r="IX21" s="48" t="str">
        <f t="shared" si="103"/>
        <v>{"url":"http://mkweb.bcgsc.ca/color-summarizer/?url=https://upload.wikimedia.org/wikipedia/commons/thumb/8/81/Flag_of_Portuguesa.svg/320px-Flag_of_Portuguesa.svg.png&amp;precision=low&amp;num_clusters=8&amp;text=1","name":"[VEN] Portuguesa"},</v>
      </c>
      <c r="IY21" s="48">
        <v>965</v>
      </c>
    </row>
    <row r="22" spans="1:259" s="48" customFormat="1" ht="38.4" customHeight="1" thickBot="1" x14ac:dyDescent="0.35">
      <c r="A22" s="79" t="s">
        <v>790</v>
      </c>
      <c r="B22" s="40" t="e" vm="121">
        <v>#VALUE!</v>
      </c>
      <c r="C22" s="41">
        <v>2</v>
      </c>
      <c r="D22" s="42" t="s">
        <v>791</v>
      </c>
      <c r="E22" s="43" t="s">
        <v>792</v>
      </c>
      <c r="F22" s="44" t="s">
        <v>166</v>
      </c>
      <c r="G22" s="45">
        <f>COUNTIF($A$1:$A$8305,A22)</f>
        <v>1</v>
      </c>
      <c r="H22" s="46"/>
      <c r="I22" s="47" t="s">
        <v>793</v>
      </c>
      <c r="J22" s="48" t="str">
        <f>""</f>
        <v/>
      </c>
      <c r="K22" s="49"/>
      <c r="L22" s="50"/>
      <c r="M22" s="50"/>
      <c r="N22" s="51" t="s">
        <v>169</v>
      </c>
      <c r="O22" s="52" t="s">
        <v>794</v>
      </c>
      <c r="P22" s="53" t="s">
        <v>795</v>
      </c>
      <c r="Q22" s="54">
        <v>1</v>
      </c>
      <c r="R22" s="55" t="s">
        <v>169</v>
      </c>
      <c r="S22" s="56">
        <v>2</v>
      </c>
      <c r="T22" s="57" t="s">
        <v>173</v>
      </c>
      <c r="U22" s="58" t="s">
        <v>172</v>
      </c>
      <c r="V22" s="58" t="s">
        <v>172</v>
      </c>
      <c r="W22" s="58" t="s">
        <v>172</v>
      </c>
      <c r="X22" s="58" t="s">
        <v>173</v>
      </c>
      <c r="Y22" s="58" t="s">
        <v>173</v>
      </c>
      <c r="Z22" s="58" t="s">
        <v>172</v>
      </c>
      <c r="AA22" s="58" t="s">
        <v>173</v>
      </c>
      <c r="AB22" s="58" t="s">
        <v>172</v>
      </c>
      <c r="AC22" s="58" t="s">
        <v>172</v>
      </c>
      <c r="AD22" s="58" t="s">
        <v>173</v>
      </c>
      <c r="AE22" s="58" t="s">
        <v>172</v>
      </c>
      <c r="AF22" s="59" t="s">
        <v>172</v>
      </c>
      <c r="AG22" s="59" t="s">
        <v>173</v>
      </c>
      <c r="AH22" s="59" t="s">
        <v>172</v>
      </c>
      <c r="AI22" s="59" t="s">
        <v>172</v>
      </c>
      <c r="AJ22" s="59" t="s">
        <v>172</v>
      </c>
      <c r="AK22" s="59" t="s">
        <v>172</v>
      </c>
      <c r="AL22" s="59" t="s">
        <v>172</v>
      </c>
      <c r="AM22" s="59" t="s">
        <v>173</v>
      </c>
      <c r="AN22" s="59" t="s">
        <v>173</v>
      </c>
      <c r="AO22" s="59" t="s">
        <v>172</v>
      </c>
      <c r="AP22" s="59" t="s">
        <v>173</v>
      </c>
      <c r="AQ22" s="59" t="s">
        <v>172</v>
      </c>
      <c r="AR22" s="59" t="s">
        <v>172</v>
      </c>
      <c r="AS22" s="59" t="s">
        <v>172</v>
      </c>
      <c r="AT22" s="60">
        <v>15</v>
      </c>
      <c r="AU22" s="59" t="s">
        <v>383</v>
      </c>
      <c r="AV22" s="59" t="str">
        <f>IF(LEFT(A22,1)="[",LEFT(A22,5)&amp;AU22&amp;A22,"")</f>
        <v>[VEN]State[VEN] Sucre</v>
      </c>
      <c r="AW22" s="59" t="str">
        <f>C22&amp;A22</f>
        <v>2[VEN] Sucre</v>
      </c>
      <c r="AX22" s="61"/>
      <c r="AY22" s="61"/>
      <c r="AZ22" s="62" t="s">
        <v>174</v>
      </c>
      <c r="BA22" s="62" t="s">
        <v>174</v>
      </c>
      <c r="BB22" s="62"/>
      <c r="BC22" s="63"/>
      <c r="BD22" s="64" t="s">
        <v>151</v>
      </c>
      <c r="BE22" s="47"/>
      <c r="BF22" s="64" t="s">
        <v>174</v>
      </c>
      <c r="BG22" s="64" t="s">
        <v>174</v>
      </c>
      <c r="BH22" s="64" t="s">
        <v>174</v>
      </c>
      <c r="BI22" s="64"/>
      <c r="BJ22" s="64"/>
      <c r="BK22" s="47"/>
      <c r="BL22" s="64" t="s">
        <v>151</v>
      </c>
      <c r="BM22" s="64" t="s">
        <v>152</v>
      </c>
      <c r="BN22" s="64" t="s">
        <v>174</v>
      </c>
      <c r="BO22" s="64" t="s">
        <v>154</v>
      </c>
      <c r="BP22" s="64" t="s">
        <v>155</v>
      </c>
      <c r="BQ22" s="64" t="s">
        <v>174</v>
      </c>
      <c r="BR22" s="64" t="s">
        <v>174</v>
      </c>
      <c r="BS22" s="64" t="s">
        <v>174</v>
      </c>
      <c r="BT22" s="64" t="s">
        <v>159</v>
      </c>
      <c r="BU22" s="65"/>
      <c r="BV22" s="66"/>
      <c r="BW22" s="66">
        <v>0</v>
      </c>
      <c r="BX22" s="47"/>
      <c r="BY22" s="48" t="s">
        <v>172</v>
      </c>
      <c r="CB22" s="6"/>
      <c r="CC22" s="6"/>
      <c r="CD22" s="67">
        <v>0</v>
      </c>
      <c r="CE22" s="67">
        <v>1</v>
      </c>
      <c r="CF22" s="67" t="e">
        <v>#REF!</v>
      </c>
      <c r="CG22" s="68" cm="1">
        <f t="array" ref="CG22">SUMPRODUCT(--(LEN(TRIM(BL22:BT22))&gt;0))</f>
        <v>5</v>
      </c>
      <c r="CH22" s="59" t="str">
        <f t="shared" si="6"/>
        <v>n</v>
      </c>
      <c r="CI22" s="59" t="str">
        <f t="shared" si="7"/>
        <v>n</v>
      </c>
      <c r="CJ22" s="59" t="str">
        <f t="shared" si="8"/>
        <v>n</v>
      </c>
      <c r="CK22" s="59" t="str">
        <f t="shared" si="9"/>
        <v>y</v>
      </c>
      <c r="CL22" s="59" t="str">
        <f t="shared" si="10"/>
        <v>n</v>
      </c>
      <c r="CM22" s="59" t="str">
        <f t="shared" si="11"/>
        <v>y</v>
      </c>
      <c r="CN22" s="59" t="str">
        <f t="shared" si="12"/>
        <v>n</v>
      </c>
      <c r="CO22" s="59" t="str">
        <f t="shared" si="13"/>
        <v>n</v>
      </c>
      <c r="CP22" s="59" t="str">
        <f t="shared" si="14"/>
        <v>n</v>
      </c>
      <c r="CQ22" s="59" t="str">
        <f t="shared" si="15"/>
        <v>n</v>
      </c>
      <c r="CR22" s="59" t="str">
        <f t="shared" si="16"/>
        <v>n</v>
      </c>
      <c r="CS22" s="59" t="str">
        <f t="shared" si="17"/>
        <v>y</v>
      </c>
      <c r="CT22" s="69" t="str">
        <f t="shared" si="18"/>
        <v>"[VEN] Sucre"</v>
      </c>
      <c r="CU22" s="70" t="str">
        <f t="shared" si="19"/>
        <v>"rgn_South America"</v>
      </c>
      <c r="CV22" s="48" t="str">
        <f t="shared" si="20"/>
        <v>"https://upload.wikimedia.org/wikipedia/commons/thumb/c/c1/Flag_of_Sucre_State.svg/320px-Flag_of_Sucre_State.svg.png"</v>
      </c>
      <c r="CW22" s="48" t="str">
        <f t="shared" si="107"/>
        <v/>
      </c>
      <c r="CX22" s="48" t="str">
        <f t="shared" si="107"/>
        <v/>
      </c>
      <c r="CY22" s="48" t="str">
        <f t="shared" si="107"/>
        <v/>
      </c>
      <c r="CZ22" s="48" t="str">
        <f t="shared" si="107"/>
        <v>"5+Colo",</v>
      </c>
      <c r="DA22" s="48" t="str">
        <f t="shared" si="21"/>
        <v/>
      </c>
      <c r="DB22" s="48" t="str">
        <f t="shared" si="22"/>
        <v/>
      </c>
      <c r="DD22" s="48" t="str">
        <f t="shared" si="112"/>
        <v>"lets05",</v>
      </c>
      <c r="DE22" s="48" t="str">
        <f t="shared" si="113"/>
        <v>"startS",</v>
      </c>
      <c r="DF22" s="48" t="str">
        <f t="shared" si="26"/>
        <v/>
      </c>
      <c r="DG22" s="48" t="str">
        <f t="shared" si="27"/>
        <v/>
      </c>
      <c r="DH22" s="48" t="str">
        <f t="shared" si="28"/>
        <v>"with_v",</v>
      </c>
      <c r="DI22" s="48" t="str">
        <f t="shared" si="29"/>
        <v/>
      </c>
      <c r="DJ22" s="48" t="str">
        <f t="shared" si="30"/>
        <v/>
      </c>
      <c r="DK22" s="48" t="str">
        <f t="shared" si="31"/>
        <v/>
      </c>
      <c r="DL22" s="48" t="str">
        <f t="shared" si="32"/>
        <v/>
      </c>
      <c r="DM22" s="48" t="str" cm="1">
        <f t="array" ref="DM22">IF(CG22=3,CHAR(34) &amp; _xlfn.TEXTJOIN("", TRUE, RIGHT(HP22:HX22, 2)) &amp; CHAR(34) &amp; ",", "")</f>
        <v/>
      </c>
      <c r="DN22" s="48" t="str">
        <f t="shared" si="33"/>
        <v/>
      </c>
      <c r="DO22" s="48" t="str">
        <f t="shared" si="34"/>
        <v>"year19",</v>
      </c>
      <c r="DP22" s="6" t="str">
        <f t="shared" si="35"/>
        <v>"year00",</v>
      </c>
      <c r="DQ22" s="6" t="str">
        <f t="shared" si="36"/>
        <v/>
      </c>
      <c r="DR22" s="6" t="str">
        <f t="shared" si="37"/>
        <v/>
      </c>
      <c r="DS22" s="6" t="str">
        <f t="shared" si="38"/>
        <v/>
      </c>
      <c r="DT22" s="6" t="str">
        <f t="shared" si="39"/>
        <v/>
      </c>
      <c r="DU22" s="6" t="str">
        <f t="shared" si="40"/>
        <v/>
      </c>
      <c r="DW22" s="48" t="str">
        <f t="shared" si="108"/>
        <v/>
      </c>
      <c r="DX22" s="48" t="str">
        <f t="shared" si="108"/>
        <v>"2Bands",</v>
      </c>
      <c r="DY22" s="48" t="str">
        <f t="shared" si="108"/>
        <v/>
      </c>
      <c r="DZ22" s="48" t="str">
        <f t="shared" si="108"/>
        <v/>
      </c>
      <c r="EA22" s="48" t="str">
        <f t="shared" si="109"/>
        <v>"Diagon",</v>
      </c>
      <c r="EB22" s="48" t="str">
        <f t="shared" si="109"/>
        <v/>
      </c>
      <c r="EC22" s="48" t="str">
        <f t="shared" si="109"/>
        <v/>
      </c>
      <c r="ED22" s="48" t="str">
        <f t="shared" si="109"/>
        <v/>
      </c>
      <c r="EE22" s="48" t="str">
        <f t="shared" si="109"/>
        <v>"Circle",</v>
      </c>
      <c r="EF22" s="48" t="str">
        <f t="shared" si="42"/>
        <v>"Animal",</v>
      </c>
      <c r="EG22" s="48" t="str">
        <f t="shared" si="106"/>
        <v/>
      </c>
      <c r="EH22" s="48" t="str">
        <f t="shared" si="106"/>
        <v>"Plants",</v>
      </c>
      <c r="EI22" s="48" t="str">
        <f t="shared" si="106"/>
        <v/>
      </c>
      <c r="EJ22" s="48" t="str">
        <f t="shared" si="106"/>
        <v/>
      </c>
      <c r="EK22" s="48" t="str">
        <f t="shared" si="106"/>
        <v>"HasSun",</v>
      </c>
      <c r="EL22" s="48" t="str">
        <f t="shared" si="106"/>
        <v/>
      </c>
      <c r="EM22" s="48" t="str">
        <f t="shared" si="106"/>
        <v/>
      </c>
      <c r="EN22" s="48" t="str">
        <f t="shared" si="106"/>
        <v>"Unequa",</v>
      </c>
      <c r="EO22" s="48" t="str">
        <f t="shared" si="106"/>
        <v/>
      </c>
      <c r="EP22" s="48" t="str">
        <f t="shared" si="106"/>
        <v/>
      </c>
      <c r="EQ22" s="48" t="str">
        <f t="shared" si="106"/>
        <v/>
      </c>
      <c r="ER22" s="48" t="str">
        <f t="shared" si="106"/>
        <v/>
      </c>
      <c r="ES22" s="48" t="str">
        <f t="shared" si="106"/>
        <v/>
      </c>
      <c r="ET22" s="48" t="str">
        <f t="shared" si="106"/>
        <v>"Geogrh",</v>
      </c>
      <c r="EU22" s="48" t="str">
        <f t="shared" si="106"/>
        <v>"Humans",</v>
      </c>
      <c r="EV22" s="48" t="str">
        <f t="shared" si="106"/>
        <v/>
      </c>
      <c r="EW22" s="48" t="str">
        <f t="shared" si="104"/>
        <v>"Ships!",</v>
      </c>
      <c r="EX22" s="48" t="str">
        <f t="shared" si="104"/>
        <v/>
      </c>
      <c r="EY22" s="48" t="str">
        <f t="shared" si="104"/>
        <v/>
      </c>
      <c r="EZ22" s="48" t="str">
        <f t="shared" si="104"/>
        <v/>
      </c>
      <c r="FA22" s="48" t="str">
        <f t="shared" si="43"/>
        <v>"sta",</v>
      </c>
      <c r="FB22" s="48" t="str">
        <f t="shared" si="44"/>
        <v/>
      </c>
      <c r="FD22" s="48" t="str">
        <f t="shared" si="46"/>
        <v/>
      </c>
      <c r="FE22" s="48" t="str">
        <f t="shared" si="47"/>
        <v/>
      </c>
      <c r="FF22" s="48" t="str">
        <f t="shared" si="48"/>
        <v/>
      </c>
      <c r="FG22" s="48" t="str">
        <f t="shared" si="49"/>
        <v/>
      </c>
      <c r="FH22" s="48" t="str">
        <f t="shared" si="50"/>
        <v>"NO_GRE",</v>
      </c>
      <c r="FI22" s="48" t="str">
        <f t="shared" si="51"/>
        <v/>
      </c>
      <c r="FJ22" s="48" t="str">
        <f t="shared" si="52"/>
        <v/>
      </c>
      <c r="FK22" s="48" t="str">
        <f t="shared" si="53"/>
        <v/>
      </c>
      <c r="FL22" s="48" t="str">
        <f t="shared" si="54"/>
        <v/>
      </c>
      <c r="FM22" s="48" t="str">
        <f t="shared" si="55"/>
        <v/>
      </c>
      <c r="FN22" s="48" t="str">
        <f t="shared" si="56"/>
        <v/>
      </c>
      <c r="FO22" s="48" t="str">
        <f t="shared" si="57"/>
        <v/>
      </c>
      <c r="FP22" s="48" t="str">
        <f t="shared" si="58"/>
        <v/>
      </c>
      <c r="FQ22" s="48" t="str">
        <f t="shared" si="59"/>
        <v/>
      </c>
      <c r="FR22" s="48" t="str">
        <f t="shared" si="60"/>
        <v/>
      </c>
      <c r="FS22" s="48" t="str">
        <f t="shared" si="61"/>
        <v/>
      </c>
      <c r="FT22" s="48" t="str">
        <f t="shared" si="62"/>
        <v>"myrBLA",</v>
      </c>
      <c r="FU22" s="48" t="str">
        <f t="shared" si="63"/>
        <v/>
      </c>
      <c r="FV22" s="48" t="str">
        <f t="shared" si="64"/>
        <v/>
      </c>
      <c r="FW22" s="48" t="str">
        <f t="shared" si="65"/>
        <v/>
      </c>
      <c r="FY22" s="48" t="str">
        <f t="shared" si="67"/>
        <v/>
      </c>
      <c r="FZ22" s="48" t="str">
        <f t="shared" si="68"/>
        <v/>
      </c>
      <c r="GA22" s="48" t="str">
        <f t="shared" si="69"/>
        <v/>
      </c>
      <c r="GB22" s="48" t="str">
        <f t="shared" si="70"/>
        <v/>
      </c>
      <c r="GE22" s="48" t="str">
        <f t="shared" si="73"/>
        <v/>
      </c>
      <c r="GF22" s="48" t="str">
        <f t="shared" si="105"/>
        <v/>
      </c>
      <c r="GG22" s="48" t="str">
        <f t="shared" si="75"/>
        <v/>
      </c>
      <c r="GH22" s="48" t="str">
        <f t="shared" si="76"/>
        <v/>
      </c>
      <c r="GI22" s="48" t="str">
        <f t="shared" si="77"/>
        <v>"hasmap",</v>
      </c>
      <c r="GJ22" s="48" t="str">
        <f t="shared" si="78"/>
        <v/>
      </c>
      <c r="GK22" s="48" t="str">
        <f t="shared" si="79"/>
        <v>"HasSta",</v>
      </c>
      <c r="GL22" s="48" t="str">
        <f t="shared" si="110"/>
        <v/>
      </c>
      <c r="GM22" s="48" t="str">
        <f t="shared" si="110"/>
        <v/>
      </c>
      <c r="GN22" s="48" t="str">
        <f t="shared" si="110"/>
        <v>"3+Star",</v>
      </c>
      <c r="GP22" s="48" t="str">
        <f t="shared" si="80"/>
        <v>"State"</v>
      </c>
      <c r="GS22" s="48" t="str">
        <f t="shared" si="81"/>
        <v>["5+Colo","lets05","startS","with_v","year19","year00","2Bands","Diagon","Circle","Animal","Plants","HasSun","Unequa","Geogrh","Humans","Ships!","sta","NO_GRE","myrBLA","hasmap","HasSta","3+Star"]</v>
      </c>
      <c r="GT22" s="48" t="str">
        <f t="shared" si="111"/>
        <v>"cl_BLA",</v>
      </c>
      <c r="GU22" s="48" t="str">
        <f t="shared" si="111"/>
        <v>"cl_BLU",</v>
      </c>
      <c r="GV22" s="48" t="str">
        <f t="shared" si="111"/>
        <v/>
      </c>
      <c r="GW22" s="48" t="str">
        <f t="shared" si="111"/>
        <v>"cl_RED",</v>
      </c>
      <c r="GX22" s="48" t="str">
        <f t="shared" si="111"/>
        <v>"cl_YEL",</v>
      </c>
      <c r="GY22" s="48" t="str">
        <f t="shared" si="111"/>
        <v/>
      </c>
      <c r="GZ22" s="48" t="str">
        <f t="shared" si="111"/>
        <v/>
      </c>
      <c r="HA22" s="48" t="str">
        <f t="shared" si="111"/>
        <v/>
      </c>
      <c r="HB22" s="48" t="str">
        <f t="shared" si="111"/>
        <v>"cl_WHI",</v>
      </c>
      <c r="HC22" s="48" t="str">
        <f t="shared" si="82"/>
        <v>["cl_BLA","cl_BLU","cl_RED","cl_YEL","cl_WHI"]</v>
      </c>
      <c r="HE22" s="71"/>
      <c r="HF22" s="72" t="str">
        <f t="shared" si="83"/>
        <v>{couname:"[VEN] Sucre",year:"1996, 2002",region:"rgn_South America",Colors:["cl_BLA","cl_BLU","cl_RED","cl_YEL","cl_WHI"],Items:["5+Colo","lets05","startS","with_v","year19","year00","2Bands","Diagon","Circle","Animal","Plants","HasSun","Unequa","Geogrh","Humans","Ships!","sta","NO_GRE","myrBLA","hasmap","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links: "https://www.crwflags.com/fotw/flags/ve-r.html"},</v>
      </c>
      <c r="HG22" s="73" t="str">
        <f t="shared" si="84"/>
        <v>{couname:"[VEN] Sucre",year:"1996, 2002",region:"rgn_South America",Colors:["cl_BLA","cl_BLU","cl_RED","cl_YEL","cl_WHI"],Items:["5+Colo","lets05","startS","with_v","year19","year00","2Bands","Diagon","Circle","Animal","Plants","HasSun","Unequa","Geogrh","Humans","Ships!","sta","NO_GRE","myrBLA","hasmap","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links: "https://www.crwflags.com/fotw/flags/ve-r.html"},</v>
      </c>
      <c r="HH22" s="48" t="str">
        <f t="shared" si="85"/>
        <v>"\nThe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v>
      </c>
      <c r="HI22" s="48" t="str">
        <f t="shared" si="86"/>
        <v>"\nThe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v>
      </c>
      <c r="HJ22" s="48" t="str">
        <f t="shared" si="87"/>
        <v>"1996, 2002"</v>
      </c>
      <c r="HL22" s="48" t="str">
        <f t="shared" si="88"/>
        <v>"https://www.crwflags.com/fotw/flags/ve-r.html"</v>
      </c>
      <c r="HM22" s="72" t="str">
        <f t="shared" si="89"/>
        <v>{"couname":"[VEN] Sucre","year":"1996, 2002","region":"rgn_South America","Colors":["cl_BLA","cl_BLU","cl_RED","cl_YEL","cl_WHI"],"Items":["5+Colo","lets05","startS","with_v","year19","year00","2Bands","Diagon","Circle","Animal","Plants","HasSun","Unequa","Geogrh","Humans","Ships!","sta","NO_GRE","myrBLA","hasmap","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 "links": "https://www.crwflags.com/fotw/flags/ve-r.html"},</v>
      </c>
      <c r="HN22" s="74" t="str">
        <f t="shared" si="90"/>
        <v>{"couname":"[VEN] Sucre","year":"1996, 2002","region":"rgn_South America","Colors":["cl_BLA","cl_BLU","cl_RED","cl_YEL","cl_WHI"],"Items":["5+Colo","lets05","startS","with_v","year19","year00","2Bands","Diagon","Circle","Animal","Plants","HasSun","Unequa","Geogrh","Humans","Ships!","sta","NO_GRE","myrBLA","hasmap","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 "links": "https://www.crwflags.com/fotw/flags/ve-r.html"},</v>
      </c>
      <c r="HO22" s="75">
        <v>45610</v>
      </c>
      <c r="HP22" s="48" t="str" cm="1">
        <f t="array" ref="HP22">IF(_xlfn.TEXTJOIN(", ", TRUE, IF(ISNUMBER(SEARCH("BLA", BL22:BT22)), COLUMN(BL22:BT22) - COLUMN(BL22) + 1, ""))&lt;&gt;"","BLA","")</f>
        <v>BLA</v>
      </c>
      <c r="HQ22" s="48" t="str" cm="1">
        <f t="array" ref="HQ22">IF(_xlfn.TEXTJOIN(", ", TRUE, IF(ISNUMBER(SEARCH("BLU", BL22:BT22)), COLUMN(BL22:BT22) - COLUMN(BL22) + 1, ""))&lt;&gt;"","BLU","")</f>
        <v>BLU</v>
      </c>
      <c r="HR22" s="48" t="str" cm="1">
        <f t="array" ref="HR22">IF(_xlfn.TEXTJOIN(", ", TRUE, IF(ISNUMBER(SEARCH("GRE", BL22:BT22)), COLUMN(BL22:BT22) - COLUMN(BL22) + 1, ""))&lt;&gt;"","GRE","")</f>
        <v/>
      </c>
      <c r="HS22" s="48" t="str" cm="1">
        <f t="array" ref="HS22">IF(_xlfn.TEXTJOIN(", ", TRUE, IF(ISNUMBER(SEARCH("RED", BL22:BT22)), COLUMN(BL22:BT22) - COLUMN(BL22) + 1, ""))&lt;&gt;"","RED","")</f>
        <v>RED</v>
      </c>
      <c r="HT22" s="48" t="str" cm="1">
        <f t="array" ref="HT22">IF(_xlfn.TEXTJOIN(", ", TRUE, IF(ISNUMBER(SEARCH("YEL", BL22:BT22)), COLUMN(BL22:BT22) - COLUMN(BL22) + 1, ""))&lt;&gt;"","YEL","")</f>
        <v>YEL</v>
      </c>
      <c r="HU22" s="48" t="str" cm="1">
        <f t="array" ref="HU22">IF(_xlfn.TEXTJOIN(", ", TRUE, IF(ISNUMBER(SEARCH("ORA", BL22:BT22)), COLUMN(BL22:BT22) - COLUMN(BL22) + 1, ""))&lt;&gt;"","ORA","")</f>
        <v/>
      </c>
      <c r="HV22" s="48" t="str" cm="1">
        <f t="array" ref="HV22">IF(_xlfn.TEXTJOIN(", ", TRUE, IF(ISNUMBER(SEARCH("BRO", BL22:BT22)), COLUMN(BL22:BT22) - COLUMN(BL22) + 1, ""))&lt;&gt;"","BRO","")</f>
        <v/>
      </c>
      <c r="HW22" s="48" t="str" cm="1">
        <f t="array" ref="HW22">IF(_xlfn.TEXTJOIN(", ", TRUE, IF(ISNUMBER(SEARCH("PUR", BL22:BT22)), COLUMN(BL22:BT22) - COLUMN(BL22) + 1, ""))&lt;&gt;"","PUR","")</f>
        <v/>
      </c>
      <c r="HX22" s="48" t="str" cm="1">
        <f t="array" ref="HX22">IF(_xlfn.TEXTJOIN(", ", TRUE, IF(ISNUMBER(SEARCH("WHI", BL22:BT22)), COLUMN(BL22:BT22) - COLUMN(BL22) + 1, ""))&lt;&gt;"","WHI","")</f>
        <v>WHI</v>
      </c>
      <c r="HY22" s="76"/>
      <c r="HZ22" s="76"/>
      <c r="IA22" s="6"/>
      <c r="IB22" s="6"/>
      <c r="IC22" s="77"/>
      <c r="ID22" s="77"/>
      <c r="IE22" s="77"/>
      <c r="IF22" s="77"/>
      <c r="IG22" s="77"/>
      <c r="IH22" s="77"/>
      <c r="II22" s="77"/>
      <c r="IJ22" s="77"/>
      <c r="IK22" s="77"/>
      <c r="IM22" s="45">
        <f t="shared" si="92"/>
        <v>-5</v>
      </c>
      <c r="IN22" s="78" t="str">
        <f t="shared" si="93"/>
        <v>http://mkweb.bcgsc.ca/color-summarizer/?url=https://upload.wikimedia.org/wikipedia/commons/thumb/c/c1/Flag_of_Sucre_State.svg/320px-Flag_of_Sucre_State.svg.png&amp;precision=low&amp;num_clusters=5&amp;text=1</v>
      </c>
      <c r="IO22" s="48" t="str">
        <f t="shared" si="94"/>
        <v>"black"</v>
      </c>
      <c r="IP22" s="48" t="str">
        <f t="shared" si="95"/>
        <v>"blue"</v>
      </c>
      <c r="IQ22" s="48" t="str">
        <f t="shared" si="96"/>
        <v/>
      </c>
      <c r="IR22" s="48" t="str">
        <f t="shared" si="97"/>
        <v>"red"</v>
      </c>
      <c r="IS22" s="48" t="str">
        <f t="shared" si="98"/>
        <v>"yellow"</v>
      </c>
      <c r="IT22" s="48" t="str">
        <f t="shared" si="99"/>
        <v/>
      </c>
      <c r="IU22" s="48" t="str">
        <f t="shared" si="100"/>
        <v/>
      </c>
      <c r="IV22" s="48" t="str">
        <f t="shared" si="101"/>
        <v/>
      </c>
      <c r="IW22" s="48" t="str">
        <f t="shared" si="102"/>
        <v>"white"</v>
      </c>
      <c r="IX22" s="48" t="str">
        <f t="shared" si="103"/>
        <v>{"url":"http://mkweb.bcgsc.ca/color-summarizer/?url=https://upload.wikimedia.org/wikipedia/commons/thumb/c/c1/Flag_of_Sucre_State.svg/320px-Flag_of_Sucre_State.svg.png&amp;precision=low&amp;num_clusters=5&amp;text=1","name":"[VEN] Sucre"},</v>
      </c>
      <c r="IY22" s="48">
        <v>1265</v>
      </c>
    </row>
    <row r="23" spans="1:259" s="48" customFormat="1" ht="38.4" customHeight="1" thickBot="1" x14ac:dyDescent="0.35">
      <c r="A23" s="79" t="s">
        <v>796</v>
      </c>
      <c r="B23" s="40" t="e" vm="122">
        <v>#VALUE!</v>
      </c>
      <c r="C23" s="41">
        <v>2</v>
      </c>
      <c r="D23" s="42" t="s">
        <v>797</v>
      </c>
      <c r="E23" s="43" t="s">
        <v>798</v>
      </c>
      <c r="F23" s="44" t="s">
        <v>166</v>
      </c>
      <c r="G23" s="45">
        <f>COUNTIF($A$1:$A$8305,A23)</f>
        <v>1</v>
      </c>
      <c r="H23" s="46"/>
      <c r="I23" s="47" t="s">
        <v>799</v>
      </c>
      <c r="J23" s="48" t="str">
        <f>""</f>
        <v/>
      </c>
      <c r="K23" s="49"/>
      <c r="L23" s="50"/>
      <c r="M23" s="50"/>
      <c r="N23" s="51" t="s">
        <v>169</v>
      </c>
      <c r="O23" s="52">
        <v>1997</v>
      </c>
      <c r="P23" s="53" t="s">
        <v>800</v>
      </c>
      <c r="Q23" s="54">
        <v>1</v>
      </c>
      <c r="R23" s="55" t="s">
        <v>169</v>
      </c>
      <c r="S23" s="56">
        <v>3</v>
      </c>
      <c r="T23" s="57" t="s">
        <v>172</v>
      </c>
      <c r="U23" s="58" t="s">
        <v>172</v>
      </c>
      <c r="V23" s="58" t="s">
        <v>173</v>
      </c>
      <c r="W23" s="58" t="s">
        <v>172</v>
      </c>
      <c r="X23" s="58" t="s">
        <v>173</v>
      </c>
      <c r="Y23" s="58" t="s">
        <v>172</v>
      </c>
      <c r="Z23" s="58" t="s">
        <v>172</v>
      </c>
      <c r="AA23" s="58" t="s">
        <v>173</v>
      </c>
      <c r="AB23" s="58" t="s">
        <v>172</v>
      </c>
      <c r="AC23" s="58" t="s">
        <v>172</v>
      </c>
      <c r="AD23" s="58" t="s">
        <v>172</v>
      </c>
      <c r="AE23" s="58" t="s">
        <v>172</v>
      </c>
      <c r="AF23" s="59" t="s">
        <v>172</v>
      </c>
      <c r="AG23" s="59" t="s">
        <v>173</v>
      </c>
      <c r="AH23" s="59" t="s">
        <v>173</v>
      </c>
      <c r="AI23" s="59" t="s">
        <v>172</v>
      </c>
      <c r="AJ23" s="59" t="s">
        <v>172</v>
      </c>
      <c r="AK23" s="59" t="s">
        <v>172</v>
      </c>
      <c r="AL23" s="59" t="s">
        <v>172</v>
      </c>
      <c r="AM23" s="59" t="s">
        <v>172</v>
      </c>
      <c r="AN23" s="59" t="s">
        <v>172</v>
      </c>
      <c r="AO23" s="59" t="s">
        <v>172</v>
      </c>
      <c r="AP23" s="59" t="s">
        <v>172</v>
      </c>
      <c r="AQ23" s="59" t="s">
        <v>172</v>
      </c>
      <c r="AR23" s="59" t="s">
        <v>172</v>
      </c>
      <c r="AS23" s="59" t="s">
        <v>172</v>
      </c>
      <c r="AT23" s="60">
        <v>4</v>
      </c>
      <c r="AU23" s="59" t="s">
        <v>383</v>
      </c>
      <c r="AV23" s="59" t="str">
        <f>IF(LEFT(A23,1)="[",LEFT(A23,5)&amp;AU23&amp;A23,"")</f>
        <v>[VEN]State[VEN] Táchira</v>
      </c>
      <c r="AW23" s="59" t="str">
        <f>C23&amp;A23</f>
        <v>2[VEN] Táchira</v>
      </c>
      <c r="AX23" s="61"/>
      <c r="AY23" s="61"/>
      <c r="AZ23" s="62" t="s">
        <v>156</v>
      </c>
      <c r="BA23" s="62" t="s">
        <v>156</v>
      </c>
      <c r="BB23" s="62"/>
      <c r="BC23" s="63"/>
      <c r="BD23" s="64" t="s">
        <v>159</v>
      </c>
      <c r="BE23" s="47"/>
      <c r="BF23" s="64" t="s">
        <v>174</v>
      </c>
      <c r="BG23" s="64" t="s">
        <v>174</v>
      </c>
      <c r="BH23" s="64" t="s">
        <v>174</v>
      </c>
      <c r="BI23" s="64"/>
      <c r="BJ23" s="64"/>
      <c r="BK23" s="47"/>
      <c r="BL23" s="64" t="s">
        <v>151</v>
      </c>
      <c r="BM23" s="64" t="s">
        <v>152</v>
      </c>
      <c r="BN23" s="64" t="s">
        <v>153</v>
      </c>
      <c r="BO23" s="64" t="s">
        <v>154</v>
      </c>
      <c r="BP23" s="64" t="s">
        <v>155</v>
      </c>
      <c r="BQ23" s="64" t="s">
        <v>156</v>
      </c>
      <c r="BR23" s="64" t="s">
        <v>157</v>
      </c>
      <c r="BS23" s="64" t="s">
        <v>174</v>
      </c>
      <c r="BT23" s="64" t="s">
        <v>159</v>
      </c>
      <c r="BU23" s="65"/>
      <c r="BV23" s="66"/>
      <c r="BW23" s="66">
        <v>0</v>
      </c>
      <c r="BX23" s="47"/>
      <c r="CB23" s="6"/>
      <c r="CC23" s="6"/>
      <c r="CD23" s="67">
        <v>0</v>
      </c>
      <c r="CE23" s="67">
        <v>0</v>
      </c>
      <c r="CF23" s="67" t="e">
        <v>#REF!</v>
      </c>
      <c r="CG23" s="68" cm="1">
        <f t="array" ref="CG23">SUMPRODUCT(--(LEN(TRIM(BL23:BT23))&gt;0))</f>
        <v>8</v>
      </c>
      <c r="CH23" s="59" t="str">
        <f t="shared" si="6"/>
        <v>n</v>
      </c>
      <c r="CI23" s="59" t="str">
        <f t="shared" si="7"/>
        <v>n</v>
      </c>
      <c r="CJ23" s="59" t="str">
        <f t="shared" si="8"/>
        <v>n</v>
      </c>
      <c r="CK23" s="59" t="str">
        <f t="shared" si="9"/>
        <v>y</v>
      </c>
      <c r="CL23" s="59" t="str">
        <f t="shared" si="10"/>
        <v>n</v>
      </c>
      <c r="CM23" s="59" t="str">
        <f t="shared" si="11"/>
        <v>n</v>
      </c>
      <c r="CN23" s="59" t="str">
        <f t="shared" si="12"/>
        <v>y</v>
      </c>
      <c r="CO23" s="59" t="str">
        <f t="shared" si="13"/>
        <v>n</v>
      </c>
      <c r="CP23" s="59" t="str">
        <f t="shared" si="14"/>
        <v>n</v>
      </c>
      <c r="CQ23" s="59" t="str">
        <f t="shared" si="15"/>
        <v>n</v>
      </c>
      <c r="CR23" s="59" t="str">
        <f t="shared" si="16"/>
        <v>n</v>
      </c>
      <c r="CS23" s="59" t="str">
        <f t="shared" si="17"/>
        <v>y</v>
      </c>
      <c r="CT23" s="69" t="str">
        <f t="shared" si="18"/>
        <v>"[VEN] Táchira"</v>
      </c>
      <c r="CU23" s="70" t="str">
        <f t="shared" si="19"/>
        <v>"rgn_South America"</v>
      </c>
      <c r="CV23" s="48" t="str">
        <f t="shared" si="20"/>
        <v>"https://upload.wikimedia.org/wikipedia/commons/thumb/0/01/Flag_of_T%C3%A1chira.svg/320px-Flag_of_T%C3%A1chira.svg.png"</v>
      </c>
      <c r="CW23" s="48" t="str">
        <f t="shared" si="107"/>
        <v/>
      </c>
      <c r="CX23" s="48" t="str">
        <f t="shared" si="107"/>
        <v/>
      </c>
      <c r="CY23" s="48" t="str">
        <f t="shared" si="107"/>
        <v/>
      </c>
      <c r="CZ23" s="48" t="str">
        <f t="shared" si="107"/>
        <v>"5+Colo",</v>
      </c>
      <c r="DA23" s="48" t="str">
        <f t="shared" si="21"/>
        <v/>
      </c>
      <c r="DB23" s="48" t="str">
        <f t="shared" si="22"/>
        <v/>
      </c>
      <c r="DD23" s="48" t="str">
        <f t="shared" si="112"/>
        <v>"lets07",</v>
      </c>
      <c r="DE23" s="48" t="str">
        <f t="shared" si="113"/>
        <v>"startT",</v>
      </c>
      <c r="DF23" s="48" t="str">
        <f t="shared" si="26"/>
        <v/>
      </c>
      <c r="DG23" s="48" t="str">
        <f t="shared" si="27"/>
        <v/>
      </c>
      <c r="DH23" s="48" t="str">
        <f t="shared" si="28"/>
        <v>"with_v",</v>
      </c>
      <c r="DI23" s="48" t="str">
        <f t="shared" si="29"/>
        <v/>
      </c>
      <c r="DJ23" s="48" t="str">
        <f t="shared" si="30"/>
        <v/>
      </c>
      <c r="DK23" s="48" t="str">
        <f t="shared" si="31"/>
        <v/>
      </c>
      <c r="DL23" s="48" t="str">
        <f t="shared" si="32"/>
        <v/>
      </c>
      <c r="DM23" s="48" t="str" cm="1">
        <f t="array" ref="DM23">IF(CG23=3,CHAR(34) &amp; _xlfn.TEXTJOIN("", TRUE, RIGHT(HP23:HX23, 2)) &amp; CHAR(34) &amp; ",", "")</f>
        <v/>
      </c>
      <c r="DN23" s="48" t="str">
        <f t="shared" si="33"/>
        <v/>
      </c>
      <c r="DO23" s="48" t="str">
        <f t="shared" si="34"/>
        <v>"year19",</v>
      </c>
      <c r="DP23" s="6" t="str">
        <f t="shared" si="35"/>
        <v/>
      </c>
      <c r="DQ23" s="6" t="str">
        <f t="shared" si="36"/>
        <v/>
      </c>
      <c r="DR23" s="6" t="str">
        <f t="shared" si="37"/>
        <v/>
      </c>
      <c r="DS23" s="6" t="str">
        <f t="shared" si="38"/>
        <v/>
      </c>
      <c r="DT23" s="6" t="str">
        <f t="shared" si="39"/>
        <v>"allhor",</v>
      </c>
      <c r="DU23" s="6" t="str">
        <f t="shared" si="40"/>
        <v/>
      </c>
      <c r="DW23" s="48" t="str">
        <f t="shared" si="108"/>
        <v/>
      </c>
      <c r="DX23" s="48" t="str">
        <f t="shared" si="108"/>
        <v/>
      </c>
      <c r="DY23" s="48" t="str">
        <f t="shared" si="108"/>
        <v>"3Bands",</v>
      </c>
      <c r="DZ23" s="48" t="str">
        <f t="shared" si="108"/>
        <v/>
      </c>
      <c r="EA23" s="48" t="str">
        <f t="shared" si="109"/>
        <v/>
      </c>
      <c r="EB23" s="48" t="str">
        <f t="shared" si="109"/>
        <v/>
      </c>
      <c r="EC23" s="48" t="str">
        <f t="shared" si="109"/>
        <v>"Horizo",</v>
      </c>
      <c r="ED23" s="48" t="str">
        <f t="shared" si="109"/>
        <v/>
      </c>
      <c r="EE23" s="48" t="str">
        <f t="shared" si="109"/>
        <v>"Circle",</v>
      </c>
      <c r="EF23" s="48" t="str">
        <f t="shared" si="42"/>
        <v/>
      </c>
      <c r="EG23" s="48" t="str">
        <f t="shared" si="106"/>
        <v/>
      </c>
      <c r="EH23" s="48" t="str">
        <f t="shared" si="106"/>
        <v>"Plants",</v>
      </c>
      <c r="EI23" s="48" t="str">
        <f t="shared" si="106"/>
        <v/>
      </c>
      <c r="EJ23" s="48" t="str">
        <f t="shared" si="106"/>
        <v/>
      </c>
      <c r="EK23" s="48" t="str">
        <f t="shared" si="106"/>
        <v/>
      </c>
      <c r="EL23" s="48" t="str">
        <f t="shared" si="106"/>
        <v/>
      </c>
      <c r="EM23" s="48" t="str">
        <f t="shared" si="106"/>
        <v/>
      </c>
      <c r="EN23" s="48" t="str">
        <f t="shared" si="106"/>
        <v>"Unequa",</v>
      </c>
      <c r="EO23" s="48" t="str">
        <f t="shared" si="106"/>
        <v>"Center",</v>
      </c>
      <c r="EP23" s="48" t="str">
        <f t="shared" si="106"/>
        <v/>
      </c>
      <c r="EQ23" s="48" t="str">
        <f t="shared" si="106"/>
        <v/>
      </c>
      <c r="ER23" s="48" t="str">
        <f t="shared" si="106"/>
        <v/>
      </c>
      <c r="ES23" s="48" t="str">
        <f t="shared" si="106"/>
        <v/>
      </c>
      <c r="ET23" s="48" t="str">
        <f t="shared" si="106"/>
        <v/>
      </c>
      <c r="EU23" s="48" t="str">
        <f t="shared" si="106"/>
        <v/>
      </c>
      <c r="EV23" s="48" t="str">
        <f t="shared" si="106"/>
        <v/>
      </c>
      <c r="EW23" s="48" t="str">
        <f t="shared" si="104"/>
        <v/>
      </c>
      <c r="EX23" s="48" t="str">
        <f t="shared" si="104"/>
        <v/>
      </c>
      <c r="EY23" s="48" t="str">
        <f t="shared" si="104"/>
        <v/>
      </c>
      <c r="EZ23" s="48" t="str">
        <f t="shared" si="104"/>
        <v/>
      </c>
      <c r="FA23" s="48" t="str">
        <f t="shared" si="43"/>
        <v>"staORA",</v>
      </c>
      <c r="FB23" s="48" t="str">
        <f t="shared" si="44"/>
        <v>"staORA",</v>
      </c>
      <c r="FD23" s="48" t="str">
        <f t="shared" si="46"/>
        <v/>
      </c>
      <c r="FE23" s="48" t="str">
        <f t="shared" si="47"/>
        <v/>
      </c>
      <c r="FF23" s="48" t="str">
        <f t="shared" si="48"/>
        <v/>
      </c>
      <c r="FG23" s="48" t="str">
        <f t="shared" si="49"/>
        <v/>
      </c>
      <c r="FH23" s="48" t="str">
        <f t="shared" si="50"/>
        <v/>
      </c>
      <c r="FI23" s="48" t="str">
        <f t="shared" si="51"/>
        <v/>
      </c>
      <c r="FJ23" s="48" t="str">
        <f t="shared" si="52"/>
        <v/>
      </c>
      <c r="FK23" s="48" t="str">
        <f t="shared" si="53"/>
        <v/>
      </c>
      <c r="FL23" s="48" t="str">
        <f t="shared" si="54"/>
        <v/>
      </c>
      <c r="FM23" s="48" t="str">
        <f t="shared" si="55"/>
        <v/>
      </c>
      <c r="FN23" s="48" t="str">
        <f t="shared" si="56"/>
        <v/>
      </c>
      <c r="FO23" s="48" t="str">
        <f t="shared" si="57"/>
        <v/>
      </c>
      <c r="FP23" s="48" t="str">
        <f t="shared" si="58"/>
        <v/>
      </c>
      <c r="FQ23" s="48" t="str">
        <f t="shared" si="59"/>
        <v/>
      </c>
      <c r="FR23" s="48" t="str">
        <f t="shared" si="60"/>
        <v/>
      </c>
      <c r="FS23" s="48" t="str">
        <f t="shared" si="61"/>
        <v/>
      </c>
      <c r="FT23" s="48" t="str">
        <f t="shared" si="62"/>
        <v>"myrWHI",</v>
      </c>
      <c r="FU23" s="48" t="str">
        <f t="shared" si="63"/>
        <v/>
      </c>
      <c r="FV23" s="48" t="str">
        <f t="shared" si="64"/>
        <v/>
      </c>
      <c r="FW23" s="48" t="str">
        <f t="shared" si="65"/>
        <v/>
      </c>
      <c r="FY23" s="48" t="str">
        <f t="shared" si="67"/>
        <v/>
      </c>
      <c r="FZ23" s="48" t="str">
        <f t="shared" si="68"/>
        <v/>
      </c>
      <c r="GA23" s="48" t="str">
        <f t="shared" si="69"/>
        <v/>
      </c>
      <c r="GB23" s="48" t="str">
        <f t="shared" si="70"/>
        <v/>
      </c>
      <c r="GE23" s="48" t="str">
        <f t="shared" si="73"/>
        <v/>
      </c>
      <c r="GF23" s="48" t="str">
        <f t="shared" si="105"/>
        <v/>
      </c>
      <c r="GG23" s="48" t="str">
        <f t="shared" si="75"/>
        <v/>
      </c>
      <c r="GH23" s="48" t="str">
        <f t="shared" si="76"/>
        <v/>
      </c>
      <c r="GI23" s="48" t="str">
        <f t="shared" si="77"/>
        <v/>
      </c>
      <c r="GJ23" s="48" t="str">
        <f t="shared" si="78"/>
        <v/>
      </c>
      <c r="GK23" s="48" t="str">
        <f t="shared" si="79"/>
        <v>"HasSta",</v>
      </c>
      <c r="GL23" s="48" t="str">
        <f t="shared" si="110"/>
        <v/>
      </c>
      <c r="GM23" s="48" t="str">
        <f t="shared" si="110"/>
        <v/>
      </c>
      <c r="GN23" s="48" t="str">
        <f t="shared" si="110"/>
        <v>"3+Star",</v>
      </c>
      <c r="GP23" s="48" t="str">
        <f t="shared" si="80"/>
        <v>"State"</v>
      </c>
      <c r="GS23" s="48" t="str">
        <f t="shared" si="81"/>
        <v>["5+Colo","lets07","startT","with_v","year19","allhor","3Bands","Horizo","Circle","Plants","Unequa","Center","staORA","staORA","myrWHI","HasSta","3+Star"]</v>
      </c>
      <c r="GT23" s="48" t="str">
        <f t="shared" si="111"/>
        <v>"cl_BLA",</v>
      </c>
      <c r="GU23" s="48" t="str">
        <f t="shared" si="111"/>
        <v>"cl_BLU",</v>
      </c>
      <c r="GV23" s="48" t="str">
        <f t="shared" si="111"/>
        <v>"cl_GRE",</v>
      </c>
      <c r="GW23" s="48" t="str">
        <f t="shared" si="111"/>
        <v>"cl_RED",</v>
      </c>
      <c r="GX23" s="48" t="str">
        <f t="shared" si="111"/>
        <v>"cl_YEL",</v>
      </c>
      <c r="GY23" s="48" t="str">
        <f t="shared" si="111"/>
        <v>"cl_ORA",</v>
      </c>
      <c r="GZ23" s="48" t="str">
        <f t="shared" si="111"/>
        <v>"cl_BRO",</v>
      </c>
      <c r="HA23" s="48" t="str">
        <f t="shared" si="111"/>
        <v/>
      </c>
      <c r="HB23" s="48" t="str">
        <f t="shared" si="111"/>
        <v>"cl_WHI",</v>
      </c>
      <c r="HC23" s="48" t="str">
        <f t="shared" si="82"/>
        <v>["cl_BLA","cl_BLU","cl_GRE","cl_RED","cl_YEL","cl_ORA","cl_BRO","cl_WHI"]</v>
      </c>
      <c r="HE23" s="71"/>
      <c r="HF23" s="72" t="str">
        <f t="shared" si="83"/>
        <v>{couname:"[VEN] Táchira",year:"1997",region:"rgn_South America",Colors:["cl_BLA","cl_BLU","cl_GRE","cl_RED","cl_YEL","cl_ORA","cl_BRO","cl_WHI"],Items:["5+Colo","lets07","startT","with_v","year19","allhor","3Bands","Horizo","Circle","Plants","Unequa","Center","staORA","staORA","myrWHI","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links: "https://www.crwflags.com/fotw/flags/ve-s.html"},</v>
      </c>
      <c r="HG23" s="73" t="str">
        <f t="shared" si="84"/>
        <v>{couname:"[VEN] Táchira",year:"1997",region:"rgn_South America",Colors:["cl_BLA","cl_BLU","cl_GRE","cl_RED","cl_YEL","cl_ORA","cl_BRO","cl_WHI"],Items:["5+Colo","lets07","startT","with_v","year19","allhor","3Bands","Horizo","Circle","Plants","Unequa","Center","staORA","staORA","myrWHI","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links: "https://www.crwflags.com/fotw/flags/ve-s.html"},</v>
      </c>
      <c r="HH23" s="48" t="str">
        <f t="shared" si="85"/>
        <v>"\nIts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v>
      </c>
      <c r="HI23" s="48" t="str">
        <f t="shared" si="86"/>
        <v>"\nIts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v>
      </c>
      <c r="HJ23" s="48" t="str">
        <f t="shared" si="87"/>
        <v>"1997"</v>
      </c>
      <c r="HL23" s="48" t="str">
        <f t="shared" si="88"/>
        <v>"https://www.crwflags.com/fotw/flags/ve-s.html"</v>
      </c>
      <c r="HM23" s="72" t="str">
        <f t="shared" si="89"/>
        <v>{"couname":"[VEN] Táchira","year":"1997","region":"rgn_South America","Colors":["cl_BLA","cl_BLU","cl_GRE","cl_RED","cl_YEL","cl_ORA","cl_BRO","cl_WHI"],"Items":["5+Colo","lets07","startT","with_v","year19","allhor","3Bands","Horizo","Circle","Plants","Unequa","Center","staORA","staORA","myrWHI","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 "links": "https://www.crwflags.com/fotw/flags/ve-s.html"},</v>
      </c>
      <c r="HN23" s="74" t="str">
        <f t="shared" si="90"/>
        <v>{"couname":"[VEN] Táchira","year":"1997","region":"rgn_South America","Colors":["cl_BLA","cl_BLU","cl_GRE","cl_RED","cl_YEL","cl_ORA","cl_BRO","cl_WHI"],"Items":["5+Colo","lets07","startT","with_v","year19","allhor","3Bands","Horizo","Circle","Plants","Unequa","Center","staORA","staORA","myrWHI","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 "links": "https://www.crwflags.com/fotw/flags/ve-s.html"},</v>
      </c>
      <c r="HO23" s="75">
        <v>45618</v>
      </c>
      <c r="HP23" s="48" t="str" cm="1">
        <f t="array" ref="HP23">IF(_xlfn.TEXTJOIN(", ", TRUE, IF(ISNUMBER(SEARCH("BLA", BL23:BT23)), COLUMN(BL23:BT23) - COLUMN(BL23) + 1, ""))&lt;&gt;"","BLA","")</f>
        <v>BLA</v>
      </c>
      <c r="HQ23" s="48" t="str" cm="1">
        <f t="array" ref="HQ23">IF(_xlfn.TEXTJOIN(", ", TRUE, IF(ISNUMBER(SEARCH("BLU", BL23:BT23)), COLUMN(BL23:BT23) - COLUMN(BL23) + 1, ""))&lt;&gt;"","BLU","")</f>
        <v>BLU</v>
      </c>
      <c r="HR23" s="48" t="str" cm="1">
        <f t="array" ref="HR23">IF(_xlfn.TEXTJOIN(", ", TRUE, IF(ISNUMBER(SEARCH("GRE", BL23:BT23)), COLUMN(BL23:BT23) - COLUMN(BL23) + 1, ""))&lt;&gt;"","GRE","")</f>
        <v>GRE</v>
      </c>
      <c r="HS23" s="48" t="str" cm="1">
        <f t="array" ref="HS23">IF(_xlfn.TEXTJOIN(", ", TRUE, IF(ISNUMBER(SEARCH("RED", BL23:BT23)), COLUMN(BL23:BT23) - COLUMN(BL23) + 1, ""))&lt;&gt;"","RED","")</f>
        <v>RED</v>
      </c>
      <c r="HT23" s="48" t="str" cm="1">
        <f t="array" ref="HT23">IF(_xlfn.TEXTJOIN(", ", TRUE, IF(ISNUMBER(SEARCH("YEL", BL23:BT23)), COLUMN(BL23:BT23) - COLUMN(BL23) + 1, ""))&lt;&gt;"","YEL","")</f>
        <v>YEL</v>
      </c>
      <c r="HU23" s="48" t="str" cm="1">
        <f t="array" ref="HU23">IF(_xlfn.TEXTJOIN(", ", TRUE, IF(ISNUMBER(SEARCH("ORA", BL23:BT23)), COLUMN(BL23:BT23) - COLUMN(BL23) + 1, ""))&lt;&gt;"","ORA","")</f>
        <v>ORA</v>
      </c>
      <c r="HV23" s="48" t="str" cm="1">
        <f t="array" ref="HV23">IF(_xlfn.TEXTJOIN(", ", TRUE, IF(ISNUMBER(SEARCH("BRO", BL23:BT23)), COLUMN(BL23:BT23) - COLUMN(BL23) + 1, ""))&lt;&gt;"","BRO","")</f>
        <v>BRO</v>
      </c>
      <c r="HW23" s="48" t="str" cm="1">
        <f t="array" ref="HW23">IF(_xlfn.TEXTJOIN(", ", TRUE, IF(ISNUMBER(SEARCH("PUR", BL23:BT23)), COLUMN(BL23:BT23) - COLUMN(BL23) + 1, ""))&lt;&gt;"","PUR","")</f>
        <v/>
      </c>
      <c r="HX23" s="48" t="str" cm="1">
        <f t="array" ref="HX23">IF(_xlfn.TEXTJOIN(", ", TRUE, IF(ISNUMBER(SEARCH("WHI", BL23:BT23)), COLUMN(BL23:BT23) - COLUMN(BL23) + 1, ""))&lt;&gt;"","WHI","")</f>
        <v>WHI</v>
      </c>
      <c r="HY23" s="76"/>
      <c r="HZ23" s="76"/>
      <c r="IA23" s="6"/>
      <c r="IB23" s="6"/>
      <c r="IC23" s="77"/>
      <c r="ID23" s="77"/>
      <c r="IE23" s="77"/>
      <c r="IF23" s="77"/>
      <c r="IG23" s="77"/>
      <c r="IH23" s="77"/>
      <c r="II23" s="77"/>
      <c r="IJ23" s="77"/>
      <c r="IK23" s="77"/>
      <c r="IM23" s="45">
        <f t="shared" si="92"/>
        <v>-8</v>
      </c>
      <c r="IN23" s="78" t="str">
        <f t="shared" si="93"/>
        <v>http://mkweb.bcgsc.ca/color-summarizer/?url=https://upload.wikimedia.org/wikipedia/commons/thumb/0/01/Flag_of_T%C3%A1chira.svg/320px-Flag_of_T%C3%A1chira.svg.png&amp;precision=low&amp;num_clusters=8&amp;text=1</v>
      </c>
      <c r="IO23" s="48" t="str">
        <f t="shared" si="94"/>
        <v>"black"</v>
      </c>
      <c r="IP23" s="48" t="str">
        <f t="shared" si="95"/>
        <v>"blue"</v>
      </c>
      <c r="IQ23" s="48" t="str">
        <f t="shared" si="96"/>
        <v>"green"</v>
      </c>
      <c r="IR23" s="48" t="str">
        <f t="shared" si="97"/>
        <v>"red"</v>
      </c>
      <c r="IS23" s="48" t="str">
        <f t="shared" si="98"/>
        <v>"yellow"</v>
      </c>
      <c r="IT23" s="48" t="str">
        <f t="shared" si="99"/>
        <v>"orange"</v>
      </c>
      <c r="IU23" s="48" t="str">
        <f t="shared" si="100"/>
        <v>"brown"</v>
      </c>
      <c r="IV23" s="48" t="str">
        <f t="shared" si="101"/>
        <v/>
      </c>
      <c r="IW23" s="48" t="str">
        <f t="shared" si="102"/>
        <v>"white"</v>
      </c>
      <c r="IX23" s="48" t="str">
        <f t="shared" si="103"/>
        <v>{"url":"http://mkweb.bcgsc.ca/color-summarizer/?url=https://upload.wikimedia.org/wikipedia/commons/thumb/0/01/Flag_of_T%C3%A1chira.svg/320px-Flag_of_T%C3%A1chira.svg.png&amp;precision=low&amp;num_clusters=8&amp;text=1","name":"[VEN] Táchira"},</v>
      </c>
      <c r="IY23" s="48">
        <v>966</v>
      </c>
    </row>
    <row r="24" spans="1:259" s="48" customFormat="1" ht="38.4" customHeight="1" thickBot="1" x14ac:dyDescent="0.35">
      <c r="A24" s="79" t="s">
        <v>801</v>
      </c>
      <c r="B24" s="40" t="e" vm="123">
        <v>#VALUE!</v>
      </c>
      <c r="C24" s="41">
        <v>2</v>
      </c>
      <c r="D24" s="42" t="s">
        <v>802</v>
      </c>
      <c r="E24" s="43" t="s">
        <v>803</v>
      </c>
      <c r="F24" s="44" t="s">
        <v>166</v>
      </c>
      <c r="G24" s="45">
        <f>COUNTIF($A$1:$A$8305,A24)</f>
        <v>1</v>
      </c>
      <c r="H24" s="46"/>
      <c r="I24" s="47" t="s">
        <v>804</v>
      </c>
      <c r="J24" s="48" t="str">
        <f>""</f>
        <v/>
      </c>
      <c r="K24" s="49"/>
      <c r="L24" s="50"/>
      <c r="M24" s="50"/>
      <c r="N24" s="51" t="s">
        <v>169</v>
      </c>
      <c r="O24" s="52">
        <v>1994</v>
      </c>
      <c r="P24" s="53" t="s">
        <v>805</v>
      </c>
      <c r="Q24" s="54">
        <v>1</v>
      </c>
      <c r="R24" s="55" t="s">
        <v>169</v>
      </c>
      <c r="S24" s="56">
        <v>2</v>
      </c>
      <c r="T24" s="57" t="s">
        <v>173</v>
      </c>
      <c r="U24" s="58" t="s">
        <v>172</v>
      </c>
      <c r="V24" s="58" t="s">
        <v>173</v>
      </c>
      <c r="W24" s="58" t="s">
        <v>172</v>
      </c>
      <c r="X24" s="58" t="s">
        <v>172</v>
      </c>
      <c r="Y24" s="58" t="s">
        <v>173</v>
      </c>
      <c r="Z24" s="58" t="s">
        <v>172</v>
      </c>
      <c r="AA24" s="58" t="s">
        <v>173</v>
      </c>
      <c r="AB24" s="58" t="s">
        <v>172</v>
      </c>
      <c r="AC24" s="58" t="s">
        <v>172</v>
      </c>
      <c r="AD24" s="58" t="s">
        <v>172</v>
      </c>
      <c r="AE24" s="58" t="s">
        <v>172</v>
      </c>
      <c r="AF24" s="59" t="s">
        <v>173</v>
      </c>
      <c r="AG24" s="59" t="s">
        <v>173</v>
      </c>
      <c r="AH24" s="59" t="s">
        <v>172</v>
      </c>
      <c r="AI24" s="59" t="s">
        <v>172</v>
      </c>
      <c r="AJ24" s="59" t="s">
        <v>172</v>
      </c>
      <c r="AK24" s="59" t="s">
        <v>172</v>
      </c>
      <c r="AL24" s="59" t="s">
        <v>172</v>
      </c>
      <c r="AM24" s="59" t="s">
        <v>172</v>
      </c>
      <c r="AN24" s="59" t="s">
        <v>172</v>
      </c>
      <c r="AO24" s="59" t="s">
        <v>172</v>
      </c>
      <c r="AP24" s="59" t="s">
        <v>172</v>
      </c>
      <c r="AQ24" s="59" t="s">
        <v>172</v>
      </c>
      <c r="AR24" s="59" t="s">
        <v>172</v>
      </c>
      <c r="AS24" s="59" t="s">
        <v>172</v>
      </c>
      <c r="AT24" s="60">
        <v>1</v>
      </c>
      <c r="AU24" s="59" t="s">
        <v>383</v>
      </c>
      <c r="AV24" s="59" t="str">
        <f>IF(LEFT(A24,1)="[",LEFT(A24,5)&amp;AU24&amp;A24,"")</f>
        <v>[VEN]State[VEN] Trujillo</v>
      </c>
      <c r="AW24" s="59" t="str">
        <f>C24&amp;A24</f>
        <v>2[VEN] Trujillo</v>
      </c>
      <c r="AX24" s="61"/>
      <c r="AY24" s="61"/>
      <c r="AZ24" s="62" t="s">
        <v>152</v>
      </c>
      <c r="BA24" s="62" t="s">
        <v>174</v>
      </c>
      <c r="BB24" s="62"/>
      <c r="BC24" s="63"/>
      <c r="BD24" s="64" t="s">
        <v>152</v>
      </c>
      <c r="BE24" s="47"/>
      <c r="BF24" s="64" t="s">
        <v>174</v>
      </c>
      <c r="BG24" s="64" t="s">
        <v>174</v>
      </c>
      <c r="BH24" s="64" t="s">
        <v>174</v>
      </c>
      <c r="BI24" s="64"/>
      <c r="BJ24" s="64"/>
      <c r="BK24" s="47"/>
      <c r="BL24" s="64" t="s">
        <v>151</v>
      </c>
      <c r="BM24" s="64" t="s">
        <v>152</v>
      </c>
      <c r="BN24" s="64" t="s">
        <v>153</v>
      </c>
      <c r="BO24" s="64" t="s">
        <v>154</v>
      </c>
      <c r="BP24" s="64" t="s">
        <v>155</v>
      </c>
      <c r="BQ24" s="64" t="s">
        <v>174</v>
      </c>
      <c r="BR24" s="64" t="s">
        <v>157</v>
      </c>
      <c r="BS24" s="64" t="s">
        <v>174</v>
      </c>
      <c r="BT24" s="64" t="s">
        <v>159</v>
      </c>
      <c r="BU24" s="65"/>
      <c r="BV24" s="66"/>
      <c r="BW24" s="66">
        <v>0</v>
      </c>
      <c r="BX24" s="47"/>
      <c r="BY24" s="48" t="s">
        <v>172</v>
      </c>
      <c r="CB24" s="6"/>
      <c r="CC24" s="6"/>
      <c r="CD24" s="67">
        <v>0</v>
      </c>
      <c r="CE24" s="67">
        <v>0</v>
      </c>
      <c r="CF24" s="67" t="e">
        <v>#REF!</v>
      </c>
      <c r="CG24" s="68" cm="1">
        <f t="array" ref="CG24">SUMPRODUCT(--(LEN(TRIM(BL24:BT24))&gt;0))</f>
        <v>7</v>
      </c>
      <c r="CH24" s="59" t="str">
        <f t="shared" si="6"/>
        <v>n</v>
      </c>
      <c r="CI24" s="59" t="str">
        <f t="shared" si="7"/>
        <v>n</v>
      </c>
      <c r="CJ24" s="59" t="str">
        <f t="shared" si="8"/>
        <v>n</v>
      </c>
      <c r="CK24" s="59" t="str">
        <f t="shared" si="9"/>
        <v>y</v>
      </c>
      <c r="CL24" s="59" t="str">
        <f t="shared" si="10"/>
        <v>n</v>
      </c>
      <c r="CM24" s="59" t="str">
        <f t="shared" si="11"/>
        <v>y</v>
      </c>
      <c r="CN24" s="59" t="str">
        <f t="shared" si="12"/>
        <v>n</v>
      </c>
      <c r="CO24" s="59" t="str">
        <f t="shared" si="13"/>
        <v>n</v>
      </c>
      <c r="CP24" s="59" t="str">
        <f t="shared" si="14"/>
        <v>n</v>
      </c>
      <c r="CQ24" s="59" t="str">
        <f t="shared" si="15"/>
        <v>y</v>
      </c>
      <c r="CR24" s="59" t="str">
        <f t="shared" si="16"/>
        <v>n</v>
      </c>
      <c r="CS24" s="59" t="str">
        <f t="shared" si="17"/>
        <v>n</v>
      </c>
      <c r="CT24" s="69" t="str">
        <f t="shared" si="18"/>
        <v>"[VEN] Trujillo"</v>
      </c>
      <c r="CU24" s="70" t="str">
        <f t="shared" si="19"/>
        <v>"rgn_South America"</v>
      </c>
      <c r="CV24" s="48" t="str">
        <f t="shared" si="20"/>
        <v>"https://upload.wikimedia.org/wikipedia/commons/thumb/b/b0/Flag_of_Trujillo_State.svg/320px-Flag_of_Trujillo_State.svg.png"</v>
      </c>
      <c r="CW24" s="48" t="str">
        <f t="shared" si="107"/>
        <v/>
      </c>
      <c r="CX24" s="48" t="str">
        <f t="shared" si="107"/>
        <v/>
      </c>
      <c r="CY24" s="48" t="str">
        <f t="shared" si="107"/>
        <v/>
      </c>
      <c r="CZ24" s="48" t="str">
        <f t="shared" si="107"/>
        <v>"5+Colo",</v>
      </c>
      <c r="DA24" s="48" t="str">
        <f t="shared" si="21"/>
        <v/>
      </c>
      <c r="DB24" s="48" t="str">
        <f t="shared" si="22"/>
        <v/>
      </c>
      <c r="DD24" s="48" t="str">
        <f t="shared" si="112"/>
        <v>"lets08",</v>
      </c>
      <c r="DE24" s="48" t="str">
        <f t="shared" si="113"/>
        <v>"startT",</v>
      </c>
      <c r="DF24" s="48" t="str">
        <f t="shared" si="26"/>
        <v/>
      </c>
      <c r="DG24" s="48" t="str">
        <f t="shared" si="27"/>
        <v/>
      </c>
      <c r="DH24" s="48" t="str">
        <f t="shared" si="28"/>
        <v>"with_v",</v>
      </c>
      <c r="DI24" s="48" t="str">
        <f t="shared" si="29"/>
        <v/>
      </c>
      <c r="DJ24" s="48" t="str">
        <f t="shared" si="30"/>
        <v/>
      </c>
      <c r="DK24" s="48" t="str">
        <f t="shared" si="31"/>
        <v/>
      </c>
      <c r="DL24" s="48" t="str">
        <f t="shared" si="32"/>
        <v/>
      </c>
      <c r="DM24" s="48" t="str" cm="1">
        <f t="array" ref="DM24">IF(CG24=3,CHAR(34) &amp; _xlfn.TEXTJOIN("", TRUE, RIGHT(HP24:HX24, 2)) &amp; CHAR(34) &amp; ",", "")</f>
        <v/>
      </c>
      <c r="DN24" s="48" t="str">
        <f t="shared" si="33"/>
        <v/>
      </c>
      <c r="DO24" s="48" t="str">
        <f t="shared" si="34"/>
        <v>"year19",</v>
      </c>
      <c r="DP24" s="6" t="str">
        <f t="shared" si="35"/>
        <v/>
      </c>
      <c r="DQ24" s="6" t="str">
        <f t="shared" si="36"/>
        <v/>
      </c>
      <c r="DR24" s="6" t="str">
        <f t="shared" si="37"/>
        <v/>
      </c>
      <c r="DS24" s="6" t="str">
        <f t="shared" si="38"/>
        <v/>
      </c>
      <c r="DT24" s="6" t="str">
        <f t="shared" si="39"/>
        <v>"allhor",</v>
      </c>
      <c r="DU24" s="6" t="str">
        <f t="shared" si="40"/>
        <v/>
      </c>
      <c r="DW24" s="48" t="str">
        <f t="shared" si="108"/>
        <v/>
      </c>
      <c r="DX24" s="48" t="str">
        <f t="shared" si="108"/>
        <v>"2Bands",</v>
      </c>
      <c r="DY24" s="48" t="str">
        <f t="shared" si="108"/>
        <v/>
      </c>
      <c r="DZ24" s="48" t="str">
        <f t="shared" si="108"/>
        <v/>
      </c>
      <c r="EA24" s="48" t="str">
        <f t="shared" si="109"/>
        <v>"Diagon",</v>
      </c>
      <c r="EB24" s="48" t="str">
        <f t="shared" si="109"/>
        <v/>
      </c>
      <c r="EC24" s="48" t="str">
        <f t="shared" si="109"/>
        <v>"Horizo",</v>
      </c>
      <c r="ED24" s="48" t="str">
        <f t="shared" si="109"/>
        <v/>
      </c>
      <c r="EE24" s="48" t="str">
        <f t="shared" si="109"/>
        <v/>
      </c>
      <c r="EF24" s="48" t="str">
        <f t="shared" si="42"/>
        <v>"Animal",</v>
      </c>
      <c r="EG24" s="48" t="str">
        <f t="shared" si="106"/>
        <v/>
      </c>
      <c r="EH24" s="48" t="str">
        <f t="shared" si="106"/>
        <v>"Plants",</v>
      </c>
      <c r="EI24" s="48" t="str">
        <f t="shared" si="106"/>
        <v/>
      </c>
      <c r="EJ24" s="48" t="str">
        <f t="shared" si="106"/>
        <v/>
      </c>
      <c r="EK24" s="48" t="str">
        <f t="shared" si="106"/>
        <v/>
      </c>
      <c r="EL24" s="48" t="str">
        <f t="shared" si="106"/>
        <v/>
      </c>
      <c r="EM24" s="48" t="str">
        <f t="shared" si="106"/>
        <v>"Trside",</v>
      </c>
      <c r="EN24" s="48" t="str">
        <f t="shared" si="106"/>
        <v>"Unequa",</v>
      </c>
      <c r="EO24" s="48" t="str">
        <f t="shared" si="106"/>
        <v/>
      </c>
      <c r="EP24" s="48" t="str">
        <f t="shared" si="106"/>
        <v/>
      </c>
      <c r="EQ24" s="48" t="str">
        <f t="shared" si="106"/>
        <v/>
      </c>
      <c r="ER24" s="48" t="str">
        <f t="shared" si="106"/>
        <v/>
      </c>
      <c r="ES24" s="48" t="str">
        <f t="shared" si="106"/>
        <v/>
      </c>
      <c r="ET24" s="48" t="str">
        <f t="shared" si="106"/>
        <v/>
      </c>
      <c r="EU24" s="48" t="str">
        <f t="shared" si="106"/>
        <v/>
      </c>
      <c r="EV24" s="48" t="str">
        <f t="shared" si="106"/>
        <v/>
      </c>
      <c r="EW24" s="48" t="str">
        <f t="shared" si="104"/>
        <v/>
      </c>
      <c r="EX24" s="48" t="str">
        <f t="shared" si="104"/>
        <v/>
      </c>
      <c r="EY24" s="48" t="str">
        <f t="shared" si="104"/>
        <v/>
      </c>
      <c r="EZ24" s="48" t="str">
        <f t="shared" si="104"/>
        <v/>
      </c>
      <c r="FA24" s="48" t="str">
        <f t="shared" si="43"/>
        <v>"staBLU",</v>
      </c>
      <c r="FB24" s="48" t="str">
        <f t="shared" si="44"/>
        <v/>
      </c>
      <c r="FD24" s="48" t="str">
        <f t="shared" si="46"/>
        <v/>
      </c>
      <c r="FE24" s="48" t="str">
        <f t="shared" si="47"/>
        <v/>
      </c>
      <c r="FF24" s="48" t="str">
        <f t="shared" si="48"/>
        <v/>
      </c>
      <c r="FG24" s="48" t="str">
        <f t="shared" si="49"/>
        <v/>
      </c>
      <c r="FH24" s="48" t="str">
        <f t="shared" si="50"/>
        <v/>
      </c>
      <c r="FI24" s="48" t="str">
        <f t="shared" si="51"/>
        <v/>
      </c>
      <c r="FJ24" s="48" t="str">
        <f t="shared" si="52"/>
        <v/>
      </c>
      <c r="FK24" s="48" t="str">
        <f t="shared" si="53"/>
        <v/>
      </c>
      <c r="FL24" s="48" t="str">
        <f t="shared" si="54"/>
        <v/>
      </c>
      <c r="FM24" s="48" t="str">
        <f t="shared" si="55"/>
        <v/>
      </c>
      <c r="FN24" s="48" t="str">
        <f t="shared" si="56"/>
        <v/>
      </c>
      <c r="FO24" s="48" t="str">
        <f t="shared" si="57"/>
        <v/>
      </c>
      <c r="FP24" s="48" t="str">
        <f t="shared" si="58"/>
        <v/>
      </c>
      <c r="FQ24" s="48" t="str">
        <f t="shared" si="59"/>
        <v/>
      </c>
      <c r="FR24" s="48" t="str">
        <f t="shared" si="60"/>
        <v/>
      </c>
      <c r="FS24" s="48" t="str">
        <f t="shared" si="61"/>
        <v/>
      </c>
      <c r="FT24" s="48" t="str">
        <f t="shared" si="62"/>
        <v>"myrBLU",</v>
      </c>
      <c r="FU24" s="48" t="str">
        <f t="shared" si="63"/>
        <v/>
      </c>
      <c r="FV24" s="48" t="str">
        <f t="shared" si="64"/>
        <v/>
      </c>
      <c r="FW24" s="48" t="str">
        <f t="shared" si="65"/>
        <v/>
      </c>
      <c r="FY24" s="48" t="str">
        <f t="shared" si="67"/>
        <v/>
      </c>
      <c r="FZ24" s="48" t="str">
        <f t="shared" si="68"/>
        <v/>
      </c>
      <c r="GA24" s="48" t="str">
        <f t="shared" si="69"/>
        <v/>
      </c>
      <c r="GB24" s="48" t="str">
        <f t="shared" si="70"/>
        <v/>
      </c>
      <c r="GE24" s="48" t="str">
        <f t="shared" si="73"/>
        <v/>
      </c>
      <c r="GF24" s="48" t="str">
        <f t="shared" si="105"/>
        <v/>
      </c>
      <c r="GG24" s="48" t="str">
        <f t="shared" si="75"/>
        <v/>
      </c>
      <c r="GH24" s="48" t="str">
        <f t="shared" si="76"/>
        <v/>
      </c>
      <c r="GI24" s="48" t="str">
        <f t="shared" si="77"/>
        <v/>
      </c>
      <c r="GJ24" s="48" t="str">
        <f t="shared" si="78"/>
        <v/>
      </c>
      <c r="GK24" s="48" t="str">
        <f t="shared" si="79"/>
        <v>"HasSta",</v>
      </c>
      <c r="GL24" s="48" t="str">
        <f t="shared" si="110"/>
        <v>"1Stars",</v>
      </c>
      <c r="GM24" s="48" t="str">
        <f t="shared" si="110"/>
        <v/>
      </c>
      <c r="GN24" s="48" t="str">
        <f t="shared" si="110"/>
        <v/>
      </c>
      <c r="GP24" s="48" t="str">
        <f t="shared" si="80"/>
        <v>"State"</v>
      </c>
      <c r="GS24" s="48" t="str">
        <f t="shared" si="81"/>
        <v>["5+Colo","lets08","startT","with_v","year19","allhor","2Bands","Diagon","Horizo","Animal","Plants","Trside","Unequa","staBLU","myrBLU","HasSta","1Stars"]</v>
      </c>
      <c r="GT24" s="48" t="str">
        <f t="shared" si="111"/>
        <v>"cl_BLA",</v>
      </c>
      <c r="GU24" s="48" t="str">
        <f t="shared" si="111"/>
        <v>"cl_BLU",</v>
      </c>
      <c r="GV24" s="48" t="str">
        <f t="shared" si="111"/>
        <v>"cl_GRE",</v>
      </c>
      <c r="GW24" s="48" t="str">
        <f t="shared" si="111"/>
        <v>"cl_RED",</v>
      </c>
      <c r="GX24" s="48" t="str">
        <f t="shared" si="111"/>
        <v>"cl_YEL",</v>
      </c>
      <c r="GY24" s="48" t="str">
        <f t="shared" si="111"/>
        <v/>
      </c>
      <c r="GZ24" s="48" t="str">
        <f t="shared" si="111"/>
        <v>"cl_BRO",</v>
      </c>
      <c r="HA24" s="48" t="str">
        <f t="shared" si="111"/>
        <v/>
      </c>
      <c r="HB24" s="48" t="str">
        <f t="shared" si="111"/>
        <v>"cl_WHI",</v>
      </c>
      <c r="HC24" s="48" t="str">
        <f t="shared" si="82"/>
        <v>["cl_BLA","cl_BLU","cl_GRE","cl_RED","cl_YEL","cl_BRO","cl_WHI"]</v>
      </c>
      <c r="HE24" s="71"/>
      <c r="HF24" s="72" t="str">
        <f t="shared" si="83"/>
        <v>{couname:"[VEN] Trujillo",year:"1994",region:"rgn_South America",Colors:["cl_BLA","cl_BLU","cl_GRE","cl_RED","cl_YEL","cl_BRO","cl_WHI"],Items:["5+Colo","lets08","startT","with_v","year19","allhor","2Bands","Diagon","Horizo","Animal","Plants","Trside","Unequa","staBLU","myrBLU","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links: "https://www.crwflags.com/fotw/flags/ve-t.html"},</v>
      </c>
      <c r="HG24" s="73" t="str">
        <f t="shared" si="84"/>
        <v>{couname:"[VEN] Trujillo",year:"1994",region:"rgn_South America",Colors:["cl_BLA","cl_BLU","cl_GRE","cl_RED","cl_YEL","cl_BRO","cl_WHI"],Items:["5+Colo","lets08","startT","with_v","year19","allhor","2Bands","Diagon","Horizo","Animal","Plants","Trside","Unequa","staBLU","myrBLU","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links: "https://www.crwflags.com/fotw/flags/ve-t.html"},</v>
      </c>
      <c r="HH24" s="48" t="str">
        <f t="shared" si="85"/>
        <v>"\nThe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v>
      </c>
      <c r="HI24" s="48" t="str">
        <f t="shared" si="86"/>
        <v>"\nThe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v>
      </c>
      <c r="HJ24" s="48" t="str">
        <f t="shared" si="87"/>
        <v>"1994"</v>
      </c>
      <c r="HL24" s="48" t="str">
        <f t="shared" si="88"/>
        <v>"https://www.crwflags.com/fotw/flags/ve-t.html"</v>
      </c>
      <c r="HM24" s="72" t="str">
        <f t="shared" si="89"/>
        <v>{"couname":"[VEN] Trujillo","year":"1994","region":"rgn_South America","Colors":["cl_BLA","cl_BLU","cl_GRE","cl_RED","cl_YEL","cl_BRO","cl_WHI"],"Items":["5+Colo","lets08","startT","with_v","year19","allhor","2Bands","Diagon","Horizo","Animal","Plants","Trside","Unequa","staBLU","myrBLU","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 "links": "https://www.crwflags.com/fotw/flags/ve-t.html"},</v>
      </c>
      <c r="HN24" s="74" t="str">
        <f t="shared" si="90"/>
        <v>{"couname":"[VEN] Trujillo","year":"1994","region":"rgn_South America","Colors":["cl_BLA","cl_BLU","cl_GRE","cl_RED","cl_YEL","cl_BRO","cl_WHI"],"Items":["5+Colo","lets08","startT","with_v","year19","allhor","2Bands","Diagon","Horizo","Animal","Plants","Trside","Unequa","staBLU","myrBLU","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 "links": "https://www.crwflags.com/fotw/flags/ve-t.html"},</v>
      </c>
      <c r="HO24" s="75">
        <v>45618</v>
      </c>
      <c r="HP24" s="48" t="str" cm="1">
        <f t="array" ref="HP24">IF(_xlfn.TEXTJOIN(", ", TRUE, IF(ISNUMBER(SEARCH("BLA", BL24:BT24)), COLUMN(BL24:BT24) - COLUMN(BL24) + 1, ""))&lt;&gt;"","BLA","")</f>
        <v>BLA</v>
      </c>
      <c r="HQ24" s="48" t="str" cm="1">
        <f t="array" ref="HQ24">IF(_xlfn.TEXTJOIN(", ", TRUE, IF(ISNUMBER(SEARCH("BLU", BL24:BT24)), COLUMN(BL24:BT24) - COLUMN(BL24) + 1, ""))&lt;&gt;"","BLU","")</f>
        <v>BLU</v>
      </c>
      <c r="HR24" s="48" t="str" cm="1">
        <f t="array" ref="HR24">IF(_xlfn.TEXTJOIN(", ", TRUE, IF(ISNUMBER(SEARCH("GRE", BL24:BT24)), COLUMN(BL24:BT24) - COLUMN(BL24) + 1, ""))&lt;&gt;"","GRE","")</f>
        <v>GRE</v>
      </c>
      <c r="HS24" s="48" t="str" cm="1">
        <f t="array" ref="HS24">IF(_xlfn.TEXTJOIN(", ", TRUE, IF(ISNUMBER(SEARCH("RED", BL24:BT24)), COLUMN(BL24:BT24) - COLUMN(BL24) + 1, ""))&lt;&gt;"","RED","")</f>
        <v>RED</v>
      </c>
      <c r="HT24" s="48" t="str" cm="1">
        <f t="array" ref="HT24">IF(_xlfn.TEXTJOIN(", ", TRUE, IF(ISNUMBER(SEARCH("YEL", BL24:BT24)), COLUMN(BL24:BT24) - COLUMN(BL24) + 1, ""))&lt;&gt;"","YEL","")</f>
        <v>YEL</v>
      </c>
      <c r="HU24" s="48" t="str" cm="1">
        <f t="array" ref="HU24">IF(_xlfn.TEXTJOIN(", ", TRUE, IF(ISNUMBER(SEARCH("ORA", BL24:BT24)), COLUMN(BL24:BT24) - COLUMN(BL24) + 1, ""))&lt;&gt;"","ORA","")</f>
        <v/>
      </c>
      <c r="HV24" s="48" t="str" cm="1">
        <f t="array" ref="HV24">IF(_xlfn.TEXTJOIN(", ", TRUE, IF(ISNUMBER(SEARCH("BRO", BL24:BT24)), COLUMN(BL24:BT24) - COLUMN(BL24) + 1, ""))&lt;&gt;"","BRO","")</f>
        <v>BRO</v>
      </c>
      <c r="HW24" s="48" t="str" cm="1">
        <f t="array" ref="HW24">IF(_xlfn.TEXTJOIN(", ", TRUE, IF(ISNUMBER(SEARCH("PUR", BL24:BT24)), COLUMN(BL24:BT24) - COLUMN(BL24) + 1, ""))&lt;&gt;"","PUR","")</f>
        <v/>
      </c>
      <c r="HX24" s="48" t="str" cm="1">
        <f t="array" ref="HX24">IF(_xlfn.TEXTJOIN(", ", TRUE, IF(ISNUMBER(SEARCH("WHI", BL24:BT24)), COLUMN(BL24:BT24) - COLUMN(BL24) + 1, ""))&lt;&gt;"","WHI","")</f>
        <v>WHI</v>
      </c>
      <c r="HY24" s="76"/>
      <c r="HZ24" s="76"/>
      <c r="IA24" s="6"/>
      <c r="IB24" s="6"/>
      <c r="IC24" s="77"/>
      <c r="ID24" s="77"/>
      <c r="IE24" s="77"/>
      <c r="IF24" s="77"/>
      <c r="IG24" s="77"/>
      <c r="IH24" s="77"/>
      <c r="II24" s="77"/>
      <c r="IJ24" s="77"/>
      <c r="IK24" s="77"/>
      <c r="IM24" s="45">
        <f t="shared" si="92"/>
        <v>-7</v>
      </c>
      <c r="IN24" s="78" t="str">
        <f t="shared" si="93"/>
        <v>http://mkweb.bcgsc.ca/color-summarizer/?url=https://upload.wikimedia.org/wikipedia/commons/thumb/b/b0/Flag_of_Trujillo_State.svg/320px-Flag_of_Trujillo_State.svg.png&amp;precision=low&amp;num_clusters=7&amp;text=1</v>
      </c>
      <c r="IO24" s="48" t="str">
        <f t="shared" si="94"/>
        <v>"black"</v>
      </c>
      <c r="IP24" s="48" t="str">
        <f t="shared" si="95"/>
        <v>"blue"</v>
      </c>
      <c r="IQ24" s="48" t="str">
        <f t="shared" si="96"/>
        <v>"green"</v>
      </c>
      <c r="IR24" s="48" t="str">
        <f t="shared" si="97"/>
        <v>"red"</v>
      </c>
      <c r="IS24" s="48" t="str">
        <f t="shared" si="98"/>
        <v>"yellow"</v>
      </c>
      <c r="IT24" s="48" t="str">
        <f t="shared" si="99"/>
        <v/>
      </c>
      <c r="IU24" s="48" t="str">
        <f t="shared" si="100"/>
        <v>"brown"</v>
      </c>
      <c r="IV24" s="48" t="str">
        <f t="shared" si="101"/>
        <v/>
      </c>
      <c r="IW24" s="48" t="str">
        <f t="shared" si="102"/>
        <v>"white"</v>
      </c>
      <c r="IX24" s="48" t="str">
        <f t="shared" si="103"/>
        <v>{"url":"http://mkweb.bcgsc.ca/color-summarizer/?url=https://upload.wikimedia.org/wikipedia/commons/thumb/b/b0/Flag_of_Trujillo_State.svg/320px-Flag_of_Trujillo_State.svg.png&amp;precision=low&amp;num_clusters=7&amp;text=1","name":"[VEN] Trujillo"},</v>
      </c>
      <c r="IY24" s="48">
        <v>967</v>
      </c>
    </row>
    <row r="25" spans="1:259" s="48" customFormat="1" ht="38.4" customHeight="1" thickBot="1" x14ac:dyDescent="0.35">
      <c r="A25" s="79" t="s">
        <v>806</v>
      </c>
      <c r="B25" s="40" t="e" vm="124">
        <v>#VALUE!</v>
      </c>
      <c r="C25" s="41">
        <v>2</v>
      </c>
      <c r="D25" s="42" t="s">
        <v>807</v>
      </c>
      <c r="E25" s="43" t="s">
        <v>808</v>
      </c>
      <c r="F25" s="44" t="s">
        <v>166</v>
      </c>
      <c r="G25" s="45">
        <f>COUNTIF($A$1:$A$8305,A25)</f>
        <v>1</v>
      </c>
      <c r="H25" s="46"/>
      <c r="I25" s="47" t="s">
        <v>809</v>
      </c>
      <c r="J25" s="48" t="str">
        <f>""</f>
        <v/>
      </c>
      <c r="K25" s="49"/>
      <c r="L25" s="50"/>
      <c r="M25" s="50"/>
      <c r="N25" s="51" t="s">
        <v>169</v>
      </c>
      <c r="O25" s="52">
        <v>1995</v>
      </c>
      <c r="P25" s="53" t="s">
        <v>810</v>
      </c>
      <c r="Q25" s="54">
        <v>1</v>
      </c>
      <c r="R25" s="55" t="s">
        <v>169</v>
      </c>
      <c r="S25" s="56">
        <v>3</v>
      </c>
      <c r="T25" s="57" t="s">
        <v>173</v>
      </c>
      <c r="U25" s="58" t="s">
        <v>172</v>
      </c>
      <c r="V25" s="58" t="s">
        <v>172</v>
      </c>
      <c r="W25" s="58" t="s">
        <v>172</v>
      </c>
      <c r="X25" s="58" t="s">
        <v>173</v>
      </c>
      <c r="Y25" s="58" t="s">
        <v>172</v>
      </c>
      <c r="Z25" s="58" t="s">
        <v>172</v>
      </c>
      <c r="AA25" s="58" t="s">
        <v>172</v>
      </c>
      <c r="AB25" s="58" t="s">
        <v>172</v>
      </c>
      <c r="AC25" s="58" t="s">
        <v>172</v>
      </c>
      <c r="AD25" s="58" t="s">
        <v>173</v>
      </c>
      <c r="AE25" s="58" t="s">
        <v>172</v>
      </c>
      <c r="AF25" s="59" t="s">
        <v>172</v>
      </c>
      <c r="AG25" s="59" t="s">
        <v>172</v>
      </c>
      <c r="AH25" s="59" t="s">
        <v>173</v>
      </c>
      <c r="AI25" s="59" t="s">
        <v>172</v>
      </c>
      <c r="AJ25" s="59" t="s">
        <v>172</v>
      </c>
      <c r="AK25" s="59" t="s">
        <v>172</v>
      </c>
      <c r="AL25" s="59" t="s">
        <v>172</v>
      </c>
      <c r="AM25" s="59" t="s">
        <v>173</v>
      </c>
      <c r="AN25" s="59" t="s">
        <v>172</v>
      </c>
      <c r="AO25" s="59" t="s">
        <v>172</v>
      </c>
      <c r="AP25" s="59" t="s">
        <v>172</v>
      </c>
      <c r="AQ25" s="59" t="s">
        <v>172</v>
      </c>
      <c r="AR25" s="59" t="s">
        <v>172</v>
      </c>
      <c r="AS25" s="59" t="s">
        <v>172</v>
      </c>
      <c r="AT25" s="60">
        <v>0</v>
      </c>
      <c r="AU25" s="59" t="s">
        <v>383</v>
      </c>
      <c r="AV25" s="59" t="str">
        <f>IF(LEFT(A25,1)="[",LEFT(A25,5)&amp;AU25&amp;A25,"")</f>
        <v>[VEN]State[VEN] Yaracuy</v>
      </c>
      <c r="AW25" s="59" t="str">
        <f>C25&amp;A25</f>
        <v>2[VEN] Yaracuy</v>
      </c>
      <c r="AX25" s="61"/>
      <c r="AY25" s="61"/>
      <c r="AZ25" s="62" t="s">
        <v>174</v>
      </c>
      <c r="BA25" s="62" t="s">
        <v>174</v>
      </c>
      <c r="BB25" s="62"/>
      <c r="BC25" s="63"/>
      <c r="BD25" s="64" t="s">
        <v>217</v>
      </c>
      <c r="BE25" s="47"/>
      <c r="BF25" s="64" t="s">
        <v>152</v>
      </c>
      <c r="BG25" s="64" t="s">
        <v>159</v>
      </c>
      <c r="BH25" s="64" t="s">
        <v>155</v>
      </c>
      <c r="BI25" s="64"/>
      <c r="BJ25" s="64"/>
      <c r="BK25" s="47"/>
      <c r="BL25" s="64" t="s">
        <v>174</v>
      </c>
      <c r="BM25" s="64" t="s">
        <v>152</v>
      </c>
      <c r="BN25" s="64" t="s">
        <v>174</v>
      </c>
      <c r="BO25" s="64" t="s">
        <v>174</v>
      </c>
      <c r="BP25" s="64" t="s">
        <v>155</v>
      </c>
      <c r="BQ25" s="64" t="s">
        <v>174</v>
      </c>
      <c r="BR25" s="64" t="s">
        <v>174</v>
      </c>
      <c r="BS25" s="64" t="s">
        <v>174</v>
      </c>
      <c r="BT25" s="64" t="s">
        <v>159</v>
      </c>
      <c r="BU25" s="65"/>
      <c r="BV25" s="66"/>
      <c r="BW25" s="66">
        <v>0</v>
      </c>
      <c r="BX25" s="47"/>
      <c r="CB25" s="6"/>
      <c r="CC25" s="6"/>
      <c r="CD25" s="67">
        <v>0</v>
      </c>
      <c r="CE25" s="67">
        <v>0</v>
      </c>
      <c r="CF25" s="67" t="e">
        <v>#REF!</v>
      </c>
      <c r="CG25" s="68" cm="1">
        <f t="array" ref="CG25">SUMPRODUCT(--(LEN(TRIM(BL25:BT25))&gt;0))</f>
        <v>3</v>
      </c>
      <c r="CH25" s="59" t="str">
        <f t="shared" si="6"/>
        <v>n</v>
      </c>
      <c r="CI25" s="59" t="str">
        <f t="shared" si="7"/>
        <v>y</v>
      </c>
      <c r="CJ25" s="59" t="str">
        <f t="shared" si="8"/>
        <v>n</v>
      </c>
      <c r="CK25" s="59" t="str">
        <f t="shared" si="9"/>
        <v>n</v>
      </c>
      <c r="CL25" s="59" t="str">
        <f t="shared" si="10"/>
        <v>n</v>
      </c>
      <c r="CM25" s="59" t="str">
        <f t="shared" si="11"/>
        <v>n</v>
      </c>
      <c r="CN25" s="59" t="str">
        <f t="shared" si="12"/>
        <v>y</v>
      </c>
      <c r="CO25" s="59" t="str">
        <f t="shared" si="13"/>
        <v>n</v>
      </c>
      <c r="CP25" s="59" t="str">
        <f t="shared" si="14"/>
        <v>y</v>
      </c>
      <c r="CQ25" s="59" t="str">
        <f t="shared" si="15"/>
        <v>n</v>
      </c>
      <c r="CR25" s="59" t="str">
        <f t="shared" si="16"/>
        <v>n</v>
      </c>
      <c r="CS25" s="59" t="str">
        <f t="shared" si="17"/>
        <v>n</v>
      </c>
      <c r="CT25" s="69" t="str">
        <f t="shared" si="18"/>
        <v>"[VEN] Yaracuy"</v>
      </c>
      <c r="CU25" s="70" t="str">
        <f t="shared" si="19"/>
        <v>"rgn_South America"</v>
      </c>
      <c r="CV25" s="48" t="str">
        <f t="shared" si="20"/>
        <v>"https://upload.wikimedia.org/wikipedia/commons/thumb/1/15/Flag_of_Yaracuy_State.svg/320px-Flag_of_Yaracuy_State.svg.png"</v>
      </c>
      <c r="CW25" s="48" t="str">
        <f t="shared" si="107"/>
        <v/>
      </c>
      <c r="CX25" s="48" t="str">
        <f t="shared" si="107"/>
        <v>"3Color",</v>
      </c>
      <c r="CY25" s="48" t="str">
        <f t="shared" si="107"/>
        <v/>
      </c>
      <c r="CZ25" s="48" t="str">
        <f t="shared" si="107"/>
        <v/>
      </c>
      <c r="DA25" s="48" t="str">
        <f t="shared" si="21"/>
        <v/>
      </c>
      <c r="DB25" s="48" t="str">
        <f t="shared" si="22"/>
        <v/>
      </c>
      <c r="DD25" s="48" t="str">
        <f t="shared" si="112"/>
        <v>"lets07",</v>
      </c>
      <c r="DE25" s="48" t="str">
        <f t="shared" si="113"/>
        <v>"startY",</v>
      </c>
      <c r="DF25" s="48" t="str">
        <f t="shared" si="26"/>
        <v/>
      </c>
      <c r="DG25" s="48" t="str">
        <f t="shared" si="27"/>
        <v/>
      </c>
      <c r="DH25" s="48" t="str">
        <f t="shared" si="28"/>
        <v>"with_v",</v>
      </c>
      <c r="DI25" s="48" t="str">
        <f t="shared" si="29"/>
        <v/>
      </c>
      <c r="DJ25" s="48" t="str">
        <f t="shared" si="30"/>
        <v>"with_y",</v>
      </c>
      <c r="DK25" s="48" t="str">
        <f t="shared" si="31"/>
        <v/>
      </c>
      <c r="DL25" s="48" t="str">
        <f t="shared" si="32"/>
        <v/>
      </c>
      <c r="DM25" s="48" t="str" cm="1">
        <f t="array" ref="DM25">IF(CG25=3,CHAR(34) &amp; _xlfn.TEXTJOIN("", TRUE, RIGHT(HP25:HX25, 2)) &amp; CHAR(34) &amp; ",", "")</f>
        <v>"LUELHI",</v>
      </c>
      <c r="DN25" s="48" t="str">
        <f t="shared" si="33"/>
        <v/>
      </c>
      <c r="DO25" s="48" t="str">
        <f t="shared" si="34"/>
        <v>"year19",</v>
      </c>
      <c r="DP25" s="6" t="str">
        <f t="shared" si="35"/>
        <v/>
      </c>
      <c r="DQ25" s="6" t="str">
        <f t="shared" si="36"/>
        <v/>
      </c>
      <c r="DR25" s="6" t="str">
        <f t="shared" si="37"/>
        <v/>
      </c>
      <c r="DS25" s="6" t="str">
        <f t="shared" si="38"/>
        <v/>
      </c>
      <c r="DT25" s="6" t="str">
        <f t="shared" si="39"/>
        <v/>
      </c>
      <c r="DU25" s="6" t="str">
        <f t="shared" si="40"/>
        <v/>
      </c>
      <c r="DW25" s="48" t="str">
        <f t="shared" si="108"/>
        <v/>
      </c>
      <c r="DX25" s="48" t="str">
        <f t="shared" si="108"/>
        <v/>
      </c>
      <c r="DY25" s="48" t="str">
        <f t="shared" si="108"/>
        <v>"3Bands",</v>
      </c>
      <c r="DZ25" s="48" t="str">
        <f t="shared" si="108"/>
        <v/>
      </c>
      <c r="EA25" s="48" t="str">
        <f t="shared" si="109"/>
        <v>"Diagon",</v>
      </c>
      <c r="EB25" s="48" t="str">
        <f t="shared" si="109"/>
        <v/>
      </c>
      <c r="EC25" s="48" t="str">
        <f t="shared" si="109"/>
        <v/>
      </c>
      <c r="ED25" s="48" t="str">
        <f t="shared" si="109"/>
        <v/>
      </c>
      <c r="EE25" s="48" t="str">
        <f t="shared" si="109"/>
        <v>"Circle",</v>
      </c>
      <c r="EF25" s="48" t="str">
        <f t="shared" si="42"/>
        <v/>
      </c>
      <c r="EG25" s="48" t="str">
        <f t="shared" si="106"/>
        <v/>
      </c>
      <c r="EH25" s="48" t="str">
        <f t="shared" si="106"/>
        <v/>
      </c>
      <c r="EI25" s="48" t="str">
        <f t="shared" si="106"/>
        <v/>
      </c>
      <c r="EJ25" s="48" t="str">
        <f t="shared" si="106"/>
        <v/>
      </c>
      <c r="EK25" s="48" t="str">
        <f t="shared" si="106"/>
        <v>"HasSun",</v>
      </c>
      <c r="EL25" s="48" t="str">
        <f t="shared" si="106"/>
        <v/>
      </c>
      <c r="EM25" s="48" t="str">
        <f t="shared" si="106"/>
        <v/>
      </c>
      <c r="EN25" s="48" t="str">
        <f t="shared" si="106"/>
        <v/>
      </c>
      <c r="EO25" s="48" t="str">
        <f t="shared" si="106"/>
        <v>"Center",</v>
      </c>
      <c r="EP25" s="48" t="str">
        <f t="shared" si="106"/>
        <v/>
      </c>
      <c r="EQ25" s="48" t="str">
        <f t="shared" si="106"/>
        <v/>
      </c>
      <c r="ER25" s="48" t="str">
        <f t="shared" si="106"/>
        <v/>
      </c>
      <c r="ES25" s="48" t="str">
        <f t="shared" si="106"/>
        <v/>
      </c>
      <c r="ET25" s="48" t="str">
        <f t="shared" si="106"/>
        <v>"Geogrh",</v>
      </c>
      <c r="EU25" s="48" t="str">
        <f t="shared" si="106"/>
        <v/>
      </c>
      <c r="EV25" s="48" t="str">
        <f t="shared" si="106"/>
        <v/>
      </c>
      <c r="EW25" s="48" t="str">
        <f t="shared" si="104"/>
        <v/>
      </c>
      <c r="EX25" s="48" t="str">
        <f t="shared" si="104"/>
        <v/>
      </c>
      <c r="EY25" s="48" t="str">
        <f t="shared" si="104"/>
        <v/>
      </c>
      <c r="EZ25" s="48" t="str">
        <f t="shared" si="104"/>
        <v/>
      </c>
      <c r="FA25" s="48" t="str">
        <f t="shared" si="43"/>
        <v/>
      </c>
      <c r="FB25" s="48" t="str">
        <f t="shared" si="44"/>
        <v/>
      </c>
      <c r="FD25" s="48" t="str">
        <f t="shared" si="46"/>
        <v/>
      </c>
      <c r="FE25" s="48" t="str">
        <f t="shared" si="47"/>
        <v/>
      </c>
      <c r="FF25" s="48" t="str">
        <f t="shared" si="48"/>
        <v/>
      </c>
      <c r="FG25" s="48" t="str">
        <f t="shared" si="49"/>
        <v>"NO_RED",</v>
      </c>
      <c r="FH25" s="48" t="str">
        <f t="shared" si="50"/>
        <v>"NO_GRE",</v>
      </c>
      <c r="FI25" s="48" t="str">
        <f t="shared" si="51"/>
        <v/>
      </c>
      <c r="FJ25" s="48" t="str">
        <f t="shared" si="52"/>
        <v>"NO_BLA",</v>
      </c>
      <c r="FK25" s="48" t="str">
        <f t="shared" si="53"/>
        <v/>
      </c>
      <c r="FL25" s="48" t="str">
        <f t="shared" si="54"/>
        <v/>
      </c>
      <c r="FM25" s="48" t="str">
        <f t="shared" si="55"/>
        <v/>
      </c>
      <c r="FN25" s="48" t="str">
        <f t="shared" si="56"/>
        <v/>
      </c>
      <c r="FO25" s="48" t="str">
        <f t="shared" si="57"/>
        <v/>
      </c>
      <c r="FP25" s="48" t="str">
        <f t="shared" si="58"/>
        <v/>
      </c>
      <c r="FQ25" s="48" t="str">
        <f t="shared" si="59"/>
        <v>"001BLU",</v>
      </c>
      <c r="FR25" s="48" t="str">
        <f t="shared" si="60"/>
        <v>"002WHI",</v>
      </c>
      <c r="FS25" s="48" t="str">
        <f t="shared" si="61"/>
        <v>"003YEL",</v>
      </c>
      <c r="FT25" s="48" t="str">
        <f t="shared" si="62"/>
        <v>"myrEQ",</v>
      </c>
      <c r="FU25" s="48" t="str">
        <f t="shared" si="63"/>
        <v/>
      </c>
      <c r="FV25" s="48" t="str">
        <f t="shared" si="64"/>
        <v/>
      </c>
      <c r="FW25" s="48" t="str">
        <f t="shared" si="65"/>
        <v/>
      </c>
      <c r="FY25" s="48" t="str">
        <f t="shared" si="67"/>
        <v/>
      </c>
      <c r="FZ25" s="48" t="str">
        <f t="shared" si="68"/>
        <v/>
      </c>
      <c r="GA25" s="48" t="str">
        <f t="shared" si="69"/>
        <v/>
      </c>
      <c r="GB25" s="48" t="str">
        <f t="shared" si="70"/>
        <v/>
      </c>
      <c r="GE25" s="48" t="str">
        <f t="shared" si="73"/>
        <v/>
      </c>
      <c r="GF25" s="48" t="str">
        <f t="shared" si="105"/>
        <v/>
      </c>
      <c r="GG25" s="48" t="str">
        <f t="shared" si="75"/>
        <v/>
      </c>
      <c r="GH25" s="48" t="str">
        <f t="shared" si="76"/>
        <v/>
      </c>
      <c r="GI25" s="48" t="str">
        <f t="shared" si="77"/>
        <v/>
      </c>
      <c r="GJ25" s="48" t="str">
        <f t="shared" si="78"/>
        <v>"NoStar",</v>
      </c>
      <c r="GK25" s="48" t="str">
        <f t="shared" si="79"/>
        <v/>
      </c>
      <c r="GL25" s="48" t="str">
        <f t="shared" si="110"/>
        <v/>
      </c>
      <c r="GM25" s="48" t="str">
        <f t="shared" si="110"/>
        <v/>
      </c>
      <c r="GN25" s="48" t="str">
        <f t="shared" si="110"/>
        <v/>
      </c>
      <c r="GP25" s="48" t="str">
        <f t="shared" si="80"/>
        <v>"State"</v>
      </c>
      <c r="GS25" s="48" t="str">
        <f t="shared" si="81"/>
        <v>["3Color","lets07","startY","with_v","with_y","LUELHI","year19","3Bands","Diagon","Circle","HasSun","Center","Geogrh","NO_RED","NO_GRE","NO_BLA","001BLU","002WHI","003YEL","myrEQ","NoStar"]</v>
      </c>
      <c r="GT25" s="48" t="str">
        <f t="shared" si="111"/>
        <v/>
      </c>
      <c r="GU25" s="48" t="str">
        <f t="shared" si="111"/>
        <v>"cl_BLU",</v>
      </c>
      <c r="GV25" s="48" t="str">
        <f t="shared" si="111"/>
        <v/>
      </c>
      <c r="GW25" s="48" t="str">
        <f t="shared" si="111"/>
        <v/>
      </c>
      <c r="GX25" s="48" t="str">
        <f t="shared" si="111"/>
        <v>"cl_YEL",</v>
      </c>
      <c r="GY25" s="48" t="str">
        <f t="shared" si="111"/>
        <v/>
      </c>
      <c r="GZ25" s="48" t="str">
        <f t="shared" si="111"/>
        <v/>
      </c>
      <c r="HA25" s="48" t="str">
        <f t="shared" si="111"/>
        <v/>
      </c>
      <c r="HB25" s="48" t="str">
        <f t="shared" si="111"/>
        <v>"cl_WHI",</v>
      </c>
      <c r="HC25" s="48" t="str">
        <f t="shared" si="82"/>
        <v>["cl_BLU","cl_YEL","cl_WHI"]</v>
      </c>
      <c r="HE25" s="71"/>
      <c r="HF25" s="72" t="str">
        <f t="shared" si="83"/>
        <v>{couname:"[VEN] Yaracuy",year:"1995",region:"rgn_South America",Colors:["cl_BLU","cl_YEL","cl_WHI"],Items:["3Color","lets07","startY","with_v","with_y","LUELHI","year19","3Bands","Diagon","Circle","HasSun","Center","Geogrh","NO_RED","NO_GRE","NO_BLA","001BLU","002WHI","003YEL","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links: "https://www.crwflags.com/fotw/flags/ve-u.html"},</v>
      </c>
      <c r="HG25" s="73" t="str">
        <f t="shared" si="84"/>
        <v>{couname:"[VEN] Yaracuy",year:"1995",region:"rgn_South America",Colors:["cl_BLU","cl_YEL","cl_WHI"],Items:["3Color","lets07","startY","with_v","with_y","LUELHI","year19","3Bands","Diagon","Circle","HasSun","Center","Geogrh","NO_RED","NO_GRE","NO_BLA","001BLU","002WHI","003YEL","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links: "https://www.crwflags.com/fotw/flags/ve-u.html"},</v>
      </c>
      <c r="HH25" s="48" t="str">
        <f t="shared" si="85"/>
        <v>"\nThe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v>
      </c>
      <c r="HI25" s="48" t="str">
        <f t="shared" si="86"/>
        <v>"\nThe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v>
      </c>
      <c r="HJ25" s="48" t="str">
        <f t="shared" si="87"/>
        <v>"1995"</v>
      </c>
      <c r="HL25" s="48" t="str">
        <f t="shared" si="88"/>
        <v>"https://www.crwflags.com/fotw/flags/ve-u.html"</v>
      </c>
      <c r="HM25" s="72" t="str">
        <f t="shared" si="89"/>
        <v>{"couname":"[VEN] Yaracuy","year":"1995","region":"rgn_South America","Colors":["cl_BLU","cl_YEL","cl_WHI"],"Items":["3Color","lets07","startY","with_v","with_y","LUELHI","year19","3Bands","Diagon","Circle","HasSun","Center","Geogrh","NO_RED","NO_GRE","NO_BLA","001BLU","002WHI","003YEL","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 "links": "https://www.crwflags.com/fotw/flags/ve-u.html"},</v>
      </c>
      <c r="HN25" s="74" t="str">
        <f t="shared" si="90"/>
        <v>{"couname":"[VEN] Yaracuy","year":"1995","region":"rgn_South America","Colors":["cl_BLU","cl_YEL","cl_WHI"],"Items":["3Color","lets07","startY","with_v","with_y","LUELHI","year19","3Bands","Diagon","Circle","HasSun","Center","Geogrh","NO_RED","NO_GRE","NO_BLA","001BLU","002WHI","003YEL","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 "links": "https://www.crwflags.com/fotw/flags/ve-u.html"},</v>
      </c>
      <c r="HO25" s="75">
        <v>45618</v>
      </c>
      <c r="HP25" s="48" t="str" cm="1">
        <f t="array" ref="HP25">IF(_xlfn.TEXTJOIN(", ", TRUE, IF(ISNUMBER(SEARCH("BLA", BL25:BT25)), COLUMN(BL25:BT25) - COLUMN(BL25) + 1, ""))&lt;&gt;"","BLA","")</f>
        <v/>
      </c>
      <c r="HQ25" s="48" t="str" cm="1">
        <f t="array" ref="HQ25">IF(_xlfn.TEXTJOIN(", ", TRUE, IF(ISNUMBER(SEARCH("BLU", BL25:BT25)), COLUMN(BL25:BT25) - COLUMN(BL25) + 1, ""))&lt;&gt;"","BLU","")</f>
        <v>BLU</v>
      </c>
      <c r="HR25" s="48" t="str" cm="1">
        <f t="array" ref="HR25">IF(_xlfn.TEXTJOIN(", ", TRUE, IF(ISNUMBER(SEARCH("GRE", BL25:BT25)), COLUMN(BL25:BT25) - COLUMN(BL25) + 1, ""))&lt;&gt;"","GRE","")</f>
        <v/>
      </c>
      <c r="HS25" s="48" t="str" cm="1">
        <f t="array" ref="HS25">IF(_xlfn.TEXTJOIN(", ", TRUE, IF(ISNUMBER(SEARCH("RED", BL25:BT25)), COLUMN(BL25:BT25) - COLUMN(BL25) + 1, ""))&lt;&gt;"","RED","")</f>
        <v/>
      </c>
      <c r="HT25" s="48" t="str" cm="1">
        <f t="array" ref="HT25">IF(_xlfn.TEXTJOIN(", ", TRUE, IF(ISNUMBER(SEARCH("YEL", BL25:BT25)), COLUMN(BL25:BT25) - COLUMN(BL25) + 1, ""))&lt;&gt;"","YEL","")</f>
        <v>YEL</v>
      </c>
      <c r="HU25" s="48" t="str" cm="1">
        <f t="array" ref="HU25">IF(_xlfn.TEXTJOIN(", ", TRUE, IF(ISNUMBER(SEARCH("ORA", BL25:BT25)), COLUMN(BL25:BT25) - COLUMN(BL25) + 1, ""))&lt;&gt;"","ORA","")</f>
        <v/>
      </c>
      <c r="HV25" s="48" t="str" cm="1">
        <f t="array" ref="HV25">IF(_xlfn.TEXTJOIN(", ", TRUE, IF(ISNUMBER(SEARCH("BRO", BL25:BT25)), COLUMN(BL25:BT25) - COLUMN(BL25) + 1, ""))&lt;&gt;"","BRO","")</f>
        <v/>
      </c>
      <c r="HW25" s="48" t="str" cm="1">
        <f t="array" ref="HW25">IF(_xlfn.TEXTJOIN(", ", TRUE, IF(ISNUMBER(SEARCH("PUR", BL25:BT25)), COLUMN(BL25:BT25) - COLUMN(BL25) + 1, ""))&lt;&gt;"","PUR","")</f>
        <v/>
      </c>
      <c r="HX25" s="48" t="str" cm="1">
        <f t="array" ref="HX25">IF(_xlfn.TEXTJOIN(", ", TRUE, IF(ISNUMBER(SEARCH("WHI", BL25:BT25)), COLUMN(BL25:BT25) - COLUMN(BL25) + 1, ""))&lt;&gt;"","WHI","")</f>
        <v>WHI</v>
      </c>
      <c r="HY25" s="76"/>
      <c r="HZ25" s="76"/>
      <c r="IA25" s="6"/>
      <c r="IB25" s="6"/>
      <c r="IC25" s="77"/>
      <c r="ID25" s="77"/>
      <c r="IE25" s="77"/>
      <c r="IF25" s="77"/>
      <c r="IG25" s="77"/>
      <c r="IH25" s="77"/>
      <c r="II25" s="77"/>
      <c r="IJ25" s="77"/>
      <c r="IK25" s="77"/>
      <c r="IM25" s="45">
        <f t="shared" si="92"/>
        <v>-3</v>
      </c>
      <c r="IN25" s="78" t="str">
        <f t="shared" si="93"/>
        <v>http://mkweb.bcgsc.ca/color-summarizer/?url=https://upload.wikimedia.org/wikipedia/commons/thumb/1/15/Flag_of_Yaracuy_State.svg/320px-Flag_of_Yaracuy_State.svg.png&amp;precision=low&amp;num_clusters=3&amp;text=1</v>
      </c>
      <c r="IO25" s="48" t="str">
        <f t="shared" si="94"/>
        <v/>
      </c>
      <c r="IP25" s="48" t="str">
        <f t="shared" si="95"/>
        <v>"blue"</v>
      </c>
      <c r="IQ25" s="48" t="str">
        <f t="shared" si="96"/>
        <v/>
      </c>
      <c r="IR25" s="48" t="str">
        <f t="shared" si="97"/>
        <v/>
      </c>
      <c r="IS25" s="48" t="str">
        <f t="shared" si="98"/>
        <v>"yellow"</v>
      </c>
      <c r="IT25" s="48" t="str">
        <f t="shared" si="99"/>
        <v/>
      </c>
      <c r="IU25" s="48" t="str">
        <f t="shared" si="100"/>
        <v/>
      </c>
      <c r="IV25" s="48" t="str">
        <f t="shared" si="101"/>
        <v/>
      </c>
      <c r="IW25" s="48" t="str">
        <f t="shared" si="102"/>
        <v>"white"</v>
      </c>
      <c r="IX25" s="48" t="str">
        <f t="shared" si="103"/>
        <v>{"url":"http://mkweb.bcgsc.ca/color-summarizer/?url=https://upload.wikimedia.org/wikipedia/commons/thumb/1/15/Flag_of_Yaracuy_State.svg/320px-Flag_of_Yaracuy_State.svg.png&amp;precision=low&amp;num_clusters=3&amp;text=1","name":"[VEN] Yaracuy"},</v>
      </c>
      <c r="IY25" s="48">
        <v>960</v>
      </c>
    </row>
    <row r="26" spans="1:259" s="48" customFormat="1" ht="38.4" customHeight="1" thickBot="1" x14ac:dyDescent="0.35">
      <c r="A26" s="79" t="s">
        <v>811</v>
      </c>
      <c r="B26" s="40" t="e" vm="125">
        <v>#VALUE!</v>
      </c>
      <c r="C26" s="41">
        <v>2</v>
      </c>
      <c r="D26" s="42" t="s">
        <v>812</v>
      </c>
      <c r="E26" s="43" t="s">
        <v>813</v>
      </c>
      <c r="F26" s="44" t="s">
        <v>166</v>
      </c>
      <c r="G26" s="45">
        <f>COUNTIF($A$1:$A$8305,A26)</f>
        <v>1</v>
      </c>
      <c r="H26" s="46"/>
      <c r="I26" s="47" t="s">
        <v>814</v>
      </c>
      <c r="J26" s="48" t="str">
        <f>""</f>
        <v/>
      </c>
      <c r="K26" s="49"/>
      <c r="L26" s="50"/>
      <c r="M26" s="50"/>
      <c r="N26" s="51" t="s">
        <v>169</v>
      </c>
      <c r="O26" s="52">
        <v>1991</v>
      </c>
      <c r="P26" s="53" t="s">
        <v>815</v>
      </c>
      <c r="Q26" s="54">
        <v>1</v>
      </c>
      <c r="R26" s="55" t="s">
        <v>169</v>
      </c>
      <c r="S26" s="56">
        <v>2</v>
      </c>
      <c r="T26" s="57" t="s">
        <v>172</v>
      </c>
      <c r="U26" s="58" t="s">
        <v>172</v>
      </c>
      <c r="V26" s="58" t="s">
        <v>173</v>
      </c>
      <c r="W26" s="58" t="s">
        <v>172</v>
      </c>
      <c r="X26" s="58" t="s">
        <v>173</v>
      </c>
      <c r="Y26" s="58" t="s">
        <v>172</v>
      </c>
      <c r="Z26" s="58" t="s">
        <v>172</v>
      </c>
      <c r="AA26" s="58" t="s">
        <v>172</v>
      </c>
      <c r="AB26" s="58" t="s">
        <v>172</v>
      </c>
      <c r="AC26" s="58" t="s">
        <v>172</v>
      </c>
      <c r="AD26" s="58" t="s">
        <v>173</v>
      </c>
      <c r="AE26" s="58" t="s">
        <v>172</v>
      </c>
      <c r="AF26" s="59" t="s">
        <v>172</v>
      </c>
      <c r="AG26" s="59" t="s">
        <v>173</v>
      </c>
      <c r="AH26" s="59" t="s">
        <v>173</v>
      </c>
      <c r="AI26" s="59" t="s">
        <v>172</v>
      </c>
      <c r="AJ26" s="59" t="s">
        <v>172</v>
      </c>
      <c r="AK26" s="59" t="s">
        <v>172</v>
      </c>
      <c r="AL26" s="59" t="s">
        <v>172</v>
      </c>
      <c r="AM26" s="59" t="s">
        <v>172</v>
      </c>
      <c r="AN26" s="59" t="s">
        <v>172</v>
      </c>
      <c r="AO26" s="59" t="s">
        <v>172</v>
      </c>
      <c r="AP26" s="59" t="s">
        <v>172</v>
      </c>
      <c r="AQ26" s="59" t="s">
        <v>172</v>
      </c>
      <c r="AR26" s="59" t="s">
        <v>172</v>
      </c>
      <c r="AS26" s="59" t="s">
        <v>172</v>
      </c>
      <c r="AT26" s="60">
        <v>0</v>
      </c>
      <c r="AU26" s="59" t="s">
        <v>383</v>
      </c>
      <c r="AV26" s="59" t="str">
        <f>IF(LEFT(A26,1)="[",LEFT(A26,5)&amp;AU26&amp;A26,"")</f>
        <v>[VEN]State[VEN] Zulia</v>
      </c>
      <c r="AW26" s="59" t="str">
        <f>C26&amp;A26</f>
        <v>2[VEN] Zulia</v>
      </c>
      <c r="AX26" s="61"/>
      <c r="AY26" s="61"/>
      <c r="AZ26" s="62" t="s">
        <v>154</v>
      </c>
      <c r="BA26" s="62"/>
      <c r="BB26" s="62"/>
      <c r="BC26" s="63"/>
      <c r="BD26" s="64" t="s">
        <v>217</v>
      </c>
      <c r="BE26" s="47"/>
      <c r="BF26" s="64" t="s">
        <v>151</v>
      </c>
      <c r="BG26" s="64" t="s">
        <v>153</v>
      </c>
      <c r="BH26" s="64" t="s">
        <v>151</v>
      </c>
      <c r="BI26" s="64"/>
      <c r="BJ26" s="64"/>
      <c r="BK26" s="47"/>
      <c r="BL26" s="64" t="s">
        <v>151</v>
      </c>
      <c r="BM26" s="64" t="s">
        <v>152</v>
      </c>
      <c r="BN26" s="64" t="s">
        <v>153</v>
      </c>
      <c r="BO26" s="64" t="s">
        <v>154</v>
      </c>
      <c r="BP26" s="64" t="s">
        <v>155</v>
      </c>
      <c r="BQ26" s="64" t="s">
        <v>174</v>
      </c>
      <c r="BR26" s="64" t="s">
        <v>174</v>
      </c>
      <c r="BS26" s="64" t="s">
        <v>174</v>
      </c>
      <c r="BT26" s="64" t="s">
        <v>159</v>
      </c>
      <c r="BU26" s="65"/>
      <c r="BV26" s="66"/>
      <c r="BW26" s="66">
        <v>0</v>
      </c>
      <c r="BX26" s="47"/>
      <c r="BY26" s="48" t="s">
        <v>172</v>
      </c>
      <c r="CB26" s="6"/>
      <c r="CC26" s="6"/>
      <c r="CD26" s="67">
        <v>0</v>
      </c>
      <c r="CE26" s="67">
        <v>0</v>
      </c>
      <c r="CF26" s="67" t="e">
        <v>#REF!</v>
      </c>
      <c r="CG26" s="68" cm="1">
        <f t="array" ref="CG26">SUMPRODUCT(--(LEN(TRIM(BL26:BT26))&gt;0))</f>
        <v>6</v>
      </c>
      <c r="CH26" s="59" t="str">
        <f t="shared" si="6"/>
        <v>n</v>
      </c>
      <c r="CI26" s="59" t="str">
        <f t="shared" si="7"/>
        <v>n</v>
      </c>
      <c r="CJ26" s="59" t="str">
        <f t="shared" si="8"/>
        <v>n</v>
      </c>
      <c r="CK26" s="59" t="str">
        <f t="shared" si="9"/>
        <v>y</v>
      </c>
      <c r="CL26" s="59" t="str">
        <f t="shared" si="10"/>
        <v>n</v>
      </c>
      <c r="CM26" s="59" t="str">
        <f t="shared" si="11"/>
        <v>y</v>
      </c>
      <c r="CN26" s="59" t="str">
        <f t="shared" si="12"/>
        <v>n</v>
      </c>
      <c r="CO26" s="59" t="str">
        <f t="shared" si="13"/>
        <v>n</v>
      </c>
      <c r="CP26" s="59" t="str">
        <f t="shared" si="14"/>
        <v>y</v>
      </c>
      <c r="CQ26" s="59" t="str">
        <f t="shared" si="15"/>
        <v>n</v>
      </c>
      <c r="CR26" s="59" t="str">
        <f t="shared" si="16"/>
        <v>n</v>
      </c>
      <c r="CS26" s="59" t="str">
        <f t="shared" si="17"/>
        <v>n</v>
      </c>
      <c r="CT26" s="69" t="str">
        <f t="shared" si="18"/>
        <v>"[VEN] Zulia"</v>
      </c>
      <c r="CU26" s="70" t="str">
        <f t="shared" si="19"/>
        <v>"rgn_South America"</v>
      </c>
      <c r="CV26" s="48" t="str">
        <f t="shared" si="20"/>
        <v>"https://upload.wikimedia.org/wikipedia/commons/thumb/c/c6/Flag_of_Zulia_State.svg/640px-Flag_of_Zulia_State.svg.png"</v>
      </c>
      <c r="CW26" s="48" t="str">
        <f t="shared" si="107"/>
        <v/>
      </c>
      <c r="CX26" s="48" t="str">
        <f t="shared" si="107"/>
        <v/>
      </c>
      <c r="CY26" s="48" t="str">
        <f t="shared" si="107"/>
        <v/>
      </c>
      <c r="CZ26" s="48" t="str">
        <f t="shared" si="107"/>
        <v>"5+Colo",</v>
      </c>
      <c r="DA26" s="48" t="str">
        <f t="shared" si="21"/>
        <v/>
      </c>
      <c r="DB26" s="48" t="str">
        <f t="shared" si="22"/>
        <v/>
      </c>
      <c r="DC26" s="48" t="str">
        <f>IF(Q26=2,CHAR(34)&amp;"exact2"&amp;CHAR(34)&amp;",","")</f>
        <v/>
      </c>
      <c r="DD26" s="48" t="str">
        <f>IF(LEN(CHAR(34)&amp;"lets"&amp;LEN(SUBSTITUTE(SUBSTITUTE(IFERROR(TRIM(SUBSTITUTE(SUBSTITUTE(SUBSTITUTE(IFERROR(TRIM(SUBSTITUTE(A26,MID(A26,FIND("(",A26),FIND(")",A26)-FIND("(",A26)+1),"")),A26),"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",""),"-",""))&amp;CHAR(34)&amp;",")=9,CHAR(34)&amp;"lets"&amp;LEN(SUBSTITUTE(SUBSTITUTE(IFERROR(TRIM(SUBSTITUTE(SUBSTITUTE(SUBSTITUTE(IFERROR(TRIM(SUBSTITUTE(A26,MID(A26,FIND("(",A26),FIND(")",A26)-FIND("(",A26)+1),"")),A26),"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",""),"-",""))&amp;CHAR(34)&amp;",",CHAR(34)&amp;"lets0"&amp;LEN(SUBSTITUTE(SUBSTITUTE(IFERROR(TRIM(SUBSTITUTE(SUBSTITUTE(SUBSTITUTE(IFERROR(TRIM(SUBSTITUTE(A26,MID(A26,FIND("(",A26),FIND(")",A26)-FIND("(",A26)+1),"")),A26),"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f>
        <v>"lets05",</v>
      </c>
      <c r="DE26" s="48" t="str">
        <f>IFERROR(CHAR(34)&amp;"start"&amp;LEFT(TRIM(SUBSTITUTE(SUBSTITUTE(TRIM(SUBSTITUTE(SUBSTITUTE(A26, MID(A26, FIND("[", A26), FIND("]", A26) - FIND("[", A26) + 1), ""), "  ", " ")), MID(TRIM(SUBSTITUTE(SUBSTITUTE(A26, MID(A26, FIND("[", A26), FIND("]", A26) - FIND("[", A26) + 1), ""), "  ", " ")), FIND("[", TRIM(SUBSTITUTE(SUBSTITUTE(A26, MID(A26, FIND("[", A26), FIND("]", A26) - FIND("[", A26) + 1), ""), "  ", " "))), FIND("]", TRIM(SUBSTITUTE(SUBSTITUTE(A26, MID(A26, FIND("[", A26), FIND("]", A26) - FIND("[", A26) + 1), ""), "  ", " "))) - FIND("[", TRIM(SUBSTITUTE(SUBSTITUTE(A26, MID(A26, FIND("[", A26), FIND("]", A26) - FIND("[", A26) + 1), ""), "  ", " "))) + 1), ""), "  ", " ")),1)&amp;CHAR(34)&amp;",",CHAR(34)&amp;"start"&amp;IFERROR(LEFT(SUBSTITUTE(A26,"["&amp;MID(A26,FIND("[",A26)+1,FIND("]",A26)-FIND("[",A26)-1)&amp;"] ",""),1),LEFT(A26,1))&amp;CHAR(34)&amp;",")</f>
        <v>"startZ",</v>
      </c>
      <c r="DF26" s="48" t="str">
        <f t="shared" si="26"/>
        <v/>
      </c>
      <c r="DG26" s="48" t="str">
        <f t="shared" si="27"/>
        <v/>
      </c>
      <c r="DH26" s="48" t="str">
        <f t="shared" si="28"/>
        <v>"with_v",</v>
      </c>
      <c r="DI26" s="48" t="str">
        <f t="shared" si="29"/>
        <v/>
      </c>
      <c r="DJ26" s="48" t="str">
        <f t="shared" si="30"/>
        <v/>
      </c>
      <c r="DK26" s="48" t="str">
        <f t="shared" si="31"/>
        <v>"with_z",</v>
      </c>
      <c r="DL26" s="48" t="str">
        <f t="shared" si="32"/>
        <v/>
      </c>
      <c r="DM26" s="48" t="str" cm="1">
        <f t="array" ref="DM26">IF(CG26=3,CHAR(34) &amp; _xlfn.TEXTJOIN("", TRUE, RIGHT(HP26:HX26, 2)) &amp; CHAR(34) &amp; ",", "")</f>
        <v/>
      </c>
      <c r="DN26" s="48" t="str">
        <f t="shared" si="33"/>
        <v/>
      </c>
      <c r="DO26" s="48" t="str">
        <f t="shared" si="34"/>
        <v>"year19",</v>
      </c>
      <c r="DP26" s="6" t="str">
        <f t="shared" si="35"/>
        <v/>
      </c>
      <c r="DQ26" s="6" t="str">
        <f t="shared" si="36"/>
        <v/>
      </c>
      <c r="DR26" s="6" t="str">
        <f t="shared" si="37"/>
        <v/>
      </c>
      <c r="DS26" s="6" t="str">
        <f t="shared" si="38"/>
        <v/>
      </c>
      <c r="DT26" s="6" t="str">
        <f t="shared" si="39"/>
        <v>"allhor",</v>
      </c>
      <c r="DU26" s="6" t="str">
        <f t="shared" si="40"/>
        <v/>
      </c>
      <c r="DV26" s="48" t="str">
        <f>IF(IA26&lt;&gt;"",(IF(IA26="y",CHAR(34)&amp;"largec"&amp;CHAR(34)&amp;",",CHAR(34)&amp;"smallc"&amp;CHAR(34)&amp;",")),"")</f>
        <v>"smallc",</v>
      </c>
      <c r="DW26" s="48" t="str">
        <f t="shared" si="108"/>
        <v/>
      </c>
      <c r="DX26" s="48" t="str">
        <f t="shared" si="108"/>
        <v>"2Bands",</v>
      </c>
      <c r="DY26" s="48" t="str">
        <f t="shared" si="108"/>
        <v/>
      </c>
      <c r="DZ26" s="48" t="str">
        <f t="shared" si="108"/>
        <v/>
      </c>
      <c r="EA26" s="48" t="str">
        <f t="shared" si="109"/>
        <v/>
      </c>
      <c r="EB26" s="48" t="str">
        <f t="shared" si="109"/>
        <v/>
      </c>
      <c r="EC26" s="48" t="str">
        <f t="shared" si="109"/>
        <v>"Horizo",</v>
      </c>
      <c r="ED26" s="48" t="str">
        <f t="shared" si="109"/>
        <v/>
      </c>
      <c r="EE26" s="48" t="str">
        <f t="shared" si="109"/>
        <v>"Circle",</v>
      </c>
      <c r="EF26" s="48" t="str">
        <f t="shared" si="42"/>
        <v/>
      </c>
      <c r="EG26" s="48" t="str">
        <f t="shared" si="106"/>
        <v/>
      </c>
      <c r="EH26" s="48" t="str">
        <f t="shared" si="106"/>
        <v/>
      </c>
      <c r="EI26" s="48" t="str">
        <f t="shared" si="106"/>
        <v/>
      </c>
      <c r="EJ26" s="48" t="str">
        <f t="shared" si="106"/>
        <v/>
      </c>
      <c r="EK26" s="48" t="str">
        <f t="shared" si="106"/>
        <v>"HasSun",</v>
      </c>
      <c r="EL26" s="48" t="str">
        <f t="shared" si="106"/>
        <v/>
      </c>
      <c r="EM26" s="48" t="str">
        <f t="shared" si="106"/>
        <v/>
      </c>
      <c r="EN26" s="48" t="str">
        <f t="shared" si="106"/>
        <v>"Unequa",</v>
      </c>
      <c r="EO26" s="48" t="str">
        <f t="shared" si="106"/>
        <v>"Center",</v>
      </c>
      <c r="EP26" s="48" t="str">
        <f t="shared" si="106"/>
        <v/>
      </c>
      <c r="EQ26" s="48" t="str">
        <f t="shared" si="106"/>
        <v/>
      </c>
      <c r="ER26" s="48" t="str">
        <f t="shared" si="106"/>
        <v/>
      </c>
      <c r="ES26" s="48" t="str">
        <f t="shared" si="106"/>
        <v/>
      </c>
      <c r="ET26" s="48" t="str">
        <f t="shared" si="106"/>
        <v/>
      </c>
      <c r="EU26" s="48" t="str">
        <f t="shared" si="106"/>
        <v/>
      </c>
      <c r="EV26" s="48" t="str">
        <f t="shared" si="106"/>
        <v/>
      </c>
      <c r="EW26" s="48" t="str">
        <f t="shared" si="104"/>
        <v/>
      </c>
      <c r="EX26" s="48" t="str">
        <f t="shared" si="104"/>
        <v/>
      </c>
      <c r="EY26" s="48" t="str">
        <f t="shared" si="104"/>
        <v/>
      </c>
      <c r="EZ26" s="48" t="str">
        <f t="shared" si="104"/>
        <v/>
      </c>
      <c r="FA26" s="48" t="str">
        <f t="shared" si="43"/>
        <v/>
      </c>
      <c r="FB26" s="48" t="str">
        <f t="shared" si="44"/>
        <v/>
      </c>
      <c r="FC26" s="48" t="str">
        <f>IF(AND(AT26&gt;0,BB26&lt;&gt;""),CHAR(34)&amp;"sta"&amp;BB26&amp;CHAR(34)&amp;",","")</f>
        <v/>
      </c>
      <c r="FD26" s="48" t="str">
        <f t="shared" si="46"/>
        <v/>
      </c>
      <c r="FE26" s="48" t="str">
        <f t="shared" si="47"/>
        <v/>
      </c>
      <c r="FF26" s="48" t="str">
        <f t="shared" si="48"/>
        <v/>
      </c>
      <c r="FG26" s="48" t="str">
        <f t="shared" si="49"/>
        <v/>
      </c>
      <c r="FH26" s="48" t="str">
        <f t="shared" si="50"/>
        <v/>
      </c>
      <c r="FI26" s="48" t="str">
        <f t="shared" si="51"/>
        <v/>
      </c>
      <c r="FJ26" s="48" t="str">
        <f t="shared" si="52"/>
        <v/>
      </c>
      <c r="FK26" s="48" t="str">
        <f t="shared" si="53"/>
        <v/>
      </c>
      <c r="FL26" s="48" t="str">
        <f t="shared" si="54"/>
        <v/>
      </c>
      <c r="FM26" s="48" t="str">
        <f t="shared" si="55"/>
        <v/>
      </c>
      <c r="FN26" s="48" t="str">
        <f t="shared" si="56"/>
        <v/>
      </c>
      <c r="FO26" s="48" t="str">
        <f t="shared" si="57"/>
        <v/>
      </c>
      <c r="FP26" s="48" t="str">
        <f t="shared" si="58"/>
        <v/>
      </c>
      <c r="FQ26" s="48" t="str">
        <f t="shared" si="59"/>
        <v>"001BLA",</v>
      </c>
      <c r="FR26" s="48" t="str">
        <f t="shared" si="60"/>
        <v>"002GRE",</v>
      </c>
      <c r="FS26" s="48" t="str">
        <f t="shared" si="61"/>
        <v>"003BLA",</v>
      </c>
      <c r="FT26" s="48" t="str">
        <f t="shared" si="62"/>
        <v>"myrEQ",</v>
      </c>
      <c r="FU26" s="48" t="str">
        <f t="shared" si="63"/>
        <v/>
      </c>
      <c r="FV26" s="48" t="str">
        <f t="shared" si="64"/>
        <v/>
      </c>
      <c r="FW26" s="48" t="str">
        <f t="shared" si="65"/>
        <v/>
      </c>
      <c r="FX26" s="48" t="str">
        <f>SUBSTITUTE(IFERROR(SEARCH("[",A26),IFERROR(IF(AND(CA26&lt;&gt;"y",SEARCH("Europe",R26)&gt;0),CHAR(34)&amp;"noeuni"&amp;CHAR(34)&amp;",",""),"")),"1","")</f>
        <v/>
      </c>
      <c r="FY26" s="48" t="str">
        <f t="shared" si="67"/>
        <v/>
      </c>
      <c r="FZ26" s="48" t="str">
        <f t="shared" si="68"/>
        <v/>
      </c>
      <c r="GA26" s="48" t="str">
        <f t="shared" si="69"/>
        <v/>
      </c>
      <c r="GB26" s="48" t="str">
        <f t="shared" si="70"/>
        <v/>
      </c>
      <c r="GC26" s="48" t="str">
        <f>IFERROR(IF(SEARCH("Portuguese",CB26)&gt;0,CHAR(34)&amp;"portug"&amp;CHAR(34)&amp;",",""),"")</f>
        <v/>
      </c>
      <c r="GD26" s="48" t="str">
        <f>IFERROR(IF(SEARCH("German",CB26)&gt;0,CHAR(34)&amp;"german"&amp;CHAR(34)&amp;",",""),"")</f>
        <v/>
      </c>
      <c r="GE26" s="48" t="str">
        <f t="shared" si="73"/>
        <v/>
      </c>
      <c r="GF26" s="48" t="str">
        <f t="shared" si="105"/>
        <v/>
      </c>
      <c r="GG26" s="48" t="str">
        <f t="shared" si="75"/>
        <v/>
      </c>
      <c r="GH26" s="48" t="str">
        <f t="shared" si="76"/>
        <v/>
      </c>
      <c r="GI26" s="48" t="str">
        <f t="shared" si="77"/>
        <v/>
      </c>
      <c r="GJ26" s="48" t="str">
        <f t="shared" si="78"/>
        <v>"NoStar",</v>
      </c>
      <c r="GK26" s="48" t="str">
        <f t="shared" si="79"/>
        <v/>
      </c>
      <c r="GL26" s="48" t="str">
        <f t="shared" si="110"/>
        <v/>
      </c>
      <c r="GM26" s="48" t="str">
        <f t="shared" si="110"/>
        <v/>
      </c>
      <c r="GN26" s="48" t="str">
        <f t="shared" si="110"/>
        <v/>
      </c>
      <c r="GP26" s="48" t="str">
        <f t="shared" si="80"/>
        <v>"State"</v>
      </c>
      <c r="GS26" s="48" t="str">
        <f t="shared" si="81"/>
        <v>["5+Colo","lets05","startZ","with_v","with_z","year19","allhor","smallc","2Bands","Horizo","Circle","HasSun","Unequa","Center","001BLA","002GRE","003BLA","myrEQ","NoStar"]</v>
      </c>
      <c r="GT26" s="48" t="str">
        <f t="shared" si="111"/>
        <v>"cl_BLA",</v>
      </c>
      <c r="GU26" s="48" t="str">
        <f t="shared" si="111"/>
        <v>"cl_BLU",</v>
      </c>
      <c r="GV26" s="48" t="str">
        <f t="shared" si="111"/>
        <v>"cl_GRE",</v>
      </c>
      <c r="GW26" s="48" t="str">
        <f t="shared" si="111"/>
        <v>"cl_RED",</v>
      </c>
      <c r="GX26" s="48" t="str">
        <f t="shared" si="111"/>
        <v>"cl_YEL",</v>
      </c>
      <c r="GY26" s="48" t="str">
        <f t="shared" si="111"/>
        <v/>
      </c>
      <c r="GZ26" s="48" t="str">
        <f t="shared" si="111"/>
        <v/>
      </c>
      <c r="HA26" s="48" t="str">
        <f t="shared" si="111"/>
        <v/>
      </c>
      <c r="HB26" s="48" t="str">
        <f t="shared" si="111"/>
        <v>"cl_WHI",</v>
      </c>
      <c r="HC26" s="48" t="str">
        <f t="shared" si="82"/>
        <v>["cl_BLA","cl_BLU","cl_GRE","cl_RED","cl_YEL","cl_WHI"]</v>
      </c>
      <c r="HE26" s="71"/>
      <c r="HF26" s="72" t="str">
        <f t="shared" si="83"/>
        <v>{couname:"[VEN] Zulia",year:"1991",region:"rgn_South America",Colors:["cl_BLA","cl_BLU","cl_GRE","cl_RED","cl_YEL","cl_WHI"],Items:["5+Colo","lets05","startZ","with_v","with_z","year19","allhor","smallc","2Bands","Horizo","Circle","HasSun","Unequa","Center","001BLA","002GRE","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links: "https://en.wikipedia.org/wiki/Zulia"},</v>
      </c>
      <c r="HG26" s="73" t="str">
        <f t="shared" si="84"/>
        <v>{couname:"[VEN] Zulia",year:"1991",region:"rgn_South America",Colors:["cl_BLA","cl_BLU","cl_GRE","cl_RED","cl_YEL","cl_WHI"],Items:["5+Colo","lets05","startZ","with_v","with_z","year19","allhor","smallc","2Bands","Horizo","Circle","HasSun","Unequa","Center","001BLA","002GRE","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links: "https://en.wikipedia.org/wiki/Zulia"},</v>
      </c>
      <c r="HH26" s="48" t="str">
        <f t="shared" si="85"/>
        <v>"\nThe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v>
      </c>
      <c r="HI26" s="48" t="str">
        <f t="shared" si="86"/>
        <v>"\nThe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v>
      </c>
      <c r="HJ26" s="48" t="str">
        <f t="shared" si="87"/>
        <v>"1991"</v>
      </c>
      <c r="HL26" s="48" t="str">
        <f t="shared" si="88"/>
        <v>"https://en.wikipedia.org/wiki/Zulia"</v>
      </c>
      <c r="HM26" s="72" t="str">
        <f t="shared" si="89"/>
        <v>{"couname":"[VEN] Zulia","year":"1991","region":"rgn_South America","Colors":["cl_BLA","cl_BLU","cl_GRE","cl_RED","cl_YEL","cl_WHI"],"Items":["5+Colo","lets05","startZ","with_v","with_z","year19","allhor","smallc","2Bands","Horizo","Circle","HasSun","Unequa","Center","001BLA","002GRE","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 "links": "https://en.wikipedia.org/wiki/Zulia"},</v>
      </c>
      <c r="HN26" s="74" t="str">
        <f t="shared" si="90"/>
        <v>{"couname":"[VEN] Zulia","year":"1991","region":"rgn_South America","Colors":["cl_BLA","cl_BLU","cl_GRE","cl_RED","cl_YEL","cl_WHI"],"Items":["5+Colo","lets05","startZ","with_v","with_z","year19","allhor","smallc","2Bands","Horizo","Circle","HasSun","Unequa","Center","001BLA","002GRE","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 "links": "https://en.wikipedia.org/wiki/Zulia"},</v>
      </c>
      <c r="HO26" s="75">
        <v>45583</v>
      </c>
      <c r="HP26" s="48" t="str" cm="1">
        <f t="array" ref="HP26">IF(_xlfn.TEXTJOIN(", ", TRUE, IF(ISNUMBER(SEARCH("BLA", BL26:BT26)), COLUMN(BL26:BT26) - COLUMN(BL26) + 1, ""))&lt;&gt;"","BLA","")</f>
        <v>BLA</v>
      </c>
      <c r="HQ26" s="48" t="str" cm="1">
        <f t="array" ref="HQ26">IF(_xlfn.TEXTJOIN(", ", TRUE, IF(ISNUMBER(SEARCH("BLU", BL26:BT26)), COLUMN(BL26:BT26) - COLUMN(BL26) + 1, ""))&lt;&gt;"","BLU","")</f>
        <v>BLU</v>
      </c>
      <c r="HR26" s="48" t="str" cm="1">
        <f t="array" ref="HR26">IF(_xlfn.TEXTJOIN(", ", TRUE, IF(ISNUMBER(SEARCH("GRE", BL26:BT26)), COLUMN(BL26:BT26) - COLUMN(BL26) + 1, ""))&lt;&gt;"","GRE","")</f>
        <v>GRE</v>
      </c>
      <c r="HS26" s="48" t="str" cm="1">
        <f t="array" ref="HS26">IF(_xlfn.TEXTJOIN(", ", TRUE, IF(ISNUMBER(SEARCH("RED", BL26:BT26)), COLUMN(BL26:BT26) - COLUMN(BL26) + 1, ""))&lt;&gt;"","RED","")</f>
        <v>RED</v>
      </c>
      <c r="HT26" s="48" t="str" cm="1">
        <f t="array" ref="HT26">IF(_xlfn.TEXTJOIN(", ", TRUE, IF(ISNUMBER(SEARCH("YEL", BL26:BT26)), COLUMN(BL26:BT26) - COLUMN(BL26) + 1, ""))&lt;&gt;"","YEL","")</f>
        <v>YEL</v>
      </c>
      <c r="HU26" s="48" t="str" cm="1">
        <f t="array" ref="HU26">IF(_xlfn.TEXTJOIN(", ", TRUE, IF(ISNUMBER(SEARCH("ORA", BL26:BT26)), COLUMN(BL26:BT26) - COLUMN(BL26) + 1, ""))&lt;&gt;"","ORA","")</f>
        <v/>
      </c>
      <c r="HV26" s="48" t="str" cm="1">
        <f t="array" ref="HV26">IF(_xlfn.TEXTJOIN(", ", TRUE, IF(ISNUMBER(SEARCH("BRO", BL26:BT26)), COLUMN(BL26:BT26) - COLUMN(BL26) + 1, ""))&lt;&gt;"","BRO","")</f>
        <v/>
      </c>
      <c r="HW26" s="48" t="str" cm="1">
        <f t="array" ref="HW26">IF(_xlfn.TEXTJOIN(", ", TRUE, IF(ISNUMBER(SEARCH("PUR", BL26:BT26)), COLUMN(BL26:BT26) - COLUMN(BL26) + 1, ""))&lt;&gt;"","PUR","")</f>
        <v/>
      </c>
      <c r="HX26" s="48" t="str" cm="1">
        <f t="array" ref="HX26">IF(_xlfn.TEXTJOIN(", ", TRUE, IF(ISNUMBER(SEARCH("WHI", BL26:BT26)), COLUMN(BL26:BT26) - COLUMN(BL26) + 1, ""))&lt;&gt;"","WHI","")</f>
        <v>WHI</v>
      </c>
      <c r="HY26" s="76"/>
      <c r="HZ26" s="76"/>
      <c r="IA26" s="6" t="s">
        <v>172</v>
      </c>
      <c r="IB26" s="6"/>
      <c r="IC26" s="77"/>
      <c r="ID26" s="77"/>
      <c r="IE26" s="77"/>
      <c r="IF26" s="77"/>
      <c r="IG26" s="77"/>
      <c r="IH26" s="77"/>
      <c r="II26" s="77"/>
      <c r="IJ26" s="77"/>
      <c r="IK26" s="77"/>
      <c r="IL26" s="48">
        <f>SUM(IC26:IK26)</f>
        <v>0</v>
      </c>
      <c r="IM26" s="45">
        <f t="shared" si="92"/>
        <v>-6</v>
      </c>
      <c r="IN26" s="78" t="str">
        <f t="shared" si="93"/>
        <v>http://mkweb.bcgsc.ca/color-summarizer/?url=https://upload.wikimedia.org/wikipedia/commons/thumb/c/c6/Flag_of_Zulia_State.svg/640px-Flag_of_Zulia_State.svg.png&amp;precision=low&amp;num_clusters=6&amp;text=1</v>
      </c>
      <c r="IO26" s="48" t="str">
        <f t="shared" si="94"/>
        <v>"black"</v>
      </c>
      <c r="IP26" s="48" t="str">
        <f t="shared" si="95"/>
        <v>"blue"</v>
      </c>
      <c r="IQ26" s="48" t="str">
        <f t="shared" si="96"/>
        <v>"green"</v>
      </c>
      <c r="IR26" s="48" t="str">
        <f t="shared" si="97"/>
        <v>"red"</v>
      </c>
      <c r="IS26" s="48" t="str">
        <f t="shared" si="98"/>
        <v>"yellow"</v>
      </c>
      <c r="IT26" s="48" t="str">
        <f t="shared" si="99"/>
        <v/>
      </c>
      <c r="IU26" s="48" t="str">
        <f t="shared" si="100"/>
        <v/>
      </c>
      <c r="IV26" s="48" t="str">
        <f t="shared" si="101"/>
        <v/>
      </c>
      <c r="IW26" s="48" t="str">
        <f t="shared" si="102"/>
        <v>"white"</v>
      </c>
      <c r="IX26" s="48" t="str">
        <f t="shared" si="103"/>
        <v>{"url":"http://mkweb.bcgsc.ca/color-summarizer/?url=https://upload.wikimedia.org/wikipedia/commons/thumb/c/c6/Flag_of_Zulia_State.svg/640px-Flag_of_Zulia_State.svg.png&amp;precision=low&amp;num_clusters=6&amp;text=1","name":"[VEN] Zulia"},</v>
      </c>
      <c r="IY26" s="48">
        <v>374</v>
      </c>
    </row>
  </sheetData>
  <conditionalFormatting sqref="H1 CW1:GS1 IA1:IB1">
    <cfRule type="cellIs" dxfId="3654" priority="935" operator="greaterThan">
      <formula>0</formula>
    </cfRule>
  </conditionalFormatting>
  <conditionalFormatting sqref="H1">
    <cfRule type="cellIs" dxfId="3653" priority="901" stopIfTrue="1" operator="notEqual">
      <formula>""</formula>
    </cfRule>
  </conditionalFormatting>
  <conditionalFormatting sqref="T1:BK1">
    <cfRule type="cellIs" dxfId="3652" priority="938" operator="greaterThan">
      <formula>0</formula>
    </cfRule>
  </conditionalFormatting>
  <conditionalFormatting sqref="BV1:BW1">
    <cfRule type="cellIs" dxfId="3651" priority="937" operator="equal">
      <formula>"nc"</formula>
    </cfRule>
  </conditionalFormatting>
  <conditionalFormatting sqref="HF1:HG1">
    <cfRule type="cellIs" dxfId="3650" priority="939" operator="greaterThan">
      <formula>0</formula>
    </cfRule>
  </conditionalFormatting>
  <conditionalFormatting sqref="HK1">
    <cfRule type="cellIs" dxfId="3649" priority="936" operator="greaterThan">
      <formula>0</formula>
    </cfRule>
  </conditionalFormatting>
  <conditionalFormatting sqref="HP1:HX1">
    <cfRule type="cellIs" dxfId="3648" priority="913" operator="equal">
      <formula>"PIN"</formula>
    </cfRule>
    <cfRule type="cellIs" dxfId="3647" priority="914" operator="equal">
      <formula>"ORA"</formula>
    </cfRule>
    <cfRule type="cellIs" dxfId="3646" priority="915" operator="equal">
      <formula>"GRA"</formula>
    </cfRule>
    <cfRule type="cellIs" dxfId="3645" priority="916" operator="equal">
      <formula>"PUR"</formula>
    </cfRule>
    <cfRule type="cellIs" dxfId="3644" priority="917" operator="equal">
      <formula>"BRO"</formula>
    </cfRule>
    <cfRule type="cellIs" dxfId="3643" priority="918" operator="equal">
      <formula>"YEL"</formula>
    </cfRule>
    <cfRule type="cellIs" dxfId="3642" priority="919" operator="equal">
      <formula>"BLU"</formula>
    </cfRule>
    <cfRule type="cellIs" dxfId="3641" priority="920" operator="equal">
      <formula>"WHI"</formula>
    </cfRule>
    <cfRule type="cellIs" dxfId="3640" priority="921" operator="equal">
      <formula>"GRE"</formula>
    </cfRule>
    <cfRule type="cellIs" dxfId="3639" priority="922" operator="equal">
      <formula>"RED"</formula>
    </cfRule>
    <cfRule type="cellIs" dxfId="3638" priority="923" operator="equal">
      <formula>"BLA"</formula>
    </cfRule>
  </conditionalFormatting>
  <conditionalFormatting sqref="IC1:IK1">
    <cfRule type="cellIs" dxfId="3637" priority="924" operator="equal">
      <formula>"PIN"</formula>
    </cfRule>
    <cfRule type="cellIs" dxfId="3636" priority="925" operator="equal">
      <formula>"ORA"</formula>
    </cfRule>
    <cfRule type="cellIs" dxfId="3635" priority="926" operator="equal">
      <formula>"GRA"</formula>
    </cfRule>
    <cfRule type="cellIs" dxfId="3634" priority="927" operator="equal">
      <formula>"PUR"</formula>
    </cfRule>
    <cfRule type="cellIs" dxfId="3633" priority="928" operator="equal">
      <formula>"BRO"</formula>
    </cfRule>
    <cfRule type="cellIs" dxfId="3632" priority="929" operator="equal">
      <formula>"YEL"</formula>
    </cfRule>
    <cfRule type="cellIs" dxfId="3631" priority="930" operator="equal">
      <formula>"BLU"</formula>
    </cfRule>
    <cfRule type="cellIs" dxfId="3630" priority="931" operator="equal">
      <formula>"WHI"</formula>
    </cfRule>
    <cfRule type="cellIs" dxfId="3629" priority="932" operator="equal">
      <formula>"GRE"</formula>
    </cfRule>
    <cfRule type="cellIs" dxfId="3628" priority="933" operator="equal">
      <formula>"RED"</formula>
    </cfRule>
    <cfRule type="cellIs" dxfId="3627" priority="934" operator="equal">
      <formula>"BLA"</formula>
    </cfRule>
  </conditionalFormatting>
  <conditionalFormatting sqref="IO1:IW1">
    <cfRule type="cellIs" dxfId="3626" priority="902" operator="equal">
      <formula>"PIN"</formula>
    </cfRule>
    <cfRule type="cellIs" dxfId="3625" priority="903" operator="equal">
      <formula>"ORA"</formula>
    </cfRule>
    <cfRule type="cellIs" dxfId="3624" priority="904" operator="equal">
      <formula>"GRA"</formula>
    </cfRule>
    <cfRule type="cellIs" dxfId="3623" priority="905" operator="equal">
      <formula>"PUR"</formula>
    </cfRule>
    <cfRule type="cellIs" dxfId="3622" priority="906" operator="equal">
      <formula>"BRO"</formula>
    </cfRule>
    <cfRule type="cellIs" dxfId="3621" priority="907" operator="equal">
      <formula>"YEL"</formula>
    </cfRule>
    <cfRule type="cellIs" dxfId="3620" priority="908" operator="equal">
      <formula>"BLU"</formula>
    </cfRule>
    <cfRule type="cellIs" dxfId="3619" priority="909" operator="equal">
      <formula>"WHI"</formula>
    </cfRule>
    <cfRule type="cellIs" dxfId="3618" priority="910" operator="equal">
      <formula>"GRE"</formula>
    </cfRule>
    <cfRule type="cellIs" dxfId="3617" priority="911" operator="equal">
      <formula>"RED"</formula>
    </cfRule>
    <cfRule type="cellIs" dxfId="3616" priority="912" operator="equal">
      <formula>"BLA"</formula>
    </cfRule>
  </conditionalFormatting>
  <conditionalFormatting sqref="H2">
    <cfRule type="cellIs" dxfId="3615" priority="870" stopIfTrue="1" operator="notEqual">
      <formula>""</formula>
    </cfRule>
  </conditionalFormatting>
  <conditionalFormatting sqref="R2 CU2">
    <cfRule type="cellIs" dxfId="3614" priority="872" operator="greaterThan">
      <formula>0</formula>
    </cfRule>
  </conditionalFormatting>
  <conditionalFormatting sqref="T2:AS2 CH2:CS2">
    <cfRule type="cellIs" dxfId="3613" priority="867" stopIfTrue="1" operator="equal">
      <formula>"n"</formula>
    </cfRule>
    <cfRule type="cellIs" dxfId="3612" priority="868" stopIfTrue="1" operator="equal">
      <formula>"y"</formula>
    </cfRule>
    <cfRule type="cellIs" dxfId="3611" priority="869" operator="greaterThan">
      <formula>0</formula>
    </cfRule>
  </conditionalFormatting>
  <conditionalFormatting sqref="AZ2:BB2">
    <cfRule type="expression" dxfId="3610" priority="866">
      <formula>$AT2=0</formula>
    </cfRule>
  </conditionalFormatting>
  <conditionalFormatting sqref="AZ2:BU2">
    <cfRule type="cellIs" dxfId="3609" priority="875" operator="equal">
      <formula>"PIN"</formula>
    </cfRule>
    <cfRule type="cellIs" dxfId="3608" priority="876" operator="equal">
      <formula>"ORA"</formula>
    </cfRule>
    <cfRule type="cellIs" dxfId="3607" priority="877" operator="equal">
      <formula>"GRA"</formula>
    </cfRule>
    <cfRule type="cellIs" dxfId="3606" priority="878" operator="equal">
      <formula>"PUR"</formula>
    </cfRule>
    <cfRule type="cellIs" dxfId="3605" priority="879" operator="equal">
      <formula>"BRO"</formula>
    </cfRule>
    <cfRule type="cellIs" dxfId="3604" priority="880" operator="equal">
      <formula>"YEL"</formula>
    </cfRule>
    <cfRule type="cellIs" dxfId="3603" priority="881" operator="equal">
      <formula>"BLU"</formula>
    </cfRule>
    <cfRule type="cellIs" dxfId="3602" priority="882" operator="equal">
      <formula>"WHI"</formula>
    </cfRule>
    <cfRule type="cellIs" dxfId="3601" priority="883" operator="equal">
      <formula>"GRE"</formula>
    </cfRule>
    <cfRule type="cellIs" dxfId="3600" priority="884" operator="equal">
      <formula>"RED"</formula>
    </cfRule>
    <cfRule type="cellIs" dxfId="3599" priority="885" operator="equal">
      <formula>"BLA"</formula>
    </cfRule>
  </conditionalFormatting>
  <conditionalFormatting sqref="BV2">
    <cfRule type="cellIs" dxfId="3598" priority="897" operator="equal">
      <formula>"nc"</formula>
    </cfRule>
  </conditionalFormatting>
  <conditionalFormatting sqref="BX2:CA2 CD2:CF2">
    <cfRule type="cellIs" dxfId="3597" priority="871" operator="equal">
      <formula>"y"</formula>
    </cfRule>
    <cfRule type="cellIs" dxfId="3596" priority="886" operator="equal">
      <formula>"PIN"</formula>
    </cfRule>
    <cfRule type="cellIs" dxfId="3595" priority="887" operator="equal">
      <formula>"ORA"</formula>
    </cfRule>
    <cfRule type="cellIs" dxfId="3594" priority="888" operator="equal">
      <formula>"GRA"</formula>
    </cfRule>
    <cfRule type="cellIs" dxfId="3593" priority="889" operator="equal">
      <formula>"PUR"</formula>
    </cfRule>
    <cfRule type="cellIs" dxfId="3592" priority="890" operator="equal">
      <formula>"BRO"</formula>
    </cfRule>
    <cfRule type="cellIs" dxfId="3591" priority="891" operator="equal">
      <formula>"YEL"</formula>
    </cfRule>
    <cfRule type="cellIs" dxfId="3590" priority="892" operator="equal">
      <formula>"BLU"</formula>
    </cfRule>
    <cfRule type="cellIs" dxfId="3589" priority="893" operator="equal">
      <formula>"WHI"</formula>
    </cfRule>
    <cfRule type="cellIs" dxfId="3588" priority="894" operator="equal">
      <formula>"GRE"</formula>
    </cfRule>
    <cfRule type="cellIs" dxfId="3587" priority="895" operator="equal">
      <formula>"RED"</formula>
    </cfRule>
    <cfRule type="cellIs" dxfId="3586" priority="896" operator="equal">
      <formula>"BLA"</formula>
    </cfRule>
  </conditionalFormatting>
  <conditionalFormatting sqref="BZ2:CA2 CD2:CF2">
    <cfRule type="cellIs" dxfId="3585" priority="873" operator="greaterThan">
      <formula>0</formula>
    </cfRule>
  </conditionalFormatting>
  <conditionalFormatting sqref="IC2:IK2">
    <cfRule type="expression" dxfId="3584" priority="874">
      <formula>$IL2&gt;0</formula>
    </cfRule>
  </conditionalFormatting>
  <conditionalFormatting sqref="S2">
    <cfRule type="colorScale" priority="898">
      <colorScale>
        <cfvo type="min"/>
        <cfvo type="max"/>
        <color rgb="FFFCFCFF"/>
        <color rgb="FF754BFB"/>
      </colorScale>
    </cfRule>
  </conditionalFormatting>
  <conditionalFormatting sqref="AT2">
    <cfRule type="colorScale" priority="899">
      <colorScale>
        <cfvo type="min"/>
        <cfvo type="max"/>
        <color rgb="FFFCFCFF"/>
        <color theme="8" tint="0.39997558519241921"/>
      </colorScale>
    </cfRule>
  </conditionalFormatting>
  <conditionalFormatting sqref="CG2">
    <cfRule type="colorScale" priority="900">
      <colorScale>
        <cfvo type="min"/>
        <cfvo type="max"/>
        <color rgb="FFFCFCFF"/>
        <color rgb="FF63BE7B"/>
      </colorScale>
    </cfRule>
  </conditionalFormatting>
  <conditionalFormatting sqref="J2">
    <cfRule type="colorScale" priority="865">
      <colorScale>
        <cfvo type="min"/>
        <cfvo type="percentile" val="50"/>
        <cfvo type="max"/>
        <color rgb="FFF8696B"/>
        <color rgb="FFFFEB84"/>
        <color rgb="FF63BE7B"/>
      </colorScale>
    </cfRule>
  </conditionalFormatting>
  <conditionalFormatting sqref="H3">
    <cfRule type="cellIs" dxfId="1151" priority="833" stopIfTrue="1" operator="notEqual">
      <formula>""</formula>
    </cfRule>
  </conditionalFormatting>
  <conditionalFormatting sqref="R3 CU3">
    <cfRule type="cellIs" dxfId="1150" priority="835" operator="greaterThan">
      <formula>0</formula>
    </cfRule>
  </conditionalFormatting>
  <conditionalFormatting sqref="T3:AS3 CH3:CS3">
    <cfRule type="cellIs" dxfId="1149" priority="830" stopIfTrue="1" operator="equal">
      <formula>"n"</formula>
    </cfRule>
    <cfRule type="cellIs" dxfId="1148" priority="831" stopIfTrue="1" operator="equal">
      <formula>"y"</formula>
    </cfRule>
    <cfRule type="cellIs" dxfId="1147" priority="832" operator="greaterThan">
      <formula>0</formula>
    </cfRule>
  </conditionalFormatting>
  <conditionalFormatting sqref="AZ3:BB3">
    <cfRule type="expression" dxfId="1146" priority="829">
      <formula>$AT3=0</formula>
    </cfRule>
  </conditionalFormatting>
  <conditionalFormatting sqref="AZ3:BU3">
    <cfRule type="cellIs" dxfId="1145" priority="838" operator="equal">
      <formula>"PIN"</formula>
    </cfRule>
    <cfRule type="cellIs" dxfId="1144" priority="839" operator="equal">
      <formula>"ORA"</formula>
    </cfRule>
    <cfRule type="cellIs" dxfId="1143" priority="840" operator="equal">
      <formula>"GRA"</formula>
    </cfRule>
    <cfRule type="cellIs" dxfId="1142" priority="841" operator="equal">
      <formula>"PUR"</formula>
    </cfRule>
    <cfRule type="cellIs" dxfId="1141" priority="842" operator="equal">
      <formula>"BRO"</formula>
    </cfRule>
    <cfRule type="cellIs" dxfId="1140" priority="843" operator="equal">
      <formula>"YEL"</formula>
    </cfRule>
    <cfRule type="cellIs" dxfId="1139" priority="844" operator="equal">
      <formula>"BLU"</formula>
    </cfRule>
    <cfRule type="cellIs" dxfId="1138" priority="845" operator="equal">
      <formula>"WHI"</formula>
    </cfRule>
    <cfRule type="cellIs" dxfId="1137" priority="846" operator="equal">
      <formula>"GRE"</formula>
    </cfRule>
    <cfRule type="cellIs" dxfId="1136" priority="847" operator="equal">
      <formula>"RED"</formula>
    </cfRule>
    <cfRule type="cellIs" dxfId="1135" priority="848" operator="equal">
      <formula>"BLA"</formula>
    </cfRule>
  </conditionalFormatting>
  <conditionalFormatting sqref="BV3">
    <cfRule type="cellIs" dxfId="1134" priority="860" operator="equal">
      <formula>"nc"</formula>
    </cfRule>
  </conditionalFormatting>
  <conditionalFormatting sqref="BX3:CA3 CD3:CF3">
    <cfRule type="cellIs" dxfId="1133" priority="834" operator="equal">
      <formula>"y"</formula>
    </cfRule>
    <cfRule type="cellIs" dxfId="1132" priority="849" operator="equal">
      <formula>"PIN"</formula>
    </cfRule>
    <cfRule type="cellIs" dxfId="1131" priority="850" operator="equal">
      <formula>"ORA"</formula>
    </cfRule>
    <cfRule type="cellIs" dxfId="1130" priority="851" operator="equal">
      <formula>"GRA"</formula>
    </cfRule>
    <cfRule type="cellIs" dxfId="1129" priority="852" operator="equal">
      <formula>"PUR"</formula>
    </cfRule>
    <cfRule type="cellIs" dxfId="1128" priority="853" operator="equal">
      <formula>"BRO"</formula>
    </cfRule>
    <cfRule type="cellIs" dxfId="1127" priority="854" operator="equal">
      <formula>"YEL"</formula>
    </cfRule>
    <cfRule type="cellIs" dxfId="1126" priority="855" operator="equal">
      <formula>"BLU"</formula>
    </cfRule>
    <cfRule type="cellIs" dxfId="1125" priority="856" operator="equal">
      <formula>"WHI"</formula>
    </cfRule>
    <cfRule type="cellIs" dxfId="1124" priority="857" operator="equal">
      <formula>"GRE"</formula>
    </cfRule>
    <cfRule type="cellIs" dxfId="1123" priority="858" operator="equal">
      <formula>"RED"</formula>
    </cfRule>
    <cfRule type="cellIs" dxfId="1122" priority="859" operator="equal">
      <formula>"BLA"</formula>
    </cfRule>
  </conditionalFormatting>
  <conditionalFormatting sqref="BZ3:CA3 CD3:CF3">
    <cfRule type="cellIs" dxfId="1121" priority="836" operator="greaterThan">
      <formula>0</formula>
    </cfRule>
  </conditionalFormatting>
  <conditionalFormatting sqref="IC3:IK3">
    <cfRule type="expression" dxfId="1120" priority="837">
      <formula>$IL3&gt;0</formula>
    </cfRule>
  </conditionalFormatting>
  <conditionalFormatting sqref="J3">
    <cfRule type="colorScale" priority="861">
      <colorScale>
        <cfvo type="min"/>
        <cfvo type="percentile" val="50"/>
        <cfvo type="max"/>
        <color rgb="FFF8696B"/>
        <color rgb="FFFFEB84"/>
        <color rgb="FF63BE7B"/>
      </colorScale>
    </cfRule>
  </conditionalFormatting>
  <conditionalFormatting sqref="S3">
    <cfRule type="colorScale" priority="862">
      <colorScale>
        <cfvo type="min"/>
        <cfvo type="max"/>
        <color rgb="FFFCFCFF"/>
        <color rgb="FF754BFB"/>
      </colorScale>
    </cfRule>
  </conditionalFormatting>
  <conditionalFormatting sqref="AT3">
    <cfRule type="colorScale" priority="863">
      <colorScale>
        <cfvo type="min"/>
        <cfvo type="max"/>
        <color rgb="FFFCFCFF"/>
        <color theme="8" tint="0.39997558519241921"/>
      </colorScale>
    </cfRule>
  </conditionalFormatting>
  <conditionalFormatting sqref="CG3">
    <cfRule type="colorScale" priority="864">
      <colorScale>
        <cfvo type="min"/>
        <cfvo type="max"/>
        <color rgb="FFFCFCFF"/>
        <color rgb="FF63BE7B"/>
      </colorScale>
    </cfRule>
  </conditionalFormatting>
  <conditionalFormatting sqref="H4">
    <cfRule type="cellIs" dxfId="1119" priority="797" stopIfTrue="1" operator="notEqual">
      <formula>""</formula>
    </cfRule>
  </conditionalFormatting>
  <conditionalFormatting sqref="R4 CU4">
    <cfRule type="cellIs" dxfId="1118" priority="799" operator="greaterThan">
      <formula>0</formula>
    </cfRule>
  </conditionalFormatting>
  <conditionalFormatting sqref="T4:AS4 CH4:CS4">
    <cfRule type="cellIs" dxfId="1117" priority="794" stopIfTrue="1" operator="equal">
      <formula>"n"</formula>
    </cfRule>
    <cfRule type="cellIs" dxfId="1116" priority="795" stopIfTrue="1" operator="equal">
      <formula>"y"</formula>
    </cfRule>
    <cfRule type="cellIs" dxfId="1115" priority="796" operator="greaterThan">
      <formula>0</formula>
    </cfRule>
  </conditionalFormatting>
  <conditionalFormatting sqref="AZ4:BB4">
    <cfRule type="expression" dxfId="1114" priority="793">
      <formula>$AT4=0</formula>
    </cfRule>
  </conditionalFormatting>
  <conditionalFormatting sqref="AZ4:BU4">
    <cfRule type="cellIs" dxfId="1113" priority="802" operator="equal">
      <formula>"PIN"</formula>
    </cfRule>
    <cfRule type="cellIs" dxfId="1112" priority="803" operator="equal">
      <formula>"ORA"</formula>
    </cfRule>
    <cfRule type="cellIs" dxfId="1111" priority="804" operator="equal">
      <formula>"GRA"</formula>
    </cfRule>
    <cfRule type="cellIs" dxfId="1110" priority="805" operator="equal">
      <formula>"PUR"</formula>
    </cfRule>
    <cfRule type="cellIs" dxfId="1109" priority="806" operator="equal">
      <formula>"BRO"</formula>
    </cfRule>
    <cfRule type="cellIs" dxfId="1108" priority="807" operator="equal">
      <formula>"YEL"</formula>
    </cfRule>
    <cfRule type="cellIs" dxfId="1107" priority="808" operator="equal">
      <formula>"BLU"</formula>
    </cfRule>
    <cfRule type="cellIs" dxfId="1106" priority="809" operator="equal">
      <formula>"WHI"</formula>
    </cfRule>
    <cfRule type="cellIs" dxfId="1105" priority="810" operator="equal">
      <formula>"GRE"</formula>
    </cfRule>
    <cfRule type="cellIs" dxfId="1104" priority="811" operator="equal">
      <formula>"RED"</formula>
    </cfRule>
    <cfRule type="cellIs" dxfId="1103" priority="812" operator="equal">
      <formula>"BLA"</formula>
    </cfRule>
  </conditionalFormatting>
  <conditionalFormatting sqref="BV4">
    <cfRule type="cellIs" dxfId="1102" priority="824" operator="equal">
      <formula>"nc"</formula>
    </cfRule>
  </conditionalFormatting>
  <conditionalFormatting sqref="BX4:CA4 CD4:CF4">
    <cfRule type="cellIs" dxfId="1101" priority="798" operator="equal">
      <formula>"y"</formula>
    </cfRule>
    <cfRule type="cellIs" dxfId="1100" priority="813" operator="equal">
      <formula>"PIN"</formula>
    </cfRule>
    <cfRule type="cellIs" dxfId="1099" priority="814" operator="equal">
      <formula>"ORA"</formula>
    </cfRule>
    <cfRule type="cellIs" dxfId="1098" priority="815" operator="equal">
      <formula>"GRA"</formula>
    </cfRule>
    <cfRule type="cellIs" dxfId="1097" priority="816" operator="equal">
      <formula>"PUR"</formula>
    </cfRule>
    <cfRule type="cellIs" dxfId="1096" priority="817" operator="equal">
      <formula>"BRO"</formula>
    </cfRule>
    <cfRule type="cellIs" dxfId="1095" priority="818" operator="equal">
      <formula>"YEL"</formula>
    </cfRule>
    <cfRule type="cellIs" dxfId="1094" priority="819" operator="equal">
      <formula>"BLU"</formula>
    </cfRule>
    <cfRule type="cellIs" dxfId="1093" priority="820" operator="equal">
      <formula>"WHI"</formula>
    </cfRule>
    <cfRule type="cellIs" dxfId="1092" priority="821" operator="equal">
      <formula>"GRE"</formula>
    </cfRule>
    <cfRule type="cellIs" dxfId="1091" priority="822" operator="equal">
      <formula>"RED"</formula>
    </cfRule>
    <cfRule type="cellIs" dxfId="1090" priority="823" operator="equal">
      <formula>"BLA"</formula>
    </cfRule>
  </conditionalFormatting>
  <conditionalFormatting sqref="BZ4:CA4 CD4:CF4">
    <cfRule type="cellIs" dxfId="1089" priority="800" operator="greaterThan">
      <formula>0</formula>
    </cfRule>
  </conditionalFormatting>
  <conditionalFormatting sqref="IC4:IK4">
    <cfRule type="expression" dxfId="1088" priority="801">
      <formula>$IL4&gt;0</formula>
    </cfRule>
  </conditionalFormatting>
  <conditionalFormatting sqref="J4">
    <cfRule type="colorScale" priority="825">
      <colorScale>
        <cfvo type="min"/>
        <cfvo type="percentile" val="50"/>
        <cfvo type="max"/>
        <color rgb="FFF8696B"/>
        <color rgb="FFFFEB84"/>
        <color rgb="FF63BE7B"/>
      </colorScale>
    </cfRule>
  </conditionalFormatting>
  <conditionalFormatting sqref="S4">
    <cfRule type="colorScale" priority="826">
      <colorScale>
        <cfvo type="min"/>
        <cfvo type="max"/>
        <color rgb="FFFCFCFF"/>
        <color rgb="FF754BFB"/>
      </colorScale>
    </cfRule>
  </conditionalFormatting>
  <conditionalFormatting sqref="AT4">
    <cfRule type="colorScale" priority="827">
      <colorScale>
        <cfvo type="min"/>
        <cfvo type="max"/>
        <color rgb="FFFCFCFF"/>
        <color theme="8" tint="0.39997558519241921"/>
      </colorScale>
    </cfRule>
  </conditionalFormatting>
  <conditionalFormatting sqref="CG4">
    <cfRule type="colorScale" priority="828">
      <colorScale>
        <cfvo type="min"/>
        <cfvo type="max"/>
        <color rgb="FFFCFCFF"/>
        <color rgb="FF63BE7B"/>
      </colorScale>
    </cfRule>
  </conditionalFormatting>
  <conditionalFormatting sqref="H5">
    <cfRule type="cellIs" dxfId="1087" priority="761" stopIfTrue="1" operator="notEqual">
      <formula>""</formula>
    </cfRule>
  </conditionalFormatting>
  <conditionalFormatting sqref="R5 CU5">
    <cfRule type="cellIs" dxfId="1086" priority="763" operator="greaterThan">
      <formula>0</formula>
    </cfRule>
  </conditionalFormatting>
  <conditionalFormatting sqref="T5:AS5 CH5:CS5">
    <cfRule type="cellIs" dxfId="1085" priority="758" stopIfTrue="1" operator="equal">
      <formula>"n"</formula>
    </cfRule>
    <cfRule type="cellIs" dxfId="1084" priority="759" stopIfTrue="1" operator="equal">
      <formula>"y"</formula>
    </cfRule>
    <cfRule type="cellIs" dxfId="1083" priority="760" operator="greaterThan">
      <formula>0</formula>
    </cfRule>
  </conditionalFormatting>
  <conditionalFormatting sqref="AZ5:BB5">
    <cfRule type="expression" dxfId="1082" priority="757">
      <formula>$AT5=0</formula>
    </cfRule>
  </conditionalFormatting>
  <conditionalFormatting sqref="AZ5:BU5">
    <cfRule type="cellIs" dxfId="1081" priority="766" operator="equal">
      <formula>"PIN"</formula>
    </cfRule>
    <cfRule type="cellIs" dxfId="1080" priority="767" operator="equal">
      <formula>"ORA"</formula>
    </cfRule>
    <cfRule type="cellIs" dxfId="1079" priority="768" operator="equal">
      <formula>"GRA"</formula>
    </cfRule>
    <cfRule type="cellIs" dxfId="1078" priority="769" operator="equal">
      <formula>"PUR"</formula>
    </cfRule>
    <cfRule type="cellIs" dxfId="1077" priority="770" operator="equal">
      <formula>"BRO"</formula>
    </cfRule>
    <cfRule type="cellIs" dxfId="1076" priority="771" operator="equal">
      <formula>"YEL"</formula>
    </cfRule>
    <cfRule type="cellIs" dxfId="1075" priority="772" operator="equal">
      <formula>"BLU"</formula>
    </cfRule>
    <cfRule type="cellIs" dxfId="1074" priority="773" operator="equal">
      <formula>"WHI"</formula>
    </cfRule>
    <cfRule type="cellIs" dxfId="1073" priority="774" operator="equal">
      <formula>"GRE"</formula>
    </cfRule>
    <cfRule type="cellIs" dxfId="1072" priority="775" operator="equal">
      <formula>"RED"</formula>
    </cfRule>
    <cfRule type="cellIs" dxfId="1071" priority="776" operator="equal">
      <formula>"BLA"</formula>
    </cfRule>
  </conditionalFormatting>
  <conditionalFormatting sqref="BV5">
    <cfRule type="cellIs" dxfId="1070" priority="788" operator="equal">
      <formula>"nc"</formula>
    </cfRule>
  </conditionalFormatting>
  <conditionalFormatting sqref="BX5:CA5 CD5:CF5">
    <cfRule type="cellIs" dxfId="1069" priority="762" operator="equal">
      <formula>"y"</formula>
    </cfRule>
    <cfRule type="cellIs" dxfId="1068" priority="777" operator="equal">
      <formula>"PIN"</formula>
    </cfRule>
    <cfRule type="cellIs" dxfId="1067" priority="778" operator="equal">
      <formula>"ORA"</formula>
    </cfRule>
    <cfRule type="cellIs" dxfId="1066" priority="779" operator="equal">
      <formula>"GRA"</formula>
    </cfRule>
    <cfRule type="cellIs" dxfId="1065" priority="780" operator="equal">
      <formula>"PUR"</formula>
    </cfRule>
    <cfRule type="cellIs" dxfId="1064" priority="781" operator="equal">
      <formula>"BRO"</formula>
    </cfRule>
    <cfRule type="cellIs" dxfId="1063" priority="782" operator="equal">
      <formula>"YEL"</formula>
    </cfRule>
    <cfRule type="cellIs" dxfId="1062" priority="783" operator="equal">
      <formula>"BLU"</formula>
    </cfRule>
    <cfRule type="cellIs" dxfId="1061" priority="784" operator="equal">
      <formula>"WHI"</formula>
    </cfRule>
    <cfRule type="cellIs" dxfId="1060" priority="785" operator="equal">
      <formula>"GRE"</formula>
    </cfRule>
    <cfRule type="cellIs" dxfId="1059" priority="786" operator="equal">
      <formula>"RED"</formula>
    </cfRule>
    <cfRule type="cellIs" dxfId="1058" priority="787" operator="equal">
      <formula>"BLA"</formula>
    </cfRule>
  </conditionalFormatting>
  <conditionalFormatting sqref="BZ5:CA5 CD5:CF5">
    <cfRule type="cellIs" dxfId="1057" priority="764" operator="greaterThan">
      <formula>0</formula>
    </cfRule>
  </conditionalFormatting>
  <conditionalFormatting sqref="IC5:IK5">
    <cfRule type="expression" dxfId="1056" priority="765">
      <formula>$IL5&gt;0</formula>
    </cfRule>
  </conditionalFormatting>
  <conditionalFormatting sqref="J5">
    <cfRule type="colorScale" priority="789">
      <colorScale>
        <cfvo type="min"/>
        <cfvo type="percentile" val="50"/>
        <cfvo type="max"/>
        <color rgb="FFF8696B"/>
        <color rgb="FFFFEB84"/>
        <color rgb="FF63BE7B"/>
      </colorScale>
    </cfRule>
  </conditionalFormatting>
  <conditionalFormatting sqref="S5">
    <cfRule type="colorScale" priority="790">
      <colorScale>
        <cfvo type="min"/>
        <cfvo type="max"/>
        <color rgb="FFFCFCFF"/>
        <color rgb="FF754BFB"/>
      </colorScale>
    </cfRule>
  </conditionalFormatting>
  <conditionalFormatting sqref="AT5">
    <cfRule type="colorScale" priority="791">
      <colorScale>
        <cfvo type="min"/>
        <cfvo type="max"/>
        <color rgb="FFFCFCFF"/>
        <color theme="8" tint="0.39997558519241921"/>
      </colorScale>
    </cfRule>
  </conditionalFormatting>
  <conditionalFormatting sqref="CG5">
    <cfRule type="colorScale" priority="792">
      <colorScale>
        <cfvo type="min"/>
        <cfvo type="max"/>
        <color rgb="FFFCFCFF"/>
        <color rgb="FF63BE7B"/>
      </colorScale>
    </cfRule>
  </conditionalFormatting>
  <conditionalFormatting sqref="H6">
    <cfRule type="cellIs" dxfId="1055" priority="725" stopIfTrue="1" operator="notEqual">
      <formula>""</formula>
    </cfRule>
  </conditionalFormatting>
  <conditionalFormatting sqref="R6 CU6">
    <cfRule type="cellIs" dxfId="1054" priority="727" operator="greaterThan">
      <formula>0</formula>
    </cfRule>
  </conditionalFormatting>
  <conditionalFormatting sqref="T6:AS6 CH6:CS6">
    <cfRule type="cellIs" dxfId="1053" priority="722" stopIfTrue="1" operator="equal">
      <formula>"n"</formula>
    </cfRule>
    <cfRule type="cellIs" dxfId="1052" priority="723" stopIfTrue="1" operator="equal">
      <formula>"y"</formula>
    </cfRule>
    <cfRule type="cellIs" dxfId="1051" priority="724" operator="greaterThan">
      <formula>0</formula>
    </cfRule>
  </conditionalFormatting>
  <conditionalFormatting sqref="AZ6:BB6">
    <cfRule type="expression" dxfId="1050" priority="721">
      <formula>$AT6=0</formula>
    </cfRule>
  </conditionalFormatting>
  <conditionalFormatting sqref="AZ6:BU6">
    <cfRule type="cellIs" dxfId="1049" priority="730" operator="equal">
      <formula>"PIN"</formula>
    </cfRule>
    <cfRule type="cellIs" dxfId="1048" priority="731" operator="equal">
      <formula>"ORA"</formula>
    </cfRule>
    <cfRule type="cellIs" dxfId="1047" priority="732" operator="equal">
      <formula>"GRA"</formula>
    </cfRule>
    <cfRule type="cellIs" dxfId="1046" priority="733" operator="equal">
      <formula>"PUR"</formula>
    </cfRule>
    <cfRule type="cellIs" dxfId="1045" priority="734" operator="equal">
      <formula>"BRO"</formula>
    </cfRule>
    <cfRule type="cellIs" dxfId="1044" priority="735" operator="equal">
      <formula>"YEL"</formula>
    </cfRule>
    <cfRule type="cellIs" dxfId="1043" priority="736" operator="equal">
      <formula>"BLU"</formula>
    </cfRule>
    <cfRule type="cellIs" dxfId="1042" priority="737" operator="equal">
      <formula>"WHI"</formula>
    </cfRule>
    <cfRule type="cellIs" dxfId="1041" priority="738" operator="equal">
      <formula>"GRE"</formula>
    </cfRule>
    <cfRule type="cellIs" dxfId="1040" priority="739" operator="equal">
      <formula>"RED"</formula>
    </cfRule>
    <cfRule type="cellIs" dxfId="1039" priority="740" operator="equal">
      <formula>"BLA"</formula>
    </cfRule>
  </conditionalFormatting>
  <conditionalFormatting sqref="BV6">
    <cfRule type="cellIs" dxfId="1038" priority="752" operator="equal">
      <formula>"nc"</formula>
    </cfRule>
  </conditionalFormatting>
  <conditionalFormatting sqref="BX6:CA6 CD6:CF6">
    <cfRule type="cellIs" dxfId="1037" priority="726" operator="equal">
      <formula>"y"</formula>
    </cfRule>
    <cfRule type="cellIs" dxfId="1036" priority="741" operator="equal">
      <formula>"PIN"</formula>
    </cfRule>
    <cfRule type="cellIs" dxfId="1035" priority="742" operator="equal">
      <formula>"ORA"</formula>
    </cfRule>
    <cfRule type="cellIs" dxfId="1034" priority="743" operator="equal">
      <formula>"GRA"</formula>
    </cfRule>
    <cfRule type="cellIs" dxfId="1033" priority="744" operator="equal">
      <formula>"PUR"</formula>
    </cfRule>
    <cfRule type="cellIs" dxfId="1032" priority="745" operator="equal">
      <formula>"BRO"</formula>
    </cfRule>
    <cfRule type="cellIs" dxfId="1031" priority="746" operator="equal">
      <formula>"YEL"</formula>
    </cfRule>
    <cfRule type="cellIs" dxfId="1030" priority="747" operator="equal">
      <formula>"BLU"</formula>
    </cfRule>
    <cfRule type="cellIs" dxfId="1029" priority="748" operator="equal">
      <formula>"WHI"</formula>
    </cfRule>
    <cfRule type="cellIs" dxfId="1028" priority="749" operator="equal">
      <formula>"GRE"</formula>
    </cfRule>
    <cfRule type="cellIs" dxfId="1027" priority="750" operator="equal">
      <formula>"RED"</formula>
    </cfRule>
    <cfRule type="cellIs" dxfId="1026" priority="751" operator="equal">
      <formula>"BLA"</formula>
    </cfRule>
  </conditionalFormatting>
  <conditionalFormatting sqref="BZ6:CA6 CD6:CF6">
    <cfRule type="cellIs" dxfId="1025" priority="728" operator="greaterThan">
      <formula>0</formula>
    </cfRule>
  </conditionalFormatting>
  <conditionalFormatting sqref="IC6:IK6">
    <cfRule type="expression" dxfId="1024" priority="729">
      <formula>$IL6&gt;0</formula>
    </cfRule>
  </conditionalFormatting>
  <conditionalFormatting sqref="J6">
    <cfRule type="colorScale" priority="753">
      <colorScale>
        <cfvo type="min"/>
        <cfvo type="percentile" val="50"/>
        <cfvo type="max"/>
        <color rgb="FFF8696B"/>
        <color rgb="FFFFEB84"/>
        <color rgb="FF63BE7B"/>
      </colorScale>
    </cfRule>
  </conditionalFormatting>
  <conditionalFormatting sqref="S6">
    <cfRule type="colorScale" priority="754">
      <colorScale>
        <cfvo type="min"/>
        <cfvo type="max"/>
        <color rgb="FFFCFCFF"/>
        <color rgb="FF754BFB"/>
      </colorScale>
    </cfRule>
  </conditionalFormatting>
  <conditionalFormatting sqref="AT6">
    <cfRule type="colorScale" priority="755">
      <colorScale>
        <cfvo type="min"/>
        <cfvo type="max"/>
        <color rgb="FFFCFCFF"/>
        <color theme="8" tint="0.39997558519241921"/>
      </colorScale>
    </cfRule>
  </conditionalFormatting>
  <conditionalFormatting sqref="CG6">
    <cfRule type="colorScale" priority="756">
      <colorScale>
        <cfvo type="min"/>
        <cfvo type="max"/>
        <color rgb="FFFCFCFF"/>
        <color rgb="FF63BE7B"/>
      </colorScale>
    </cfRule>
  </conditionalFormatting>
  <conditionalFormatting sqref="H7">
    <cfRule type="cellIs" dxfId="1023" priority="689" stopIfTrue="1" operator="notEqual">
      <formula>""</formula>
    </cfRule>
  </conditionalFormatting>
  <conditionalFormatting sqref="R7 CU7">
    <cfRule type="cellIs" dxfId="1022" priority="691" operator="greaterThan">
      <formula>0</formula>
    </cfRule>
  </conditionalFormatting>
  <conditionalFormatting sqref="T7:AS7 CH7:CS7">
    <cfRule type="cellIs" dxfId="1021" priority="686" stopIfTrue="1" operator="equal">
      <formula>"n"</formula>
    </cfRule>
    <cfRule type="cellIs" dxfId="1020" priority="687" stopIfTrue="1" operator="equal">
      <formula>"y"</formula>
    </cfRule>
    <cfRule type="cellIs" dxfId="1019" priority="688" operator="greaterThan">
      <formula>0</formula>
    </cfRule>
  </conditionalFormatting>
  <conditionalFormatting sqref="AZ7:BB7">
    <cfRule type="expression" dxfId="1018" priority="685">
      <formula>$AT7=0</formula>
    </cfRule>
  </conditionalFormatting>
  <conditionalFormatting sqref="AZ7:BU7">
    <cfRule type="cellIs" dxfId="1017" priority="694" operator="equal">
      <formula>"PIN"</formula>
    </cfRule>
    <cfRule type="cellIs" dxfId="1016" priority="695" operator="equal">
      <formula>"ORA"</formula>
    </cfRule>
    <cfRule type="cellIs" dxfId="1015" priority="696" operator="equal">
      <formula>"GRA"</formula>
    </cfRule>
    <cfRule type="cellIs" dxfId="1014" priority="697" operator="equal">
      <formula>"PUR"</formula>
    </cfRule>
    <cfRule type="cellIs" dxfId="1013" priority="698" operator="equal">
      <formula>"BRO"</formula>
    </cfRule>
    <cfRule type="cellIs" dxfId="1012" priority="699" operator="equal">
      <formula>"YEL"</formula>
    </cfRule>
    <cfRule type="cellIs" dxfId="1011" priority="700" operator="equal">
      <formula>"BLU"</formula>
    </cfRule>
    <cfRule type="cellIs" dxfId="1010" priority="701" operator="equal">
      <formula>"WHI"</formula>
    </cfRule>
    <cfRule type="cellIs" dxfId="1009" priority="702" operator="equal">
      <formula>"GRE"</formula>
    </cfRule>
    <cfRule type="cellIs" dxfId="1008" priority="703" operator="equal">
      <formula>"RED"</formula>
    </cfRule>
    <cfRule type="cellIs" dxfId="1007" priority="704" operator="equal">
      <formula>"BLA"</formula>
    </cfRule>
  </conditionalFormatting>
  <conditionalFormatting sqref="BV7">
    <cfRule type="cellIs" dxfId="1006" priority="716" operator="equal">
      <formula>"nc"</formula>
    </cfRule>
  </conditionalFormatting>
  <conditionalFormatting sqref="BX7:CA7 CD7:CF7">
    <cfRule type="cellIs" dxfId="1005" priority="690" operator="equal">
      <formula>"y"</formula>
    </cfRule>
    <cfRule type="cellIs" dxfId="1004" priority="705" operator="equal">
      <formula>"PIN"</formula>
    </cfRule>
    <cfRule type="cellIs" dxfId="1003" priority="706" operator="equal">
      <formula>"ORA"</formula>
    </cfRule>
    <cfRule type="cellIs" dxfId="1002" priority="707" operator="equal">
      <formula>"GRA"</formula>
    </cfRule>
    <cfRule type="cellIs" dxfId="1001" priority="708" operator="equal">
      <formula>"PUR"</formula>
    </cfRule>
    <cfRule type="cellIs" dxfId="1000" priority="709" operator="equal">
      <formula>"BRO"</formula>
    </cfRule>
    <cfRule type="cellIs" dxfId="999" priority="710" operator="equal">
      <formula>"YEL"</formula>
    </cfRule>
    <cfRule type="cellIs" dxfId="998" priority="711" operator="equal">
      <formula>"BLU"</formula>
    </cfRule>
    <cfRule type="cellIs" dxfId="997" priority="712" operator="equal">
      <formula>"WHI"</formula>
    </cfRule>
    <cfRule type="cellIs" dxfId="996" priority="713" operator="equal">
      <formula>"GRE"</formula>
    </cfRule>
    <cfRule type="cellIs" dxfId="995" priority="714" operator="equal">
      <formula>"RED"</formula>
    </cfRule>
    <cfRule type="cellIs" dxfId="994" priority="715" operator="equal">
      <formula>"BLA"</formula>
    </cfRule>
  </conditionalFormatting>
  <conditionalFormatting sqref="BZ7:CA7 CD7:CF7">
    <cfRule type="cellIs" dxfId="993" priority="692" operator="greaterThan">
      <formula>0</formula>
    </cfRule>
  </conditionalFormatting>
  <conditionalFormatting sqref="IC7:IK7">
    <cfRule type="expression" dxfId="992" priority="693">
      <formula>$IL7&gt;0</formula>
    </cfRule>
  </conditionalFormatting>
  <conditionalFormatting sqref="J7">
    <cfRule type="colorScale" priority="717">
      <colorScale>
        <cfvo type="min"/>
        <cfvo type="percentile" val="50"/>
        <cfvo type="max"/>
        <color rgb="FFF8696B"/>
        <color rgb="FFFFEB84"/>
        <color rgb="FF63BE7B"/>
      </colorScale>
    </cfRule>
  </conditionalFormatting>
  <conditionalFormatting sqref="S7">
    <cfRule type="colorScale" priority="718">
      <colorScale>
        <cfvo type="min"/>
        <cfvo type="max"/>
        <color rgb="FFFCFCFF"/>
        <color rgb="FF754BFB"/>
      </colorScale>
    </cfRule>
  </conditionalFormatting>
  <conditionalFormatting sqref="AT7">
    <cfRule type="colorScale" priority="719">
      <colorScale>
        <cfvo type="min"/>
        <cfvo type="max"/>
        <color rgb="FFFCFCFF"/>
        <color theme="8" tint="0.39997558519241921"/>
      </colorScale>
    </cfRule>
  </conditionalFormatting>
  <conditionalFormatting sqref="CG7">
    <cfRule type="colorScale" priority="720">
      <colorScale>
        <cfvo type="min"/>
        <cfvo type="max"/>
        <color rgb="FFFCFCFF"/>
        <color rgb="FF63BE7B"/>
      </colorScale>
    </cfRule>
  </conditionalFormatting>
  <conditionalFormatting sqref="H8">
    <cfRule type="cellIs" dxfId="991" priority="653" stopIfTrue="1" operator="notEqual">
      <formula>""</formula>
    </cfRule>
  </conditionalFormatting>
  <conditionalFormatting sqref="R8 CU8">
    <cfRule type="cellIs" dxfId="990" priority="655" operator="greaterThan">
      <formula>0</formula>
    </cfRule>
  </conditionalFormatting>
  <conditionalFormatting sqref="T8:AS8 CH8:CS8">
    <cfRule type="cellIs" dxfId="989" priority="650" stopIfTrue="1" operator="equal">
      <formula>"n"</formula>
    </cfRule>
    <cfRule type="cellIs" dxfId="988" priority="651" stopIfTrue="1" operator="equal">
      <formula>"y"</formula>
    </cfRule>
    <cfRule type="cellIs" dxfId="987" priority="652" operator="greaterThan">
      <formula>0</formula>
    </cfRule>
  </conditionalFormatting>
  <conditionalFormatting sqref="AZ8:BB8">
    <cfRule type="expression" dxfId="986" priority="649">
      <formula>$AT8=0</formula>
    </cfRule>
  </conditionalFormatting>
  <conditionalFormatting sqref="AZ8:BU8">
    <cfRule type="cellIs" dxfId="985" priority="658" operator="equal">
      <formula>"PIN"</formula>
    </cfRule>
    <cfRule type="cellIs" dxfId="984" priority="659" operator="equal">
      <formula>"ORA"</formula>
    </cfRule>
    <cfRule type="cellIs" dxfId="983" priority="660" operator="equal">
      <formula>"GRA"</formula>
    </cfRule>
    <cfRule type="cellIs" dxfId="982" priority="661" operator="equal">
      <formula>"PUR"</formula>
    </cfRule>
    <cfRule type="cellIs" dxfId="981" priority="662" operator="equal">
      <formula>"BRO"</formula>
    </cfRule>
    <cfRule type="cellIs" dxfId="980" priority="663" operator="equal">
      <formula>"YEL"</formula>
    </cfRule>
    <cfRule type="cellIs" dxfId="979" priority="664" operator="equal">
      <formula>"BLU"</formula>
    </cfRule>
    <cfRule type="cellIs" dxfId="978" priority="665" operator="equal">
      <formula>"WHI"</formula>
    </cfRule>
    <cfRule type="cellIs" dxfId="977" priority="666" operator="equal">
      <formula>"GRE"</formula>
    </cfRule>
    <cfRule type="cellIs" dxfId="976" priority="667" operator="equal">
      <formula>"RED"</formula>
    </cfRule>
    <cfRule type="cellIs" dxfId="975" priority="668" operator="equal">
      <formula>"BLA"</formula>
    </cfRule>
  </conditionalFormatting>
  <conditionalFormatting sqref="BV8">
    <cfRule type="cellIs" dxfId="974" priority="680" operator="equal">
      <formula>"nc"</formula>
    </cfRule>
  </conditionalFormatting>
  <conditionalFormatting sqref="BX8:CA8 CD8:CF8">
    <cfRule type="cellIs" dxfId="973" priority="654" operator="equal">
      <formula>"y"</formula>
    </cfRule>
    <cfRule type="cellIs" dxfId="972" priority="669" operator="equal">
      <formula>"PIN"</formula>
    </cfRule>
    <cfRule type="cellIs" dxfId="971" priority="670" operator="equal">
      <formula>"ORA"</formula>
    </cfRule>
    <cfRule type="cellIs" dxfId="970" priority="671" operator="equal">
      <formula>"GRA"</formula>
    </cfRule>
    <cfRule type="cellIs" dxfId="969" priority="672" operator="equal">
      <formula>"PUR"</formula>
    </cfRule>
    <cfRule type="cellIs" dxfId="968" priority="673" operator="equal">
      <formula>"BRO"</formula>
    </cfRule>
    <cfRule type="cellIs" dxfId="967" priority="674" operator="equal">
      <formula>"YEL"</formula>
    </cfRule>
    <cfRule type="cellIs" dxfId="966" priority="675" operator="equal">
      <formula>"BLU"</formula>
    </cfRule>
    <cfRule type="cellIs" dxfId="965" priority="676" operator="equal">
      <formula>"WHI"</formula>
    </cfRule>
    <cfRule type="cellIs" dxfId="964" priority="677" operator="equal">
      <formula>"GRE"</formula>
    </cfRule>
    <cfRule type="cellIs" dxfId="963" priority="678" operator="equal">
      <formula>"RED"</formula>
    </cfRule>
    <cfRule type="cellIs" dxfId="962" priority="679" operator="equal">
      <formula>"BLA"</formula>
    </cfRule>
  </conditionalFormatting>
  <conditionalFormatting sqref="BZ8:CA8 CD8:CF8">
    <cfRule type="cellIs" dxfId="961" priority="656" operator="greaterThan">
      <formula>0</formula>
    </cfRule>
  </conditionalFormatting>
  <conditionalFormatting sqref="IC8:IK8">
    <cfRule type="expression" dxfId="960" priority="657">
      <formula>$IL8&gt;0</formula>
    </cfRule>
  </conditionalFormatting>
  <conditionalFormatting sqref="J8">
    <cfRule type="colorScale" priority="681">
      <colorScale>
        <cfvo type="min"/>
        <cfvo type="percentile" val="50"/>
        <cfvo type="max"/>
        <color rgb="FFF8696B"/>
        <color rgb="FFFFEB84"/>
        <color rgb="FF63BE7B"/>
      </colorScale>
    </cfRule>
  </conditionalFormatting>
  <conditionalFormatting sqref="S8">
    <cfRule type="colorScale" priority="682">
      <colorScale>
        <cfvo type="min"/>
        <cfvo type="max"/>
        <color rgb="FFFCFCFF"/>
        <color rgb="FF754BFB"/>
      </colorScale>
    </cfRule>
  </conditionalFormatting>
  <conditionalFormatting sqref="AT8">
    <cfRule type="colorScale" priority="683">
      <colorScale>
        <cfvo type="min"/>
        <cfvo type="max"/>
        <color rgb="FFFCFCFF"/>
        <color theme="8" tint="0.39997558519241921"/>
      </colorScale>
    </cfRule>
  </conditionalFormatting>
  <conditionalFormatting sqref="CG8">
    <cfRule type="colorScale" priority="684">
      <colorScale>
        <cfvo type="min"/>
        <cfvo type="max"/>
        <color rgb="FFFCFCFF"/>
        <color rgb="FF63BE7B"/>
      </colorScale>
    </cfRule>
  </conditionalFormatting>
  <conditionalFormatting sqref="H9">
    <cfRule type="cellIs" dxfId="959" priority="617" stopIfTrue="1" operator="notEqual">
      <formula>""</formula>
    </cfRule>
  </conditionalFormatting>
  <conditionalFormatting sqref="R9 CU9">
    <cfRule type="cellIs" dxfId="958" priority="619" operator="greaterThan">
      <formula>0</formula>
    </cfRule>
  </conditionalFormatting>
  <conditionalFormatting sqref="T9:AS9 CH9:CS9">
    <cfRule type="cellIs" dxfId="957" priority="614" stopIfTrue="1" operator="equal">
      <formula>"n"</formula>
    </cfRule>
    <cfRule type="cellIs" dxfId="956" priority="615" stopIfTrue="1" operator="equal">
      <formula>"y"</formula>
    </cfRule>
    <cfRule type="cellIs" dxfId="955" priority="616" operator="greaterThan">
      <formula>0</formula>
    </cfRule>
  </conditionalFormatting>
  <conditionalFormatting sqref="AZ9:BB9">
    <cfRule type="expression" dxfId="954" priority="613">
      <formula>$AT9=0</formula>
    </cfRule>
  </conditionalFormatting>
  <conditionalFormatting sqref="AZ9:BU9">
    <cfRule type="cellIs" dxfId="953" priority="622" operator="equal">
      <formula>"PIN"</formula>
    </cfRule>
    <cfRule type="cellIs" dxfId="952" priority="623" operator="equal">
      <formula>"ORA"</formula>
    </cfRule>
    <cfRule type="cellIs" dxfId="951" priority="624" operator="equal">
      <formula>"GRA"</formula>
    </cfRule>
    <cfRule type="cellIs" dxfId="950" priority="625" operator="equal">
      <formula>"PUR"</formula>
    </cfRule>
    <cfRule type="cellIs" dxfId="949" priority="626" operator="equal">
      <formula>"BRO"</formula>
    </cfRule>
    <cfRule type="cellIs" dxfId="948" priority="627" operator="equal">
      <formula>"YEL"</formula>
    </cfRule>
    <cfRule type="cellIs" dxfId="947" priority="628" operator="equal">
      <formula>"BLU"</formula>
    </cfRule>
    <cfRule type="cellIs" dxfId="946" priority="629" operator="equal">
      <formula>"WHI"</formula>
    </cfRule>
    <cfRule type="cellIs" dxfId="945" priority="630" operator="equal">
      <formula>"GRE"</formula>
    </cfRule>
    <cfRule type="cellIs" dxfId="944" priority="631" operator="equal">
      <formula>"RED"</formula>
    </cfRule>
    <cfRule type="cellIs" dxfId="943" priority="632" operator="equal">
      <formula>"BLA"</formula>
    </cfRule>
  </conditionalFormatting>
  <conditionalFormatting sqref="BV9">
    <cfRule type="cellIs" dxfId="942" priority="644" operator="equal">
      <formula>"nc"</formula>
    </cfRule>
  </conditionalFormatting>
  <conditionalFormatting sqref="BX9:CA9 CD9:CF9">
    <cfRule type="cellIs" dxfId="941" priority="618" operator="equal">
      <formula>"y"</formula>
    </cfRule>
    <cfRule type="cellIs" dxfId="940" priority="633" operator="equal">
      <formula>"PIN"</formula>
    </cfRule>
    <cfRule type="cellIs" dxfId="939" priority="634" operator="equal">
      <formula>"ORA"</formula>
    </cfRule>
    <cfRule type="cellIs" dxfId="938" priority="635" operator="equal">
      <formula>"GRA"</formula>
    </cfRule>
    <cfRule type="cellIs" dxfId="937" priority="636" operator="equal">
      <formula>"PUR"</formula>
    </cfRule>
    <cfRule type="cellIs" dxfId="936" priority="637" operator="equal">
      <formula>"BRO"</formula>
    </cfRule>
    <cfRule type="cellIs" dxfId="935" priority="638" operator="equal">
      <formula>"YEL"</formula>
    </cfRule>
    <cfRule type="cellIs" dxfId="934" priority="639" operator="equal">
      <formula>"BLU"</formula>
    </cfRule>
    <cfRule type="cellIs" dxfId="933" priority="640" operator="equal">
      <formula>"WHI"</formula>
    </cfRule>
    <cfRule type="cellIs" dxfId="932" priority="641" operator="equal">
      <formula>"GRE"</formula>
    </cfRule>
    <cfRule type="cellIs" dxfId="931" priority="642" operator="equal">
      <formula>"RED"</formula>
    </cfRule>
    <cfRule type="cellIs" dxfId="930" priority="643" operator="equal">
      <formula>"BLA"</formula>
    </cfRule>
  </conditionalFormatting>
  <conditionalFormatting sqref="BZ9:CA9 CD9:CF9">
    <cfRule type="cellIs" dxfId="929" priority="620" operator="greaterThan">
      <formula>0</formula>
    </cfRule>
  </conditionalFormatting>
  <conditionalFormatting sqref="IC9:IK9">
    <cfRule type="expression" dxfId="928" priority="621">
      <formula>$IL9&gt;0</formula>
    </cfRule>
  </conditionalFormatting>
  <conditionalFormatting sqref="J9">
    <cfRule type="colorScale" priority="645">
      <colorScale>
        <cfvo type="min"/>
        <cfvo type="percentile" val="50"/>
        <cfvo type="max"/>
        <color rgb="FFF8696B"/>
        <color rgb="FFFFEB84"/>
        <color rgb="FF63BE7B"/>
      </colorScale>
    </cfRule>
  </conditionalFormatting>
  <conditionalFormatting sqref="S9">
    <cfRule type="colorScale" priority="646">
      <colorScale>
        <cfvo type="min"/>
        <cfvo type="max"/>
        <color rgb="FFFCFCFF"/>
        <color rgb="FF754BFB"/>
      </colorScale>
    </cfRule>
  </conditionalFormatting>
  <conditionalFormatting sqref="AT9">
    <cfRule type="colorScale" priority="647">
      <colorScale>
        <cfvo type="min"/>
        <cfvo type="max"/>
        <color rgb="FFFCFCFF"/>
        <color theme="8" tint="0.39997558519241921"/>
      </colorScale>
    </cfRule>
  </conditionalFormatting>
  <conditionalFormatting sqref="CG9">
    <cfRule type="colorScale" priority="648">
      <colorScale>
        <cfvo type="min"/>
        <cfvo type="max"/>
        <color rgb="FFFCFCFF"/>
        <color rgb="FF63BE7B"/>
      </colorScale>
    </cfRule>
  </conditionalFormatting>
  <conditionalFormatting sqref="H10">
    <cfRule type="cellIs" dxfId="927" priority="581" stopIfTrue="1" operator="notEqual">
      <formula>""</formula>
    </cfRule>
  </conditionalFormatting>
  <conditionalFormatting sqref="R10 CU10">
    <cfRule type="cellIs" dxfId="926" priority="583" operator="greaterThan">
      <formula>0</formula>
    </cfRule>
  </conditionalFormatting>
  <conditionalFormatting sqref="T10:AS10 CH10:CS10">
    <cfRule type="cellIs" dxfId="925" priority="578" stopIfTrue="1" operator="equal">
      <formula>"n"</formula>
    </cfRule>
    <cfRule type="cellIs" dxfId="924" priority="579" stopIfTrue="1" operator="equal">
      <formula>"y"</formula>
    </cfRule>
    <cfRule type="cellIs" dxfId="923" priority="580" operator="greaterThan">
      <formula>0</formula>
    </cfRule>
  </conditionalFormatting>
  <conditionalFormatting sqref="AZ10:BB10">
    <cfRule type="expression" dxfId="922" priority="577">
      <formula>$AT10=0</formula>
    </cfRule>
  </conditionalFormatting>
  <conditionalFormatting sqref="AZ10:BU10">
    <cfRule type="cellIs" dxfId="921" priority="586" operator="equal">
      <formula>"PIN"</formula>
    </cfRule>
    <cfRule type="cellIs" dxfId="920" priority="587" operator="equal">
      <formula>"ORA"</formula>
    </cfRule>
    <cfRule type="cellIs" dxfId="919" priority="588" operator="equal">
      <formula>"GRA"</formula>
    </cfRule>
    <cfRule type="cellIs" dxfId="918" priority="589" operator="equal">
      <formula>"PUR"</formula>
    </cfRule>
    <cfRule type="cellIs" dxfId="917" priority="590" operator="equal">
      <formula>"BRO"</formula>
    </cfRule>
    <cfRule type="cellIs" dxfId="916" priority="591" operator="equal">
      <formula>"YEL"</formula>
    </cfRule>
    <cfRule type="cellIs" dxfId="915" priority="592" operator="equal">
      <formula>"BLU"</formula>
    </cfRule>
    <cfRule type="cellIs" dxfId="914" priority="593" operator="equal">
      <formula>"WHI"</formula>
    </cfRule>
    <cfRule type="cellIs" dxfId="913" priority="594" operator="equal">
      <formula>"GRE"</formula>
    </cfRule>
    <cfRule type="cellIs" dxfId="912" priority="595" operator="equal">
      <formula>"RED"</formula>
    </cfRule>
    <cfRule type="cellIs" dxfId="911" priority="596" operator="equal">
      <formula>"BLA"</formula>
    </cfRule>
  </conditionalFormatting>
  <conditionalFormatting sqref="BV10">
    <cfRule type="cellIs" dxfId="910" priority="608" operator="equal">
      <formula>"nc"</formula>
    </cfRule>
  </conditionalFormatting>
  <conditionalFormatting sqref="BX10:CA10 CD10:CF10">
    <cfRule type="cellIs" dxfId="909" priority="582" operator="equal">
      <formula>"y"</formula>
    </cfRule>
    <cfRule type="cellIs" dxfId="908" priority="597" operator="equal">
      <formula>"PIN"</formula>
    </cfRule>
    <cfRule type="cellIs" dxfId="907" priority="598" operator="equal">
      <formula>"ORA"</formula>
    </cfRule>
    <cfRule type="cellIs" dxfId="906" priority="599" operator="equal">
      <formula>"GRA"</formula>
    </cfRule>
    <cfRule type="cellIs" dxfId="905" priority="600" operator="equal">
      <formula>"PUR"</formula>
    </cfRule>
    <cfRule type="cellIs" dxfId="904" priority="601" operator="equal">
      <formula>"BRO"</formula>
    </cfRule>
    <cfRule type="cellIs" dxfId="903" priority="602" operator="equal">
      <formula>"YEL"</formula>
    </cfRule>
    <cfRule type="cellIs" dxfId="902" priority="603" operator="equal">
      <formula>"BLU"</formula>
    </cfRule>
    <cfRule type="cellIs" dxfId="901" priority="604" operator="equal">
      <formula>"WHI"</formula>
    </cfRule>
    <cfRule type="cellIs" dxfId="900" priority="605" operator="equal">
      <formula>"GRE"</formula>
    </cfRule>
    <cfRule type="cellIs" dxfId="899" priority="606" operator="equal">
      <formula>"RED"</formula>
    </cfRule>
    <cfRule type="cellIs" dxfId="898" priority="607" operator="equal">
      <formula>"BLA"</formula>
    </cfRule>
  </conditionalFormatting>
  <conditionalFormatting sqref="BZ10:CA10 CD10:CF10">
    <cfRule type="cellIs" dxfId="897" priority="584" operator="greaterThan">
      <formula>0</formula>
    </cfRule>
  </conditionalFormatting>
  <conditionalFormatting sqref="IC10:IK10">
    <cfRule type="expression" dxfId="896" priority="585">
      <formula>$IL10&gt;0</formula>
    </cfRule>
  </conditionalFormatting>
  <conditionalFormatting sqref="J10">
    <cfRule type="colorScale" priority="609">
      <colorScale>
        <cfvo type="min"/>
        <cfvo type="percentile" val="50"/>
        <cfvo type="max"/>
        <color rgb="FFF8696B"/>
        <color rgb="FFFFEB84"/>
        <color rgb="FF63BE7B"/>
      </colorScale>
    </cfRule>
  </conditionalFormatting>
  <conditionalFormatting sqref="S10">
    <cfRule type="colorScale" priority="610">
      <colorScale>
        <cfvo type="min"/>
        <cfvo type="max"/>
        <color rgb="FFFCFCFF"/>
        <color rgb="FF754BFB"/>
      </colorScale>
    </cfRule>
  </conditionalFormatting>
  <conditionalFormatting sqref="AT10">
    <cfRule type="colorScale" priority="611">
      <colorScale>
        <cfvo type="min"/>
        <cfvo type="max"/>
        <color rgb="FFFCFCFF"/>
        <color theme="8" tint="0.39997558519241921"/>
      </colorScale>
    </cfRule>
  </conditionalFormatting>
  <conditionalFormatting sqref="CG10">
    <cfRule type="colorScale" priority="612">
      <colorScale>
        <cfvo type="min"/>
        <cfvo type="max"/>
        <color rgb="FFFCFCFF"/>
        <color rgb="FF63BE7B"/>
      </colorScale>
    </cfRule>
  </conditionalFormatting>
  <conditionalFormatting sqref="H11">
    <cfRule type="cellIs" dxfId="895" priority="545" stopIfTrue="1" operator="notEqual">
      <formula>""</formula>
    </cfRule>
  </conditionalFormatting>
  <conditionalFormatting sqref="R11 CU11">
    <cfRule type="cellIs" dxfId="894" priority="547" operator="greaterThan">
      <formula>0</formula>
    </cfRule>
  </conditionalFormatting>
  <conditionalFormatting sqref="T11:AS11 CH11:CS11">
    <cfRule type="cellIs" dxfId="893" priority="542" stopIfTrue="1" operator="equal">
      <formula>"n"</formula>
    </cfRule>
    <cfRule type="cellIs" dxfId="892" priority="543" stopIfTrue="1" operator="equal">
      <formula>"y"</formula>
    </cfRule>
    <cfRule type="cellIs" dxfId="891" priority="544" operator="greaterThan">
      <formula>0</formula>
    </cfRule>
  </conditionalFormatting>
  <conditionalFormatting sqref="AZ11:BB11">
    <cfRule type="expression" dxfId="890" priority="541">
      <formula>$AT11=0</formula>
    </cfRule>
  </conditionalFormatting>
  <conditionalFormatting sqref="AZ11:BU11">
    <cfRule type="cellIs" dxfId="889" priority="550" operator="equal">
      <formula>"PIN"</formula>
    </cfRule>
    <cfRule type="cellIs" dxfId="888" priority="551" operator="equal">
      <formula>"ORA"</formula>
    </cfRule>
    <cfRule type="cellIs" dxfId="887" priority="552" operator="equal">
      <formula>"GRA"</formula>
    </cfRule>
    <cfRule type="cellIs" dxfId="886" priority="553" operator="equal">
      <formula>"PUR"</formula>
    </cfRule>
    <cfRule type="cellIs" dxfId="885" priority="554" operator="equal">
      <formula>"BRO"</formula>
    </cfRule>
    <cfRule type="cellIs" dxfId="884" priority="555" operator="equal">
      <formula>"YEL"</formula>
    </cfRule>
    <cfRule type="cellIs" dxfId="883" priority="556" operator="equal">
      <formula>"BLU"</formula>
    </cfRule>
    <cfRule type="cellIs" dxfId="882" priority="557" operator="equal">
      <formula>"WHI"</formula>
    </cfRule>
    <cfRule type="cellIs" dxfId="881" priority="558" operator="equal">
      <formula>"GRE"</formula>
    </cfRule>
    <cfRule type="cellIs" dxfId="880" priority="559" operator="equal">
      <formula>"RED"</formula>
    </cfRule>
    <cfRule type="cellIs" dxfId="879" priority="560" operator="equal">
      <formula>"BLA"</formula>
    </cfRule>
  </conditionalFormatting>
  <conditionalFormatting sqref="BV11">
    <cfRule type="cellIs" dxfId="878" priority="572" operator="equal">
      <formula>"nc"</formula>
    </cfRule>
  </conditionalFormatting>
  <conditionalFormatting sqref="BX11:CA11 CD11:CF11">
    <cfRule type="cellIs" dxfId="877" priority="546" operator="equal">
      <formula>"y"</formula>
    </cfRule>
    <cfRule type="cellIs" dxfId="876" priority="561" operator="equal">
      <formula>"PIN"</formula>
    </cfRule>
    <cfRule type="cellIs" dxfId="875" priority="562" operator="equal">
      <formula>"ORA"</formula>
    </cfRule>
    <cfRule type="cellIs" dxfId="874" priority="563" operator="equal">
      <formula>"GRA"</formula>
    </cfRule>
    <cfRule type="cellIs" dxfId="873" priority="564" operator="equal">
      <formula>"PUR"</formula>
    </cfRule>
    <cfRule type="cellIs" dxfId="872" priority="565" operator="equal">
      <formula>"BRO"</formula>
    </cfRule>
    <cfRule type="cellIs" dxfId="871" priority="566" operator="equal">
      <formula>"YEL"</formula>
    </cfRule>
    <cfRule type="cellIs" dxfId="870" priority="567" operator="equal">
      <formula>"BLU"</formula>
    </cfRule>
    <cfRule type="cellIs" dxfId="869" priority="568" operator="equal">
      <formula>"WHI"</formula>
    </cfRule>
    <cfRule type="cellIs" dxfId="868" priority="569" operator="equal">
      <formula>"GRE"</formula>
    </cfRule>
    <cfRule type="cellIs" dxfId="867" priority="570" operator="equal">
      <formula>"RED"</formula>
    </cfRule>
    <cfRule type="cellIs" dxfId="866" priority="571" operator="equal">
      <formula>"BLA"</formula>
    </cfRule>
  </conditionalFormatting>
  <conditionalFormatting sqref="BZ11:CA11 CD11:CF11">
    <cfRule type="cellIs" dxfId="865" priority="548" operator="greaterThan">
      <formula>0</formula>
    </cfRule>
  </conditionalFormatting>
  <conditionalFormatting sqref="IC11:IK11">
    <cfRule type="expression" dxfId="864" priority="549">
      <formula>$IL11&gt;0</formula>
    </cfRule>
  </conditionalFormatting>
  <conditionalFormatting sqref="J11">
    <cfRule type="colorScale" priority="573">
      <colorScale>
        <cfvo type="min"/>
        <cfvo type="percentile" val="50"/>
        <cfvo type="max"/>
        <color rgb="FFF8696B"/>
        <color rgb="FFFFEB84"/>
        <color rgb="FF63BE7B"/>
      </colorScale>
    </cfRule>
  </conditionalFormatting>
  <conditionalFormatting sqref="S11">
    <cfRule type="colorScale" priority="574">
      <colorScale>
        <cfvo type="min"/>
        <cfvo type="max"/>
        <color rgb="FFFCFCFF"/>
        <color rgb="FF754BFB"/>
      </colorScale>
    </cfRule>
  </conditionalFormatting>
  <conditionalFormatting sqref="AT11">
    <cfRule type="colorScale" priority="575">
      <colorScale>
        <cfvo type="min"/>
        <cfvo type="max"/>
        <color rgb="FFFCFCFF"/>
        <color theme="8" tint="0.39997558519241921"/>
      </colorScale>
    </cfRule>
  </conditionalFormatting>
  <conditionalFormatting sqref="CG11">
    <cfRule type="colorScale" priority="576">
      <colorScale>
        <cfvo type="min"/>
        <cfvo type="max"/>
        <color rgb="FFFCFCFF"/>
        <color rgb="FF63BE7B"/>
      </colorScale>
    </cfRule>
  </conditionalFormatting>
  <conditionalFormatting sqref="H12">
    <cfRule type="cellIs" dxfId="863" priority="509" stopIfTrue="1" operator="notEqual">
      <formula>""</formula>
    </cfRule>
  </conditionalFormatting>
  <conditionalFormatting sqref="R12 CU12">
    <cfRule type="cellIs" dxfId="862" priority="511" operator="greaterThan">
      <formula>0</formula>
    </cfRule>
  </conditionalFormatting>
  <conditionalFormatting sqref="T12:AS12 CH12:CS12">
    <cfRule type="cellIs" dxfId="861" priority="506" stopIfTrue="1" operator="equal">
      <formula>"n"</formula>
    </cfRule>
    <cfRule type="cellIs" dxfId="860" priority="507" stopIfTrue="1" operator="equal">
      <formula>"y"</formula>
    </cfRule>
    <cfRule type="cellIs" dxfId="859" priority="508" operator="greaterThan">
      <formula>0</formula>
    </cfRule>
  </conditionalFormatting>
  <conditionalFormatting sqref="AZ12:BB12">
    <cfRule type="expression" dxfId="858" priority="505">
      <formula>$AT12=0</formula>
    </cfRule>
  </conditionalFormatting>
  <conditionalFormatting sqref="AZ12:BU12">
    <cfRule type="cellIs" dxfId="857" priority="514" operator="equal">
      <formula>"PIN"</formula>
    </cfRule>
    <cfRule type="cellIs" dxfId="856" priority="515" operator="equal">
      <formula>"ORA"</formula>
    </cfRule>
    <cfRule type="cellIs" dxfId="855" priority="516" operator="equal">
      <formula>"GRA"</formula>
    </cfRule>
    <cfRule type="cellIs" dxfId="854" priority="517" operator="equal">
      <formula>"PUR"</formula>
    </cfRule>
    <cfRule type="cellIs" dxfId="853" priority="518" operator="equal">
      <formula>"BRO"</formula>
    </cfRule>
    <cfRule type="cellIs" dxfId="852" priority="519" operator="equal">
      <formula>"YEL"</formula>
    </cfRule>
    <cfRule type="cellIs" dxfId="851" priority="520" operator="equal">
      <formula>"BLU"</formula>
    </cfRule>
    <cfRule type="cellIs" dxfId="850" priority="521" operator="equal">
      <formula>"WHI"</formula>
    </cfRule>
    <cfRule type="cellIs" dxfId="849" priority="522" operator="equal">
      <formula>"GRE"</formula>
    </cfRule>
    <cfRule type="cellIs" dxfId="848" priority="523" operator="equal">
      <formula>"RED"</formula>
    </cfRule>
    <cfRule type="cellIs" dxfId="847" priority="524" operator="equal">
      <formula>"BLA"</formula>
    </cfRule>
  </conditionalFormatting>
  <conditionalFormatting sqref="BV12">
    <cfRule type="cellIs" dxfId="846" priority="536" operator="equal">
      <formula>"nc"</formula>
    </cfRule>
  </conditionalFormatting>
  <conditionalFormatting sqref="BX12:CA12 CD12:CF12">
    <cfRule type="cellIs" dxfId="845" priority="510" operator="equal">
      <formula>"y"</formula>
    </cfRule>
    <cfRule type="cellIs" dxfId="844" priority="525" operator="equal">
      <formula>"PIN"</formula>
    </cfRule>
    <cfRule type="cellIs" dxfId="843" priority="526" operator="equal">
      <formula>"ORA"</formula>
    </cfRule>
    <cfRule type="cellIs" dxfId="842" priority="527" operator="equal">
      <formula>"GRA"</formula>
    </cfRule>
    <cfRule type="cellIs" dxfId="841" priority="528" operator="equal">
      <formula>"PUR"</formula>
    </cfRule>
    <cfRule type="cellIs" dxfId="840" priority="529" operator="equal">
      <formula>"BRO"</formula>
    </cfRule>
    <cfRule type="cellIs" dxfId="839" priority="530" operator="equal">
      <formula>"YEL"</formula>
    </cfRule>
    <cfRule type="cellIs" dxfId="838" priority="531" operator="equal">
      <formula>"BLU"</formula>
    </cfRule>
    <cfRule type="cellIs" dxfId="837" priority="532" operator="equal">
      <formula>"WHI"</formula>
    </cfRule>
    <cfRule type="cellIs" dxfId="836" priority="533" operator="equal">
      <formula>"GRE"</formula>
    </cfRule>
    <cfRule type="cellIs" dxfId="835" priority="534" operator="equal">
      <formula>"RED"</formula>
    </cfRule>
    <cfRule type="cellIs" dxfId="834" priority="535" operator="equal">
      <formula>"BLA"</formula>
    </cfRule>
  </conditionalFormatting>
  <conditionalFormatting sqref="BZ12:CA12 CD12:CF12">
    <cfRule type="cellIs" dxfId="833" priority="512" operator="greaterThan">
      <formula>0</formula>
    </cfRule>
  </conditionalFormatting>
  <conditionalFormatting sqref="IC12:IK12">
    <cfRule type="expression" dxfId="832" priority="513">
      <formula>$IL12&gt;0</formula>
    </cfRule>
  </conditionalFormatting>
  <conditionalFormatting sqref="J12">
    <cfRule type="colorScale" priority="537">
      <colorScale>
        <cfvo type="min"/>
        <cfvo type="percentile" val="50"/>
        <cfvo type="max"/>
        <color rgb="FFF8696B"/>
        <color rgb="FFFFEB84"/>
        <color rgb="FF63BE7B"/>
      </colorScale>
    </cfRule>
  </conditionalFormatting>
  <conditionalFormatting sqref="S12">
    <cfRule type="colorScale" priority="538">
      <colorScale>
        <cfvo type="min"/>
        <cfvo type="max"/>
        <color rgb="FFFCFCFF"/>
        <color rgb="FF754BFB"/>
      </colorScale>
    </cfRule>
  </conditionalFormatting>
  <conditionalFormatting sqref="AT12">
    <cfRule type="colorScale" priority="539">
      <colorScale>
        <cfvo type="min"/>
        <cfvo type="max"/>
        <color rgb="FFFCFCFF"/>
        <color theme="8" tint="0.39997558519241921"/>
      </colorScale>
    </cfRule>
  </conditionalFormatting>
  <conditionalFormatting sqref="CG12">
    <cfRule type="colorScale" priority="540">
      <colorScale>
        <cfvo type="min"/>
        <cfvo type="max"/>
        <color rgb="FFFCFCFF"/>
        <color rgb="FF63BE7B"/>
      </colorScale>
    </cfRule>
  </conditionalFormatting>
  <conditionalFormatting sqref="H13">
    <cfRule type="cellIs" dxfId="831" priority="473" stopIfTrue="1" operator="notEqual">
      <formula>""</formula>
    </cfRule>
  </conditionalFormatting>
  <conditionalFormatting sqref="R13 CU13">
    <cfRule type="cellIs" dxfId="830" priority="475" operator="greaterThan">
      <formula>0</formula>
    </cfRule>
  </conditionalFormatting>
  <conditionalFormatting sqref="T13:AS13 CH13:CS13">
    <cfRule type="cellIs" dxfId="829" priority="470" stopIfTrue="1" operator="equal">
      <formula>"n"</formula>
    </cfRule>
    <cfRule type="cellIs" dxfId="828" priority="471" stopIfTrue="1" operator="equal">
      <formula>"y"</formula>
    </cfRule>
    <cfRule type="cellIs" dxfId="827" priority="472" operator="greaterThan">
      <formula>0</formula>
    </cfRule>
  </conditionalFormatting>
  <conditionalFormatting sqref="AZ13:BB13">
    <cfRule type="expression" dxfId="826" priority="469">
      <formula>$AT13=0</formula>
    </cfRule>
  </conditionalFormatting>
  <conditionalFormatting sqref="AZ13:BU13">
    <cfRule type="cellIs" dxfId="825" priority="478" operator="equal">
      <formula>"PIN"</formula>
    </cfRule>
    <cfRule type="cellIs" dxfId="824" priority="479" operator="equal">
      <formula>"ORA"</formula>
    </cfRule>
    <cfRule type="cellIs" dxfId="823" priority="480" operator="equal">
      <formula>"GRA"</formula>
    </cfRule>
    <cfRule type="cellIs" dxfId="822" priority="481" operator="equal">
      <formula>"PUR"</formula>
    </cfRule>
    <cfRule type="cellIs" dxfId="821" priority="482" operator="equal">
      <formula>"BRO"</formula>
    </cfRule>
    <cfRule type="cellIs" dxfId="820" priority="483" operator="equal">
      <formula>"YEL"</formula>
    </cfRule>
    <cfRule type="cellIs" dxfId="819" priority="484" operator="equal">
      <formula>"BLU"</formula>
    </cfRule>
    <cfRule type="cellIs" dxfId="818" priority="485" operator="equal">
      <formula>"WHI"</formula>
    </cfRule>
    <cfRule type="cellIs" dxfId="817" priority="486" operator="equal">
      <formula>"GRE"</formula>
    </cfRule>
    <cfRule type="cellIs" dxfId="816" priority="487" operator="equal">
      <formula>"RED"</formula>
    </cfRule>
    <cfRule type="cellIs" dxfId="815" priority="488" operator="equal">
      <formula>"BLA"</formula>
    </cfRule>
  </conditionalFormatting>
  <conditionalFormatting sqref="BV13">
    <cfRule type="cellIs" dxfId="814" priority="500" operator="equal">
      <formula>"nc"</formula>
    </cfRule>
  </conditionalFormatting>
  <conditionalFormatting sqref="BX13:CA13 CD13:CF13">
    <cfRule type="cellIs" dxfId="813" priority="474" operator="equal">
      <formula>"y"</formula>
    </cfRule>
    <cfRule type="cellIs" dxfId="812" priority="489" operator="equal">
      <formula>"PIN"</formula>
    </cfRule>
    <cfRule type="cellIs" dxfId="811" priority="490" operator="equal">
      <formula>"ORA"</formula>
    </cfRule>
    <cfRule type="cellIs" dxfId="810" priority="491" operator="equal">
      <formula>"GRA"</formula>
    </cfRule>
    <cfRule type="cellIs" dxfId="809" priority="492" operator="equal">
      <formula>"PUR"</formula>
    </cfRule>
    <cfRule type="cellIs" dxfId="808" priority="493" operator="equal">
      <formula>"BRO"</formula>
    </cfRule>
    <cfRule type="cellIs" dxfId="807" priority="494" operator="equal">
      <formula>"YEL"</formula>
    </cfRule>
    <cfRule type="cellIs" dxfId="806" priority="495" operator="equal">
      <formula>"BLU"</formula>
    </cfRule>
    <cfRule type="cellIs" dxfId="805" priority="496" operator="equal">
      <formula>"WHI"</formula>
    </cfRule>
    <cfRule type="cellIs" dxfId="804" priority="497" operator="equal">
      <formula>"GRE"</formula>
    </cfRule>
    <cfRule type="cellIs" dxfId="803" priority="498" operator="equal">
      <formula>"RED"</formula>
    </cfRule>
    <cfRule type="cellIs" dxfId="802" priority="499" operator="equal">
      <formula>"BLA"</formula>
    </cfRule>
  </conditionalFormatting>
  <conditionalFormatting sqref="BZ13:CA13 CD13:CF13">
    <cfRule type="cellIs" dxfId="801" priority="476" operator="greaterThan">
      <formula>0</formula>
    </cfRule>
  </conditionalFormatting>
  <conditionalFormatting sqref="IC13:IK13">
    <cfRule type="expression" dxfId="800" priority="477">
      <formula>$IL13&gt;0</formula>
    </cfRule>
  </conditionalFormatting>
  <conditionalFormatting sqref="J13">
    <cfRule type="colorScale" priority="501">
      <colorScale>
        <cfvo type="min"/>
        <cfvo type="percentile" val="50"/>
        <cfvo type="max"/>
        <color rgb="FFF8696B"/>
        <color rgb="FFFFEB84"/>
        <color rgb="FF63BE7B"/>
      </colorScale>
    </cfRule>
  </conditionalFormatting>
  <conditionalFormatting sqref="S13">
    <cfRule type="colorScale" priority="502">
      <colorScale>
        <cfvo type="min"/>
        <cfvo type="max"/>
        <color rgb="FFFCFCFF"/>
        <color rgb="FF754BFB"/>
      </colorScale>
    </cfRule>
  </conditionalFormatting>
  <conditionalFormatting sqref="AT13">
    <cfRule type="colorScale" priority="503">
      <colorScale>
        <cfvo type="min"/>
        <cfvo type="max"/>
        <color rgb="FFFCFCFF"/>
        <color theme="8" tint="0.39997558519241921"/>
      </colorScale>
    </cfRule>
  </conditionalFormatting>
  <conditionalFormatting sqref="CG13">
    <cfRule type="colorScale" priority="504">
      <colorScale>
        <cfvo type="min"/>
        <cfvo type="max"/>
        <color rgb="FFFCFCFF"/>
        <color rgb="FF63BE7B"/>
      </colorScale>
    </cfRule>
  </conditionalFormatting>
  <conditionalFormatting sqref="H14">
    <cfRule type="cellIs" dxfId="799" priority="437" stopIfTrue="1" operator="notEqual">
      <formula>""</formula>
    </cfRule>
  </conditionalFormatting>
  <conditionalFormatting sqref="R14 CU14">
    <cfRule type="cellIs" dxfId="798" priority="439" operator="greaterThan">
      <formula>0</formula>
    </cfRule>
  </conditionalFormatting>
  <conditionalFormatting sqref="T14:AS14 CH14:CS14">
    <cfRule type="cellIs" dxfId="797" priority="434" stopIfTrue="1" operator="equal">
      <formula>"n"</formula>
    </cfRule>
    <cfRule type="cellIs" dxfId="796" priority="435" stopIfTrue="1" operator="equal">
      <formula>"y"</formula>
    </cfRule>
    <cfRule type="cellIs" dxfId="795" priority="436" operator="greaterThan">
      <formula>0</formula>
    </cfRule>
  </conditionalFormatting>
  <conditionalFormatting sqref="AZ14:BB14">
    <cfRule type="expression" dxfId="794" priority="433">
      <formula>$AT14=0</formula>
    </cfRule>
  </conditionalFormatting>
  <conditionalFormatting sqref="AZ14:BU14">
    <cfRule type="cellIs" dxfId="793" priority="442" operator="equal">
      <formula>"PIN"</formula>
    </cfRule>
    <cfRule type="cellIs" dxfId="792" priority="443" operator="equal">
      <formula>"ORA"</formula>
    </cfRule>
    <cfRule type="cellIs" dxfId="791" priority="444" operator="equal">
      <formula>"GRA"</formula>
    </cfRule>
    <cfRule type="cellIs" dxfId="790" priority="445" operator="equal">
      <formula>"PUR"</formula>
    </cfRule>
    <cfRule type="cellIs" dxfId="789" priority="446" operator="equal">
      <formula>"BRO"</formula>
    </cfRule>
    <cfRule type="cellIs" dxfId="788" priority="447" operator="equal">
      <formula>"YEL"</formula>
    </cfRule>
    <cfRule type="cellIs" dxfId="787" priority="448" operator="equal">
      <formula>"BLU"</formula>
    </cfRule>
    <cfRule type="cellIs" dxfId="786" priority="449" operator="equal">
      <formula>"WHI"</formula>
    </cfRule>
    <cfRule type="cellIs" dxfId="785" priority="450" operator="equal">
      <formula>"GRE"</formula>
    </cfRule>
    <cfRule type="cellIs" dxfId="784" priority="451" operator="equal">
      <formula>"RED"</formula>
    </cfRule>
    <cfRule type="cellIs" dxfId="783" priority="452" operator="equal">
      <formula>"BLA"</formula>
    </cfRule>
  </conditionalFormatting>
  <conditionalFormatting sqref="BV14">
    <cfRule type="cellIs" dxfId="782" priority="464" operator="equal">
      <formula>"nc"</formula>
    </cfRule>
  </conditionalFormatting>
  <conditionalFormatting sqref="BX14:CA14 CD14:CF14">
    <cfRule type="cellIs" dxfId="781" priority="438" operator="equal">
      <formula>"y"</formula>
    </cfRule>
    <cfRule type="cellIs" dxfId="780" priority="453" operator="equal">
      <formula>"PIN"</formula>
    </cfRule>
    <cfRule type="cellIs" dxfId="779" priority="454" operator="equal">
      <formula>"ORA"</formula>
    </cfRule>
    <cfRule type="cellIs" dxfId="778" priority="455" operator="equal">
      <formula>"GRA"</formula>
    </cfRule>
    <cfRule type="cellIs" dxfId="777" priority="456" operator="equal">
      <formula>"PUR"</formula>
    </cfRule>
    <cfRule type="cellIs" dxfId="776" priority="457" operator="equal">
      <formula>"BRO"</formula>
    </cfRule>
    <cfRule type="cellIs" dxfId="775" priority="458" operator="equal">
      <formula>"YEL"</formula>
    </cfRule>
    <cfRule type="cellIs" dxfId="774" priority="459" operator="equal">
      <formula>"BLU"</formula>
    </cfRule>
    <cfRule type="cellIs" dxfId="773" priority="460" operator="equal">
      <formula>"WHI"</formula>
    </cfRule>
    <cfRule type="cellIs" dxfId="772" priority="461" operator="equal">
      <formula>"GRE"</formula>
    </cfRule>
    <cfRule type="cellIs" dxfId="771" priority="462" operator="equal">
      <formula>"RED"</formula>
    </cfRule>
    <cfRule type="cellIs" dxfId="770" priority="463" operator="equal">
      <formula>"BLA"</formula>
    </cfRule>
  </conditionalFormatting>
  <conditionalFormatting sqref="BZ14:CA14 CD14:CF14">
    <cfRule type="cellIs" dxfId="769" priority="440" operator="greaterThan">
      <formula>0</formula>
    </cfRule>
  </conditionalFormatting>
  <conditionalFormatting sqref="IC14:IK14">
    <cfRule type="expression" dxfId="768" priority="441">
      <formula>$IL14&gt;0</formula>
    </cfRule>
  </conditionalFormatting>
  <conditionalFormatting sqref="J14">
    <cfRule type="colorScale" priority="465">
      <colorScale>
        <cfvo type="min"/>
        <cfvo type="percentile" val="50"/>
        <cfvo type="max"/>
        <color rgb="FFF8696B"/>
        <color rgb="FFFFEB84"/>
        <color rgb="FF63BE7B"/>
      </colorScale>
    </cfRule>
  </conditionalFormatting>
  <conditionalFormatting sqref="S14">
    <cfRule type="colorScale" priority="466">
      <colorScale>
        <cfvo type="min"/>
        <cfvo type="max"/>
        <color rgb="FFFCFCFF"/>
        <color rgb="FF754BFB"/>
      </colorScale>
    </cfRule>
  </conditionalFormatting>
  <conditionalFormatting sqref="AT14">
    <cfRule type="colorScale" priority="467">
      <colorScale>
        <cfvo type="min"/>
        <cfvo type="max"/>
        <color rgb="FFFCFCFF"/>
        <color theme="8" tint="0.39997558519241921"/>
      </colorScale>
    </cfRule>
  </conditionalFormatting>
  <conditionalFormatting sqref="CG14">
    <cfRule type="colorScale" priority="468">
      <colorScale>
        <cfvo type="min"/>
        <cfvo type="max"/>
        <color rgb="FFFCFCFF"/>
        <color rgb="FF63BE7B"/>
      </colorScale>
    </cfRule>
  </conditionalFormatting>
  <conditionalFormatting sqref="H15">
    <cfRule type="cellIs" dxfId="767" priority="401" stopIfTrue="1" operator="notEqual">
      <formula>""</formula>
    </cfRule>
  </conditionalFormatting>
  <conditionalFormatting sqref="R15 CU15">
    <cfRule type="cellIs" dxfId="766" priority="403" operator="greaterThan">
      <formula>0</formula>
    </cfRule>
  </conditionalFormatting>
  <conditionalFormatting sqref="T15:AS15 CH15:CS15">
    <cfRule type="cellIs" dxfId="765" priority="398" stopIfTrue="1" operator="equal">
      <formula>"n"</formula>
    </cfRule>
    <cfRule type="cellIs" dxfId="764" priority="399" stopIfTrue="1" operator="equal">
      <formula>"y"</formula>
    </cfRule>
    <cfRule type="cellIs" dxfId="763" priority="400" operator="greaterThan">
      <formula>0</formula>
    </cfRule>
  </conditionalFormatting>
  <conditionalFormatting sqref="AZ15:BB15">
    <cfRule type="expression" dxfId="762" priority="397">
      <formula>$AT15=0</formula>
    </cfRule>
  </conditionalFormatting>
  <conditionalFormatting sqref="AZ15:BU15">
    <cfRule type="cellIs" dxfId="761" priority="406" operator="equal">
      <formula>"PIN"</formula>
    </cfRule>
    <cfRule type="cellIs" dxfId="760" priority="407" operator="equal">
      <formula>"ORA"</formula>
    </cfRule>
    <cfRule type="cellIs" dxfId="759" priority="408" operator="equal">
      <formula>"GRA"</formula>
    </cfRule>
    <cfRule type="cellIs" dxfId="758" priority="409" operator="equal">
      <formula>"PUR"</formula>
    </cfRule>
    <cfRule type="cellIs" dxfId="757" priority="410" operator="equal">
      <formula>"BRO"</formula>
    </cfRule>
    <cfRule type="cellIs" dxfId="756" priority="411" operator="equal">
      <formula>"YEL"</formula>
    </cfRule>
    <cfRule type="cellIs" dxfId="755" priority="412" operator="equal">
      <formula>"BLU"</formula>
    </cfRule>
    <cfRule type="cellIs" dxfId="754" priority="413" operator="equal">
      <formula>"WHI"</formula>
    </cfRule>
    <cfRule type="cellIs" dxfId="753" priority="414" operator="equal">
      <formula>"GRE"</formula>
    </cfRule>
    <cfRule type="cellIs" dxfId="752" priority="415" operator="equal">
      <formula>"RED"</formula>
    </cfRule>
    <cfRule type="cellIs" dxfId="751" priority="416" operator="equal">
      <formula>"BLA"</formula>
    </cfRule>
  </conditionalFormatting>
  <conditionalFormatting sqref="BV15">
    <cfRule type="cellIs" dxfId="750" priority="428" operator="equal">
      <formula>"nc"</formula>
    </cfRule>
  </conditionalFormatting>
  <conditionalFormatting sqref="BX15:CA15 CD15:CF15">
    <cfRule type="cellIs" dxfId="749" priority="402" operator="equal">
      <formula>"y"</formula>
    </cfRule>
    <cfRule type="cellIs" dxfId="748" priority="417" operator="equal">
      <formula>"PIN"</formula>
    </cfRule>
    <cfRule type="cellIs" dxfId="747" priority="418" operator="equal">
      <formula>"ORA"</formula>
    </cfRule>
    <cfRule type="cellIs" dxfId="746" priority="419" operator="equal">
      <formula>"GRA"</formula>
    </cfRule>
    <cfRule type="cellIs" dxfId="745" priority="420" operator="equal">
      <formula>"PUR"</formula>
    </cfRule>
    <cfRule type="cellIs" dxfId="744" priority="421" operator="equal">
      <formula>"BRO"</formula>
    </cfRule>
    <cfRule type="cellIs" dxfId="743" priority="422" operator="equal">
      <formula>"YEL"</formula>
    </cfRule>
    <cfRule type="cellIs" dxfId="742" priority="423" operator="equal">
      <formula>"BLU"</formula>
    </cfRule>
    <cfRule type="cellIs" dxfId="741" priority="424" operator="equal">
      <formula>"WHI"</formula>
    </cfRule>
    <cfRule type="cellIs" dxfId="740" priority="425" operator="equal">
      <formula>"GRE"</formula>
    </cfRule>
    <cfRule type="cellIs" dxfId="739" priority="426" operator="equal">
      <formula>"RED"</formula>
    </cfRule>
    <cfRule type="cellIs" dxfId="738" priority="427" operator="equal">
      <formula>"BLA"</formula>
    </cfRule>
  </conditionalFormatting>
  <conditionalFormatting sqref="BZ15:CA15 CD15:CF15">
    <cfRule type="cellIs" dxfId="737" priority="404" operator="greaterThan">
      <formula>0</formula>
    </cfRule>
  </conditionalFormatting>
  <conditionalFormatting sqref="IC15:IK15">
    <cfRule type="expression" dxfId="736" priority="405">
      <formula>$IL15&gt;0</formula>
    </cfRule>
  </conditionalFormatting>
  <conditionalFormatting sqref="J15">
    <cfRule type="colorScale" priority="429">
      <colorScale>
        <cfvo type="min"/>
        <cfvo type="percentile" val="50"/>
        <cfvo type="max"/>
        <color rgb="FFF8696B"/>
        <color rgb="FFFFEB84"/>
        <color rgb="FF63BE7B"/>
      </colorScale>
    </cfRule>
  </conditionalFormatting>
  <conditionalFormatting sqref="S15">
    <cfRule type="colorScale" priority="430">
      <colorScale>
        <cfvo type="min"/>
        <cfvo type="max"/>
        <color rgb="FFFCFCFF"/>
        <color rgb="FF754BFB"/>
      </colorScale>
    </cfRule>
  </conditionalFormatting>
  <conditionalFormatting sqref="AT15">
    <cfRule type="colorScale" priority="431">
      <colorScale>
        <cfvo type="min"/>
        <cfvo type="max"/>
        <color rgb="FFFCFCFF"/>
        <color theme="8" tint="0.39997558519241921"/>
      </colorScale>
    </cfRule>
  </conditionalFormatting>
  <conditionalFormatting sqref="CG15">
    <cfRule type="colorScale" priority="432">
      <colorScale>
        <cfvo type="min"/>
        <cfvo type="max"/>
        <color rgb="FFFCFCFF"/>
        <color rgb="FF63BE7B"/>
      </colorScale>
    </cfRule>
  </conditionalFormatting>
  <conditionalFormatting sqref="H16">
    <cfRule type="cellIs" dxfId="735" priority="365" stopIfTrue="1" operator="notEqual">
      <formula>""</formula>
    </cfRule>
  </conditionalFormatting>
  <conditionalFormatting sqref="R16 CU16">
    <cfRule type="cellIs" dxfId="734" priority="367" operator="greaterThan">
      <formula>0</formula>
    </cfRule>
  </conditionalFormatting>
  <conditionalFormatting sqref="T16:AS16 CH16:CS16">
    <cfRule type="cellIs" dxfId="733" priority="362" stopIfTrue="1" operator="equal">
      <formula>"n"</formula>
    </cfRule>
    <cfRule type="cellIs" dxfId="732" priority="363" stopIfTrue="1" operator="equal">
      <formula>"y"</formula>
    </cfRule>
    <cfRule type="cellIs" dxfId="731" priority="364" operator="greaterThan">
      <formula>0</formula>
    </cfRule>
  </conditionalFormatting>
  <conditionalFormatting sqref="AZ16:BB16">
    <cfRule type="expression" dxfId="730" priority="361">
      <formula>$AT16=0</formula>
    </cfRule>
  </conditionalFormatting>
  <conditionalFormatting sqref="AZ16:BU16">
    <cfRule type="cellIs" dxfId="729" priority="370" operator="equal">
      <formula>"PIN"</formula>
    </cfRule>
    <cfRule type="cellIs" dxfId="728" priority="371" operator="equal">
      <formula>"ORA"</formula>
    </cfRule>
    <cfRule type="cellIs" dxfId="727" priority="372" operator="equal">
      <formula>"GRA"</formula>
    </cfRule>
    <cfRule type="cellIs" dxfId="726" priority="373" operator="equal">
      <formula>"PUR"</formula>
    </cfRule>
    <cfRule type="cellIs" dxfId="725" priority="374" operator="equal">
      <formula>"BRO"</formula>
    </cfRule>
    <cfRule type="cellIs" dxfId="724" priority="375" operator="equal">
      <formula>"YEL"</formula>
    </cfRule>
    <cfRule type="cellIs" dxfId="723" priority="376" operator="equal">
      <formula>"BLU"</formula>
    </cfRule>
    <cfRule type="cellIs" dxfId="722" priority="377" operator="equal">
      <formula>"WHI"</formula>
    </cfRule>
    <cfRule type="cellIs" dxfId="721" priority="378" operator="equal">
      <formula>"GRE"</formula>
    </cfRule>
    <cfRule type="cellIs" dxfId="720" priority="379" operator="equal">
      <formula>"RED"</formula>
    </cfRule>
    <cfRule type="cellIs" dxfId="719" priority="380" operator="equal">
      <formula>"BLA"</formula>
    </cfRule>
  </conditionalFormatting>
  <conditionalFormatting sqref="BV16">
    <cfRule type="cellIs" dxfId="718" priority="392" operator="equal">
      <formula>"nc"</formula>
    </cfRule>
  </conditionalFormatting>
  <conditionalFormatting sqref="BX16:CA16 CD16:CF16">
    <cfRule type="cellIs" dxfId="717" priority="366" operator="equal">
      <formula>"y"</formula>
    </cfRule>
    <cfRule type="cellIs" dxfId="716" priority="381" operator="equal">
      <formula>"PIN"</formula>
    </cfRule>
    <cfRule type="cellIs" dxfId="715" priority="382" operator="equal">
      <formula>"ORA"</formula>
    </cfRule>
    <cfRule type="cellIs" dxfId="714" priority="383" operator="equal">
      <formula>"GRA"</formula>
    </cfRule>
    <cfRule type="cellIs" dxfId="713" priority="384" operator="equal">
      <formula>"PUR"</formula>
    </cfRule>
    <cfRule type="cellIs" dxfId="712" priority="385" operator="equal">
      <formula>"BRO"</formula>
    </cfRule>
    <cfRule type="cellIs" dxfId="711" priority="386" operator="equal">
      <formula>"YEL"</formula>
    </cfRule>
    <cfRule type="cellIs" dxfId="710" priority="387" operator="equal">
      <formula>"BLU"</formula>
    </cfRule>
    <cfRule type="cellIs" dxfId="709" priority="388" operator="equal">
      <formula>"WHI"</formula>
    </cfRule>
    <cfRule type="cellIs" dxfId="708" priority="389" operator="equal">
      <formula>"GRE"</formula>
    </cfRule>
    <cfRule type="cellIs" dxfId="707" priority="390" operator="equal">
      <formula>"RED"</formula>
    </cfRule>
    <cfRule type="cellIs" dxfId="706" priority="391" operator="equal">
      <formula>"BLA"</formula>
    </cfRule>
  </conditionalFormatting>
  <conditionalFormatting sqref="BZ16:CA16 CD16:CF16">
    <cfRule type="cellIs" dxfId="705" priority="368" operator="greaterThan">
      <formula>0</formula>
    </cfRule>
  </conditionalFormatting>
  <conditionalFormatting sqref="IC16:IK16">
    <cfRule type="expression" dxfId="704" priority="369">
      <formula>$IL16&gt;0</formula>
    </cfRule>
  </conditionalFormatting>
  <conditionalFormatting sqref="J16">
    <cfRule type="colorScale" priority="393">
      <colorScale>
        <cfvo type="min"/>
        <cfvo type="percentile" val="50"/>
        <cfvo type="max"/>
        <color rgb="FFF8696B"/>
        <color rgb="FFFFEB84"/>
        <color rgb="FF63BE7B"/>
      </colorScale>
    </cfRule>
  </conditionalFormatting>
  <conditionalFormatting sqref="S16">
    <cfRule type="colorScale" priority="394">
      <colorScale>
        <cfvo type="min"/>
        <cfvo type="max"/>
        <color rgb="FFFCFCFF"/>
        <color rgb="FF754BFB"/>
      </colorScale>
    </cfRule>
  </conditionalFormatting>
  <conditionalFormatting sqref="AT16">
    <cfRule type="colorScale" priority="395">
      <colorScale>
        <cfvo type="min"/>
        <cfvo type="max"/>
        <color rgb="FFFCFCFF"/>
        <color theme="8" tint="0.39997558519241921"/>
      </colorScale>
    </cfRule>
  </conditionalFormatting>
  <conditionalFormatting sqref="CG16">
    <cfRule type="colorScale" priority="396">
      <colorScale>
        <cfvo type="min"/>
        <cfvo type="max"/>
        <color rgb="FFFCFCFF"/>
        <color rgb="FF63BE7B"/>
      </colorScale>
    </cfRule>
  </conditionalFormatting>
  <conditionalFormatting sqref="H17">
    <cfRule type="cellIs" dxfId="703" priority="329" stopIfTrue="1" operator="notEqual">
      <formula>""</formula>
    </cfRule>
  </conditionalFormatting>
  <conditionalFormatting sqref="R17 CU17">
    <cfRule type="cellIs" dxfId="702" priority="331" operator="greaterThan">
      <formula>0</formula>
    </cfRule>
  </conditionalFormatting>
  <conditionalFormatting sqref="T17:AS17 CH17:CS17">
    <cfRule type="cellIs" dxfId="701" priority="326" stopIfTrue="1" operator="equal">
      <formula>"n"</formula>
    </cfRule>
    <cfRule type="cellIs" dxfId="700" priority="327" stopIfTrue="1" operator="equal">
      <formula>"y"</formula>
    </cfRule>
    <cfRule type="cellIs" dxfId="699" priority="328" operator="greaterThan">
      <formula>0</formula>
    </cfRule>
  </conditionalFormatting>
  <conditionalFormatting sqref="AZ17:BB17">
    <cfRule type="expression" dxfId="698" priority="325">
      <formula>$AT17=0</formula>
    </cfRule>
  </conditionalFormatting>
  <conditionalFormatting sqref="AZ17:BU17">
    <cfRule type="cellIs" dxfId="697" priority="334" operator="equal">
      <formula>"PIN"</formula>
    </cfRule>
    <cfRule type="cellIs" dxfId="696" priority="335" operator="equal">
      <formula>"ORA"</formula>
    </cfRule>
    <cfRule type="cellIs" dxfId="695" priority="336" operator="equal">
      <formula>"GRA"</formula>
    </cfRule>
    <cfRule type="cellIs" dxfId="694" priority="337" operator="equal">
      <formula>"PUR"</formula>
    </cfRule>
    <cfRule type="cellIs" dxfId="693" priority="338" operator="equal">
      <formula>"BRO"</formula>
    </cfRule>
    <cfRule type="cellIs" dxfId="692" priority="339" operator="equal">
      <formula>"YEL"</formula>
    </cfRule>
    <cfRule type="cellIs" dxfId="691" priority="340" operator="equal">
      <formula>"BLU"</formula>
    </cfRule>
    <cfRule type="cellIs" dxfId="690" priority="341" operator="equal">
      <formula>"WHI"</formula>
    </cfRule>
    <cfRule type="cellIs" dxfId="689" priority="342" operator="equal">
      <formula>"GRE"</formula>
    </cfRule>
    <cfRule type="cellIs" dxfId="688" priority="343" operator="equal">
      <formula>"RED"</formula>
    </cfRule>
    <cfRule type="cellIs" dxfId="687" priority="344" operator="equal">
      <formula>"BLA"</formula>
    </cfRule>
  </conditionalFormatting>
  <conditionalFormatting sqref="BV17">
    <cfRule type="cellIs" dxfId="686" priority="356" operator="equal">
      <formula>"nc"</formula>
    </cfRule>
  </conditionalFormatting>
  <conditionalFormatting sqref="BX17:CA17 CD17:CF17">
    <cfRule type="cellIs" dxfId="685" priority="330" operator="equal">
      <formula>"y"</formula>
    </cfRule>
    <cfRule type="cellIs" dxfId="684" priority="345" operator="equal">
      <formula>"PIN"</formula>
    </cfRule>
    <cfRule type="cellIs" dxfId="683" priority="346" operator="equal">
      <formula>"ORA"</formula>
    </cfRule>
    <cfRule type="cellIs" dxfId="682" priority="347" operator="equal">
      <formula>"GRA"</formula>
    </cfRule>
    <cfRule type="cellIs" dxfId="681" priority="348" operator="equal">
      <formula>"PUR"</formula>
    </cfRule>
    <cfRule type="cellIs" dxfId="680" priority="349" operator="equal">
      <formula>"BRO"</formula>
    </cfRule>
    <cfRule type="cellIs" dxfId="679" priority="350" operator="equal">
      <formula>"YEL"</formula>
    </cfRule>
    <cfRule type="cellIs" dxfId="678" priority="351" operator="equal">
      <formula>"BLU"</formula>
    </cfRule>
    <cfRule type="cellIs" dxfId="677" priority="352" operator="equal">
      <formula>"WHI"</formula>
    </cfRule>
    <cfRule type="cellIs" dxfId="676" priority="353" operator="equal">
      <formula>"GRE"</formula>
    </cfRule>
    <cfRule type="cellIs" dxfId="675" priority="354" operator="equal">
      <formula>"RED"</formula>
    </cfRule>
    <cfRule type="cellIs" dxfId="674" priority="355" operator="equal">
      <formula>"BLA"</formula>
    </cfRule>
  </conditionalFormatting>
  <conditionalFormatting sqref="BZ17:CA17 CD17:CF17">
    <cfRule type="cellIs" dxfId="673" priority="332" operator="greaterThan">
      <formula>0</formula>
    </cfRule>
  </conditionalFormatting>
  <conditionalFormatting sqref="IC17:IK17">
    <cfRule type="expression" dxfId="672" priority="333">
      <formula>$IL17&gt;0</formula>
    </cfRule>
  </conditionalFormatting>
  <conditionalFormatting sqref="J17">
    <cfRule type="colorScale" priority="357">
      <colorScale>
        <cfvo type="min"/>
        <cfvo type="percentile" val="50"/>
        <cfvo type="max"/>
        <color rgb="FFF8696B"/>
        <color rgb="FFFFEB84"/>
        <color rgb="FF63BE7B"/>
      </colorScale>
    </cfRule>
  </conditionalFormatting>
  <conditionalFormatting sqref="S17">
    <cfRule type="colorScale" priority="358">
      <colorScale>
        <cfvo type="min"/>
        <cfvo type="max"/>
        <color rgb="FFFCFCFF"/>
        <color rgb="FF754BFB"/>
      </colorScale>
    </cfRule>
  </conditionalFormatting>
  <conditionalFormatting sqref="AT17">
    <cfRule type="colorScale" priority="359">
      <colorScale>
        <cfvo type="min"/>
        <cfvo type="max"/>
        <color rgb="FFFCFCFF"/>
        <color theme="8" tint="0.39997558519241921"/>
      </colorScale>
    </cfRule>
  </conditionalFormatting>
  <conditionalFormatting sqref="CG17">
    <cfRule type="colorScale" priority="360">
      <colorScale>
        <cfvo type="min"/>
        <cfvo type="max"/>
        <color rgb="FFFCFCFF"/>
        <color rgb="FF63BE7B"/>
      </colorScale>
    </cfRule>
  </conditionalFormatting>
  <conditionalFormatting sqref="H18">
    <cfRule type="cellIs" dxfId="671" priority="293" stopIfTrue="1" operator="notEqual">
      <formula>""</formula>
    </cfRule>
  </conditionalFormatting>
  <conditionalFormatting sqref="R18 CU18">
    <cfRule type="cellIs" dxfId="670" priority="295" operator="greaterThan">
      <formula>0</formula>
    </cfRule>
  </conditionalFormatting>
  <conditionalFormatting sqref="T18:AS18 CH18:CS18">
    <cfRule type="cellIs" dxfId="669" priority="290" stopIfTrue="1" operator="equal">
      <formula>"n"</formula>
    </cfRule>
    <cfRule type="cellIs" dxfId="668" priority="291" stopIfTrue="1" operator="equal">
      <formula>"y"</formula>
    </cfRule>
    <cfRule type="cellIs" dxfId="667" priority="292" operator="greaterThan">
      <formula>0</formula>
    </cfRule>
  </conditionalFormatting>
  <conditionalFormatting sqref="AZ18:BB18">
    <cfRule type="expression" dxfId="666" priority="289">
      <formula>$AT18=0</formula>
    </cfRule>
  </conditionalFormatting>
  <conditionalFormatting sqref="AZ18:BU18">
    <cfRule type="cellIs" dxfId="665" priority="298" operator="equal">
      <formula>"PIN"</formula>
    </cfRule>
    <cfRule type="cellIs" dxfId="664" priority="299" operator="equal">
      <formula>"ORA"</formula>
    </cfRule>
    <cfRule type="cellIs" dxfId="663" priority="300" operator="equal">
      <formula>"GRA"</formula>
    </cfRule>
    <cfRule type="cellIs" dxfId="662" priority="301" operator="equal">
      <formula>"PUR"</formula>
    </cfRule>
    <cfRule type="cellIs" dxfId="661" priority="302" operator="equal">
      <formula>"BRO"</formula>
    </cfRule>
    <cfRule type="cellIs" dxfId="660" priority="303" operator="equal">
      <formula>"YEL"</formula>
    </cfRule>
    <cfRule type="cellIs" dxfId="659" priority="304" operator="equal">
      <formula>"BLU"</formula>
    </cfRule>
    <cfRule type="cellIs" dxfId="658" priority="305" operator="equal">
      <formula>"WHI"</formula>
    </cfRule>
    <cfRule type="cellIs" dxfId="657" priority="306" operator="equal">
      <formula>"GRE"</formula>
    </cfRule>
    <cfRule type="cellIs" dxfId="656" priority="307" operator="equal">
      <formula>"RED"</formula>
    </cfRule>
    <cfRule type="cellIs" dxfId="655" priority="308" operator="equal">
      <formula>"BLA"</formula>
    </cfRule>
  </conditionalFormatting>
  <conditionalFormatting sqref="BV18">
    <cfRule type="cellIs" dxfId="654" priority="320" operator="equal">
      <formula>"nc"</formula>
    </cfRule>
  </conditionalFormatting>
  <conditionalFormatting sqref="BX18:CA18 CD18:CF18">
    <cfRule type="cellIs" dxfId="653" priority="294" operator="equal">
      <formula>"y"</formula>
    </cfRule>
    <cfRule type="cellIs" dxfId="652" priority="309" operator="equal">
      <formula>"PIN"</formula>
    </cfRule>
    <cfRule type="cellIs" dxfId="651" priority="310" operator="equal">
      <formula>"ORA"</formula>
    </cfRule>
    <cfRule type="cellIs" dxfId="650" priority="311" operator="equal">
      <formula>"GRA"</formula>
    </cfRule>
    <cfRule type="cellIs" dxfId="649" priority="312" operator="equal">
      <formula>"PUR"</formula>
    </cfRule>
    <cfRule type="cellIs" dxfId="648" priority="313" operator="equal">
      <formula>"BRO"</formula>
    </cfRule>
    <cfRule type="cellIs" dxfId="647" priority="314" operator="equal">
      <formula>"YEL"</formula>
    </cfRule>
    <cfRule type="cellIs" dxfId="646" priority="315" operator="equal">
      <formula>"BLU"</formula>
    </cfRule>
    <cfRule type="cellIs" dxfId="645" priority="316" operator="equal">
      <formula>"WHI"</formula>
    </cfRule>
    <cfRule type="cellIs" dxfId="644" priority="317" operator="equal">
      <formula>"GRE"</formula>
    </cfRule>
    <cfRule type="cellIs" dxfId="643" priority="318" operator="equal">
      <formula>"RED"</formula>
    </cfRule>
    <cfRule type="cellIs" dxfId="642" priority="319" operator="equal">
      <formula>"BLA"</formula>
    </cfRule>
  </conditionalFormatting>
  <conditionalFormatting sqref="BZ18:CA18 CD18:CF18">
    <cfRule type="cellIs" dxfId="641" priority="296" operator="greaterThan">
      <formula>0</formula>
    </cfRule>
  </conditionalFormatting>
  <conditionalFormatting sqref="IC18:IK18">
    <cfRule type="expression" dxfId="640" priority="297">
      <formula>$IL18&gt;0</formula>
    </cfRule>
  </conditionalFormatting>
  <conditionalFormatting sqref="J18">
    <cfRule type="colorScale" priority="321">
      <colorScale>
        <cfvo type="min"/>
        <cfvo type="percentile" val="50"/>
        <cfvo type="max"/>
        <color rgb="FFF8696B"/>
        <color rgb="FFFFEB84"/>
        <color rgb="FF63BE7B"/>
      </colorScale>
    </cfRule>
  </conditionalFormatting>
  <conditionalFormatting sqref="S18">
    <cfRule type="colorScale" priority="322">
      <colorScale>
        <cfvo type="min"/>
        <cfvo type="max"/>
        <color rgb="FFFCFCFF"/>
        <color rgb="FF754BFB"/>
      </colorScale>
    </cfRule>
  </conditionalFormatting>
  <conditionalFormatting sqref="AT18">
    <cfRule type="colorScale" priority="323">
      <colorScale>
        <cfvo type="min"/>
        <cfvo type="max"/>
        <color rgb="FFFCFCFF"/>
        <color theme="8" tint="0.39997558519241921"/>
      </colorScale>
    </cfRule>
  </conditionalFormatting>
  <conditionalFormatting sqref="CG18">
    <cfRule type="colorScale" priority="324">
      <colorScale>
        <cfvo type="min"/>
        <cfvo type="max"/>
        <color rgb="FFFCFCFF"/>
        <color rgb="FF63BE7B"/>
      </colorScale>
    </cfRule>
  </conditionalFormatting>
  <conditionalFormatting sqref="H19">
    <cfRule type="cellIs" dxfId="639" priority="257" stopIfTrue="1" operator="notEqual">
      <formula>""</formula>
    </cfRule>
  </conditionalFormatting>
  <conditionalFormatting sqref="R19 CU19">
    <cfRule type="cellIs" dxfId="638" priority="259" operator="greaterThan">
      <formula>0</formula>
    </cfRule>
  </conditionalFormatting>
  <conditionalFormatting sqref="T19:AS19 CH19:CS19">
    <cfRule type="cellIs" dxfId="637" priority="254" stopIfTrue="1" operator="equal">
      <formula>"n"</formula>
    </cfRule>
    <cfRule type="cellIs" dxfId="636" priority="255" stopIfTrue="1" operator="equal">
      <formula>"y"</formula>
    </cfRule>
    <cfRule type="cellIs" dxfId="635" priority="256" operator="greaterThan">
      <formula>0</formula>
    </cfRule>
  </conditionalFormatting>
  <conditionalFormatting sqref="AZ19:BB19">
    <cfRule type="expression" dxfId="634" priority="253">
      <formula>$AT19=0</formula>
    </cfRule>
  </conditionalFormatting>
  <conditionalFormatting sqref="AZ19:BU19">
    <cfRule type="cellIs" dxfId="633" priority="262" operator="equal">
      <formula>"PIN"</formula>
    </cfRule>
    <cfRule type="cellIs" dxfId="632" priority="263" operator="equal">
      <formula>"ORA"</formula>
    </cfRule>
    <cfRule type="cellIs" dxfId="631" priority="264" operator="equal">
      <formula>"GRA"</formula>
    </cfRule>
    <cfRule type="cellIs" dxfId="630" priority="265" operator="equal">
      <formula>"PUR"</formula>
    </cfRule>
    <cfRule type="cellIs" dxfId="629" priority="266" operator="equal">
      <formula>"BRO"</formula>
    </cfRule>
    <cfRule type="cellIs" dxfId="628" priority="267" operator="equal">
      <formula>"YEL"</formula>
    </cfRule>
    <cfRule type="cellIs" dxfId="627" priority="268" operator="equal">
      <formula>"BLU"</formula>
    </cfRule>
    <cfRule type="cellIs" dxfId="626" priority="269" operator="equal">
      <formula>"WHI"</formula>
    </cfRule>
    <cfRule type="cellIs" dxfId="625" priority="270" operator="equal">
      <formula>"GRE"</formula>
    </cfRule>
    <cfRule type="cellIs" dxfId="624" priority="271" operator="equal">
      <formula>"RED"</formula>
    </cfRule>
    <cfRule type="cellIs" dxfId="623" priority="272" operator="equal">
      <formula>"BLA"</formula>
    </cfRule>
  </conditionalFormatting>
  <conditionalFormatting sqref="BV19">
    <cfRule type="cellIs" dxfId="622" priority="284" operator="equal">
      <formula>"nc"</formula>
    </cfRule>
  </conditionalFormatting>
  <conditionalFormatting sqref="BX19:CA19 CD19:CF19">
    <cfRule type="cellIs" dxfId="621" priority="258" operator="equal">
      <formula>"y"</formula>
    </cfRule>
    <cfRule type="cellIs" dxfId="620" priority="273" operator="equal">
      <formula>"PIN"</formula>
    </cfRule>
    <cfRule type="cellIs" dxfId="619" priority="274" operator="equal">
      <formula>"ORA"</formula>
    </cfRule>
    <cfRule type="cellIs" dxfId="618" priority="275" operator="equal">
      <formula>"GRA"</formula>
    </cfRule>
    <cfRule type="cellIs" dxfId="617" priority="276" operator="equal">
      <formula>"PUR"</formula>
    </cfRule>
    <cfRule type="cellIs" dxfId="616" priority="277" operator="equal">
      <formula>"BRO"</formula>
    </cfRule>
    <cfRule type="cellIs" dxfId="615" priority="278" operator="equal">
      <formula>"YEL"</formula>
    </cfRule>
    <cfRule type="cellIs" dxfId="614" priority="279" operator="equal">
      <formula>"BLU"</formula>
    </cfRule>
    <cfRule type="cellIs" dxfId="613" priority="280" operator="equal">
      <formula>"WHI"</formula>
    </cfRule>
    <cfRule type="cellIs" dxfId="612" priority="281" operator="equal">
      <formula>"GRE"</formula>
    </cfRule>
    <cfRule type="cellIs" dxfId="611" priority="282" operator="equal">
      <formula>"RED"</formula>
    </cfRule>
    <cfRule type="cellIs" dxfId="610" priority="283" operator="equal">
      <formula>"BLA"</formula>
    </cfRule>
  </conditionalFormatting>
  <conditionalFormatting sqref="BZ19:CA19 CD19:CF19">
    <cfRule type="cellIs" dxfId="609" priority="260" operator="greaterThan">
      <formula>0</formula>
    </cfRule>
  </conditionalFormatting>
  <conditionalFormatting sqref="IC19:IK19">
    <cfRule type="expression" dxfId="608" priority="261">
      <formula>$IL19&gt;0</formula>
    </cfRule>
  </conditionalFormatting>
  <conditionalFormatting sqref="J19">
    <cfRule type="colorScale" priority="285">
      <colorScale>
        <cfvo type="min"/>
        <cfvo type="percentile" val="50"/>
        <cfvo type="max"/>
        <color rgb="FFF8696B"/>
        <color rgb="FFFFEB84"/>
        <color rgb="FF63BE7B"/>
      </colorScale>
    </cfRule>
  </conditionalFormatting>
  <conditionalFormatting sqref="S19">
    <cfRule type="colorScale" priority="286">
      <colorScale>
        <cfvo type="min"/>
        <cfvo type="max"/>
        <color rgb="FFFCFCFF"/>
        <color rgb="FF754BFB"/>
      </colorScale>
    </cfRule>
  </conditionalFormatting>
  <conditionalFormatting sqref="AT19">
    <cfRule type="colorScale" priority="287">
      <colorScale>
        <cfvo type="min"/>
        <cfvo type="max"/>
        <color rgb="FFFCFCFF"/>
        <color theme="8" tint="0.39997558519241921"/>
      </colorScale>
    </cfRule>
  </conditionalFormatting>
  <conditionalFormatting sqref="CG19">
    <cfRule type="colorScale" priority="288">
      <colorScale>
        <cfvo type="min"/>
        <cfvo type="max"/>
        <color rgb="FFFCFCFF"/>
        <color rgb="FF63BE7B"/>
      </colorScale>
    </cfRule>
  </conditionalFormatting>
  <conditionalFormatting sqref="H20">
    <cfRule type="cellIs" dxfId="607" priority="221" stopIfTrue="1" operator="notEqual">
      <formula>""</formula>
    </cfRule>
  </conditionalFormatting>
  <conditionalFormatting sqref="R20 CU20">
    <cfRule type="cellIs" dxfId="606" priority="223" operator="greaterThan">
      <formula>0</formula>
    </cfRule>
  </conditionalFormatting>
  <conditionalFormatting sqref="T20:AS20 CH20:CS20">
    <cfRule type="cellIs" dxfId="605" priority="218" stopIfTrue="1" operator="equal">
      <formula>"n"</formula>
    </cfRule>
    <cfRule type="cellIs" dxfId="604" priority="219" stopIfTrue="1" operator="equal">
      <formula>"y"</formula>
    </cfRule>
    <cfRule type="cellIs" dxfId="603" priority="220" operator="greaterThan">
      <formula>0</formula>
    </cfRule>
  </conditionalFormatting>
  <conditionalFormatting sqref="AZ20:BB20">
    <cfRule type="expression" dxfId="602" priority="217">
      <formula>$AT20=0</formula>
    </cfRule>
  </conditionalFormatting>
  <conditionalFormatting sqref="AZ20:BU20">
    <cfRule type="cellIs" dxfId="601" priority="226" operator="equal">
      <formula>"PIN"</formula>
    </cfRule>
    <cfRule type="cellIs" dxfId="600" priority="227" operator="equal">
      <formula>"ORA"</formula>
    </cfRule>
    <cfRule type="cellIs" dxfId="599" priority="228" operator="equal">
      <formula>"GRA"</formula>
    </cfRule>
    <cfRule type="cellIs" dxfId="598" priority="229" operator="equal">
      <formula>"PUR"</formula>
    </cfRule>
    <cfRule type="cellIs" dxfId="597" priority="230" operator="equal">
      <formula>"BRO"</formula>
    </cfRule>
    <cfRule type="cellIs" dxfId="596" priority="231" operator="equal">
      <formula>"YEL"</formula>
    </cfRule>
    <cfRule type="cellIs" dxfId="595" priority="232" operator="equal">
      <formula>"BLU"</formula>
    </cfRule>
    <cfRule type="cellIs" dxfId="594" priority="233" operator="equal">
      <formula>"WHI"</formula>
    </cfRule>
    <cfRule type="cellIs" dxfId="593" priority="234" operator="equal">
      <formula>"GRE"</formula>
    </cfRule>
    <cfRule type="cellIs" dxfId="592" priority="235" operator="equal">
      <formula>"RED"</formula>
    </cfRule>
    <cfRule type="cellIs" dxfId="591" priority="236" operator="equal">
      <formula>"BLA"</formula>
    </cfRule>
  </conditionalFormatting>
  <conditionalFormatting sqref="BV20">
    <cfRule type="cellIs" dxfId="590" priority="248" operator="equal">
      <formula>"nc"</formula>
    </cfRule>
  </conditionalFormatting>
  <conditionalFormatting sqref="BX20:CA20 CD20:CF20">
    <cfRule type="cellIs" dxfId="589" priority="222" operator="equal">
      <formula>"y"</formula>
    </cfRule>
    <cfRule type="cellIs" dxfId="588" priority="237" operator="equal">
      <formula>"PIN"</formula>
    </cfRule>
    <cfRule type="cellIs" dxfId="587" priority="238" operator="equal">
      <formula>"ORA"</formula>
    </cfRule>
    <cfRule type="cellIs" dxfId="586" priority="239" operator="equal">
      <formula>"GRA"</formula>
    </cfRule>
    <cfRule type="cellIs" dxfId="585" priority="240" operator="equal">
      <formula>"PUR"</formula>
    </cfRule>
    <cfRule type="cellIs" dxfId="584" priority="241" operator="equal">
      <formula>"BRO"</formula>
    </cfRule>
    <cfRule type="cellIs" dxfId="583" priority="242" operator="equal">
      <formula>"YEL"</formula>
    </cfRule>
    <cfRule type="cellIs" dxfId="582" priority="243" operator="equal">
      <formula>"BLU"</formula>
    </cfRule>
    <cfRule type="cellIs" dxfId="581" priority="244" operator="equal">
      <formula>"WHI"</formula>
    </cfRule>
    <cfRule type="cellIs" dxfId="580" priority="245" operator="equal">
      <formula>"GRE"</formula>
    </cfRule>
    <cfRule type="cellIs" dxfId="579" priority="246" operator="equal">
      <formula>"RED"</formula>
    </cfRule>
    <cfRule type="cellIs" dxfId="578" priority="247" operator="equal">
      <formula>"BLA"</formula>
    </cfRule>
  </conditionalFormatting>
  <conditionalFormatting sqref="BZ20:CA20 CD20:CF20">
    <cfRule type="cellIs" dxfId="577" priority="224" operator="greaterThan">
      <formula>0</formula>
    </cfRule>
  </conditionalFormatting>
  <conditionalFormatting sqref="IC20:IK20">
    <cfRule type="expression" dxfId="576" priority="225">
      <formula>$IL20&gt;0</formula>
    </cfRule>
  </conditionalFormatting>
  <conditionalFormatting sqref="J20">
    <cfRule type="colorScale" priority="249">
      <colorScale>
        <cfvo type="min"/>
        <cfvo type="percentile" val="50"/>
        <cfvo type="max"/>
        <color rgb="FFF8696B"/>
        <color rgb="FFFFEB84"/>
        <color rgb="FF63BE7B"/>
      </colorScale>
    </cfRule>
  </conditionalFormatting>
  <conditionalFormatting sqref="S20">
    <cfRule type="colorScale" priority="250">
      <colorScale>
        <cfvo type="min"/>
        <cfvo type="max"/>
        <color rgb="FFFCFCFF"/>
        <color rgb="FF754BFB"/>
      </colorScale>
    </cfRule>
  </conditionalFormatting>
  <conditionalFormatting sqref="AT20">
    <cfRule type="colorScale" priority="251">
      <colorScale>
        <cfvo type="min"/>
        <cfvo type="max"/>
        <color rgb="FFFCFCFF"/>
        <color theme="8" tint="0.39997558519241921"/>
      </colorScale>
    </cfRule>
  </conditionalFormatting>
  <conditionalFormatting sqref="CG20">
    <cfRule type="colorScale" priority="252">
      <colorScale>
        <cfvo type="min"/>
        <cfvo type="max"/>
        <color rgb="FFFCFCFF"/>
        <color rgb="FF63BE7B"/>
      </colorScale>
    </cfRule>
  </conditionalFormatting>
  <conditionalFormatting sqref="H21">
    <cfRule type="cellIs" dxfId="575" priority="185" stopIfTrue="1" operator="notEqual">
      <formula>""</formula>
    </cfRule>
  </conditionalFormatting>
  <conditionalFormatting sqref="R21 CU21">
    <cfRule type="cellIs" dxfId="574" priority="187" operator="greaterThan">
      <formula>0</formula>
    </cfRule>
  </conditionalFormatting>
  <conditionalFormatting sqref="T21:AS21 CH21:CS21">
    <cfRule type="cellIs" dxfId="573" priority="182" stopIfTrue="1" operator="equal">
      <formula>"n"</formula>
    </cfRule>
    <cfRule type="cellIs" dxfId="572" priority="183" stopIfTrue="1" operator="equal">
      <formula>"y"</formula>
    </cfRule>
    <cfRule type="cellIs" dxfId="571" priority="184" operator="greaterThan">
      <formula>0</formula>
    </cfRule>
  </conditionalFormatting>
  <conditionalFormatting sqref="AZ21:BB21">
    <cfRule type="expression" dxfId="570" priority="181">
      <formula>$AT21=0</formula>
    </cfRule>
  </conditionalFormatting>
  <conditionalFormatting sqref="AZ21:BU21">
    <cfRule type="cellIs" dxfId="569" priority="190" operator="equal">
      <formula>"PIN"</formula>
    </cfRule>
    <cfRule type="cellIs" dxfId="568" priority="191" operator="equal">
      <formula>"ORA"</formula>
    </cfRule>
    <cfRule type="cellIs" dxfId="567" priority="192" operator="equal">
      <formula>"GRA"</formula>
    </cfRule>
    <cfRule type="cellIs" dxfId="566" priority="193" operator="equal">
      <formula>"PUR"</formula>
    </cfRule>
    <cfRule type="cellIs" dxfId="565" priority="194" operator="equal">
      <formula>"BRO"</formula>
    </cfRule>
    <cfRule type="cellIs" dxfId="564" priority="195" operator="equal">
      <formula>"YEL"</formula>
    </cfRule>
    <cfRule type="cellIs" dxfId="563" priority="196" operator="equal">
      <formula>"BLU"</formula>
    </cfRule>
    <cfRule type="cellIs" dxfId="562" priority="197" operator="equal">
      <formula>"WHI"</formula>
    </cfRule>
    <cfRule type="cellIs" dxfId="561" priority="198" operator="equal">
      <formula>"GRE"</formula>
    </cfRule>
    <cfRule type="cellIs" dxfId="560" priority="199" operator="equal">
      <formula>"RED"</formula>
    </cfRule>
    <cfRule type="cellIs" dxfId="559" priority="200" operator="equal">
      <formula>"BLA"</formula>
    </cfRule>
  </conditionalFormatting>
  <conditionalFormatting sqref="BV21">
    <cfRule type="cellIs" dxfId="558" priority="212" operator="equal">
      <formula>"nc"</formula>
    </cfRule>
  </conditionalFormatting>
  <conditionalFormatting sqref="BX21:CA21 CD21:CF21">
    <cfRule type="cellIs" dxfId="557" priority="186" operator="equal">
      <formula>"y"</formula>
    </cfRule>
    <cfRule type="cellIs" dxfId="556" priority="201" operator="equal">
      <formula>"PIN"</formula>
    </cfRule>
    <cfRule type="cellIs" dxfId="555" priority="202" operator="equal">
      <formula>"ORA"</formula>
    </cfRule>
    <cfRule type="cellIs" dxfId="554" priority="203" operator="equal">
      <formula>"GRA"</formula>
    </cfRule>
    <cfRule type="cellIs" dxfId="553" priority="204" operator="equal">
      <formula>"PUR"</formula>
    </cfRule>
    <cfRule type="cellIs" dxfId="552" priority="205" operator="equal">
      <formula>"BRO"</formula>
    </cfRule>
    <cfRule type="cellIs" dxfId="551" priority="206" operator="equal">
      <formula>"YEL"</formula>
    </cfRule>
    <cfRule type="cellIs" dxfId="550" priority="207" operator="equal">
      <formula>"BLU"</formula>
    </cfRule>
    <cfRule type="cellIs" dxfId="549" priority="208" operator="equal">
      <formula>"WHI"</formula>
    </cfRule>
    <cfRule type="cellIs" dxfId="548" priority="209" operator="equal">
      <formula>"GRE"</formula>
    </cfRule>
    <cfRule type="cellIs" dxfId="547" priority="210" operator="equal">
      <formula>"RED"</formula>
    </cfRule>
    <cfRule type="cellIs" dxfId="546" priority="211" operator="equal">
      <formula>"BLA"</formula>
    </cfRule>
  </conditionalFormatting>
  <conditionalFormatting sqref="BZ21:CA21 CD21:CF21">
    <cfRule type="cellIs" dxfId="545" priority="188" operator="greaterThan">
      <formula>0</formula>
    </cfRule>
  </conditionalFormatting>
  <conditionalFormatting sqref="IC21:IK21">
    <cfRule type="expression" dxfId="544" priority="189">
      <formula>$IL21&gt;0</formula>
    </cfRule>
  </conditionalFormatting>
  <conditionalFormatting sqref="J21">
    <cfRule type="colorScale" priority="213">
      <colorScale>
        <cfvo type="min"/>
        <cfvo type="percentile" val="50"/>
        <cfvo type="max"/>
        <color rgb="FFF8696B"/>
        <color rgb="FFFFEB84"/>
        <color rgb="FF63BE7B"/>
      </colorScale>
    </cfRule>
  </conditionalFormatting>
  <conditionalFormatting sqref="S21">
    <cfRule type="colorScale" priority="214">
      <colorScale>
        <cfvo type="min"/>
        <cfvo type="max"/>
        <color rgb="FFFCFCFF"/>
        <color rgb="FF754BFB"/>
      </colorScale>
    </cfRule>
  </conditionalFormatting>
  <conditionalFormatting sqref="AT21">
    <cfRule type="colorScale" priority="215">
      <colorScale>
        <cfvo type="min"/>
        <cfvo type="max"/>
        <color rgb="FFFCFCFF"/>
        <color theme="8" tint="0.39997558519241921"/>
      </colorScale>
    </cfRule>
  </conditionalFormatting>
  <conditionalFormatting sqref="CG21">
    <cfRule type="colorScale" priority="216">
      <colorScale>
        <cfvo type="min"/>
        <cfvo type="max"/>
        <color rgb="FFFCFCFF"/>
        <color rgb="FF63BE7B"/>
      </colorScale>
    </cfRule>
  </conditionalFormatting>
  <conditionalFormatting sqref="H22">
    <cfRule type="cellIs" dxfId="543" priority="149" stopIfTrue="1" operator="notEqual">
      <formula>""</formula>
    </cfRule>
  </conditionalFormatting>
  <conditionalFormatting sqref="R22 CU22">
    <cfRule type="cellIs" dxfId="542" priority="151" operator="greaterThan">
      <formula>0</formula>
    </cfRule>
  </conditionalFormatting>
  <conditionalFormatting sqref="T22:AS22 CH22:CS22">
    <cfRule type="cellIs" dxfId="541" priority="146" stopIfTrue="1" operator="equal">
      <formula>"n"</formula>
    </cfRule>
    <cfRule type="cellIs" dxfId="540" priority="147" stopIfTrue="1" operator="equal">
      <formula>"y"</formula>
    </cfRule>
    <cfRule type="cellIs" dxfId="539" priority="148" operator="greaterThan">
      <formula>0</formula>
    </cfRule>
  </conditionalFormatting>
  <conditionalFormatting sqref="AZ22:BB22">
    <cfRule type="expression" dxfId="538" priority="145">
      <formula>$AT22=0</formula>
    </cfRule>
  </conditionalFormatting>
  <conditionalFormatting sqref="AZ22:BU22">
    <cfRule type="cellIs" dxfId="537" priority="154" operator="equal">
      <formula>"PIN"</formula>
    </cfRule>
    <cfRule type="cellIs" dxfId="536" priority="155" operator="equal">
      <formula>"ORA"</formula>
    </cfRule>
    <cfRule type="cellIs" dxfId="535" priority="156" operator="equal">
      <formula>"GRA"</formula>
    </cfRule>
    <cfRule type="cellIs" dxfId="534" priority="157" operator="equal">
      <formula>"PUR"</formula>
    </cfRule>
    <cfRule type="cellIs" dxfId="533" priority="158" operator="equal">
      <formula>"BRO"</formula>
    </cfRule>
    <cfRule type="cellIs" dxfId="532" priority="159" operator="equal">
      <formula>"YEL"</formula>
    </cfRule>
    <cfRule type="cellIs" dxfId="531" priority="160" operator="equal">
      <formula>"BLU"</formula>
    </cfRule>
    <cfRule type="cellIs" dxfId="530" priority="161" operator="equal">
      <formula>"WHI"</formula>
    </cfRule>
    <cfRule type="cellIs" dxfId="529" priority="162" operator="equal">
      <formula>"GRE"</formula>
    </cfRule>
    <cfRule type="cellIs" dxfId="528" priority="163" operator="equal">
      <formula>"RED"</formula>
    </cfRule>
    <cfRule type="cellIs" dxfId="527" priority="164" operator="equal">
      <formula>"BLA"</formula>
    </cfRule>
  </conditionalFormatting>
  <conditionalFormatting sqref="BV22">
    <cfRule type="cellIs" dxfId="526" priority="176" operator="equal">
      <formula>"nc"</formula>
    </cfRule>
  </conditionalFormatting>
  <conditionalFormatting sqref="BX22:CA22 CD22:CF22">
    <cfRule type="cellIs" dxfId="525" priority="150" operator="equal">
      <formula>"y"</formula>
    </cfRule>
    <cfRule type="cellIs" dxfId="524" priority="165" operator="equal">
      <formula>"PIN"</formula>
    </cfRule>
    <cfRule type="cellIs" dxfId="523" priority="166" operator="equal">
      <formula>"ORA"</formula>
    </cfRule>
    <cfRule type="cellIs" dxfId="522" priority="167" operator="equal">
      <formula>"GRA"</formula>
    </cfRule>
    <cfRule type="cellIs" dxfId="521" priority="168" operator="equal">
      <formula>"PUR"</formula>
    </cfRule>
    <cfRule type="cellIs" dxfId="520" priority="169" operator="equal">
      <formula>"BRO"</formula>
    </cfRule>
    <cfRule type="cellIs" dxfId="519" priority="170" operator="equal">
      <formula>"YEL"</formula>
    </cfRule>
    <cfRule type="cellIs" dxfId="518" priority="171" operator="equal">
      <formula>"BLU"</formula>
    </cfRule>
    <cfRule type="cellIs" dxfId="517" priority="172" operator="equal">
      <formula>"WHI"</formula>
    </cfRule>
    <cfRule type="cellIs" dxfId="516" priority="173" operator="equal">
      <formula>"GRE"</formula>
    </cfRule>
    <cfRule type="cellIs" dxfId="515" priority="174" operator="equal">
      <formula>"RED"</formula>
    </cfRule>
    <cfRule type="cellIs" dxfId="514" priority="175" operator="equal">
      <formula>"BLA"</formula>
    </cfRule>
  </conditionalFormatting>
  <conditionalFormatting sqref="BZ22:CA22 CD22:CF22">
    <cfRule type="cellIs" dxfId="513" priority="152" operator="greaterThan">
      <formula>0</formula>
    </cfRule>
  </conditionalFormatting>
  <conditionalFormatting sqref="IC22:IK22">
    <cfRule type="expression" dxfId="512" priority="153">
      <formula>$IL22&gt;0</formula>
    </cfRule>
  </conditionalFormatting>
  <conditionalFormatting sqref="J22">
    <cfRule type="colorScale" priority="177">
      <colorScale>
        <cfvo type="min"/>
        <cfvo type="percentile" val="50"/>
        <cfvo type="max"/>
        <color rgb="FFF8696B"/>
        <color rgb="FFFFEB84"/>
        <color rgb="FF63BE7B"/>
      </colorScale>
    </cfRule>
  </conditionalFormatting>
  <conditionalFormatting sqref="S22">
    <cfRule type="colorScale" priority="178">
      <colorScale>
        <cfvo type="min"/>
        <cfvo type="max"/>
        <color rgb="FFFCFCFF"/>
        <color rgb="FF754BFB"/>
      </colorScale>
    </cfRule>
  </conditionalFormatting>
  <conditionalFormatting sqref="AT22">
    <cfRule type="colorScale" priority="179">
      <colorScale>
        <cfvo type="min"/>
        <cfvo type="max"/>
        <color rgb="FFFCFCFF"/>
        <color theme="8" tint="0.39997558519241921"/>
      </colorScale>
    </cfRule>
  </conditionalFormatting>
  <conditionalFormatting sqref="CG22">
    <cfRule type="colorScale" priority="180">
      <colorScale>
        <cfvo type="min"/>
        <cfvo type="max"/>
        <color rgb="FFFCFCFF"/>
        <color rgb="FF63BE7B"/>
      </colorScale>
    </cfRule>
  </conditionalFormatting>
  <conditionalFormatting sqref="H23">
    <cfRule type="cellIs" dxfId="511" priority="113" stopIfTrue="1" operator="notEqual">
      <formula>""</formula>
    </cfRule>
  </conditionalFormatting>
  <conditionalFormatting sqref="R23 CU23">
    <cfRule type="cellIs" dxfId="510" priority="115" operator="greaterThan">
      <formula>0</formula>
    </cfRule>
  </conditionalFormatting>
  <conditionalFormatting sqref="T23:AS23 CH23:CS23">
    <cfRule type="cellIs" dxfId="509" priority="110" stopIfTrue="1" operator="equal">
      <formula>"n"</formula>
    </cfRule>
    <cfRule type="cellIs" dxfId="508" priority="111" stopIfTrue="1" operator="equal">
      <formula>"y"</formula>
    </cfRule>
    <cfRule type="cellIs" dxfId="507" priority="112" operator="greaterThan">
      <formula>0</formula>
    </cfRule>
  </conditionalFormatting>
  <conditionalFormatting sqref="AZ23:BB23">
    <cfRule type="expression" dxfId="506" priority="109">
      <formula>$AT23=0</formula>
    </cfRule>
  </conditionalFormatting>
  <conditionalFormatting sqref="AZ23:BU23">
    <cfRule type="cellIs" dxfId="505" priority="118" operator="equal">
      <formula>"PIN"</formula>
    </cfRule>
    <cfRule type="cellIs" dxfId="504" priority="119" operator="equal">
      <formula>"ORA"</formula>
    </cfRule>
    <cfRule type="cellIs" dxfId="503" priority="120" operator="equal">
      <formula>"GRA"</formula>
    </cfRule>
    <cfRule type="cellIs" dxfId="502" priority="121" operator="equal">
      <formula>"PUR"</formula>
    </cfRule>
    <cfRule type="cellIs" dxfId="501" priority="122" operator="equal">
      <formula>"BRO"</formula>
    </cfRule>
    <cfRule type="cellIs" dxfId="500" priority="123" operator="equal">
      <formula>"YEL"</formula>
    </cfRule>
    <cfRule type="cellIs" dxfId="499" priority="124" operator="equal">
      <formula>"BLU"</formula>
    </cfRule>
    <cfRule type="cellIs" dxfId="498" priority="125" operator="equal">
      <formula>"WHI"</formula>
    </cfRule>
    <cfRule type="cellIs" dxfId="497" priority="126" operator="equal">
      <formula>"GRE"</formula>
    </cfRule>
    <cfRule type="cellIs" dxfId="496" priority="127" operator="equal">
      <formula>"RED"</formula>
    </cfRule>
    <cfRule type="cellIs" dxfId="495" priority="128" operator="equal">
      <formula>"BLA"</formula>
    </cfRule>
  </conditionalFormatting>
  <conditionalFormatting sqref="BV23">
    <cfRule type="cellIs" dxfId="494" priority="140" operator="equal">
      <formula>"nc"</formula>
    </cfRule>
  </conditionalFormatting>
  <conditionalFormatting sqref="BX23:CA23 CD23:CF23">
    <cfRule type="cellIs" dxfId="493" priority="114" operator="equal">
      <formula>"y"</formula>
    </cfRule>
    <cfRule type="cellIs" dxfId="492" priority="129" operator="equal">
      <formula>"PIN"</formula>
    </cfRule>
    <cfRule type="cellIs" dxfId="491" priority="130" operator="equal">
      <formula>"ORA"</formula>
    </cfRule>
    <cfRule type="cellIs" dxfId="490" priority="131" operator="equal">
      <formula>"GRA"</formula>
    </cfRule>
    <cfRule type="cellIs" dxfId="489" priority="132" operator="equal">
      <formula>"PUR"</formula>
    </cfRule>
    <cfRule type="cellIs" dxfId="488" priority="133" operator="equal">
      <formula>"BRO"</formula>
    </cfRule>
    <cfRule type="cellIs" dxfId="487" priority="134" operator="equal">
      <formula>"YEL"</formula>
    </cfRule>
    <cfRule type="cellIs" dxfId="486" priority="135" operator="equal">
      <formula>"BLU"</formula>
    </cfRule>
    <cfRule type="cellIs" dxfId="485" priority="136" operator="equal">
      <formula>"WHI"</formula>
    </cfRule>
    <cfRule type="cellIs" dxfId="484" priority="137" operator="equal">
      <formula>"GRE"</formula>
    </cfRule>
    <cfRule type="cellIs" dxfId="483" priority="138" operator="equal">
      <formula>"RED"</formula>
    </cfRule>
    <cfRule type="cellIs" dxfId="482" priority="139" operator="equal">
      <formula>"BLA"</formula>
    </cfRule>
  </conditionalFormatting>
  <conditionalFormatting sqref="BZ23:CA23 CD23:CF23">
    <cfRule type="cellIs" dxfId="481" priority="116" operator="greaterThan">
      <formula>0</formula>
    </cfRule>
  </conditionalFormatting>
  <conditionalFormatting sqref="IC23:IK23">
    <cfRule type="expression" dxfId="480" priority="117">
      <formula>$IL23&gt;0</formula>
    </cfRule>
  </conditionalFormatting>
  <conditionalFormatting sqref="J23">
    <cfRule type="colorScale" priority="141">
      <colorScale>
        <cfvo type="min"/>
        <cfvo type="percentile" val="50"/>
        <cfvo type="max"/>
        <color rgb="FFF8696B"/>
        <color rgb="FFFFEB84"/>
        <color rgb="FF63BE7B"/>
      </colorScale>
    </cfRule>
  </conditionalFormatting>
  <conditionalFormatting sqref="S23">
    <cfRule type="colorScale" priority="142">
      <colorScale>
        <cfvo type="min"/>
        <cfvo type="max"/>
        <color rgb="FFFCFCFF"/>
        <color rgb="FF754BFB"/>
      </colorScale>
    </cfRule>
  </conditionalFormatting>
  <conditionalFormatting sqref="AT23">
    <cfRule type="colorScale" priority="143">
      <colorScale>
        <cfvo type="min"/>
        <cfvo type="max"/>
        <color rgb="FFFCFCFF"/>
        <color theme="8" tint="0.39997558519241921"/>
      </colorScale>
    </cfRule>
  </conditionalFormatting>
  <conditionalFormatting sqref="CG23">
    <cfRule type="colorScale" priority="144">
      <colorScale>
        <cfvo type="min"/>
        <cfvo type="max"/>
        <color rgb="FFFCFCFF"/>
        <color rgb="FF63BE7B"/>
      </colorScale>
    </cfRule>
  </conditionalFormatting>
  <conditionalFormatting sqref="H24">
    <cfRule type="cellIs" dxfId="479" priority="77" stopIfTrue="1" operator="notEqual">
      <formula>""</formula>
    </cfRule>
  </conditionalFormatting>
  <conditionalFormatting sqref="R24 CU24">
    <cfRule type="cellIs" dxfId="478" priority="79" operator="greaterThan">
      <formula>0</formula>
    </cfRule>
  </conditionalFormatting>
  <conditionalFormatting sqref="T24:AS24 CH24:CS24">
    <cfRule type="cellIs" dxfId="477" priority="74" stopIfTrue="1" operator="equal">
      <formula>"n"</formula>
    </cfRule>
    <cfRule type="cellIs" dxfId="476" priority="75" stopIfTrue="1" operator="equal">
      <formula>"y"</formula>
    </cfRule>
    <cfRule type="cellIs" dxfId="475" priority="76" operator="greaterThan">
      <formula>0</formula>
    </cfRule>
  </conditionalFormatting>
  <conditionalFormatting sqref="AZ24:BB24">
    <cfRule type="expression" dxfId="474" priority="73">
      <formula>$AT24=0</formula>
    </cfRule>
  </conditionalFormatting>
  <conditionalFormatting sqref="AZ24:BU24">
    <cfRule type="cellIs" dxfId="473" priority="82" operator="equal">
      <formula>"PIN"</formula>
    </cfRule>
    <cfRule type="cellIs" dxfId="472" priority="83" operator="equal">
      <formula>"ORA"</formula>
    </cfRule>
    <cfRule type="cellIs" dxfId="471" priority="84" operator="equal">
      <formula>"GRA"</formula>
    </cfRule>
    <cfRule type="cellIs" dxfId="470" priority="85" operator="equal">
      <formula>"PUR"</formula>
    </cfRule>
    <cfRule type="cellIs" dxfId="469" priority="86" operator="equal">
      <formula>"BRO"</formula>
    </cfRule>
    <cfRule type="cellIs" dxfId="468" priority="87" operator="equal">
      <formula>"YEL"</formula>
    </cfRule>
    <cfRule type="cellIs" dxfId="467" priority="88" operator="equal">
      <formula>"BLU"</formula>
    </cfRule>
    <cfRule type="cellIs" dxfId="466" priority="89" operator="equal">
      <formula>"WHI"</formula>
    </cfRule>
    <cfRule type="cellIs" dxfId="465" priority="90" operator="equal">
      <formula>"GRE"</formula>
    </cfRule>
    <cfRule type="cellIs" dxfId="464" priority="91" operator="equal">
      <formula>"RED"</formula>
    </cfRule>
    <cfRule type="cellIs" dxfId="463" priority="92" operator="equal">
      <formula>"BLA"</formula>
    </cfRule>
  </conditionalFormatting>
  <conditionalFormatting sqref="BV24">
    <cfRule type="cellIs" dxfId="462" priority="104" operator="equal">
      <formula>"nc"</formula>
    </cfRule>
  </conditionalFormatting>
  <conditionalFormatting sqref="BX24:CA24 CD24:CF24">
    <cfRule type="cellIs" dxfId="461" priority="78" operator="equal">
      <formula>"y"</formula>
    </cfRule>
    <cfRule type="cellIs" dxfId="460" priority="93" operator="equal">
      <formula>"PIN"</formula>
    </cfRule>
    <cfRule type="cellIs" dxfId="459" priority="94" operator="equal">
      <formula>"ORA"</formula>
    </cfRule>
    <cfRule type="cellIs" dxfId="458" priority="95" operator="equal">
      <formula>"GRA"</formula>
    </cfRule>
    <cfRule type="cellIs" dxfId="457" priority="96" operator="equal">
      <formula>"PUR"</formula>
    </cfRule>
    <cfRule type="cellIs" dxfId="456" priority="97" operator="equal">
      <formula>"BRO"</formula>
    </cfRule>
    <cfRule type="cellIs" dxfId="455" priority="98" operator="equal">
      <formula>"YEL"</formula>
    </cfRule>
    <cfRule type="cellIs" dxfId="454" priority="99" operator="equal">
      <formula>"BLU"</formula>
    </cfRule>
    <cfRule type="cellIs" dxfId="453" priority="100" operator="equal">
      <formula>"WHI"</formula>
    </cfRule>
    <cfRule type="cellIs" dxfId="452" priority="101" operator="equal">
      <formula>"GRE"</formula>
    </cfRule>
    <cfRule type="cellIs" dxfId="451" priority="102" operator="equal">
      <formula>"RED"</formula>
    </cfRule>
    <cfRule type="cellIs" dxfId="450" priority="103" operator="equal">
      <formula>"BLA"</formula>
    </cfRule>
  </conditionalFormatting>
  <conditionalFormatting sqref="BZ24:CA24 CD24:CF24">
    <cfRule type="cellIs" dxfId="449" priority="80" operator="greaterThan">
      <formula>0</formula>
    </cfRule>
  </conditionalFormatting>
  <conditionalFormatting sqref="IC24:IK24">
    <cfRule type="expression" dxfId="448" priority="81">
      <formula>$IL24&gt;0</formula>
    </cfRule>
  </conditionalFormatting>
  <conditionalFormatting sqref="J24">
    <cfRule type="colorScale" priority="105">
      <colorScale>
        <cfvo type="min"/>
        <cfvo type="percentile" val="50"/>
        <cfvo type="max"/>
        <color rgb="FFF8696B"/>
        <color rgb="FFFFEB84"/>
        <color rgb="FF63BE7B"/>
      </colorScale>
    </cfRule>
  </conditionalFormatting>
  <conditionalFormatting sqref="S24">
    <cfRule type="colorScale" priority="106">
      <colorScale>
        <cfvo type="min"/>
        <cfvo type="max"/>
        <color rgb="FFFCFCFF"/>
        <color rgb="FF754BFB"/>
      </colorScale>
    </cfRule>
  </conditionalFormatting>
  <conditionalFormatting sqref="AT24">
    <cfRule type="colorScale" priority="107">
      <colorScale>
        <cfvo type="min"/>
        <cfvo type="max"/>
        <color rgb="FFFCFCFF"/>
        <color theme="8" tint="0.39997558519241921"/>
      </colorScale>
    </cfRule>
  </conditionalFormatting>
  <conditionalFormatting sqref="CG24">
    <cfRule type="colorScale" priority="108">
      <colorScale>
        <cfvo type="min"/>
        <cfvo type="max"/>
        <color rgb="FFFCFCFF"/>
        <color rgb="FF63BE7B"/>
      </colorScale>
    </cfRule>
  </conditionalFormatting>
  <conditionalFormatting sqref="H25">
    <cfRule type="cellIs" dxfId="447" priority="41" stopIfTrue="1" operator="notEqual">
      <formula>""</formula>
    </cfRule>
  </conditionalFormatting>
  <conditionalFormatting sqref="R25 CU25">
    <cfRule type="cellIs" dxfId="446" priority="43" operator="greaterThan">
      <formula>0</formula>
    </cfRule>
  </conditionalFormatting>
  <conditionalFormatting sqref="T25:AS25 CH25:CS25">
    <cfRule type="cellIs" dxfId="445" priority="38" stopIfTrue="1" operator="equal">
      <formula>"n"</formula>
    </cfRule>
    <cfRule type="cellIs" dxfId="444" priority="39" stopIfTrue="1" operator="equal">
      <formula>"y"</formula>
    </cfRule>
    <cfRule type="cellIs" dxfId="443" priority="40" operator="greaterThan">
      <formula>0</formula>
    </cfRule>
  </conditionalFormatting>
  <conditionalFormatting sqref="AZ25:BB25">
    <cfRule type="expression" dxfId="442" priority="37">
      <formula>$AT25=0</formula>
    </cfRule>
  </conditionalFormatting>
  <conditionalFormatting sqref="AZ25:BU25">
    <cfRule type="cellIs" dxfId="441" priority="46" operator="equal">
      <formula>"PIN"</formula>
    </cfRule>
    <cfRule type="cellIs" dxfId="440" priority="47" operator="equal">
      <formula>"ORA"</formula>
    </cfRule>
    <cfRule type="cellIs" dxfId="439" priority="48" operator="equal">
      <formula>"GRA"</formula>
    </cfRule>
    <cfRule type="cellIs" dxfId="438" priority="49" operator="equal">
      <formula>"PUR"</formula>
    </cfRule>
    <cfRule type="cellIs" dxfId="437" priority="50" operator="equal">
      <formula>"BRO"</formula>
    </cfRule>
    <cfRule type="cellIs" dxfId="436" priority="51" operator="equal">
      <formula>"YEL"</formula>
    </cfRule>
    <cfRule type="cellIs" dxfId="435" priority="52" operator="equal">
      <formula>"BLU"</formula>
    </cfRule>
    <cfRule type="cellIs" dxfId="434" priority="53" operator="equal">
      <formula>"WHI"</formula>
    </cfRule>
    <cfRule type="cellIs" dxfId="433" priority="54" operator="equal">
      <formula>"GRE"</formula>
    </cfRule>
    <cfRule type="cellIs" dxfId="432" priority="55" operator="equal">
      <formula>"RED"</formula>
    </cfRule>
    <cfRule type="cellIs" dxfId="431" priority="56" operator="equal">
      <formula>"BLA"</formula>
    </cfRule>
  </conditionalFormatting>
  <conditionalFormatting sqref="BV25">
    <cfRule type="cellIs" dxfId="430" priority="68" operator="equal">
      <formula>"nc"</formula>
    </cfRule>
  </conditionalFormatting>
  <conditionalFormatting sqref="BX25:CA25 CD25:CF25">
    <cfRule type="cellIs" dxfId="429" priority="42" operator="equal">
      <formula>"y"</formula>
    </cfRule>
    <cfRule type="cellIs" dxfId="428" priority="57" operator="equal">
      <formula>"PIN"</formula>
    </cfRule>
    <cfRule type="cellIs" dxfId="427" priority="58" operator="equal">
      <formula>"ORA"</formula>
    </cfRule>
    <cfRule type="cellIs" dxfId="426" priority="59" operator="equal">
      <formula>"GRA"</formula>
    </cfRule>
    <cfRule type="cellIs" dxfId="425" priority="60" operator="equal">
      <formula>"PUR"</formula>
    </cfRule>
    <cfRule type="cellIs" dxfId="424" priority="61" operator="equal">
      <formula>"BRO"</formula>
    </cfRule>
    <cfRule type="cellIs" dxfId="423" priority="62" operator="equal">
      <formula>"YEL"</formula>
    </cfRule>
    <cfRule type="cellIs" dxfId="422" priority="63" operator="equal">
      <formula>"BLU"</formula>
    </cfRule>
    <cfRule type="cellIs" dxfId="421" priority="64" operator="equal">
      <formula>"WHI"</formula>
    </cfRule>
    <cfRule type="cellIs" dxfId="420" priority="65" operator="equal">
      <formula>"GRE"</formula>
    </cfRule>
    <cfRule type="cellIs" dxfId="419" priority="66" operator="equal">
      <formula>"RED"</formula>
    </cfRule>
    <cfRule type="cellIs" dxfId="418" priority="67" operator="equal">
      <formula>"BLA"</formula>
    </cfRule>
  </conditionalFormatting>
  <conditionalFormatting sqref="BZ25:CA25 CD25:CF25">
    <cfRule type="cellIs" dxfId="417" priority="44" operator="greaterThan">
      <formula>0</formula>
    </cfRule>
  </conditionalFormatting>
  <conditionalFormatting sqref="IC25:IK25">
    <cfRule type="expression" dxfId="416" priority="45">
      <formula>$IL25&gt;0</formula>
    </cfRule>
  </conditionalFormatting>
  <conditionalFormatting sqref="J25">
    <cfRule type="colorScale" priority="69">
      <colorScale>
        <cfvo type="min"/>
        <cfvo type="percentile" val="50"/>
        <cfvo type="max"/>
        <color rgb="FFF8696B"/>
        <color rgb="FFFFEB84"/>
        <color rgb="FF63BE7B"/>
      </colorScale>
    </cfRule>
  </conditionalFormatting>
  <conditionalFormatting sqref="S25">
    <cfRule type="colorScale" priority="70">
      <colorScale>
        <cfvo type="min"/>
        <cfvo type="max"/>
        <color rgb="FFFCFCFF"/>
        <color rgb="FF754BFB"/>
      </colorScale>
    </cfRule>
  </conditionalFormatting>
  <conditionalFormatting sqref="AT25">
    <cfRule type="colorScale" priority="71">
      <colorScale>
        <cfvo type="min"/>
        <cfvo type="max"/>
        <color rgb="FFFCFCFF"/>
        <color theme="8" tint="0.39997558519241921"/>
      </colorScale>
    </cfRule>
  </conditionalFormatting>
  <conditionalFormatting sqref="CG25">
    <cfRule type="colorScale" priority="72">
      <colorScale>
        <cfvo type="min"/>
        <cfvo type="max"/>
        <color rgb="FFFCFCFF"/>
        <color rgb="FF63BE7B"/>
      </colorScale>
    </cfRule>
  </conditionalFormatting>
  <conditionalFormatting sqref="H26">
    <cfRule type="cellIs" dxfId="415" priority="5" stopIfTrue="1" operator="notEqual">
      <formula>""</formula>
    </cfRule>
  </conditionalFormatting>
  <conditionalFormatting sqref="R26 CU26">
    <cfRule type="cellIs" dxfId="414" priority="7" operator="greaterThan">
      <formula>0</formula>
    </cfRule>
  </conditionalFormatting>
  <conditionalFormatting sqref="T26:AS26 CH26:CS26">
    <cfRule type="cellIs" dxfId="413" priority="2" stopIfTrue="1" operator="equal">
      <formula>"n"</formula>
    </cfRule>
    <cfRule type="cellIs" dxfId="412" priority="3" stopIfTrue="1" operator="equal">
      <formula>"y"</formula>
    </cfRule>
    <cfRule type="cellIs" dxfId="411" priority="4" operator="greaterThan">
      <formula>0</formula>
    </cfRule>
  </conditionalFormatting>
  <conditionalFormatting sqref="AZ26:BB26">
    <cfRule type="expression" dxfId="410" priority="1">
      <formula>$AT26=0</formula>
    </cfRule>
  </conditionalFormatting>
  <conditionalFormatting sqref="AZ26:BU26">
    <cfRule type="cellIs" dxfId="409" priority="10" operator="equal">
      <formula>"PIN"</formula>
    </cfRule>
    <cfRule type="cellIs" dxfId="408" priority="11" operator="equal">
      <formula>"ORA"</formula>
    </cfRule>
    <cfRule type="cellIs" dxfId="407" priority="12" operator="equal">
      <formula>"GRA"</formula>
    </cfRule>
    <cfRule type="cellIs" dxfId="406" priority="13" operator="equal">
      <formula>"PUR"</formula>
    </cfRule>
    <cfRule type="cellIs" dxfId="405" priority="14" operator="equal">
      <formula>"BRO"</formula>
    </cfRule>
    <cfRule type="cellIs" dxfId="404" priority="15" operator="equal">
      <formula>"YEL"</formula>
    </cfRule>
    <cfRule type="cellIs" dxfId="403" priority="16" operator="equal">
      <formula>"BLU"</formula>
    </cfRule>
    <cfRule type="cellIs" dxfId="402" priority="17" operator="equal">
      <formula>"WHI"</formula>
    </cfRule>
    <cfRule type="cellIs" dxfId="401" priority="18" operator="equal">
      <formula>"GRE"</formula>
    </cfRule>
    <cfRule type="cellIs" dxfId="400" priority="19" operator="equal">
      <formula>"RED"</formula>
    </cfRule>
    <cfRule type="cellIs" dxfId="399" priority="20" operator="equal">
      <formula>"BLA"</formula>
    </cfRule>
  </conditionalFormatting>
  <conditionalFormatting sqref="BV26">
    <cfRule type="cellIs" dxfId="398" priority="32" operator="equal">
      <formula>"nc"</formula>
    </cfRule>
  </conditionalFormatting>
  <conditionalFormatting sqref="BX26:CA26 CD26:CF26">
    <cfRule type="cellIs" dxfId="397" priority="6" operator="equal">
      <formula>"y"</formula>
    </cfRule>
    <cfRule type="cellIs" dxfId="396" priority="21" operator="equal">
      <formula>"PIN"</formula>
    </cfRule>
    <cfRule type="cellIs" dxfId="395" priority="22" operator="equal">
      <formula>"ORA"</formula>
    </cfRule>
    <cfRule type="cellIs" dxfId="394" priority="23" operator="equal">
      <formula>"GRA"</formula>
    </cfRule>
    <cfRule type="cellIs" dxfId="393" priority="24" operator="equal">
      <formula>"PUR"</formula>
    </cfRule>
    <cfRule type="cellIs" dxfId="392" priority="25" operator="equal">
      <formula>"BRO"</formula>
    </cfRule>
    <cfRule type="cellIs" dxfId="391" priority="26" operator="equal">
      <formula>"YEL"</formula>
    </cfRule>
    <cfRule type="cellIs" dxfId="390" priority="27" operator="equal">
      <formula>"BLU"</formula>
    </cfRule>
    <cfRule type="cellIs" dxfId="389" priority="28" operator="equal">
      <formula>"WHI"</formula>
    </cfRule>
    <cfRule type="cellIs" dxfId="388" priority="29" operator="equal">
      <formula>"GRE"</formula>
    </cfRule>
    <cfRule type="cellIs" dxfId="387" priority="30" operator="equal">
      <formula>"RED"</formula>
    </cfRule>
    <cfRule type="cellIs" dxfId="386" priority="31" operator="equal">
      <formula>"BLA"</formula>
    </cfRule>
  </conditionalFormatting>
  <conditionalFormatting sqref="BZ26:CA26 CD26:CF26">
    <cfRule type="cellIs" dxfId="385" priority="8" operator="greaterThan">
      <formula>0</formula>
    </cfRule>
  </conditionalFormatting>
  <conditionalFormatting sqref="IC26:IK26">
    <cfRule type="expression" dxfId="384" priority="9">
      <formula>$IL26&gt;0</formula>
    </cfRule>
  </conditionalFormatting>
  <conditionalFormatting sqref="J26">
    <cfRule type="colorScale" priority="33">
      <colorScale>
        <cfvo type="min"/>
        <cfvo type="percentile" val="50"/>
        <cfvo type="max"/>
        <color rgb="FFF8696B"/>
        <color rgb="FFFFEB84"/>
        <color rgb="FF63BE7B"/>
      </colorScale>
    </cfRule>
  </conditionalFormatting>
  <conditionalFormatting sqref="S26">
    <cfRule type="colorScale" priority="34">
      <colorScale>
        <cfvo type="min"/>
        <cfvo type="max"/>
        <color rgb="FFFCFCFF"/>
        <color rgb="FF754BFB"/>
      </colorScale>
    </cfRule>
  </conditionalFormatting>
  <conditionalFormatting sqref="AT26">
    <cfRule type="colorScale" priority="35">
      <colorScale>
        <cfvo type="min"/>
        <cfvo type="max"/>
        <color rgb="FFFCFCFF"/>
        <color theme="8" tint="0.39997558519241921"/>
      </colorScale>
    </cfRule>
  </conditionalFormatting>
  <conditionalFormatting sqref="CG26">
    <cfRule type="colorScale" priority="36">
      <colorScale>
        <cfvo type="min"/>
        <cfvo type="max"/>
        <color rgb="FFFCFCFF"/>
        <color rgb="FF63BE7B"/>
      </colorScale>
    </cfRule>
  </conditionalFormatting>
  <hyperlinks>
    <hyperlink ref="A2" r:id="rId1" display="https://fbref.com/en/country/VEN/Venezuela-Football" xr:uid="{6FF4E2D2-6548-4C28-84FB-5512626746BD}"/>
    <hyperlink ref="E2" r:id="rId2" xr:uid="{DD09727F-4A25-4728-A72B-25FA9D039788}"/>
  </hyperlinks>
  <pageMargins left="0.7" right="0.7" top="0.75" bottom="0.75" header="0.3" footer="0.3"/>
</worksheet>
</file>

<file path=docMetadata/LabelInfo.xml><?xml version="1.0" encoding="utf-8"?>
<clbl:labelList xmlns:clbl="http://schemas.microsoft.com/office/2020/mipLabelMetadata">
  <clbl:label id="{9d177183-d467-4059-a04d-31bcd56c2a79}" enabled="1" method="Privileged" siteId="{c7b320cf-0acf-483e-836e-e4eb6866381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South America</vt:lpstr>
      <vt:lpstr>ARG</vt:lpstr>
      <vt:lpstr>BOL</vt:lpstr>
      <vt:lpstr>BRA</vt:lpstr>
      <vt:lpstr>CHL</vt:lpstr>
      <vt:lpstr>COL</vt:lpstr>
      <vt:lpstr>ECU</vt:lpstr>
      <vt:lpstr>FLK</vt:lpstr>
      <vt:lpstr>GUF</vt:lpstr>
      <vt:lpstr>GUY</vt:lpstr>
      <vt:lpstr>PRY</vt:lpstr>
      <vt:lpstr>PER</vt:lpstr>
      <vt:lpstr>SUR</vt:lpstr>
      <vt:lpstr>URU</vt:lpstr>
      <vt:lpstr>VEN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Castillo</dc:creator>
  <cp:lastModifiedBy>Juan Castillo</cp:lastModifiedBy>
  <dcterms:created xsi:type="dcterms:W3CDTF">2024-12-30T11:16:52Z</dcterms:created>
  <dcterms:modified xsi:type="dcterms:W3CDTF">2024-12-30T11:19:25Z</dcterms:modified>
</cp:coreProperties>
</file>