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Mirrotic Mirrors" sheetId="7" r:id="rId1"/>
    <sheet name="Eros Extern" sheetId="2" state="hidden" r:id="rId2"/>
  </sheets>
  <externalReferences>
    <externalReference r:id="rId6"/>
  </externalReferences>
  <definedNames>
    <definedName name="_xlnm._FilterDatabase" localSheetId="1" hidden="1">'Eros Extern'!$A$1:$V$63</definedName>
    <definedName name="_xlnm.Print_Area" localSheetId="0">'Mirrotic Mirrors'!$A$1:$I$27</definedName>
    <definedName name="TransportTotaal">[1]Homewell!$M$31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<sst xmlns="http://schemas.openxmlformats.org/spreadsheetml/2006/main" count="389" uniqueCount="258">
  <si>
    <t>CBM</t>
  </si>
  <si>
    <t xml:space="preserve">Item Picture </t>
  </si>
  <si>
    <t>Thebalux</t>
  </si>
  <si>
    <t xml:space="preserve">Mirrotic nr. </t>
  </si>
  <si>
    <t>Specifications</t>
  </si>
  <si>
    <t>Size</t>
  </si>
  <si>
    <t>Main material</t>
  </si>
  <si>
    <t xml:space="preserve">COB led driver power </t>
  </si>
  <si>
    <t>FOB Shenzhen</t>
  </si>
  <si>
    <t>Quantity</t>
  </si>
  <si>
    <r>
      <rPr>
        <sz val="16"/>
        <rFont val="宋体"/>
        <charset val="134"/>
      </rPr>
      <t>包装方式：珍珠棉盒</t>
    </r>
    <r>
      <rPr>
        <sz val="16"/>
        <rFont val="Arial"/>
        <charset val="134"/>
      </rPr>
      <t>+</t>
    </r>
    <r>
      <rPr>
        <sz val="16"/>
        <rFont val="宋体"/>
        <charset val="134"/>
      </rPr>
      <t>蜂窝护边</t>
    </r>
  </si>
  <si>
    <t>内箱</t>
  </si>
  <si>
    <t>M22600MZ</t>
  </si>
  <si>
    <t>Litrim 1015</t>
  </si>
  <si>
    <r>
      <rPr>
        <sz val="10"/>
        <rFont val="Arial"/>
        <charset val="134"/>
      </rPr>
      <t xml:space="preserve">220v, 50/60HZ,  
</t>
    </r>
    <r>
      <rPr>
        <sz val="10"/>
        <color rgb="FFFF0000"/>
        <rFont val="Arial"/>
        <charset val="134"/>
      </rPr>
      <t>COB Lighting Source</t>
    </r>
    <r>
      <rPr>
        <sz val="10"/>
        <rFont val="Arial"/>
        <charset val="134"/>
      </rPr>
      <t xml:space="preserve">
Snnapy Driver
Demister
Bluetooth Speaker
6-Touch Switch(No Display)
Extra Backlit light at bottom
IP44, CE CLASS II
</t>
    </r>
  </si>
  <si>
    <t>600X700
(vertical)</t>
  </si>
  <si>
    <t>5mm Copper-Free Mirror+ Black Aluminum Profile
+Silicon Cover</t>
  </si>
  <si>
    <t>20W</t>
  </si>
  <si>
    <t>珍珠棉盒760x85x660*1，蜂窝板680x85x20*2       蜂窝板780x85x20*2 ， 纸护角80x50x50x5*4</t>
  </si>
  <si>
    <t>20+25+20+20</t>
  </si>
  <si>
    <t>810x95x720</t>
  </si>
  <si>
    <r>
      <rPr>
        <sz val="10"/>
        <rFont val="宋体"/>
        <charset val="134"/>
      </rPr>
      <t>蜂窝板</t>
    </r>
    <r>
      <rPr>
        <sz val="10"/>
        <rFont val="Arial"/>
        <charset val="134"/>
      </rPr>
      <t>580X700X20*1</t>
    </r>
    <r>
      <rPr>
        <sz val="10"/>
        <rFont val="宋体"/>
        <charset val="134"/>
      </rPr>
      <t>，蜂窝板</t>
    </r>
    <r>
      <rPr>
        <sz val="10"/>
        <rFont val="Arial"/>
        <charset val="134"/>
      </rPr>
      <t>600x700x15*2</t>
    </r>
    <r>
      <rPr>
        <sz val="10"/>
        <rFont val="宋体"/>
        <charset val="134"/>
      </rPr>
      <t>， 蜂窝板640x75x40*2，蜂窝板740x75x40*2</t>
    </r>
  </si>
  <si>
    <t>M22800MZ</t>
  </si>
  <si>
    <t>800X700
(horizontal)</t>
  </si>
  <si>
    <t>30W</t>
  </si>
  <si>
    <t>9100x95x820</t>
  </si>
  <si>
    <t>M221000MZ</t>
  </si>
  <si>
    <t>1000X700
(horizontal)</t>
  </si>
  <si>
    <t>1110x95x820</t>
  </si>
  <si>
    <t>M221200MZ</t>
  </si>
  <si>
    <t>1200X700
(horizontal)</t>
  </si>
  <si>
    <t>1310x95x820</t>
  </si>
  <si>
    <t>M221400MZ</t>
  </si>
  <si>
    <t>1400X700
(horizontal)</t>
  </si>
  <si>
    <t>1510x95x820</t>
  </si>
  <si>
    <t>M221600MZ</t>
  </si>
  <si>
    <t>1600X700
(horizontal)</t>
  </si>
  <si>
    <t>50w</t>
  </si>
  <si>
    <t>1710x95x820</t>
  </si>
  <si>
    <t>M081400</t>
  </si>
  <si>
    <t>VIGE
4610</t>
  </si>
  <si>
    <r>
      <rPr>
        <sz val="10"/>
        <rFont val="Arial"/>
        <charset val="134"/>
      </rPr>
      <t xml:space="preserve">220v, 50/60HZ,  
2700K-6500K, 
</t>
    </r>
    <r>
      <rPr>
        <sz val="10"/>
        <color rgb="FFFF0000"/>
        <rFont val="Arial"/>
        <charset val="134"/>
      </rPr>
      <t>COB Lighting Source</t>
    </r>
    <r>
      <rPr>
        <sz val="10"/>
        <rFont val="Arial"/>
        <charset val="134"/>
      </rPr>
      <t xml:space="preserve">
Snnapy Driver
Sensor Switch only on right mirror
Demister
IP44, CE CLASS II</t>
    </r>
  </si>
  <si>
    <t>About1300X800
(leftφ800+
rightφ1000)</t>
  </si>
  <si>
    <t>5mm Copper-Free Mirror+Aluminum Profile
+Acrylic</t>
  </si>
  <si>
    <t>珍珠棉盒1060x120x1060,蜂窝板1080x120x20*4       纸护角100x50x50x5*4</t>
  </si>
  <si>
    <r>
      <rPr>
        <sz val="10"/>
        <rFont val="宋体"/>
        <charset val="134"/>
      </rPr>
      <t>纸箱采用外箱打开方式</t>
    </r>
    <r>
      <rPr>
        <sz val="10"/>
        <rFont val="Arial"/>
        <charset val="134"/>
      </rPr>
      <t>1110x130x1120</t>
    </r>
  </si>
  <si>
    <r>
      <rPr>
        <sz val="10"/>
        <rFont val="宋体"/>
        <charset val="134"/>
      </rPr>
      <t>蜂窝箱</t>
    </r>
    <r>
      <rPr>
        <sz val="10"/>
        <rFont val="Arial"/>
        <charset val="134"/>
      </rPr>
      <t xml:space="preserve">1080*120*1080 </t>
    </r>
    <r>
      <rPr>
        <sz val="10"/>
        <rFont val="宋体"/>
        <charset val="134"/>
      </rPr>
      <t>蜂窝板800x800x20*1     蜂窝板1000x1000x20*1</t>
    </r>
  </si>
  <si>
    <t>M07700MZ</t>
  </si>
  <si>
    <t>Shepel
6601</t>
  </si>
  <si>
    <r>
      <rPr>
        <sz val="10"/>
        <rFont val="Arial"/>
        <charset val="134"/>
      </rPr>
      <t xml:space="preserve">220v, 50/60HZ,  
2700K-6500K, 
</t>
    </r>
    <r>
      <rPr>
        <sz val="10"/>
        <color rgb="FFFF0000"/>
        <rFont val="Arial"/>
        <charset val="134"/>
      </rPr>
      <t>COB Lighting Source</t>
    </r>
    <r>
      <rPr>
        <sz val="10"/>
        <rFont val="Arial"/>
        <charset val="134"/>
      </rPr>
      <t xml:space="preserve">
Snnapy Driver
Demister
Magnifier
Sensor Switch
IP44, CE CLASS II</t>
    </r>
  </si>
  <si>
    <t>φ700</t>
  </si>
  <si>
    <t>5mm Copper-Free Mirror+ Black Aluminum Frame + Aluminum Profile</t>
  </si>
  <si>
    <t>30+20+20</t>
  </si>
  <si>
    <t>810x80x820</t>
  </si>
  <si>
    <t>M07900MZ</t>
  </si>
  <si>
    <t>φ900</t>
  </si>
  <si>
    <t>1010x80x1020</t>
  </si>
  <si>
    <t>M071100MZ</t>
  </si>
  <si>
    <t>φ1100</t>
  </si>
  <si>
    <t>1210x80x1220</t>
  </si>
  <si>
    <t>M09700</t>
  </si>
  <si>
    <t>Sidan
4603</t>
  </si>
  <si>
    <r>
      <rPr>
        <sz val="10"/>
        <rFont val="Arial"/>
        <charset val="134"/>
      </rPr>
      <t xml:space="preserve">220v, 50/60HZ,  
2700K-6500K, 
</t>
    </r>
    <r>
      <rPr>
        <sz val="10"/>
        <color rgb="FFFF0000"/>
        <rFont val="Arial"/>
        <charset val="134"/>
      </rPr>
      <t>COB Lighting Source</t>
    </r>
    <r>
      <rPr>
        <sz val="10"/>
        <rFont val="Arial"/>
        <charset val="134"/>
      </rPr>
      <t xml:space="preserve">
Snnapy Driver
Demister
3-Touch Switch
IP44, CE CLASS II</t>
    </r>
  </si>
  <si>
    <t>700X700</t>
  </si>
  <si>
    <t>珍珠棉盒760x760*1，蜂窝板780x65x20*4 ， 纸护角65x50x50x5*4</t>
  </si>
  <si>
    <t>810x75x820</t>
  </si>
  <si>
    <t>M09900</t>
  </si>
  <si>
    <t>900X900</t>
  </si>
  <si>
    <t>1010x75x1020</t>
  </si>
  <si>
    <t>M091100</t>
  </si>
  <si>
    <t>1100X900</t>
  </si>
  <si>
    <t>1210x75x1020</t>
  </si>
  <si>
    <t>M091300</t>
  </si>
  <si>
    <t>1300X900</t>
  </si>
  <si>
    <t>1410x75x1020</t>
  </si>
  <si>
    <t>M091500</t>
  </si>
  <si>
    <t>1500X900</t>
  </si>
  <si>
    <t>1610x75x1020</t>
  </si>
  <si>
    <t>M11800</t>
  </si>
  <si>
    <t>BS-M2312S</t>
  </si>
  <si>
    <r>
      <rPr>
        <sz val="10"/>
        <rFont val="Arial"/>
        <charset val="134"/>
      </rPr>
      <t xml:space="preserve">220v, 50/60HZ,  
2700K-6500K, 
</t>
    </r>
    <r>
      <rPr>
        <sz val="10"/>
        <color rgb="FFFF0000"/>
        <rFont val="Arial"/>
        <charset val="134"/>
      </rPr>
      <t>COB Lighting Source</t>
    </r>
    <r>
      <rPr>
        <sz val="10"/>
        <rFont val="Arial"/>
        <charset val="134"/>
      </rPr>
      <t xml:space="preserve">
Snnapy Driver
3-Touch Switch
IP44, CE CLASS II</t>
    </r>
  </si>
  <si>
    <r>
      <rPr>
        <sz val="12"/>
        <color theme="1" tint="0.249977111117893"/>
        <rFont val="Arial"/>
        <charset val="134"/>
      </rPr>
      <t xml:space="preserve">800x700 
</t>
    </r>
    <r>
      <rPr>
        <sz val="12"/>
        <color rgb="FFFF0000"/>
        <rFont val="Arial"/>
        <charset val="134"/>
      </rPr>
      <t>R20 Estimate</t>
    </r>
  </si>
  <si>
    <t>5mm Copper-Free Mirror+Aluminum Profile</t>
  </si>
  <si>
    <t>25+20+20</t>
  </si>
  <si>
    <t>910x75x820</t>
  </si>
  <si>
    <t>Change: R50 estimate into R20</t>
  </si>
  <si>
    <t>M111000</t>
  </si>
  <si>
    <t>BS-M2313R</t>
  </si>
  <si>
    <r>
      <rPr>
        <sz val="12"/>
        <rFont val="Arial"/>
        <charset val="134"/>
      </rPr>
      <t xml:space="preserve">220v, 50/60HZ,  
2700K-6500K, 
</t>
    </r>
    <r>
      <rPr>
        <sz val="12"/>
        <color rgb="FFFF0000"/>
        <rFont val="Arial"/>
        <charset val="134"/>
      </rPr>
      <t>COB Lighting Source</t>
    </r>
    <r>
      <rPr>
        <sz val="12"/>
        <rFont val="Arial"/>
        <charset val="134"/>
      </rPr>
      <t xml:space="preserve">
Snnapy Driver
3-Touch Switch
IP44, CE CLASS II</t>
    </r>
  </si>
  <si>
    <r>
      <rPr>
        <sz val="12"/>
        <color theme="1" tint="0.249977111117893"/>
        <rFont val="Arial"/>
        <charset val="134"/>
      </rPr>
      <t xml:space="preserve">1000x700
</t>
    </r>
    <r>
      <rPr>
        <sz val="12"/>
        <color rgb="FFFF0000"/>
        <rFont val="Arial"/>
        <charset val="134"/>
      </rPr>
      <t xml:space="preserve"> R20 Estimate</t>
    </r>
  </si>
  <si>
    <t>50W</t>
  </si>
  <si>
    <t>1110x75x820</t>
  </si>
  <si>
    <t>Change: R50 estimate into R21</t>
  </si>
  <si>
    <t>M111200</t>
  </si>
  <si>
    <t>BS-M2314R</t>
  </si>
  <si>
    <r>
      <rPr>
        <sz val="12"/>
        <color theme="1" tint="0.249977111117893"/>
        <rFont val="Arial"/>
        <charset val="134"/>
      </rPr>
      <t xml:space="preserve">1200x700
</t>
    </r>
    <r>
      <rPr>
        <sz val="12"/>
        <color rgb="FFFF0000"/>
        <rFont val="Arial"/>
        <charset val="134"/>
      </rPr>
      <t xml:space="preserve"> R20 Estimate</t>
    </r>
  </si>
  <si>
    <t>1310x75x820</t>
  </si>
  <si>
    <t>Change: R50 estimate into R22</t>
  </si>
  <si>
    <t>M111400</t>
  </si>
  <si>
    <t>BS-M2315R</t>
  </si>
  <si>
    <r>
      <rPr>
        <sz val="12"/>
        <color theme="1" tint="0.249977111117893"/>
        <rFont val="Arial"/>
        <charset val="134"/>
      </rPr>
      <t xml:space="preserve">1400x700
</t>
    </r>
    <r>
      <rPr>
        <sz val="12"/>
        <color rgb="FFFF0000"/>
        <rFont val="Arial"/>
        <charset val="134"/>
      </rPr>
      <t xml:space="preserve"> R20 Estimate</t>
    </r>
  </si>
  <si>
    <t>1510x75x820</t>
  </si>
  <si>
    <t>Change: R50 estimate into R23</t>
  </si>
  <si>
    <t>M111600</t>
  </si>
  <si>
    <t>BS-M2316R</t>
  </si>
  <si>
    <r>
      <rPr>
        <sz val="12"/>
        <color theme="1" tint="0.249977111117893"/>
        <rFont val="Arial"/>
        <charset val="134"/>
      </rPr>
      <t xml:space="preserve">1600x700 
</t>
    </r>
    <r>
      <rPr>
        <sz val="12"/>
        <color rgb="FFFF0000"/>
        <rFont val="Arial"/>
        <charset val="134"/>
      </rPr>
      <t>R20 Estimate</t>
    </r>
  </si>
  <si>
    <t>1710x75x820</t>
  </si>
  <si>
    <t>Change: R50 estimate into R24</t>
  </si>
  <si>
    <t xml:space="preserve"> </t>
  </si>
  <si>
    <r>
      <rPr>
        <b/>
        <sz val="16"/>
        <rFont val="Arial"/>
        <charset val="134"/>
      </rPr>
      <t>Klant</t>
    </r>
    <r>
      <rPr>
        <sz val="16"/>
        <rFont val="Arial"/>
        <charset val="134"/>
      </rPr>
      <t>:  Sem - Meubelfabriek Primabad</t>
    </r>
  </si>
  <si>
    <t>`</t>
  </si>
  <si>
    <t>2023.07.18</t>
  </si>
  <si>
    <t>Max to load in 40ft HQ is 45-50CBM:</t>
  </si>
  <si>
    <r>
      <rPr>
        <b/>
        <sz val="16"/>
        <rFont val="Arial"/>
        <charset val="134"/>
      </rPr>
      <t>Subject:</t>
    </r>
    <r>
      <rPr>
        <sz val="16"/>
        <rFont val="Arial"/>
        <charset val="134"/>
      </rPr>
      <t xml:space="preserve"> WRA.19.THEB.12.2 - Washbasin - EROS - Order 22 - IR19-01247</t>
    </r>
  </si>
  <si>
    <t xml:space="preserve">Informatie alleen voor We R Asia benodigd </t>
  </si>
  <si>
    <t xml:space="preserve">ORDER DETAILS </t>
  </si>
  <si>
    <t xml:space="preserve">Prima Nr. </t>
  </si>
  <si>
    <t xml:space="preserve">Eros Nr. </t>
  </si>
  <si>
    <t>Color</t>
  </si>
  <si>
    <t>EURO</t>
  </si>
  <si>
    <t>EURO - wisselkoers</t>
  </si>
  <si>
    <t>Transport</t>
  </si>
  <si>
    <t>SOM - EURO + VRACHT       (**)</t>
  </si>
  <si>
    <t>EURO +  VRACHT * Invoer 7%</t>
  </si>
  <si>
    <t xml:space="preserve">Opslag We R Asia </t>
  </si>
  <si>
    <t xml:space="preserve">Totaal prijs p/st. EURO  huidige order </t>
  </si>
  <si>
    <t xml:space="preserve"> Qty per 40HQ</t>
  </si>
  <si>
    <t xml:space="preserve">Aantal Stuks  </t>
  </si>
  <si>
    <t>Totaal Bedrag - Omzet</t>
  </si>
  <si>
    <t xml:space="preserve">Totaal Invoerrechten </t>
  </si>
  <si>
    <t>Totaal Transport</t>
  </si>
  <si>
    <t>Totaal Opslag We R Asia</t>
  </si>
  <si>
    <t>Vracht</t>
  </si>
  <si>
    <t>Inkl. - Lever (**)</t>
  </si>
  <si>
    <t xml:space="preserve">Totaal </t>
  </si>
  <si>
    <t>WM1212 FE2_112</t>
  </si>
  <si>
    <t>E-8070-120D</t>
  </si>
  <si>
    <t>1210x465x140</t>
  </si>
  <si>
    <t>Porcelain White</t>
  </si>
  <si>
    <t>WM1210 FE2_112</t>
  </si>
  <si>
    <t>E-8070-120S</t>
  </si>
  <si>
    <t>WM1010 FE1_112</t>
  </si>
  <si>
    <t>E-8070-100</t>
  </si>
  <si>
    <t>1010x465x140</t>
  </si>
  <si>
    <t>WM1010 FE2_112</t>
  </si>
  <si>
    <t>E-8070-100-2</t>
  </si>
  <si>
    <t>WM810 FE1_112</t>
  </si>
  <si>
    <t>E-8070-80</t>
  </si>
  <si>
    <t>810x465x140</t>
  </si>
  <si>
    <t>WM610 FE1_112</t>
  </si>
  <si>
    <t>E-8070-60</t>
  </si>
  <si>
    <t>610x465x141</t>
  </si>
  <si>
    <t> 1410 TE2_112</t>
  </si>
  <si>
    <t>E-8095 - 140D</t>
  </si>
  <si>
    <t>1410x460x170</t>
  </si>
  <si>
    <t xml:space="preserve">WM1212 NTE2_112 </t>
  </si>
  <si>
    <t>E-8095 - 120D</t>
  </si>
  <si>
    <t>1210x460x170</t>
  </si>
  <si>
    <t>WM1210 NTE1_112</t>
  </si>
  <si>
    <t>E-8095 - 120S</t>
  </si>
  <si>
    <t xml:space="preserve">WM1010 NTE1_112 </t>
  </si>
  <si>
    <t>E-8095 - 100</t>
  </si>
  <si>
    <t>1010x460x170</t>
  </si>
  <si>
    <t>E-8095 - 100L</t>
  </si>
  <si>
    <t>E-8095 - 100R</t>
  </si>
  <si>
    <t>E-8095 - 120L</t>
  </si>
  <si>
    <t>E-8095 - 120R</t>
  </si>
  <si>
    <t xml:space="preserve">WM810 NTE1_112 </t>
  </si>
  <si>
    <t>E-8095 - 80</t>
  </si>
  <si>
    <t>810x460x170</t>
  </si>
  <si>
    <t xml:space="preserve">WM610 NTE1_112 </t>
  </si>
  <si>
    <t>E-8095 – 60</t>
  </si>
  <si>
    <t>610x460x171</t>
  </si>
  <si>
    <t>Toekomstig aan te geven</t>
  </si>
  <si>
    <t>E- 8003-140D</t>
  </si>
  <si>
    <t>WM1210 SL2_112</t>
  </si>
  <si>
    <t>E-8003-120D</t>
  </si>
  <si>
    <t>1210x460x180</t>
  </si>
  <si>
    <t>E-8003-120</t>
  </si>
  <si>
    <t>E-8003-120L</t>
  </si>
  <si>
    <t>E-8003-120R</t>
  </si>
  <si>
    <t>WM 1010 SL1_112</t>
  </si>
  <si>
    <t>E-8003-100</t>
  </si>
  <si>
    <t>E-8003-100L</t>
  </si>
  <si>
    <t>E-8003-100R</t>
  </si>
  <si>
    <t>WM 810 SL1_112</t>
  </si>
  <si>
    <t>E-8003-80</t>
  </si>
  <si>
    <t>E-8003-60</t>
  </si>
  <si>
    <t>WM2323 OPKO_112</t>
  </si>
  <si>
    <t>E-6013-23</t>
  </si>
  <si>
    <t>230x230x110</t>
  </si>
  <si>
    <t>WM2325 OPKO_185</t>
  </si>
  <si>
    <t>WM2324 OPKO_188</t>
  </si>
  <si>
    <t>WM2626 OPKO_112</t>
  </si>
  <si>
    <t>E-6013</t>
  </si>
  <si>
    <t>260x260x110</t>
  </si>
  <si>
    <t>WM2626 OPK0_742</t>
  </si>
  <si>
    <t xml:space="preserve">Matt White </t>
  </si>
  <si>
    <t>WM2628 OPK0_185</t>
  </si>
  <si>
    <t>WM2627 OPK0_188</t>
  </si>
  <si>
    <t xml:space="preserve">Matt Black </t>
  </si>
  <si>
    <t>WM3232 OPKO_112</t>
  </si>
  <si>
    <t>E-6014</t>
  </si>
  <si>
    <t>320x320x130</t>
  </si>
  <si>
    <t>WM3939 OPKO_112</t>
  </si>
  <si>
    <t>E-6253</t>
  </si>
  <si>
    <t>390x390x135</t>
  </si>
  <si>
    <t>WM4040 OPKO_112</t>
  </si>
  <si>
    <t>E-6423</t>
  </si>
  <si>
    <t>410X410X140</t>
  </si>
  <si>
    <t>WM4043 OPK0_185</t>
  </si>
  <si>
    <t>WM4042 OPK0_188</t>
  </si>
  <si>
    <t>WM6040 OPK0_112</t>
  </si>
  <si>
    <t>E-6477</t>
  </si>
  <si>
    <t>600X380X150</t>
  </si>
  <si>
    <t>White</t>
  </si>
  <si>
    <t>WM635 OPKO_112</t>
  </si>
  <si>
    <t>E-6080</t>
  </si>
  <si>
    <t>WM5039 OPKO_112</t>
  </si>
  <si>
    <t>E-6280</t>
  </si>
  <si>
    <t>500x390x130</t>
  </si>
  <si>
    <t>WM400 TMK1_112</t>
  </si>
  <si>
    <t>E-8083</t>
  </si>
  <si>
    <t xml:space="preserve"> 400X225X100</t>
  </si>
  <si>
    <t>WM403 TMK1_185</t>
  </si>
  <si>
    <t>WM402 TMK1_188</t>
  </si>
  <si>
    <t>430x430x110</t>
  </si>
  <si>
    <t>550x400x110</t>
  </si>
  <si>
    <t>E-5106R</t>
  </si>
  <si>
    <t>550x420x125</t>
  </si>
  <si>
    <t>E-5106L</t>
  </si>
  <si>
    <t>365x185x90</t>
  </si>
  <si>
    <t>E-8073-120D</t>
  </si>
  <si>
    <t>E-8073-120S</t>
  </si>
  <si>
    <t>1210x460x175</t>
  </si>
  <si>
    <t>E-8073-100</t>
  </si>
  <si>
    <t>E-8073-80</t>
  </si>
  <si>
    <t>1010x460x176</t>
  </si>
  <si>
    <t>E-8073-60</t>
  </si>
  <si>
    <t>810x460x177</t>
  </si>
  <si>
    <t>610x460x178</t>
  </si>
  <si>
    <t>DOLLAR</t>
  </si>
  <si>
    <t xml:space="preserve">(vorige order wisselkoers 1,08) </t>
  </si>
  <si>
    <t>Totalen</t>
  </si>
  <si>
    <t>Wisselkoers</t>
  </si>
  <si>
    <t>Transport 40Ft. HQ</t>
  </si>
  <si>
    <t>Vrachtprijs actueel 01/06/2022</t>
  </si>
  <si>
    <r>
      <rPr>
        <b/>
        <sz val="10"/>
        <rFont val="Arial"/>
        <charset val="134"/>
      </rPr>
      <t xml:space="preserve">Wooden Pallet Fee abt </t>
    </r>
    <r>
      <rPr>
        <b/>
        <sz val="10"/>
        <rFont val="Calibri"/>
        <charset val="134"/>
      </rPr>
      <t>€</t>
    </r>
    <r>
      <rPr>
        <b/>
        <sz val="10"/>
        <rFont val="Arial"/>
        <charset val="134"/>
      </rPr>
      <t>17</t>
    </r>
  </si>
  <si>
    <t>45 pallets p/cntr</t>
  </si>
  <si>
    <t>Geleverd Veghel</t>
  </si>
  <si>
    <t>Levering</t>
  </si>
  <si>
    <t>Meerprijs:</t>
  </si>
  <si>
    <t>Meerprijs invoerrechten:</t>
  </si>
  <si>
    <t>Totaal</t>
  </si>
  <si>
    <t xml:space="preserve">Invoerrechten </t>
  </si>
  <si>
    <t xml:space="preserve">Invoer </t>
  </si>
  <si>
    <t>WRA</t>
  </si>
  <si>
    <t>Meerprijs vracht&amp;invoer (indicatie)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</si>
</sst>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4"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[$$-C09]* #,##0.00_-;\-[$$-C09]* #,##0.00_-;_-[$$-C09]* &quot;-&quot;??_-;_-@_-"/>
    <numFmt numFmtId="177" formatCode="_ [$€-2]\ * #,##0.00_ ;_ [$€-2]\ * \-#,##0.00_ ;_ [$€-2]\ * &quot;-&quot;??_ ;_ @_ "/>
    <numFmt numFmtId="178" formatCode="[$$-409]#,##0.00_);[Red]\([$$-409]#,##0.00\)"/>
    <numFmt numFmtId="179" formatCode="_ &quot;€&quot;\ * #,##0.00_ ;_ &quot;€&quot;\ * \-#,##0.00_ ;_ &quot;€&quot;\ * &quot;-&quot;??_ ;_ @_ "/>
    <numFmt numFmtId="180" formatCode="_ [$€-413]\ * #,##0_ ;_ [$€-413]\ * \-#,##0_ ;_ [$€-413]\ * &quot;-&quot;_ ;_ @_ "/>
    <numFmt numFmtId="181" formatCode="0.000"/>
    <numFmt numFmtId="182" formatCode="_ [$€-2]\ * #,##0_ ;_ [$€-2]\ * \-#,##0_ ;_ [$€-2]\ * &quot;-&quot;??_ ;_ @_ "/>
    <numFmt numFmtId="183" formatCode="&quot;US$&quot;#,##0.00;[Red]&quot;US$&quot;#,##0.00"/>
    <numFmt numFmtId="184" formatCode="_([$€-2]\ * #,##0.00_);_([$€-2]\ * \(#,##0.00\);_([$€-2]\ * &quot;-&quot;??_);_(@_)"/>
  </numFmts>
  <fonts count="50">
    <font>
      <sz val="10"/>
      <name val="Arial"/>
      <charset val="134"/>
    </font>
    <font>
      <sz val="10"/>
      <color rgb="FFFF0000"/>
      <name val="Arial"/>
      <charset val="134"/>
    </font>
    <font>
      <sz val="16"/>
      <name val="Arial"/>
      <charset val="134"/>
    </font>
    <font>
      <b/>
      <sz val="16"/>
      <name val="Arial"/>
      <charset val="134"/>
    </font>
    <font>
      <b/>
      <sz val="10"/>
      <name val="Arial"/>
      <charset val="134"/>
    </font>
    <font>
      <sz val="11"/>
      <name val="宋体"/>
      <charset val="134"/>
      <scheme val="minor"/>
    </font>
    <font>
      <b/>
      <sz val="12"/>
      <name val="Arial"/>
      <charset val="134"/>
    </font>
    <font>
      <b/>
      <sz val="12"/>
      <name val="Arial"/>
      <charset val="178"/>
    </font>
    <font>
      <sz val="10"/>
      <color rgb="FF0F0F0F"/>
      <name val="Arial"/>
      <charset val="134"/>
    </font>
    <font>
      <sz val="11"/>
      <name val="Arial"/>
      <charset val="134"/>
    </font>
    <font>
      <sz val="12"/>
      <name val="宋体"/>
      <charset val="134"/>
    </font>
    <font>
      <sz val="12"/>
      <name val="Arial"/>
      <charset val="134"/>
    </font>
    <font>
      <i/>
      <sz val="10"/>
      <name val="Arial"/>
      <charset val="134"/>
    </font>
    <font>
      <sz val="10"/>
      <name val="Arial"/>
      <charset val="178"/>
    </font>
    <font>
      <sz val="10"/>
      <name val="宋体"/>
      <charset val="134"/>
      <scheme val="minor"/>
    </font>
    <font>
      <sz val="12"/>
      <color theme="1"/>
      <name val="Arial"/>
      <charset val="134"/>
    </font>
    <font>
      <sz val="8"/>
      <color rgb="FF171717"/>
      <name val="Public Sans"/>
      <charset val="134"/>
    </font>
    <font>
      <i/>
      <sz val="11"/>
      <name val="Arial"/>
      <charset val="134"/>
    </font>
    <font>
      <sz val="1"/>
      <name val="Arial"/>
      <charset val="134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b/>
      <i/>
      <sz val="11"/>
      <name val="宋体"/>
      <charset val="134"/>
      <scheme val="minor"/>
    </font>
    <font>
      <i/>
      <sz val="11"/>
      <name val="宋体"/>
      <charset val="134"/>
      <scheme val="minor"/>
    </font>
    <font>
      <sz val="18"/>
      <name val="Arial"/>
      <charset val="134"/>
    </font>
    <font>
      <b/>
      <sz val="11"/>
      <color rgb="FFFA7D00"/>
      <name val="宋体"/>
      <charset val="134"/>
      <scheme val="minor"/>
    </font>
    <font>
      <sz val="12"/>
      <color theme="1" tint="0.249977111117893"/>
      <name val="Arial"/>
      <charset val="134"/>
    </font>
    <font>
      <sz val="16"/>
      <name val="宋体"/>
      <charset val="134"/>
    </font>
    <font>
      <sz val="10"/>
      <name val="宋体"/>
      <charset val="134"/>
    </font>
    <font>
      <sz val="14"/>
      <color rgb="FFFF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5700"/>
      <name val="宋体"/>
      <charset val="134"/>
      <scheme val="minor"/>
    </font>
    <font>
      <sz val="12"/>
      <color rgb="FFFF0000"/>
      <name val="Arial"/>
      <charset val="134"/>
    </font>
    <font>
      <b/>
      <sz val="10"/>
      <name val="Calibri"/>
      <charset val="134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20" fillId="0" borderId="0" applyFont="0" applyFill="0" applyBorder="0" applyAlignment="0" applyProtection="0">
      <alignment vertical="center"/>
    </xf>
    <xf numFmtId="44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0" fillId="12" borderId="29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30" applyNumberFormat="0" applyFill="0" applyAlignment="0" applyProtection="0">
      <alignment vertical="center"/>
    </xf>
    <xf numFmtId="0" fontId="35" fillId="0" borderId="30" applyNumberFormat="0" applyFill="0" applyAlignment="0" applyProtection="0">
      <alignment vertical="center"/>
    </xf>
    <xf numFmtId="0" fontId="36" fillId="0" borderId="31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13" borderId="32" applyNumberFormat="0" applyAlignment="0" applyProtection="0">
      <alignment vertical="center"/>
    </xf>
    <xf numFmtId="0" fontId="38" fillId="14" borderId="33" applyNumberFormat="0" applyAlignment="0" applyProtection="0">
      <alignment vertical="center"/>
    </xf>
    <xf numFmtId="0" fontId="24" fillId="14" borderId="32" applyNumberFormat="0" applyAlignment="0" applyProtection="0"/>
    <xf numFmtId="0" fontId="39" fillId="15" borderId="34" applyNumberFormat="0" applyAlignment="0" applyProtection="0">
      <alignment vertical="center"/>
    </xf>
    <xf numFmtId="0" fontId="40" fillId="0" borderId="35" applyNumberFormat="0" applyFill="0" applyAlignment="0" applyProtection="0">
      <alignment vertical="center"/>
    </xf>
    <xf numFmtId="0" fontId="41" fillId="0" borderId="36" applyNumberFormat="0" applyFill="0" applyAlignment="0" applyProtection="0">
      <alignment vertical="center"/>
    </xf>
    <xf numFmtId="0" fontId="42" fillId="16" borderId="0" applyNumberFormat="0" applyBorder="0" applyAlignment="0" applyProtection="0"/>
    <xf numFmtId="0" fontId="43" fillId="17" borderId="0" applyNumberFormat="0" applyBorder="0" applyAlignment="0" applyProtection="0"/>
    <xf numFmtId="0" fontId="44" fillId="18" borderId="0" applyNumberFormat="0" applyBorder="0" applyAlignment="0" applyProtection="0"/>
    <xf numFmtId="0" fontId="45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20" fillId="28" borderId="0" applyNumberFormat="0" applyBorder="0" applyAlignment="0" applyProtection="0"/>
    <xf numFmtId="0" fontId="45" fillId="4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/>
    <xf numFmtId="0" fontId="46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7" borderId="0" applyNumberFormat="0" applyBorder="0" applyAlignment="0" applyProtection="0">
      <alignment vertical="center"/>
    </xf>
    <xf numFmtId="0" fontId="45" fillId="38" borderId="0" applyNumberFormat="0" applyBorder="0" applyAlignment="0" applyProtection="0">
      <alignment vertical="center"/>
    </xf>
    <xf numFmtId="0" fontId="47" fillId="18" borderId="0" applyNumberFormat="0" applyBorder="0" applyAlignment="0" applyProtection="0"/>
    <xf numFmtId="0" fontId="20" fillId="0" borderId="0"/>
    <xf numFmtId="0" fontId="27" fillId="0" borderId="0"/>
    <xf numFmtId="0" fontId="10" fillId="0" borderId="0"/>
  </cellStyleXfs>
  <cellXfs count="255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1" fillId="0" borderId="0" xfId="0" applyFont="1"/>
    <xf numFmtId="0" fontId="1" fillId="4" borderId="0" xfId="0" applyFont="1" applyFill="1"/>
    <xf numFmtId="0" fontId="0" fillId="3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2" fillId="0" borderId="0" xfId="0" applyFont="1"/>
    <xf numFmtId="0" fontId="2" fillId="3" borderId="0" xfId="0" applyFont="1" applyFill="1"/>
    <xf numFmtId="0" fontId="3" fillId="0" borderId="0" xfId="0" applyFont="1"/>
    <xf numFmtId="0" fontId="0" fillId="0" borderId="0" xfId="0" applyAlignment="1">
      <alignment wrapText="1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0" fillId="6" borderId="7" xfId="0" applyFill="1" applyBorder="1"/>
    <xf numFmtId="0" fontId="0" fillId="6" borderId="7" xfId="0" applyFill="1" applyBorder="1" applyAlignment="1">
      <alignment horizontal="center" vertical="center"/>
    </xf>
    <xf numFmtId="0" fontId="5" fillId="6" borderId="7" xfId="22" applyFont="1" applyFill="1" applyBorder="1" applyAlignment="1">
      <alignment horizontal="center" vertical="center"/>
    </xf>
    <xf numFmtId="0" fontId="5" fillId="3" borderId="7" xfId="22" applyFont="1" applyFill="1" applyBorder="1" applyAlignment="1">
      <alignment horizontal="center" vertical="center" wrapText="1"/>
    </xf>
    <xf numFmtId="176" fontId="0" fillId="6" borderId="7" xfId="0" applyNumberFormat="1" applyFill="1" applyBorder="1" applyAlignment="1">
      <alignment horizontal="center" vertical="center"/>
    </xf>
    <xf numFmtId="177" fontId="0" fillId="3" borderId="7" xfId="0" applyNumberFormat="1" applyFill="1" applyBorder="1" applyAlignment="1">
      <alignment horizontal="center" vertical="center"/>
    </xf>
    <xf numFmtId="177" fontId="0" fillId="6" borderId="7" xfId="0" applyNumberForma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 wrapText="1"/>
    </xf>
    <xf numFmtId="0" fontId="5" fillId="6" borderId="8" xfId="24" applyFont="1" applyFill="1" applyBorder="1" applyAlignment="1">
      <alignment horizontal="center" vertical="center"/>
    </xf>
    <xf numFmtId="0" fontId="5" fillId="6" borderId="8" xfId="22" applyFont="1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177" fontId="0" fillId="3" borderId="8" xfId="0" applyNumberFormat="1" applyFill="1" applyBorder="1" applyAlignment="1">
      <alignment horizontal="center" vertical="center"/>
    </xf>
    <xf numFmtId="177" fontId="0" fillId="6" borderId="8" xfId="0" applyNumberForma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 wrapText="1"/>
    </xf>
    <xf numFmtId="0" fontId="5" fillId="0" borderId="8" xfId="24" applyFont="1" applyFill="1" applyBorder="1" applyAlignment="1">
      <alignment horizontal="center" vertical="center"/>
    </xf>
    <xf numFmtId="0" fontId="5" fillId="0" borderId="8" xfId="22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176" fontId="0" fillId="3" borderId="7" xfId="0" applyNumberFormat="1" applyFill="1" applyBorder="1" applyAlignment="1">
      <alignment horizontal="center" vertical="center"/>
    </xf>
    <xf numFmtId="177" fontId="0" fillId="5" borderId="8" xfId="0" applyNumberFormat="1" applyFill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 wrapText="1"/>
    </xf>
    <xf numFmtId="0" fontId="5" fillId="0" borderId="7" xfId="22" applyFont="1" applyFill="1" applyBorder="1" applyAlignment="1">
      <alignment horizontal="center" vertical="center" wrapText="1"/>
    </xf>
    <xf numFmtId="177" fontId="0" fillId="0" borderId="8" xfId="0" applyNumberForma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9" fillId="0" borderId="8" xfId="0" applyFont="1" applyBorder="1"/>
    <xf numFmtId="176" fontId="0" fillId="0" borderId="8" xfId="0" applyNumberFormat="1" applyBorder="1" applyAlignment="1">
      <alignment horizontal="center" vertical="center"/>
    </xf>
    <xf numFmtId="0" fontId="10" fillId="0" borderId="8" xfId="0" applyFont="1" applyBorder="1"/>
    <xf numFmtId="0" fontId="11" fillId="6" borderId="8" xfId="0" applyFont="1" applyFill="1" applyBorder="1"/>
    <xf numFmtId="176" fontId="0" fillId="6" borderId="8" xfId="0" applyNumberFormat="1" applyFill="1" applyBorder="1" applyAlignment="1">
      <alignment horizontal="center" vertical="center"/>
    </xf>
    <xf numFmtId="176" fontId="12" fillId="0" borderId="8" xfId="0" applyNumberFormat="1" applyFont="1" applyBorder="1" applyAlignment="1">
      <alignment horizontal="center" vertical="center"/>
    </xf>
    <xf numFmtId="0" fontId="11" fillId="0" borderId="8" xfId="0" applyFont="1" applyBorder="1"/>
    <xf numFmtId="0" fontId="0" fillId="0" borderId="8" xfId="0" applyBorder="1"/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6" borderId="8" xfId="0" applyFill="1" applyBorder="1"/>
    <xf numFmtId="0" fontId="0" fillId="6" borderId="9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13" fillId="6" borderId="8" xfId="0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" fillId="6" borderId="0" xfId="0" applyFont="1" applyFill="1"/>
    <xf numFmtId="0" fontId="0" fillId="3" borderId="8" xfId="0" applyFill="1" applyBorder="1"/>
    <xf numFmtId="0" fontId="13" fillId="3" borderId="8" xfId="0" applyFont="1" applyFill="1" applyBorder="1" applyAlignment="1">
      <alignment horizontal="center" vertical="center"/>
    </xf>
    <xf numFmtId="176" fontId="0" fillId="3" borderId="8" xfId="0" applyNumberFormat="1" applyFill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5" fillId="0" borderId="8" xfId="22" applyFont="1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5" fillId="6" borderId="9" xfId="24" applyFont="1" applyFill="1" applyBorder="1" applyAlignment="1">
      <alignment horizontal="center" vertical="center"/>
    </xf>
    <xf numFmtId="0" fontId="14" fillId="6" borderId="7" xfId="22" applyFont="1" applyFill="1" applyBorder="1" applyAlignment="1">
      <alignment horizontal="center" vertical="center"/>
    </xf>
    <xf numFmtId="0" fontId="5" fillId="0" borderId="9" xfId="24" applyFont="1" applyFill="1" applyBorder="1" applyAlignment="1">
      <alignment horizontal="center" vertical="center"/>
    </xf>
    <xf numFmtId="0" fontId="14" fillId="0" borderId="7" xfId="22" applyFont="1" applyFill="1" applyBorder="1" applyAlignment="1">
      <alignment horizontal="center" vertical="center"/>
    </xf>
    <xf numFmtId="0" fontId="14" fillId="3" borderId="7" xfId="22" applyFont="1" applyFill="1" applyBorder="1" applyAlignment="1">
      <alignment horizontal="center" vertical="center"/>
    </xf>
    <xf numFmtId="0" fontId="9" fillId="7" borderId="8" xfId="0" applyFont="1" applyFill="1" applyBorder="1" applyAlignment="1">
      <alignment horizontal="center" vertical="center" wrapText="1"/>
    </xf>
    <xf numFmtId="178" fontId="15" fillId="0" borderId="8" xfId="0" applyNumberFormat="1" applyFont="1" applyBorder="1" applyAlignment="1">
      <alignment horizontal="right" vertical="center"/>
    </xf>
    <xf numFmtId="0" fontId="9" fillId="0" borderId="8" xfId="0" applyFont="1" applyBorder="1" applyAlignment="1">
      <alignment horizontal="center" vertical="center"/>
    </xf>
    <xf numFmtId="0" fontId="16" fillId="0" borderId="0" xfId="0" applyFont="1"/>
    <xf numFmtId="0" fontId="5" fillId="0" borderId="0" xfId="22" applyFont="1" applyFill="1" applyBorder="1" applyAlignment="1">
      <alignment horizontal="center" vertical="center" wrapText="1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17" fillId="0" borderId="0" xfId="0" applyFont="1"/>
    <xf numFmtId="0" fontId="18" fillId="0" borderId="0" xfId="0" applyFont="1"/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9" fillId="3" borderId="3" xfId="23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19" fillId="3" borderId="6" xfId="23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177" fontId="0" fillId="0" borderId="7" xfId="0" applyNumberFormat="1" applyBorder="1" applyAlignment="1">
      <alignment horizontal="center" vertical="center"/>
    </xf>
    <xf numFmtId="177" fontId="0" fillId="3" borderId="7" xfId="23" applyNumberFormat="1" applyFont="1" applyFill="1" applyBorder="1" applyAlignment="1">
      <alignment horizontal="center" vertical="center"/>
    </xf>
    <xf numFmtId="177" fontId="0" fillId="2" borderId="7" xfId="0" applyNumberFormat="1" applyFill="1" applyBorder="1" applyAlignment="1">
      <alignment horizontal="center" vertical="center"/>
    </xf>
    <xf numFmtId="1" fontId="0" fillId="3" borderId="7" xfId="0" applyNumberFormat="1" applyFill="1" applyBorder="1" applyAlignment="1">
      <alignment horizontal="center" vertical="center"/>
    </xf>
    <xf numFmtId="177" fontId="0" fillId="3" borderId="8" xfId="23" applyNumberFormat="1" applyFont="1" applyFill="1" applyBorder="1" applyAlignment="1">
      <alignment horizontal="center" vertical="center"/>
    </xf>
    <xf numFmtId="177" fontId="0" fillId="2" borderId="8" xfId="0" applyNumberFormat="1" applyFill="1" applyBorder="1" applyAlignment="1">
      <alignment horizontal="center" vertical="center"/>
    </xf>
    <xf numFmtId="1" fontId="0" fillId="3" borderId="8" xfId="0" applyNumberFormat="1" applyFill="1" applyBorder="1" applyAlignment="1">
      <alignment horizontal="center" vertical="center"/>
    </xf>
    <xf numFmtId="177" fontId="0" fillId="0" borderId="8" xfId="23" applyNumberFormat="1" applyFont="1" applyFill="1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1" fontId="5" fillId="0" borderId="8" xfId="35" applyNumberFormat="1" applyFont="1" applyFill="1" applyBorder="1" applyAlignment="1">
      <alignment horizontal="center" vertical="center"/>
    </xf>
    <xf numFmtId="1" fontId="5" fillId="0" borderId="7" xfId="35" applyNumberFormat="1" applyFont="1" applyFill="1" applyBorder="1" applyAlignment="1">
      <alignment horizontal="center" vertical="center"/>
    </xf>
    <xf numFmtId="1" fontId="0" fillId="5" borderId="7" xfId="0" applyNumberFormat="1" applyFill="1" applyBorder="1" applyAlignment="1">
      <alignment horizontal="center" vertical="center"/>
    </xf>
    <xf numFmtId="1" fontId="5" fillId="8" borderId="8" xfId="35" applyNumberFormat="1" applyFont="1" applyFill="1" applyBorder="1" applyAlignment="1">
      <alignment horizontal="center" vertical="center"/>
    </xf>
    <xf numFmtId="177" fontId="0" fillId="9" borderId="8" xfId="0" applyNumberFormat="1" applyFill="1" applyBorder="1" applyAlignment="1">
      <alignment horizontal="center" vertical="center"/>
    </xf>
    <xf numFmtId="1" fontId="5" fillId="8" borderId="8" xfId="24" applyNumberFormat="1" applyFont="1" applyFill="1" applyBorder="1" applyAlignment="1">
      <alignment horizontal="center" vertical="center"/>
    </xf>
    <xf numFmtId="177" fontId="0" fillId="0" borderId="0" xfId="23" applyNumberFormat="1" applyFont="1" applyFill="1" applyBorder="1" applyAlignment="1">
      <alignment horizontal="center" vertical="center"/>
    </xf>
    <xf numFmtId="1" fontId="20" fillId="0" borderId="0" xfId="35" applyNumberFormat="1" applyFill="1" applyBorder="1" applyAlignment="1">
      <alignment horizontal="center" vertical="center"/>
    </xf>
    <xf numFmtId="179" fontId="0" fillId="3" borderId="0" xfId="0" applyNumberFormat="1" applyFont="1" applyFill="1" applyAlignment="1">
      <alignment horizontal="center" vertical="center"/>
    </xf>
    <xf numFmtId="1" fontId="4" fillId="3" borderId="0" xfId="0" applyNumberFormat="1" applyFont="1" applyFill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11" fillId="0" borderId="8" xfId="0" applyFont="1" applyBorder="1" applyAlignment="1">
      <alignment horizontal="left" vertical="center"/>
    </xf>
    <xf numFmtId="0" fontId="18" fillId="0" borderId="8" xfId="0" applyFont="1" applyBorder="1" applyAlignment="1">
      <alignment horizontal="left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19" fillId="10" borderId="3" xfId="38" applyFont="1" applyFill="1" applyBorder="1" applyAlignment="1">
      <alignment horizontal="center" vertical="center" wrapText="1"/>
    </xf>
    <xf numFmtId="0" fontId="4" fillId="3" borderId="20" xfId="0" applyFont="1" applyFill="1" applyBorder="1" applyAlignment="1">
      <alignment horizontal="center" vertical="center"/>
    </xf>
    <xf numFmtId="0" fontId="19" fillId="11" borderId="21" xfId="38" applyFont="1" applyFill="1" applyBorder="1" applyAlignment="1">
      <alignment horizontal="center" vertical="center" wrapText="1"/>
    </xf>
    <xf numFmtId="0" fontId="21" fillId="11" borderId="3" xfId="38" applyFont="1" applyFill="1" applyBorder="1" applyAlignment="1">
      <alignment horizontal="center" vertical="center" wrapText="1"/>
    </xf>
    <xf numFmtId="0" fontId="19" fillId="11" borderId="22" xfId="38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19" fillId="10" borderId="6" xfId="38" applyFont="1" applyFill="1" applyBorder="1" applyAlignment="1">
      <alignment horizontal="center" vertical="center" wrapText="1"/>
    </xf>
    <xf numFmtId="0" fontId="4" fillId="3" borderId="23" xfId="0" applyFont="1" applyFill="1" applyBorder="1" applyAlignment="1">
      <alignment horizontal="center" vertical="center"/>
    </xf>
    <xf numFmtId="0" fontId="19" fillId="11" borderId="24" xfId="38" applyFont="1" applyFill="1" applyBorder="1" applyAlignment="1">
      <alignment horizontal="center" vertical="center" wrapText="1"/>
    </xf>
    <xf numFmtId="0" fontId="21" fillId="11" borderId="6" xfId="38" applyFont="1" applyFill="1" applyBorder="1" applyAlignment="1">
      <alignment horizontal="center" vertical="center" wrapText="1"/>
    </xf>
    <xf numFmtId="0" fontId="19" fillId="11" borderId="25" xfId="38" applyFont="1" applyFill="1" applyBorder="1" applyAlignment="1">
      <alignment horizontal="center" vertical="center" wrapText="1"/>
    </xf>
    <xf numFmtId="1" fontId="5" fillId="6" borderId="7" xfId="38" applyNumberFormat="1" applyFont="1" applyFill="1" applyBorder="1" applyAlignment="1">
      <alignment horizontal="center" vertical="center"/>
    </xf>
    <xf numFmtId="177" fontId="0" fillId="6" borderId="7" xfId="0" applyNumberFormat="1" applyFill="1" applyBorder="1"/>
    <xf numFmtId="180" fontId="5" fillId="11" borderId="7" xfId="38" applyNumberFormat="1" applyFont="1" applyFill="1" applyBorder="1" applyAlignment="1">
      <alignment horizontal="center" vertical="center"/>
    </xf>
    <xf numFmtId="177" fontId="1" fillId="3" borderId="0" xfId="0" applyNumberFormat="1" applyFont="1" applyFill="1"/>
    <xf numFmtId="1" fontId="5" fillId="6" borderId="8" xfId="38" applyNumberFormat="1" applyFont="1" applyFill="1" applyBorder="1" applyAlignment="1">
      <alignment horizontal="center" vertical="center"/>
    </xf>
    <xf numFmtId="177" fontId="0" fillId="6" borderId="8" xfId="0" applyNumberFormat="1" applyFill="1" applyBorder="1"/>
    <xf numFmtId="1" fontId="5" fillId="0" borderId="8" xfId="38" applyNumberFormat="1" applyFont="1" applyFill="1" applyBorder="1" applyAlignment="1">
      <alignment horizontal="center" vertical="center"/>
    </xf>
    <xf numFmtId="177" fontId="0" fillId="3" borderId="8" xfId="0" applyNumberFormat="1" applyFill="1" applyBorder="1"/>
    <xf numFmtId="177" fontId="0" fillId="3" borderId="0" xfId="0" applyNumberFormat="1" applyFill="1"/>
    <xf numFmtId="1" fontId="5" fillId="0" borderId="7" xfId="38" applyNumberFormat="1" applyFont="1" applyFill="1" applyBorder="1" applyAlignment="1">
      <alignment horizontal="center" vertical="center"/>
    </xf>
    <xf numFmtId="177" fontId="0" fillId="0" borderId="8" xfId="0" applyNumberFormat="1" applyBorder="1"/>
    <xf numFmtId="180" fontId="5" fillId="4" borderId="7" xfId="38" applyNumberFormat="1" applyFont="1" applyFill="1" applyBorder="1" applyAlignment="1">
      <alignment horizontal="center" vertical="center"/>
    </xf>
    <xf numFmtId="177" fontId="1" fillId="4" borderId="0" xfId="0" applyNumberFormat="1" applyFont="1" applyFill="1"/>
    <xf numFmtId="1" fontId="22" fillId="0" borderId="7" xfId="38" applyNumberFormat="1" applyFont="1" applyFill="1" applyBorder="1" applyAlignment="1">
      <alignment horizontal="center" vertical="center"/>
    </xf>
    <xf numFmtId="1" fontId="5" fillId="11" borderId="7" xfId="38" applyNumberFormat="1" applyFont="1" applyFill="1" applyBorder="1" applyAlignment="1">
      <alignment horizontal="center" vertical="center"/>
    </xf>
    <xf numFmtId="177" fontId="0" fillId="0" borderId="0" xfId="0" applyNumberFormat="1"/>
    <xf numFmtId="177" fontId="1" fillId="0" borderId="0" xfId="0" applyNumberFormat="1" applyFont="1"/>
    <xf numFmtId="1" fontId="20" fillId="0" borderId="0" xfId="38" applyNumberFormat="1" applyFill="1" applyBorder="1" applyAlignment="1">
      <alignment horizontal="center" vertical="center"/>
    </xf>
    <xf numFmtId="1" fontId="20" fillId="0" borderId="7" xfId="38" applyNumberForma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181" fontId="0" fillId="3" borderId="8" xfId="0" applyNumberForma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right" vertical="center"/>
    </xf>
    <xf numFmtId="0" fontId="4" fillId="3" borderId="8" xfId="0" applyFont="1" applyFill="1" applyBorder="1" applyAlignment="1">
      <alignment horizontal="right" vertical="center" wrapText="1"/>
    </xf>
    <xf numFmtId="182" fontId="0" fillId="3" borderId="8" xfId="0" applyNumberFormat="1" applyFill="1" applyBorder="1" applyAlignment="1">
      <alignment horizontal="center" vertical="center"/>
    </xf>
    <xf numFmtId="0" fontId="0" fillId="3" borderId="0" xfId="0" applyFill="1" applyAlignment="1">
      <alignment horizontal="right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right" vertical="center"/>
    </xf>
    <xf numFmtId="0" fontId="4" fillId="0" borderId="8" xfId="0" applyFont="1" applyBorder="1" applyAlignment="1">
      <alignment horizontal="right" vertical="center" wrapText="1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 wrapText="1"/>
    </xf>
    <xf numFmtId="0" fontId="0" fillId="0" borderId="0" xfId="0" applyAlignment="1">
      <alignment horizontal="right" vertical="center"/>
    </xf>
    <xf numFmtId="0" fontId="23" fillId="0" borderId="0" xfId="0" applyFont="1" applyAlignment="1">
      <alignment vertical="center"/>
    </xf>
    <xf numFmtId="0" fontId="23" fillId="3" borderId="0" xfId="0" applyFont="1" applyFill="1" applyAlignment="1">
      <alignment vertical="center"/>
    </xf>
    <xf numFmtId="0" fontId="23" fillId="0" borderId="0" xfId="0" applyFont="1" applyAlignment="1">
      <alignment horizontal="center" vertical="center"/>
    </xf>
    <xf numFmtId="0" fontId="4" fillId="3" borderId="0" xfId="0" applyFont="1" applyFill="1" applyAlignment="1">
      <alignment vertical="center"/>
    </xf>
    <xf numFmtId="177" fontId="4" fillId="0" borderId="26" xfId="0" applyNumberFormat="1" applyFont="1" applyBorder="1" applyAlignment="1">
      <alignment horizontal="center" vertical="center"/>
    </xf>
    <xf numFmtId="177" fontId="4" fillId="0" borderId="9" xfId="0" applyNumberFormat="1" applyFont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0" fillId="3" borderId="0" xfId="0" applyFill="1" applyAlignment="1">
      <alignment horizontal="left" vertical="center"/>
    </xf>
    <xf numFmtId="0" fontId="4" fillId="0" borderId="26" xfId="0" applyFont="1" applyBorder="1" applyAlignment="1">
      <alignment vertical="top" wrapText="1"/>
    </xf>
    <xf numFmtId="0" fontId="4" fillId="0" borderId="9" xfId="0" applyFont="1" applyBorder="1" applyAlignment="1">
      <alignment vertical="top" wrapText="1"/>
    </xf>
    <xf numFmtId="182" fontId="0" fillId="3" borderId="8" xfId="0" applyNumberFormat="1" applyFill="1" applyBorder="1" applyAlignment="1">
      <alignment vertical="center"/>
    </xf>
    <xf numFmtId="0" fontId="4" fillId="0" borderId="26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77" fontId="0" fillId="0" borderId="0" xfId="0" applyNumberFormat="1" applyAlignment="1">
      <alignment vertical="center"/>
    </xf>
    <xf numFmtId="0" fontId="0" fillId="0" borderId="0" xfId="0" applyAlignment="1">
      <alignment horizontal="left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left" vertical="center"/>
    </xf>
    <xf numFmtId="2" fontId="0" fillId="0" borderId="0" xfId="0" applyNumberFormat="1" applyAlignment="1">
      <alignment horizontal="center" vertical="center"/>
    </xf>
    <xf numFmtId="0" fontId="24" fillId="3" borderId="0" xfId="18" applyFill="1" applyBorder="1" applyAlignment="1">
      <alignment horizontal="center" vertical="center"/>
    </xf>
    <xf numFmtId="1" fontId="5" fillId="0" borderId="8" xfId="18" applyNumberFormat="1" applyFont="1" applyFill="1" applyBorder="1" applyAlignment="1">
      <alignment horizontal="center" vertical="center"/>
    </xf>
    <xf numFmtId="177" fontId="0" fillId="0" borderId="8" xfId="0" applyNumberFormat="1" applyBorder="1" applyAlignment="1">
      <alignment vertical="center"/>
    </xf>
    <xf numFmtId="177" fontId="0" fillId="11" borderId="8" xfId="0" applyNumberFormat="1" applyFill="1" applyBorder="1" applyAlignment="1">
      <alignment vertical="center"/>
    </xf>
    <xf numFmtId="177" fontId="0" fillId="0" borderId="9" xfId="0" applyNumberFormat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177" fontId="1" fillId="0" borderId="0" xfId="0" applyNumberFormat="1" applyFont="1" applyAlignment="1">
      <alignment horizontal="left" vertical="center"/>
    </xf>
    <xf numFmtId="177" fontId="0" fillId="0" borderId="9" xfId="0" applyNumberFormat="1" applyBorder="1" applyAlignment="1">
      <alignment horizontal="center"/>
    </xf>
    <xf numFmtId="177" fontId="0" fillId="0" borderId="0" xfId="0" applyNumberFormat="1" applyAlignment="1">
      <alignment horizontal="center"/>
    </xf>
    <xf numFmtId="177" fontId="4" fillId="0" borderId="0" xfId="0" applyNumberFormat="1" applyFont="1"/>
    <xf numFmtId="177" fontId="24" fillId="3" borderId="0" xfId="18" applyNumberFormat="1" applyFill="1" applyBorder="1"/>
    <xf numFmtId="0" fontId="0" fillId="0" borderId="0" xfId="0" applyFill="1"/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wrapText="1"/>
    </xf>
    <xf numFmtId="0" fontId="2" fillId="0" borderId="0" xfId="0" applyFont="1" applyFill="1"/>
    <xf numFmtId="0" fontId="3" fillId="0" borderId="0" xfId="0" applyFont="1" applyFill="1"/>
    <xf numFmtId="0" fontId="0" fillId="0" borderId="0" xfId="0" applyFill="1" applyAlignment="1">
      <alignment horizontal="center"/>
    </xf>
    <xf numFmtId="0" fontId="4" fillId="0" borderId="1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9" fillId="0" borderId="27" xfId="0" applyFont="1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5" fillId="0" borderId="3" xfId="22" applyFont="1" applyFill="1" applyBorder="1" applyAlignment="1">
      <alignment horizontal="center" vertical="center" wrapText="1"/>
    </xf>
    <xf numFmtId="0" fontId="15" fillId="0" borderId="8" xfId="0" applyFont="1" applyFill="1" applyBorder="1" applyAlignment="1">
      <alignment horizontal="center" vertical="center" wrapText="1"/>
    </xf>
    <xf numFmtId="183" fontId="0" fillId="0" borderId="8" xfId="0" applyNumberFormat="1" applyFill="1" applyBorder="1" applyAlignment="1">
      <alignment horizontal="center" vertical="center"/>
    </xf>
    <xf numFmtId="0" fontId="9" fillId="0" borderId="28" xfId="0" applyFont="1" applyFill="1" applyBorder="1" applyAlignment="1">
      <alignment horizontal="center" vertical="center" wrapText="1"/>
    </xf>
    <xf numFmtId="0" fontId="0" fillId="0" borderId="19" xfId="0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 wrapText="1"/>
    </xf>
    <xf numFmtId="0" fontId="5" fillId="0" borderId="19" xfId="22" applyFont="1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26" fontId="11" fillId="0" borderId="8" xfId="0" applyNumberFormat="1" applyFont="1" applyFill="1" applyBorder="1" applyAlignment="1">
      <alignment horizontal="center" vertical="center"/>
    </xf>
    <xf numFmtId="0" fontId="25" fillId="0" borderId="8" xfId="51" applyFont="1" applyFill="1" applyBorder="1" applyAlignment="1">
      <alignment horizontal="center" vertical="center" wrapText="1"/>
    </xf>
    <xf numFmtId="0" fontId="25" fillId="0" borderId="10" xfId="51" applyFont="1" applyFill="1" applyBorder="1" applyAlignment="1">
      <alignment horizontal="center" vertical="center" wrapText="1"/>
    </xf>
    <xf numFmtId="26" fontId="11" fillId="0" borderId="10" xfId="0" applyNumberFormat="1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 wrapText="1"/>
    </xf>
    <xf numFmtId="0" fontId="5" fillId="0" borderId="10" xfId="22" applyFont="1" applyFill="1" applyBorder="1" applyAlignment="1">
      <alignment horizontal="center" vertical="center" wrapText="1"/>
    </xf>
    <xf numFmtId="0" fontId="9" fillId="0" borderId="19" xfId="0" applyFont="1" applyFill="1" applyBorder="1" applyAlignment="1">
      <alignment horizontal="center" vertical="center" wrapText="1"/>
    </xf>
    <xf numFmtId="0" fontId="9" fillId="0" borderId="7" xfId="0" applyFont="1" applyFill="1" applyBorder="1" applyAlignment="1">
      <alignment horizontal="center" vertical="center" wrapText="1"/>
    </xf>
    <xf numFmtId="0" fontId="25" fillId="0" borderId="8" xfId="51" applyFont="1" applyFill="1" applyBorder="1" applyAlignment="1">
      <alignment horizontal="center" vertical="center"/>
    </xf>
    <xf numFmtId="0" fontId="25" fillId="0" borderId="8" xfId="0" applyFont="1" applyFill="1" applyBorder="1" applyAlignment="1">
      <alignment horizontal="center" vertical="center" wrapText="1"/>
    </xf>
    <xf numFmtId="0" fontId="11" fillId="0" borderId="8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right" vertical="center"/>
    </xf>
    <xf numFmtId="0" fontId="2" fillId="0" borderId="0" xfId="0" applyFont="1" applyFill="1" applyAlignment="1">
      <alignment wrapText="1"/>
    </xf>
    <xf numFmtId="0" fontId="18" fillId="0" borderId="0" xfId="0" applyFont="1" applyFill="1"/>
    <xf numFmtId="0" fontId="17" fillId="0" borderId="0" xfId="0" applyFont="1" applyFill="1" applyAlignment="1">
      <alignment wrapText="1"/>
    </xf>
    <xf numFmtId="0" fontId="4" fillId="0" borderId="14" xfId="0" applyFont="1" applyFill="1" applyBorder="1" applyAlignment="1">
      <alignment horizontal="center" vertical="center"/>
    </xf>
    <xf numFmtId="0" fontId="26" fillId="0" borderId="0" xfId="0" applyFont="1" applyFill="1" applyAlignment="1">
      <alignment wrapText="1"/>
    </xf>
    <xf numFmtId="0" fontId="27" fillId="0" borderId="0" xfId="0" applyFont="1" applyFill="1" applyAlignment="1">
      <alignment wrapText="1"/>
    </xf>
    <xf numFmtId="184" fontId="0" fillId="0" borderId="0" xfId="0" applyNumberFormat="1" applyFill="1" applyAlignment="1">
      <alignment wrapText="1"/>
    </xf>
    <xf numFmtId="1" fontId="5" fillId="0" borderId="19" xfId="38" applyNumberFormat="1" applyFont="1" applyFill="1" applyBorder="1" applyAlignment="1">
      <alignment horizontal="center" vertical="center"/>
    </xf>
    <xf numFmtId="0" fontId="28" fillId="0" borderId="0" xfId="0" applyFont="1" applyFill="1" applyAlignment="1">
      <alignment horizontal="center" vertical="center" wrapText="1"/>
    </xf>
    <xf numFmtId="0" fontId="28" fillId="0" borderId="8" xfId="0" applyFont="1" applyFill="1" applyBorder="1" applyAlignment="1">
      <alignment horizontal="center" vertical="center" wrapText="1"/>
    </xf>
    <xf numFmtId="1" fontId="0" fillId="0" borderId="0" xfId="0" applyNumberFormat="1" applyFill="1"/>
    <xf numFmtId="177" fontId="0" fillId="0" borderId="0" xfId="0" applyNumberFormat="1" applyFill="1" applyAlignment="1">
      <alignment wrapText="1"/>
    </xf>
    <xf numFmtId="177" fontId="4" fillId="0" borderId="0" xfId="0" applyNumberFormat="1" applyFont="1" applyFill="1" applyAlignment="1">
      <alignment wrapText="1"/>
    </xf>
    <xf numFmtId="2" fontId="0" fillId="0" borderId="0" xfId="0" applyNumberFormat="1" applyFill="1" applyAlignment="1">
      <alignment horizontal="center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eutraal 2" xfId="49"/>
    <cellStyle name="Standaard 2" xfId="50"/>
    <cellStyle name="常规 3" xfId="51"/>
    <cellStyle name="常规_带灯镜子的价格" xf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99FFCC"/>
      <color rgb="00FFFFCC"/>
      <color rgb="0066FFCC"/>
      <color rgb="00CC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www.wps.cn/officeDocument/2021/sharedlinks" Target="sharedlinks.xml"/><Relationship Id="rId6" Type="http://schemas.openxmlformats.org/officeDocument/2006/relationships/externalLink" Target="externalLinks/externalLink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16.jpeg"/><Relationship Id="rId8" Type="http://schemas.openxmlformats.org/officeDocument/2006/relationships/image" Target="../media/image15.png"/><Relationship Id="rId7" Type="http://schemas.openxmlformats.org/officeDocument/2006/relationships/image" Target="../media/image1.png"/><Relationship Id="rId6" Type="http://schemas.openxmlformats.org/officeDocument/2006/relationships/image" Target="../media/image14.jpeg"/><Relationship Id="rId5" Type="http://schemas.openxmlformats.org/officeDocument/2006/relationships/image" Target="../media/image13.jpeg"/><Relationship Id="rId4" Type="http://schemas.openxmlformats.org/officeDocument/2006/relationships/image" Target="../media/image12.jpeg"/><Relationship Id="rId3" Type="http://schemas.openxmlformats.org/officeDocument/2006/relationships/image" Target="../media/image11.jpeg"/><Relationship Id="rId2" Type="http://schemas.openxmlformats.org/officeDocument/2006/relationships/image" Target="../media/image10.jpeg"/><Relationship Id="rId15" Type="http://schemas.openxmlformats.org/officeDocument/2006/relationships/image" Target="../media/image22.jpeg"/><Relationship Id="rId14" Type="http://schemas.openxmlformats.org/officeDocument/2006/relationships/image" Target="../media/image21.jpeg"/><Relationship Id="rId13" Type="http://schemas.openxmlformats.org/officeDocument/2006/relationships/image" Target="../media/image20.jpeg"/><Relationship Id="rId12" Type="http://schemas.openxmlformats.org/officeDocument/2006/relationships/image" Target="../media/image19.jpeg"/><Relationship Id="rId11" Type="http://schemas.openxmlformats.org/officeDocument/2006/relationships/image" Target="../media/image18.jpeg"/><Relationship Id="rId10" Type="http://schemas.openxmlformats.org/officeDocument/2006/relationships/image" Target="../media/image17.jpeg"/><Relationship Id="rId1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6</xdr:row>
      <xdr:rowOff>0</xdr:rowOff>
    </xdr:from>
    <xdr:to>
      <xdr:col>2</xdr:col>
      <xdr:colOff>0</xdr:colOff>
      <xdr:row>6</xdr:row>
      <xdr:rowOff>0</xdr:rowOff>
    </xdr:to>
    <xdr:pic>
      <xdr:nvPicPr>
        <xdr:cNvPr id="2" name="Afbeelding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767580" y="2073275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pic>
      <xdr:nvPicPr>
        <xdr:cNvPr id="3" name="Afbeelding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257030" y="2073275"/>
          <a:ext cx="0" cy="0"/>
        </a:xfrm>
        <a:prstGeom prst="rect">
          <a:avLst/>
        </a:prstGeom>
      </xdr:spPr>
    </xdr:pic>
    <xdr:clientData/>
  </xdr:twoCellAnchor>
  <xdr:twoCellAnchor>
    <xdr:from>
      <xdr:col>0</xdr:col>
      <xdr:colOff>93980</xdr:colOff>
      <xdr:row>6</xdr:row>
      <xdr:rowOff>587375</xdr:rowOff>
    </xdr:from>
    <xdr:to>
      <xdr:col>0</xdr:col>
      <xdr:colOff>3019198</xdr:colOff>
      <xdr:row>11</xdr:row>
      <xdr:rowOff>56630</xdr:rowOff>
    </xdr:to>
    <xdr:pic>
      <xdr:nvPicPr>
        <xdr:cNvPr id="5" name="ID_B8614ED305FC4CB1BD009BE30870F5C9" descr="LITRIM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3980" y="2660650"/>
          <a:ext cx="2924810" cy="2517140"/>
        </a:xfrm>
        <a:prstGeom prst="rect">
          <a:avLst/>
        </a:prstGeom>
      </xdr:spPr>
    </xdr:pic>
    <xdr:clientData/>
  </xdr:twoCellAnchor>
  <xdr:twoCellAnchor>
    <xdr:from>
      <xdr:col>0</xdr:col>
      <xdr:colOff>198120</xdr:colOff>
      <xdr:row>12</xdr:row>
      <xdr:rowOff>56515</xdr:rowOff>
    </xdr:from>
    <xdr:to>
      <xdr:col>0</xdr:col>
      <xdr:colOff>2946628</xdr:colOff>
      <xdr:row>12</xdr:row>
      <xdr:rowOff>1617559</xdr:rowOff>
    </xdr:to>
    <xdr:pic>
      <xdr:nvPicPr>
        <xdr:cNvPr id="6" name="ID_5A314B9A9AF94163ADE6A1BA6315B8F7" descr="VIGE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98120" y="5787390"/>
          <a:ext cx="2748280" cy="1560830"/>
        </a:xfrm>
        <a:prstGeom prst="rect">
          <a:avLst/>
        </a:prstGeom>
      </xdr:spPr>
    </xdr:pic>
    <xdr:clientData/>
  </xdr:twoCellAnchor>
  <xdr:twoCellAnchor>
    <xdr:from>
      <xdr:col>0</xdr:col>
      <xdr:colOff>833120</xdr:colOff>
      <xdr:row>13</xdr:row>
      <xdr:rowOff>132080</xdr:rowOff>
    </xdr:from>
    <xdr:to>
      <xdr:col>0</xdr:col>
      <xdr:colOff>2435860</xdr:colOff>
      <xdr:row>15</xdr:row>
      <xdr:rowOff>434975</xdr:rowOff>
    </xdr:to>
    <xdr:pic>
      <xdr:nvPicPr>
        <xdr:cNvPr id="9" name="ID_E80B9752670844EC924830627AAFBDA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33120" y="7539355"/>
          <a:ext cx="1602740" cy="14712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394970</xdr:colOff>
      <xdr:row>16</xdr:row>
      <xdr:rowOff>237490</xdr:rowOff>
    </xdr:from>
    <xdr:to>
      <xdr:col>0</xdr:col>
      <xdr:colOff>2848610</xdr:colOff>
      <xdr:row>20</xdr:row>
      <xdr:rowOff>363855</xdr:rowOff>
    </xdr:to>
    <xdr:pic>
      <xdr:nvPicPr>
        <xdr:cNvPr id="10" name="ID_F58562DF19724E9BB43DF855C4EFD58A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94970" y="9397365"/>
          <a:ext cx="2453640" cy="24631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898525</xdr:colOff>
      <xdr:row>21</xdr:row>
      <xdr:rowOff>66040</xdr:rowOff>
    </xdr:from>
    <xdr:to>
      <xdr:col>0</xdr:col>
      <xdr:colOff>2367280</xdr:colOff>
      <xdr:row>21</xdr:row>
      <xdr:rowOff>1215390</xdr:rowOff>
    </xdr:to>
    <xdr:pic>
      <xdr:nvPicPr>
        <xdr:cNvPr id="23" name="图片 1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898525" y="12146915"/>
          <a:ext cx="1468755" cy="1149350"/>
        </a:xfrm>
        <a:prstGeom prst="rect">
          <a:avLst/>
        </a:prstGeom>
      </xdr:spPr>
    </xdr:pic>
    <xdr:clientData/>
  </xdr:twoCellAnchor>
  <xdr:twoCellAnchor>
    <xdr:from>
      <xdr:col>0</xdr:col>
      <xdr:colOff>860425</xdr:colOff>
      <xdr:row>22</xdr:row>
      <xdr:rowOff>93980</xdr:rowOff>
    </xdr:from>
    <xdr:to>
      <xdr:col>0</xdr:col>
      <xdr:colOff>2451100</xdr:colOff>
      <xdr:row>22</xdr:row>
      <xdr:rowOff>1189355</xdr:rowOff>
    </xdr:to>
    <xdr:pic>
      <xdr:nvPicPr>
        <xdr:cNvPr id="27" name="图片 19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860425" y="13482955"/>
          <a:ext cx="1590675" cy="1095375"/>
        </a:xfrm>
        <a:prstGeom prst="rect">
          <a:avLst/>
        </a:prstGeom>
      </xdr:spPr>
    </xdr:pic>
    <xdr:clientData/>
  </xdr:twoCellAnchor>
  <xdr:twoCellAnchor>
    <xdr:from>
      <xdr:col>0</xdr:col>
      <xdr:colOff>680085</xdr:colOff>
      <xdr:row>23</xdr:row>
      <xdr:rowOff>132080</xdr:rowOff>
    </xdr:from>
    <xdr:to>
      <xdr:col>0</xdr:col>
      <xdr:colOff>2744470</xdr:colOff>
      <xdr:row>23</xdr:row>
      <xdr:rowOff>1194435</xdr:rowOff>
    </xdr:to>
    <xdr:pic>
      <xdr:nvPicPr>
        <xdr:cNvPr id="31" name="图片 2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680085" y="14829155"/>
          <a:ext cx="2064385" cy="1062355"/>
        </a:xfrm>
        <a:prstGeom prst="rect">
          <a:avLst/>
        </a:prstGeom>
      </xdr:spPr>
    </xdr:pic>
    <xdr:clientData/>
  </xdr:twoCellAnchor>
  <xdr:twoCellAnchor>
    <xdr:from>
      <xdr:col>0</xdr:col>
      <xdr:colOff>651510</xdr:colOff>
      <xdr:row>24</xdr:row>
      <xdr:rowOff>132080</xdr:rowOff>
    </xdr:from>
    <xdr:to>
      <xdr:col>0</xdr:col>
      <xdr:colOff>2735580</xdr:colOff>
      <xdr:row>24</xdr:row>
      <xdr:rowOff>1204595</xdr:rowOff>
    </xdr:to>
    <xdr:pic>
      <xdr:nvPicPr>
        <xdr:cNvPr id="34" name="图片 2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651510" y="16137255"/>
          <a:ext cx="2084070" cy="1072515"/>
        </a:xfrm>
        <a:prstGeom prst="rect">
          <a:avLst/>
        </a:prstGeom>
      </xdr:spPr>
    </xdr:pic>
    <xdr:clientData/>
  </xdr:twoCellAnchor>
  <xdr:twoCellAnchor>
    <xdr:from>
      <xdr:col>0</xdr:col>
      <xdr:colOff>651510</xdr:colOff>
      <xdr:row>25</xdr:row>
      <xdr:rowOff>83820</xdr:rowOff>
    </xdr:from>
    <xdr:to>
      <xdr:col>0</xdr:col>
      <xdr:colOff>2715895</xdr:colOff>
      <xdr:row>25</xdr:row>
      <xdr:rowOff>1146175</xdr:rowOff>
    </xdr:to>
    <xdr:pic>
      <xdr:nvPicPr>
        <xdr:cNvPr id="36" name="图片 2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651510" y="17397095"/>
          <a:ext cx="2064385" cy="10623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38947</xdr:colOff>
      <xdr:row>7</xdr:row>
      <xdr:rowOff>30798</xdr:rowOff>
    </xdr:from>
    <xdr:ext cx="1275542" cy="264560"/>
    <xdr:sp>
      <xdr:nvSpPr>
        <xdr:cNvPr id="144" name="TextBox 17"/>
        <xdr:cNvSpPr txBox="1"/>
      </xdr:nvSpPr>
      <xdr:spPr>
        <a:xfrm>
          <a:off x="38735" y="2738755"/>
          <a:ext cx="127571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altLang="zh-CN" sz="1100" b="1"/>
            <a:t>DOUBLE TAP HOLE</a:t>
          </a:r>
          <a:endParaRPr lang="zh-CN" altLang="en-US" sz="1100" b="1"/>
        </a:p>
      </xdr:txBody>
    </xdr:sp>
    <xdr:clientData/>
  </xdr:oneCellAnchor>
  <xdr:twoCellAnchor>
    <xdr:from>
      <xdr:col>0</xdr:col>
      <xdr:colOff>119063</xdr:colOff>
      <xdr:row>46</xdr:row>
      <xdr:rowOff>35719</xdr:rowOff>
    </xdr:from>
    <xdr:to>
      <xdr:col>0</xdr:col>
      <xdr:colOff>1490663</xdr:colOff>
      <xdr:row>46</xdr:row>
      <xdr:rowOff>835819</xdr:rowOff>
    </xdr:to>
    <xdr:pic>
      <xdr:nvPicPr>
        <xdr:cNvPr id="151" name="图片 9"/>
        <xdr:cNvPicPr>
          <a:picLocks noChangeAspect="1" noChangeArrowheads="1"/>
        </xdr:cNvPicPr>
      </xdr:nvPicPr>
      <xdr:blipFill>
        <a:blip r:embed="rId1" cstate="email"/>
        <a:srcRect/>
        <a:stretch>
          <a:fillRect/>
        </a:stretch>
      </xdr:blipFill>
      <xdr:spPr>
        <a:xfrm>
          <a:off x="118745" y="27864435"/>
          <a:ext cx="1371600" cy="599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338085</xdr:colOff>
      <xdr:row>38</xdr:row>
      <xdr:rowOff>28366</xdr:rowOff>
    </xdr:from>
    <xdr:ext cx="882967" cy="595449"/>
    <xdr:pic>
      <xdr:nvPicPr>
        <xdr:cNvPr id="154" name="图片 11" descr="IMG_8417.JPG"/>
        <xdr:cNvPicPr>
          <a:picLocks noChangeAspect="1"/>
        </xdr:cNvPicPr>
      </xdr:nvPicPr>
      <xdr:blipFill>
        <a:blip r:embed="rId2" cstate="email"/>
        <a:srcRect/>
        <a:stretch>
          <a:fillRect/>
        </a:stretch>
      </xdr:blipFill>
      <xdr:spPr>
        <a:xfrm>
          <a:off x="337820" y="22497415"/>
          <a:ext cx="882650" cy="5956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307984</xdr:colOff>
      <xdr:row>39</xdr:row>
      <xdr:rowOff>618940</xdr:rowOff>
    </xdr:from>
    <xdr:ext cx="933001" cy="633188"/>
    <xdr:pic>
      <xdr:nvPicPr>
        <xdr:cNvPr id="155" name="图片 1"/>
        <xdr:cNvPicPr>
          <a:picLocks noChangeAspect="1"/>
        </xdr:cNvPicPr>
      </xdr:nvPicPr>
      <xdr:blipFill>
        <a:blip r:embed="rId3" cstate="email"/>
        <a:srcRect/>
        <a:stretch>
          <a:fillRect/>
        </a:stretch>
      </xdr:blipFill>
      <xdr:spPr>
        <a:xfrm>
          <a:off x="307975" y="23722965"/>
          <a:ext cx="932815" cy="6330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0</xdr:col>
      <xdr:colOff>377473</xdr:colOff>
      <xdr:row>35</xdr:row>
      <xdr:rowOff>31468</xdr:rowOff>
    </xdr:from>
    <xdr:to>
      <xdr:col>0</xdr:col>
      <xdr:colOff>1205563</xdr:colOff>
      <xdr:row>35</xdr:row>
      <xdr:rowOff>617362</xdr:rowOff>
    </xdr:to>
    <xdr:pic>
      <xdr:nvPicPr>
        <xdr:cNvPr id="157" name="Picture 2467" descr="EROS(盆类)SIMPLE 1 E-6013T"/>
        <xdr:cNvPicPr>
          <a:picLocks noChangeAspect="1" noChangeArrowheads="1"/>
        </xdr:cNvPicPr>
      </xdr:nvPicPr>
      <xdr:blipFill>
        <a:blip r:embed="rId4" cstate="email"/>
        <a:srcRect/>
        <a:stretch>
          <a:fillRect/>
        </a:stretch>
      </xdr:blipFill>
      <xdr:spPr>
        <a:xfrm>
          <a:off x="377190" y="20595590"/>
          <a:ext cx="828040" cy="5861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285751</xdr:colOff>
      <xdr:row>39</xdr:row>
      <xdr:rowOff>13546</xdr:rowOff>
    </xdr:from>
    <xdr:to>
      <xdr:col>0</xdr:col>
      <xdr:colOff>1181293</xdr:colOff>
      <xdr:row>39</xdr:row>
      <xdr:rowOff>611928</xdr:rowOff>
    </xdr:to>
    <xdr:pic>
      <xdr:nvPicPr>
        <xdr:cNvPr id="158" name="Picture 2468" descr="EROS(盆类)SIMPLE 2 E-6014T"/>
        <xdr:cNvPicPr>
          <a:picLocks noChangeAspect="1" noChangeArrowheads="1"/>
        </xdr:cNvPicPr>
      </xdr:nvPicPr>
      <xdr:blipFill>
        <a:blip r:embed="rId5" cstate="email"/>
        <a:srcRect/>
        <a:stretch>
          <a:fillRect/>
        </a:stretch>
      </xdr:blipFill>
      <xdr:spPr>
        <a:xfrm>
          <a:off x="285750" y="23117810"/>
          <a:ext cx="895350" cy="598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63500</xdr:colOff>
      <xdr:row>9</xdr:row>
      <xdr:rowOff>127000</xdr:rowOff>
    </xdr:from>
    <xdr:ext cx="1693733" cy="275717"/>
    <xdr:sp>
      <xdr:nvSpPr>
        <xdr:cNvPr id="162" name="TextBox 18"/>
        <xdr:cNvSpPr txBox="1"/>
      </xdr:nvSpPr>
      <xdr:spPr>
        <a:xfrm>
          <a:off x="63500" y="4105275"/>
          <a:ext cx="1693545" cy="2755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altLang="zh-CN" sz="1100" b="1"/>
            <a:t>DOUBLE TAP HOLES, </a:t>
          </a:r>
          <a:r>
            <a:rPr lang="zh-CN" altLang="en-US" sz="1100" b="1"/>
            <a:t>双孔</a:t>
          </a:r>
          <a:endParaRPr lang="zh-CN" altLang="en-US" sz="1100" b="1"/>
        </a:p>
      </xdr:txBody>
    </xdr:sp>
    <xdr:clientData/>
  </xdr:oneCellAnchor>
  <xdr:oneCellAnchor>
    <xdr:from>
      <xdr:col>0</xdr:col>
      <xdr:colOff>253338</xdr:colOff>
      <xdr:row>47</xdr:row>
      <xdr:rowOff>57860</xdr:rowOff>
    </xdr:from>
    <xdr:ext cx="949608" cy="484320"/>
    <xdr:pic>
      <xdr:nvPicPr>
        <xdr:cNvPr id="166" name="Picture 1820" descr="IMG_0069"/>
        <xdr:cNvPicPr>
          <a:picLocks noChangeAspect="1" noChangeArrowheads="1"/>
        </xdr:cNvPicPr>
      </xdr:nvPicPr>
      <xdr:blipFill>
        <a:blip r:embed="rId6" cstate="email"/>
        <a:srcRect/>
        <a:stretch>
          <a:fillRect/>
        </a:stretch>
      </xdr:blipFill>
      <xdr:spPr>
        <a:xfrm>
          <a:off x="252730" y="28521660"/>
          <a:ext cx="949960" cy="4838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2</xdr:col>
      <xdr:colOff>0</xdr:colOff>
      <xdr:row>27</xdr:row>
      <xdr:rowOff>0</xdr:rowOff>
    </xdr:from>
    <xdr:to>
      <xdr:col>2</xdr:col>
      <xdr:colOff>7056</xdr:colOff>
      <xdr:row>27</xdr:row>
      <xdr:rowOff>19756</xdr:rowOff>
    </xdr:to>
    <xdr:pic>
      <xdr:nvPicPr>
        <xdr:cNvPr id="175" name="Afbeelding 174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278505" y="15484475"/>
          <a:ext cx="6985" cy="1968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0</xdr:colOff>
      <xdr:row>27</xdr:row>
      <xdr:rowOff>0</xdr:rowOff>
    </xdr:to>
    <xdr:pic>
      <xdr:nvPicPr>
        <xdr:cNvPr id="176" name="Afbeelding 175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5623560" y="15484475"/>
          <a:ext cx="0" cy="0"/>
        </a:xfrm>
        <a:prstGeom prst="rect">
          <a:avLst/>
        </a:prstGeom>
      </xdr:spPr>
    </xdr:pic>
    <xdr:clientData/>
  </xdr:twoCellAnchor>
  <xdr:oneCellAnchor>
    <xdr:from>
      <xdr:col>0</xdr:col>
      <xdr:colOff>211667</xdr:colOff>
      <xdr:row>16</xdr:row>
      <xdr:rowOff>98778</xdr:rowOff>
    </xdr:from>
    <xdr:ext cx="1425222" cy="536222"/>
    <xdr:pic>
      <xdr:nvPicPr>
        <xdr:cNvPr id="180" name="Afbeelding 179"/>
        <xdr:cNvPicPr>
          <a:picLocks noChangeAspect="1"/>
        </xdr:cNvPicPr>
      </xdr:nvPicPr>
      <xdr:blipFill>
        <a:blip r:embed="rId8" cstate="email"/>
        <a:stretch>
          <a:fillRect/>
        </a:stretch>
      </xdr:blipFill>
      <xdr:spPr>
        <a:xfrm>
          <a:off x="211455" y="8597900"/>
          <a:ext cx="1424940" cy="536575"/>
        </a:xfrm>
        <a:prstGeom prst="rect">
          <a:avLst/>
        </a:prstGeom>
      </xdr:spPr>
    </xdr:pic>
    <xdr:clientData/>
  </xdr:oneCellAnchor>
  <xdr:oneCellAnchor>
    <xdr:from>
      <xdr:col>0</xdr:col>
      <xdr:colOff>152400</xdr:colOff>
      <xdr:row>17</xdr:row>
      <xdr:rowOff>67733</xdr:rowOff>
    </xdr:from>
    <xdr:ext cx="1425222" cy="536222"/>
    <xdr:pic>
      <xdr:nvPicPr>
        <xdr:cNvPr id="181" name="Afbeelding 180"/>
        <xdr:cNvPicPr>
          <a:picLocks noChangeAspect="1"/>
        </xdr:cNvPicPr>
      </xdr:nvPicPr>
      <xdr:blipFill>
        <a:blip r:embed="rId8" cstate="email"/>
        <a:stretch>
          <a:fillRect/>
        </a:stretch>
      </xdr:blipFill>
      <xdr:spPr>
        <a:xfrm>
          <a:off x="152400" y="9201785"/>
          <a:ext cx="1424940" cy="536575"/>
        </a:xfrm>
        <a:prstGeom prst="rect">
          <a:avLst/>
        </a:prstGeom>
      </xdr:spPr>
    </xdr:pic>
    <xdr:clientData/>
  </xdr:oneCellAnchor>
  <xdr:twoCellAnchor>
    <xdr:from>
      <xdr:col>0</xdr:col>
      <xdr:colOff>366889</xdr:colOff>
      <xdr:row>32</xdr:row>
      <xdr:rowOff>42333</xdr:rowOff>
    </xdr:from>
    <xdr:to>
      <xdr:col>0</xdr:col>
      <xdr:colOff>1194979</xdr:colOff>
      <xdr:row>32</xdr:row>
      <xdr:rowOff>628227</xdr:rowOff>
    </xdr:to>
    <xdr:pic>
      <xdr:nvPicPr>
        <xdr:cNvPr id="182" name="Picture 2467" descr="EROS(盆类)SIMPLE 1 E-6013T"/>
        <xdr:cNvPicPr>
          <a:picLocks noChangeAspect="1" noChangeArrowheads="1"/>
        </xdr:cNvPicPr>
      </xdr:nvPicPr>
      <xdr:blipFill>
        <a:blip r:embed="rId4" cstate="email"/>
        <a:srcRect/>
        <a:stretch>
          <a:fillRect/>
        </a:stretch>
      </xdr:blipFill>
      <xdr:spPr>
        <a:xfrm>
          <a:off x="366395" y="18701385"/>
          <a:ext cx="828040" cy="5861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352777</xdr:colOff>
      <xdr:row>36</xdr:row>
      <xdr:rowOff>28222</xdr:rowOff>
    </xdr:from>
    <xdr:to>
      <xdr:col>0</xdr:col>
      <xdr:colOff>1180867</xdr:colOff>
      <xdr:row>36</xdr:row>
      <xdr:rowOff>614116</xdr:rowOff>
    </xdr:to>
    <xdr:pic>
      <xdr:nvPicPr>
        <xdr:cNvPr id="183" name="Picture 2467" descr="EROS(盆类)SIMPLE 1 E-6013T"/>
        <xdr:cNvPicPr>
          <a:picLocks noChangeAspect="1" noChangeArrowheads="1"/>
        </xdr:cNvPicPr>
      </xdr:nvPicPr>
      <xdr:blipFill>
        <a:blip r:embed="rId4" cstate="email"/>
        <a:srcRect/>
        <a:stretch>
          <a:fillRect/>
        </a:stretch>
      </xdr:blipFill>
      <xdr:spPr>
        <a:xfrm>
          <a:off x="352425" y="21227415"/>
          <a:ext cx="828040" cy="5861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415394</xdr:colOff>
      <xdr:row>56</xdr:row>
      <xdr:rowOff>56444</xdr:rowOff>
    </xdr:from>
    <xdr:to>
      <xdr:col>0</xdr:col>
      <xdr:colOff>1306688</xdr:colOff>
      <xdr:row>59</xdr:row>
      <xdr:rowOff>19721</xdr:rowOff>
    </xdr:to>
    <xdr:pic>
      <xdr:nvPicPr>
        <xdr:cNvPr id="184" name="图片 8"/>
        <xdr:cNvPicPr>
          <a:picLocks noChangeAspect="1" noChangeArrowheads="1"/>
        </xdr:cNvPicPr>
      </xdr:nvPicPr>
      <xdr:blipFill>
        <a:blip r:embed="rId9" cstate="email"/>
        <a:srcRect/>
        <a:stretch>
          <a:fillRect/>
        </a:stretch>
      </xdr:blipFill>
      <xdr:spPr>
        <a:xfrm>
          <a:off x="415290" y="33901380"/>
          <a:ext cx="890905" cy="16402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401284</xdr:colOff>
      <xdr:row>57</xdr:row>
      <xdr:rowOff>1</xdr:rowOff>
    </xdr:from>
    <xdr:to>
      <xdr:col>0</xdr:col>
      <xdr:colOff>1292578</xdr:colOff>
      <xdr:row>59</xdr:row>
      <xdr:rowOff>146722</xdr:rowOff>
    </xdr:to>
    <xdr:pic>
      <xdr:nvPicPr>
        <xdr:cNvPr id="185" name="图片 8"/>
        <xdr:cNvPicPr>
          <a:picLocks noChangeAspect="1" noChangeArrowheads="1"/>
        </xdr:cNvPicPr>
      </xdr:nvPicPr>
      <xdr:blipFill>
        <a:blip r:embed="rId10" cstate="email"/>
        <a:srcRect/>
        <a:stretch>
          <a:fillRect/>
        </a:stretch>
      </xdr:blipFill>
      <xdr:spPr>
        <a:xfrm>
          <a:off x="400685" y="34404300"/>
          <a:ext cx="891540" cy="12642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440795</xdr:colOff>
      <xdr:row>58</xdr:row>
      <xdr:rowOff>25401</xdr:rowOff>
    </xdr:from>
    <xdr:to>
      <xdr:col>0</xdr:col>
      <xdr:colOff>1332089</xdr:colOff>
      <xdr:row>61</xdr:row>
      <xdr:rowOff>7022</xdr:rowOff>
    </xdr:to>
    <xdr:pic>
      <xdr:nvPicPr>
        <xdr:cNvPr id="186" name="图片 8"/>
        <xdr:cNvPicPr>
          <a:picLocks noChangeAspect="1" noChangeArrowheads="1"/>
        </xdr:cNvPicPr>
      </xdr:nvPicPr>
      <xdr:blipFill>
        <a:blip r:embed="rId11" cstate="email"/>
        <a:srcRect/>
        <a:stretch>
          <a:fillRect/>
        </a:stretch>
      </xdr:blipFill>
      <xdr:spPr>
        <a:xfrm>
          <a:off x="440690" y="34988500"/>
          <a:ext cx="890905" cy="1657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452084</xdr:colOff>
      <xdr:row>59</xdr:row>
      <xdr:rowOff>36690</xdr:rowOff>
    </xdr:from>
    <xdr:to>
      <xdr:col>0</xdr:col>
      <xdr:colOff>1343378</xdr:colOff>
      <xdr:row>62</xdr:row>
      <xdr:rowOff>18311</xdr:rowOff>
    </xdr:to>
    <xdr:pic>
      <xdr:nvPicPr>
        <xdr:cNvPr id="187" name="图片 8"/>
        <xdr:cNvPicPr>
          <a:picLocks noChangeAspect="1" noChangeArrowheads="1"/>
        </xdr:cNvPicPr>
      </xdr:nvPicPr>
      <xdr:blipFill>
        <a:blip r:embed="rId12" cstate="email"/>
        <a:srcRect/>
        <a:stretch>
          <a:fillRect/>
        </a:stretch>
      </xdr:blipFill>
      <xdr:spPr>
        <a:xfrm>
          <a:off x="451485" y="35558095"/>
          <a:ext cx="891540" cy="136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463373</xdr:colOff>
      <xdr:row>60</xdr:row>
      <xdr:rowOff>33867</xdr:rowOff>
    </xdr:from>
    <xdr:to>
      <xdr:col>0</xdr:col>
      <xdr:colOff>1354667</xdr:colOff>
      <xdr:row>63</xdr:row>
      <xdr:rowOff>15488</xdr:rowOff>
    </xdr:to>
    <xdr:pic>
      <xdr:nvPicPr>
        <xdr:cNvPr id="188" name="图片 8"/>
        <xdr:cNvPicPr>
          <a:picLocks noChangeAspect="1" noChangeArrowheads="1"/>
        </xdr:cNvPicPr>
      </xdr:nvPicPr>
      <xdr:blipFill>
        <a:blip r:embed="rId13" cstate="email"/>
        <a:srcRect/>
        <a:stretch>
          <a:fillRect/>
        </a:stretch>
      </xdr:blipFill>
      <xdr:spPr>
        <a:xfrm>
          <a:off x="462915" y="36114355"/>
          <a:ext cx="891540" cy="9467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366889</xdr:colOff>
      <xdr:row>34</xdr:row>
      <xdr:rowOff>42333</xdr:rowOff>
    </xdr:from>
    <xdr:to>
      <xdr:col>0</xdr:col>
      <xdr:colOff>1194979</xdr:colOff>
      <xdr:row>34</xdr:row>
      <xdr:rowOff>628227</xdr:rowOff>
    </xdr:to>
    <xdr:pic>
      <xdr:nvPicPr>
        <xdr:cNvPr id="21" name="Picture 2467" descr="EROS(盆类)SIMPLE 1 E-6013T"/>
        <xdr:cNvPicPr>
          <a:picLocks noChangeAspect="1" noChangeArrowheads="1"/>
        </xdr:cNvPicPr>
      </xdr:nvPicPr>
      <xdr:blipFill>
        <a:blip r:embed="rId4" cstate="email"/>
        <a:srcRect/>
        <a:stretch>
          <a:fillRect/>
        </a:stretch>
      </xdr:blipFill>
      <xdr:spPr>
        <a:xfrm>
          <a:off x="366395" y="19971385"/>
          <a:ext cx="828040" cy="5861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366889</xdr:colOff>
      <xdr:row>33</xdr:row>
      <xdr:rowOff>42333</xdr:rowOff>
    </xdr:from>
    <xdr:to>
      <xdr:col>0</xdr:col>
      <xdr:colOff>1194979</xdr:colOff>
      <xdr:row>33</xdr:row>
      <xdr:rowOff>628227</xdr:rowOff>
    </xdr:to>
    <xdr:pic>
      <xdr:nvPicPr>
        <xdr:cNvPr id="22" name="Picture 2467" descr="EROS(盆类)SIMPLE 1 E-6013T"/>
        <xdr:cNvPicPr>
          <a:picLocks noChangeAspect="1" noChangeArrowheads="1"/>
        </xdr:cNvPicPr>
      </xdr:nvPicPr>
      <xdr:blipFill>
        <a:blip r:embed="rId4" cstate="email"/>
        <a:srcRect/>
        <a:stretch>
          <a:fillRect/>
        </a:stretch>
      </xdr:blipFill>
      <xdr:spPr>
        <a:xfrm>
          <a:off x="366395" y="19336385"/>
          <a:ext cx="828040" cy="5861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366889</xdr:colOff>
      <xdr:row>34</xdr:row>
      <xdr:rowOff>42333</xdr:rowOff>
    </xdr:from>
    <xdr:to>
      <xdr:col>0</xdr:col>
      <xdr:colOff>1218340</xdr:colOff>
      <xdr:row>34</xdr:row>
      <xdr:rowOff>606778</xdr:rowOff>
    </xdr:to>
    <xdr:pic>
      <xdr:nvPicPr>
        <xdr:cNvPr id="23" name="图片 29" descr="微信图片_20220505235759.jpg"/>
        <xdr:cNvPicPr>
          <a:picLocks noChangeAspect="1" noChangeArrowheads="1"/>
        </xdr:cNvPicPr>
      </xdr:nvPicPr>
      <xdr:blipFill>
        <a:blip r:embed="rId14" cstate="email"/>
        <a:srcRect/>
        <a:stretch>
          <a:fillRect/>
        </a:stretch>
      </xdr:blipFill>
      <xdr:spPr>
        <a:xfrm>
          <a:off x="366395" y="19971385"/>
          <a:ext cx="851535" cy="564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338667</xdr:colOff>
      <xdr:row>33</xdr:row>
      <xdr:rowOff>28222</xdr:rowOff>
    </xdr:from>
    <xdr:to>
      <xdr:col>0</xdr:col>
      <xdr:colOff>1284111</xdr:colOff>
      <xdr:row>34</xdr:row>
      <xdr:rowOff>1784</xdr:rowOff>
    </xdr:to>
    <xdr:pic>
      <xdr:nvPicPr>
        <xdr:cNvPr id="24" name="图片 28" descr="微信图片_20220505235747.jpg"/>
        <xdr:cNvPicPr>
          <a:picLocks noChangeAspect="1" noChangeArrowheads="1"/>
        </xdr:cNvPicPr>
      </xdr:nvPicPr>
      <xdr:blipFill>
        <a:blip r:embed="rId15" cstate="email"/>
        <a:srcRect/>
        <a:stretch>
          <a:fillRect/>
        </a:stretch>
      </xdr:blipFill>
      <xdr:spPr>
        <a:xfrm>
          <a:off x="338455" y="19322415"/>
          <a:ext cx="945515" cy="608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PROJECTS/Gedeelde%20documenten/Thebalux/Prijslijsten/Spiegels%20-%20samples%20augustus%202023/2023.09.28%20-%20New%20Development%20Mirrors%20IPO3_New%20mirrors%20.xlsb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athnology"/>
      <sheetName val="Homewell"/>
      <sheetName val="Mirrotic"/>
      <sheetName val="Eternamir"/>
      <sheetName val="Debrecen"/>
      <sheetName val="Debrecen-2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-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109"/>
  <sheetViews>
    <sheetView tabSelected="1" zoomScaleSheetLayoutView="80" topLeftCell="D14" workbookViewId="0">
      <selection activeCell="C7" sqref="C7:C12"/>
    </sheetView>
  </sheetViews>
  <sheetFormatPr defaultColWidth="17.3333333333333" defaultRowHeight="12.75"/>
  <cols>
    <col min="1" max="1" width="47" style="204" customWidth="1"/>
    <col min="2" max="2" width="24.5047619047619" style="205" customWidth="1"/>
    <col min="3" max="3" width="19.6666666666667" style="205" customWidth="1"/>
    <col min="4" max="4" width="32.1619047619048" style="205" customWidth="1"/>
    <col min="5" max="5" width="15.5047619047619" style="205" customWidth="1"/>
    <col min="6" max="7" width="21" style="206" customWidth="1"/>
    <col min="8" max="8" width="11.6666666666667" style="205" customWidth="1"/>
    <col min="9" max="9" width="10.5047619047619" style="204" customWidth="1"/>
    <col min="10" max="10" width="46.2190476190476" style="207" customWidth="1"/>
    <col min="11" max="11" width="17.3333333333333" style="204"/>
    <col min="12" max="12" width="17.3333333333333" style="207"/>
    <col min="13" max="13" width="17.3333333333333" style="204"/>
    <col min="15" max="15" width="17.3333333333333" style="204"/>
    <col min="16" max="16" width="41" style="207" customWidth="1"/>
    <col min="17" max="16384" width="17.3333333333333" style="204"/>
  </cols>
  <sheetData>
    <row r="1" ht="26.25" customHeight="1" spans="1:16">
      <c r="A1" s="208"/>
      <c r="C1" s="208"/>
      <c r="D1" s="208"/>
      <c r="E1" s="208"/>
      <c r="F1" s="208"/>
      <c r="G1" s="208"/>
      <c r="H1" s="208"/>
      <c r="J1" s="241"/>
      <c r="P1" s="241"/>
    </row>
    <row r="2" ht="18.75" customHeight="1" spans="1:16">
      <c r="A2" s="209"/>
      <c r="C2" s="208"/>
      <c r="D2" s="208"/>
      <c r="E2" s="208"/>
      <c r="F2" s="208"/>
      <c r="G2" s="208"/>
      <c r="H2" s="208"/>
      <c r="I2" s="242"/>
      <c r="J2" s="243"/>
      <c r="P2" s="243"/>
    </row>
    <row r="3" ht="18.75" customHeight="1" spans="1:16">
      <c r="A3" s="208"/>
      <c r="C3" s="208"/>
      <c r="D3" s="208"/>
      <c r="E3" s="208"/>
      <c r="F3" s="208"/>
      <c r="G3" s="208"/>
      <c r="H3" s="208"/>
      <c r="I3" s="242" t="s">
        <v>0</v>
      </c>
      <c r="J3" s="241"/>
      <c r="P3" s="241"/>
    </row>
    <row r="4" ht="18.75" customHeight="1" spans="2:16">
      <c r="B4" s="210"/>
      <c r="C4" s="204"/>
      <c r="D4" s="204"/>
      <c r="E4" s="204"/>
      <c r="F4" s="207"/>
      <c r="G4" s="207"/>
      <c r="H4" s="204"/>
      <c r="I4" s="244"/>
      <c r="J4" s="241"/>
      <c r="P4" s="241"/>
    </row>
    <row r="5" ht="30.75" customHeight="1" spans="1:16">
      <c r="A5" s="211" t="s">
        <v>1</v>
      </c>
      <c r="B5" s="211" t="s">
        <v>2</v>
      </c>
      <c r="C5" s="211" t="s">
        <v>3</v>
      </c>
      <c r="D5" s="211" t="s">
        <v>4</v>
      </c>
      <c r="E5" s="211" t="s">
        <v>5</v>
      </c>
      <c r="F5" s="211" t="s">
        <v>6</v>
      </c>
      <c r="G5" s="211" t="s">
        <v>7</v>
      </c>
      <c r="H5" s="211" t="s">
        <v>8</v>
      </c>
      <c r="I5" s="211" t="s">
        <v>9</v>
      </c>
      <c r="J5" s="243"/>
      <c r="P5" s="243"/>
    </row>
    <row r="6" ht="50" customHeight="1" spans="1:16">
      <c r="A6" s="212"/>
      <c r="B6" s="212"/>
      <c r="C6" s="212"/>
      <c r="D6" s="212"/>
      <c r="E6" s="212"/>
      <c r="F6" s="212"/>
      <c r="G6" s="212"/>
      <c r="H6" s="212"/>
      <c r="I6" s="212"/>
      <c r="J6" s="245" t="s">
        <v>10</v>
      </c>
      <c r="L6" s="246" t="s">
        <v>11</v>
      </c>
      <c r="P6" s="241"/>
    </row>
    <row r="7" ht="48" customHeight="1" spans="1:16">
      <c r="A7" s="213"/>
      <c r="B7" s="214" t="s">
        <v>12</v>
      </c>
      <c r="C7" s="215" t="s">
        <v>13</v>
      </c>
      <c r="D7" s="216" t="s">
        <v>14</v>
      </c>
      <c r="E7" s="214" t="s">
        <v>15</v>
      </c>
      <c r="F7" s="217" t="s">
        <v>16</v>
      </c>
      <c r="G7" s="218" t="s">
        <v>17</v>
      </c>
      <c r="H7" s="219"/>
      <c r="I7" s="146">
        <v>10</v>
      </c>
      <c r="J7" s="246" t="s">
        <v>18</v>
      </c>
      <c r="K7" s="204" t="s">
        <v>19</v>
      </c>
      <c r="L7" s="207" t="s">
        <v>20</v>
      </c>
      <c r="P7" s="246" t="s">
        <v>21</v>
      </c>
    </row>
    <row r="8" ht="48" customHeight="1" spans="1:12">
      <c r="A8" s="220"/>
      <c r="B8" s="214" t="s">
        <v>22</v>
      </c>
      <c r="C8" s="221"/>
      <c r="D8" s="222"/>
      <c r="E8" s="214" t="s">
        <v>23</v>
      </c>
      <c r="F8" s="223"/>
      <c r="G8" s="218" t="s">
        <v>24</v>
      </c>
      <c r="H8" s="219"/>
      <c r="I8" s="146">
        <v>20</v>
      </c>
      <c r="L8" s="207" t="s">
        <v>25</v>
      </c>
    </row>
    <row r="9" ht="48" customHeight="1" spans="1:16">
      <c r="A9" s="220"/>
      <c r="B9" s="214" t="s">
        <v>26</v>
      </c>
      <c r="C9" s="221"/>
      <c r="D9" s="222"/>
      <c r="E9" s="224" t="s">
        <v>27</v>
      </c>
      <c r="F9" s="223"/>
      <c r="G9" s="218" t="s">
        <v>24</v>
      </c>
      <c r="H9" s="225"/>
      <c r="I9" s="149">
        <v>20</v>
      </c>
      <c r="J9" s="247"/>
      <c r="L9" s="207" t="s">
        <v>28</v>
      </c>
      <c r="P9" s="247"/>
    </row>
    <row r="10" ht="48" customHeight="1" spans="1:12">
      <c r="A10" s="220"/>
      <c r="B10" s="214" t="s">
        <v>29</v>
      </c>
      <c r="C10" s="221"/>
      <c r="D10" s="222"/>
      <c r="E10" s="226" t="s">
        <v>30</v>
      </c>
      <c r="F10" s="223"/>
      <c r="G10" s="218" t="s">
        <v>24</v>
      </c>
      <c r="H10" s="225"/>
      <c r="I10" s="149">
        <v>20</v>
      </c>
      <c r="L10" s="207" t="s">
        <v>31</v>
      </c>
    </row>
    <row r="11" ht="48" customHeight="1" spans="1:12">
      <c r="A11" s="220"/>
      <c r="B11" s="214" t="s">
        <v>32</v>
      </c>
      <c r="C11" s="221"/>
      <c r="D11" s="222"/>
      <c r="E11" s="226" t="s">
        <v>33</v>
      </c>
      <c r="F11" s="223"/>
      <c r="G11" s="218" t="s">
        <v>24</v>
      </c>
      <c r="H11" s="225"/>
      <c r="I11" s="149">
        <v>10</v>
      </c>
      <c r="L11" s="207" t="s">
        <v>34</v>
      </c>
    </row>
    <row r="12" ht="48" customHeight="1" spans="1:12">
      <c r="A12" s="220"/>
      <c r="B12" s="214" t="s">
        <v>35</v>
      </c>
      <c r="C12" s="221"/>
      <c r="D12" s="222"/>
      <c r="E12" s="227" t="s">
        <v>36</v>
      </c>
      <c r="F12" s="223"/>
      <c r="G12" s="218" t="s">
        <v>37</v>
      </c>
      <c r="H12" s="228"/>
      <c r="I12" s="248">
        <v>10</v>
      </c>
      <c r="L12" s="207" t="s">
        <v>38</v>
      </c>
    </row>
    <row r="13" ht="132" customHeight="1" spans="1:16">
      <c r="A13" s="229"/>
      <c r="B13" s="214" t="s">
        <v>39</v>
      </c>
      <c r="C13" s="214" t="s">
        <v>40</v>
      </c>
      <c r="D13" s="230" t="s">
        <v>41</v>
      </c>
      <c r="E13" s="226" t="s">
        <v>42</v>
      </c>
      <c r="F13" s="68" t="s">
        <v>43</v>
      </c>
      <c r="G13" s="218" t="s">
        <v>37</v>
      </c>
      <c r="H13" s="225"/>
      <c r="I13" s="146">
        <v>50</v>
      </c>
      <c r="J13" s="246" t="s">
        <v>44</v>
      </c>
      <c r="K13" s="204">
        <v>120</v>
      </c>
      <c r="L13" s="246" t="s">
        <v>45</v>
      </c>
      <c r="P13" s="246" t="s">
        <v>46</v>
      </c>
    </row>
    <row r="14" ht="46" customHeight="1" spans="1:12">
      <c r="A14" s="231"/>
      <c r="B14" s="214" t="s">
        <v>47</v>
      </c>
      <c r="C14" s="232" t="s">
        <v>48</v>
      </c>
      <c r="D14" s="233" t="s">
        <v>49</v>
      </c>
      <c r="E14" s="226" t="s">
        <v>50</v>
      </c>
      <c r="F14" s="234" t="s">
        <v>51</v>
      </c>
      <c r="G14" s="218" t="s">
        <v>17</v>
      </c>
      <c r="H14" s="225"/>
      <c r="I14" s="146">
        <v>20</v>
      </c>
      <c r="K14" s="204" t="s">
        <v>52</v>
      </c>
      <c r="L14" s="207" t="s">
        <v>53</v>
      </c>
    </row>
    <row r="15" ht="46" customHeight="1" spans="1:12">
      <c r="A15" s="235"/>
      <c r="B15" s="214" t="s">
        <v>54</v>
      </c>
      <c r="C15" s="222"/>
      <c r="D15" s="222"/>
      <c r="E15" s="226" t="s">
        <v>55</v>
      </c>
      <c r="F15" s="223"/>
      <c r="G15" s="218" t="s">
        <v>17</v>
      </c>
      <c r="H15" s="225"/>
      <c r="I15" s="146">
        <v>20</v>
      </c>
      <c r="L15" s="207" t="s">
        <v>56</v>
      </c>
    </row>
    <row r="16" ht="46" customHeight="1" spans="1:12">
      <c r="A16" s="236"/>
      <c r="B16" s="214" t="s">
        <v>57</v>
      </c>
      <c r="C16" s="224"/>
      <c r="D16" s="224"/>
      <c r="E16" s="226" t="s">
        <v>58</v>
      </c>
      <c r="F16" s="43"/>
      <c r="G16" s="218" t="s">
        <v>24</v>
      </c>
      <c r="H16" s="225"/>
      <c r="I16" s="146">
        <v>20</v>
      </c>
      <c r="L16" s="207" t="s">
        <v>59</v>
      </c>
    </row>
    <row r="17" ht="46" customHeight="1" spans="1:12">
      <c r="A17" s="229"/>
      <c r="B17" s="214" t="s">
        <v>60</v>
      </c>
      <c r="C17" s="232" t="s">
        <v>61</v>
      </c>
      <c r="D17" s="232" t="s">
        <v>62</v>
      </c>
      <c r="E17" s="237" t="s">
        <v>63</v>
      </c>
      <c r="F17" s="234" t="s">
        <v>43</v>
      </c>
      <c r="G17" s="218" t="s">
        <v>17</v>
      </c>
      <c r="H17" s="225"/>
      <c r="I17" s="146">
        <v>40</v>
      </c>
      <c r="J17" s="246" t="s">
        <v>64</v>
      </c>
      <c r="L17" s="207" t="s">
        <v>65</v>
      </c>
    </row>
    <row r="18" ht="46" customHeight="1" spans="1:12">
      <c r="A18" s="229"/>
      <c r="B18" s="214" t="s">
        <v>66</v>
      </c>
      <c r="C18" s="222"/>
      <c r="D18" s="222"/>
      <c r="E18" s="237" t="s">
        <v>67</v>
      </c>
      <c r="F18" s="223"/>
      <c r="G18" s="218" t="s">
        <v>17</v>
      </c>
      <c r="H18" s="225"/>
      <c r="I18" s="146">
        <v>40</v>
      </c>
      <c r="L18" s="207" t="s">
        <v>68</v>
      </c>
    </row>
    <row r="19" ht="46" customHeight="1" spans="1:12">
      <c r="A19" s="229"/>
      <c r="B19" s="214" t="s">
        <v>69</v>
      </c>
      <c r="C19" s="222"/>
      <c r="D19" s="222"/>
      <c r="E19" s="237" t="s">
        <v>70</v>
      </c>
      <c r="F19" s="223"/>
      <c r="G19" s="218" t="s">
        <v>24</v>
      </c>
      <c r="H19" s="225"/>
      <c r="I19" s="146">
        <v>40</v>
      </c>
      <c r="L19" s="207" t="s">
        <v>71</v>
      </c>
    </row>
    <row r="20" ht="46" customHeight="1" spans="1:12">
      <c r="A20" s="229"/>
      <c r="B20" s="214" t="s">
        <v>72</v>
      </c>
      <c r="C20" s="222"/>
      <c r="D20" s="222"/>
      <c r="E20" s="237" t="s">
        <v>73</v>
      </c>
      <c r="F20" s="223"/>
      <c r="G20" s="218" t="s">
        <v>24</v>
      </c>
      <c r="H20" s="225"/>
      <c r="I20" s="146">
        <v>30</v>
      </c>
      <c r="L20" s="207" t="s">
        <v>74</v>
      </c>
    </row>
    <row r="21" ht="46" customHeight="1" spans="1:12">
      <c r="A21" s="229"/>
      <c r="B21" s="214" t="s">
        <v>75</v>
      </c>
      <c r="C21" s="224"/>
      <c r="D21" s="224"/>
      <c r="E21" s="237" t="s">
        <v>76</v>
      </c>
      <c r="F21" s="43"/>
      <c r="G21" s="218" t="s">
        <v>24</v>
      </c>
      <c r="H21" s="225"/>
      <c r="I21" s="146">
        <v>10</v>
      </c>
      <c r="L21" s="207" t="s">
        <v>77</v>
      </c>
    </row>
    <row r="22" ht="103" customHeight="1" spans="1:16">
      <c r="A22" s="229"/>
      <c r="B22" s="214" t="s">
        <v>78</v>
      </c>
      <c r="C22" s="224" t="s">
        <v>79</v>
      </c>
      <c r="D22" s="224" t="s">
        <v>80</v>
      </c>
      <c r="E22" s="238" t="s">
        <v>81</v>
      </c>
      <c r="F22" s="43" t="s">
        <v>82</v>
      </c>
      <c r="G22" s="218" t="s">
        <v>24</v>
      </c>
      <c r="H22" s="225"/>
      <c r="I22" s="146">
        <v>10</v>
      </c>
      <c r="J22" s="249"/>
      <c r="K22" s="204" t="s">
        <v>83</v>
      </c>
      <c r="L22" s="207" t="s">
        <v>84</v>
      </c>
      <c r="P22" s="250" t="s">
        <v>85</v>
      </c>
    </row>
    <row r="23" ht="103" customHeight="1" spans="1:16">
      <c r="A23" s="229"/>
      <c r="B23" s="214" t="s">
        <v>86</v>
      </c>
      <c r="C23" s="224" t="s">
        <v>87</v>
      </c>
      <c r="D23" s="239" t="s">
        <v>88</v>
      </c>
      <c r="E23" s="238" t="s">
        <v>89</v>
      </c>
      <c r="F23" s="43" t="s">
        <v>82</v>
      </c>
      <c r="G23" s="218" t="s">
        <v>90</v>
      </c>
      <c r="H23" s="225"/>
      <c r="I23" s="146">
        <v>10</v>
      </c>
      <c r="J23" s="249"/>
      <c r="L23" s="207" t="s">
        <v>91</v>
      </c>
      <c r="P23" s="250" t="s">
        <v>92</v>
      </c>
    </row>
    <row r="24" ht="103" customHeight="1" spans="1:16">
      <c r="A24" s="229"/>
      <c r="B24" s="214" t="s">
        <v>93</v>
      </c>
      <c r="C24" s="224" t="s">
        <v>94</v>
      </c>
      <c r="D24" s="239" t="s">
        <v>88</v>
      </c>
      <c r="E24" s="238" t="s">
        <v>95</v>
      </c>
      <c r="F24" s="43" t="s">
        <v>82</v>
      </c>
      <c r="G24" s="218" t="s">
        <v>90</v>
      </c>
      <c r="H24" s="225"/>
      <c r="I24" s="146">
        <v>10</v>
      </c>
      <c r="J24" s="249"/>
      <c r="L24" s="207" t="s">
        <v>96</v>
      </c>
      <c r="P24" s="250" t="s">
        <v>97</v>
      </c>
    </row>
    <row r="25" ht="103" customHeight="1" spans="1:16">
      <c r="A25" s="229"/>
      <c r="B25" s="214" t="s">
        <v>98</v>
      </c>
      <c r="C25" s="224" t="s">
        <v>99</v>
      </c>
      <c r="D25" s="239" t="s">
        <v>88</v>
      </c>
      <c r="E25" s="238" t="s">
        <v>100</v>
      </c>
      <c r="F25" s="43" t="s">
        <v>82</v>
      </c>
      <c r="G25" s="218" t="s">
        <v>90</v>
      </c>
      <c r="H25" s="225"/>
      <c r="I25" s="146">
        <v>10</v>
      </c>
      <c r="J25" s="249"/>
      <c r="L25" s="207" t="s">
        <v>101</v>
      </c>
      <c r="P25" s="250" t="s">
        <v>102</v>
      </c>
    </row>
    <row r="26" ht="103" customHeight="1" spans="1:16">
      <c r="A26" s="229"/>
      <c r="B26" s="214" t="s">
        <v>103</v>
      </c>
      <c r="C26" s="224" t="s">
        <v>104</v>
      </c>
      <c r="D26" s="239" t="s">
        <v>88</v>
      </c>
      <c r="E26" s="238" t="s">
        <v>105</v>
      </c>
      <c r="F26" s="43" t="s">
        <v>82</v>
      </c>
      <c r="G26" s="218" t="s">
        <v>90</v>
      </c>
      <c r="H26" s="225"/>
      <c r="I26" s="146">
        <v>10</v>
      </c>
      <c r="J26" s="249"/>
      <c r="L26" s="207" t="s">
        <v>106</v>
      </c>
      <c r="P26" s="250" t="s">
        <v>107</v>
      </c>
    </row>
    <row r="27" spans="3:5">
      <c r="C27" s="240"/>
      <c r="D27" s="240"/>
      <c r="E27" s="240"/>
    </row>
    <row r="28" spans="3:9">
      <c r="C28" s="240"/>
      <c r="D28" s="240"/>
      <c r="E28" s="240"/>
      <c r="I28" s="251">
        <f>SUM(I7:I26)</f>
        <v>410</v>
      </c>
    </row>
    <row r="29" spans="2:2">
      <c r="B29" s="210"/>
    </row>
    <row r="30" spans="9:9">
      <c r="I30" s="205"/>
    </row>
    <row r="31" spans="9:16">
      <c r="I31" s="205"/>
      <c r="J31" s="252"/>
      <c r="P31" s="252"/>
    </row>
    <row r="32" spans="9:16">
      <c r="I32" s="205"/>
      <c r="J32" s="253"/>
      <c r="P32" s="253"/>
    </row>
    <row r="33" spans="9:16">
      <c r="I33" s="254"/>
      <c r="J33" s="206"/>
      <c r="P33" s="206"/>
    </row>
    <row r="34" spans="2:16">
      <c r="B34" s="205" t="s">
        <v>108</v>
      </c>
      <c r="I34" s="254"/>
      <c r="J34" s="206"/>
      <c r="P34" s="206"/>
    </row>
    <row r="35" spans="9:16">
      <c r="I35" s="205"/>
      <c r="J35" s="206"/>
      <c r="P35" s="206"/>
    </row>
    <row r="36" spans="9:16">
      <c r="I36" s="205"/>
      <c r="J36" s="206"/>
      <c r="P36" s="206"/>
    </row>
    <row r="37" spans="9:16">
      <c r="I37" s="205"/>
      <c r="J37" s="206"/>
      <c r="P37" s="206"/>
    </row>
    <row r="38" spans="9:16">
      <c r="I38" s="254"/>
      <c r="J38" s="206"/>
      <c r="P38" s="206"/>
    </row>
    <row r="39" spans="9:16">
      <c r="I39" s="254"/>
      <c r="J39" s="206"/>
      <c r="P39" s="206"/>
    </row>
    <row r="40" spans="9:9">
      <c r="I40" s="205"/>
    </row>
    <row r="41" spans="9:9">
      <c r="I41" s="205"/>
    </row>
    <row r="42" spans="9:9">
      <c r="I42" s="205"/>
    </row>
    <row r="43" spans="9:9">
      <c r="I43" s="205"/>
    </row>
    <row r="109" spans="6:6">
      <c r="F109" s="206" t="s">
        <v>108</v>
      </c>
    </row>
  </sheetData>
  <mergeCells count="21">
    <mergeCell ref="A5:A6"/>
    <mergeCell ref="A7:A12"/>
    <mergeCell ref="A14:A16"/>
    <mergeCell ref="A17:A21"/>
    <mergeCell ref="B5:B6"/>
    <mergeCell ref="C5:C6"/>
    <mergeCell ref="C7:C12"/>
    <mergeCell ref="C14:C16"/>
    <mergeCell ref="C17:C21"/>
    <mergeCell ref="D5:D6"/>
    <mergeCell ref="D7:D12"/>
    <mergeCell ref="D14:D16"/>
    <mergeCell ref="D17:D21"/>
    <mergeCell ref="E5:E6"/>
    <mergeCell ref="F5:F6"/>
    <mergeCell ref="F7:F12"/>
    <mergeCell ref="F14:F16"/>
    <mergeCell ref="F17:F21"/>
    <mergeCell ref="G5:G6"/>
    <mergeCell ref="H5:H6"/>
    <mergeCell ref="I5:I6"/>
  </mergeCells>
  <pageMargins left="0.25" right="0.25" top="0.75" bottom="0.75" header="0.3" footer="0.3"/>
  <pageSetup paperSize="9" scale="50" fitToHeight="0" orientation="landscape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E169"/>
  <sheetViews>
    <sheetView zoomScale="90" zoomScaleNormal="90" workbookViewId="0">
      <pane xSplit="5" ySplit="6" topLeftCell="F7" activePane="bottomRight" state="frozen"/>
      <selection/>
      <selection pane="topRight"/>
      <selection pane="bottomLeft"/>
      <selection pane="bottomRight" activeCell="E63" sqref="E63"/>
    </sheetView>
  </sheetViews>
  <sheetFormatPr defaultColWidth="17.3333333333333" defaultRowHeight="12.75"/>
  <cols>
    <col min="1" max="1" width="24.6666666666667" customWidth="1"/>
    <col min="2" max="2" width="24.5047619047619" style="7" customWidth="1"/>
    <col min="3" max="3" width="19.6666666666667" style="7" customWidth="1"/>
    <col min="4" max="4" width="15.5047619047619" style="7" customWidth="1"/>
    <col min="5" max="5" width="13.6666666666667" style="8" customWidth="1"/>
    <col min="6" max="6" width="11.6666666666667" style="7" customWidth="1"/>
    <col min="7" max="7" width="12.6666666666667" style="7" customWidth="1"/>
    <col min="8" max="8" width="13.6666666666667" style="9" customWidth="1"/>
    <col min="9" max="13" width="16" style="7" customWidth="1"/>
    <col min="14" max="14" width="9.66666666666667" style="7" customWidth="1"/>
    <col min="15" max="15" width="18" style="7" customWidth="1"/>
    <col min="16" max="16" width="9.66666666666667" style="7" customWidth="1"/>
    <col min="17" max="17" width="9.33333333333333" customWidth="1"/>
    <col min="18" max="18" width="19.6666666666667" customWidth="1"/>
    <col min="19" max="19" width="13.5047619047619" customWidth="1"/>
    <col min="20" max="20" width="16.5047619047619" customWidth="1"/>
    <col min="21" max="21" width="13.5047619047619" customWidth="1"/>
    <col min="22" max="22" width="18.1619047619048" customWidth="1"/>
    <col min="23" max="24" width="13.5047619047619" customWidth="1"/>
    <col min="25" max="25" width="17.3333333333333" style="6"/>
  </cols>
  <sheetData>
    <row r="1" ht="26.25" customHeight="1" spans="1:16">
      <c r="A1" s="10" t="s">
        <v>109</v>
      </c>
      <c r="C1" s="10" t="s">
        <v>110</v>
      </c>
      <c r="D1" s="10"/>
      <c r="E1" s="10"/>
      <c r="F1" s="10"/>
      <c r="G1" s="10"/>
      <c r="H1" s="11"/>
      <c r="I1" s="10"/>
      <c r="J1" s="10"/>
      <c r="K1" s="10"/>
      <c r="L1" s="10"/>
      <c r="M1" s="10"/>
      <c r="N1" s="10"/>
      <c r="O1" s="10"/>
      <c r="P1" s="10"/>
    </row>
    <row r="2" ht="18.75" customHeight="1" spans="1:20">
      <c r="A2" s="12" t="s">
        <v>111</v>
      </c>
      <c r="C2" s="10"/>
      <c r="D2" s="10"/>
      <c r="E2" s="10"/>
      <c r="F2" s="10"/>
      <c r="G2" s="10"/>
      <c r="H2" s="11"/>
      <c r="I2" s="10"/>
      <c r="J2" s="89"/>
      <c r="K2" s="89"/>
      <c r="L2" s="89"/>
      <c r="M2" s="89"/>
      <c r="N2" s="89"/>
      <c r="O2" s="89"/>
      <c r="P2" s="90" t="s">
        <v>112</v>
      </c>
      <c r="Q2" s="90"/>
      <c r="R2" s="90"/>
      <c r="S2" s="90"/>
      <c r="T2" s="90"/>
    </row>
    <row r="3" ht="18.75" customHeight="1" spans="1:24">
      <c r="A3" s="10" t="s">
        <v>113</v>
      </c>
      <c r="C3" s="10"/>
      <c r="D3" s="10"/>
      <c r="E3" s="10"/>
      <c r="F3" s="10"/>
      <c r="G3" s="10"/>
      <c r="H3" s="11"/>
      <c r="I3" s="10"/>
      <c r="J3" s="10"/>
      <c r="K3" s="10"/>
      <c r="L3" s="10"/>
      <c r="M3" s="10"/>
      <c r="N3" s="10"/>
      <c r="O3"/>
      <c r="P3" s="90">
        <v>46</v>
      </c>
      <c r="Q3" s="90" t="s">
        <v>0</v>
      </c>
      <c r="R3" s="90"/>
      <c r="S3" s="124" t="s">
        <v>114</v>
      </c>
      <c r="T3" s="125"/>
      <c r="U3" s="125"/>
      <c r="V3" s="10"/>
      <c r="W3" s="10"/>
      <c r="X3" s="10"/>
    </row>
    <row r="4" ht="18.75" customHeight="1" spans="2:24">
      <c r="B4"/>
      <c r="C4"/>
      <c r="D4"/>
      <c r="E4" s="13"/>
      <c r="F4"/>
      <c r="G4"/>
      <c r="H4" s="6"/>
      <c r="I4"/>
      <c r="J4"/>
      <c r="K4"/>
      <c r="L4"/>
      <c r="M4"/>
      <c r="N4"/>
      <c r="O4" s="91" t="s">
        <v>115</v>
      </c>
      <c r="P4" s="92"/>
      <c r="Q4" s="92"/>
      <c r="R4" s="126"/>
      <c r="S4" s="127"/>
      <c r="T4" s="127"/>
      <c r="U4" s="127"/>
      <c r="V4" s="128"/>
      <c r="W4" s="128"/>
      <c r="X4" s="128"/>
    </row>
    <row r="5" ht="30.75" customHeight="1" spans="1:25">
      <c r="A5" s="14" t="s">
        <v>1</v>
      </c>
      <c r="B5" s="15" t="s">
        <v>116</v>
      </c>
      <c r="C5" s="15" t="s">
        <v>117</v>
      </c>
      <c r="D5" s="16" t="s">
        <v>5</v>
      </c>
      <c r="E5" s="16" t="s">
        <v>118</v>
      </c>
      <c r="F5" s="16" t="s">
        <v>8</v>
      </c>
      <c r="G5" s="16" t="s">
        <v>119</v>
      </c>
      <c r="H5" s="17" t="s">
        <v>120</v>
      </c>
      <c r="I5" s="93" t="s">
        <v>121</v>
      </c>
      <c r="J5" s="94"/>
      <c r="K5" s="95"/>
      <c r="L5" s="96" t="s">
        <v>122</v>
      </c>
      <c r="M5" s="96" t="s">
        <v>123</v>
      </c>
      <c r="N5" s="97" t="s">
        <v>124</v>
      </c>
      <c r="O5" s="98" t="s">
        <v>125</v>
      </c>
      <c r="P5" s="15" t="s">
        <v>126</v>
      </c>
      <c r="Q5" s="129" t="s">
        <v>127</v>
      </c>
      <c r="R5" s="130" t="s">
        <v>128</v>
      </c>
      <c r="S5" s="131" t="s">
        <v>129</v>
      </c>
      <c r="T5" s="132" t="s">
        <v>130</v>
      </c>
      <c r="U5" s="133" t="s">
        <v>131</v>
      </c>
      <c r="V5" s="134"/>
      <c r="W5" s="134"/>
      <c r="X5" s="134"/>
      <c r="Y5" s="9"/>
    </row>
    <row r="6" ht="50" customHeight="1" spans="1:25">
      <c r="A6" s="18"/>
      <c r="B6" s="19"/>
      <c r="C6" s="19"/>
      <c r="D6" s="20"/>
      <c r="E6" s="20"/>
      <c r="F6" s="20"/>
      <c r="G6" s="20"/>
      <c r="H6" s="21"/>
      <c r="I6" s="99" t="s">
        <v>132</v>
      </c>
      <c r="J6" s="99" t="s">
        <v>133</v>
      </c>
      <c r="K6" s="99" t="s">
        <v>134</v>
      </c>
      <c r="L6" s="100"/>
      <c r="M6" s="100"/>
      <c r="N6" s="101"/>
      <c r="O6" s="102"/>
      <c r="P6" s="19"/>
      <c r="Q6" s="135"/>
      <c r="R6" s="136"/>
      <c r="S6" s="137"/>
      <c r="T6" s="138"/>
      <c r="U6" s="139"/>
      <c r="V6" s="134"/>
      <c r="W6" s="134"/>
      <c r="X6" s="134"/>
      <c r="Y6" s="9"/>
    </row>
    <row r="7" s="1" customFormat="1" ht="50" customHeight="1" spans="1:109">
      <c r="A7" s="22"/>
      <c r="B7" s="23" t="s">
        <v>135</v>
      </c>
      <c r="C7" s="24" t="s">
        <v>136</v>
      </c>
      <c r="D7" s="23" t="s">
        <v>137</v>
      </c>
      <c r="E7" s="25" t="s">
        <v>138</v>
      </c>
      <c r="F7" s="26">
        <v>99</v>
      </c>
      <c r="G7" s="27">
        <f t="shared" ref="G7:G61" si="0">(F7)/$F$80</f>
        <v>92.5233644859813</v>
      </c>
      <c r="H7" s="28">
        <f t="shared" ref="H7:H61" si="1">G7*$F$81</f>
        <v>95.7616822429906</v>
      </c>
      <c r="I7" s="103">
        <f t="shared" ref="I7:I61" si="2">$F$82/P7</f>
        <v>3.40760869565217</v>
      </c>
      <c r="J7" s="103">
        <f t="shared" ref="J7:J61" si="3">$F$83/P7</f>
        <v>1.54891304347826</v>
      </c>
      <c r="K7" s="103">
        <f>SUM(I7:J7)</f>
        <v>4.95652173913043</v>
      </c>
      <c r="L7" s="103">
        <f>SUM(H7,I7,J7)</f>
        <v>100.718203982121</v>
      </c>
      <c r="M7" s="103">
        <f t="shared" ref="M7:M61" si="4">L7*$F$85</f>
        <v>107.76847826087</v>
      </c>
      <c r="N7" s="104">
        <f t="shared" ref="N7:N61" si="5">G7/(1-$F$86)-G7</f>
        <v>16.3276525563496</v>
      </c>
      <c r="O7" s="105">
        <f>SUM(M7:N7)</f>
        <v>124.096130817219</v>
      </c>
      <c r="P7" s="106">
        <f>$P$3/0.095</f>
        <v>484.210526315789</v>
      </c>
      <c r="Q7" s="140">
        <v>60</v>
      </c>
      <c r="R7" s="141">
        <f t="shared" ref="R7:R61" si="6">O7*Q7</f>
        <v>7445.76784903315</v>
      </c>
      <c r="S7" s="142">
        <f t="shared" ref="S7:S25" si="7">(M7-L7)*Q7</f>
        <v>423.016456724909</v>
      </c>
      <c r="T7" s="142">
        <f t="shared" ref="T7:T25" si="8">K7*Q7</f>
        <v>297.391304347826</v>
      </c>
      <c r="U7" s="142">
        <f t="shared" ref="U7:U25" si="9">N7*Q7</f>
        <v>979.659153380979</v>
      </c>
      <c r="V7" s="143"/>
      <c r="W7" s="143"/>
      <c r="X7" s="143"/>
      <c r="Y7" s="87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</row>
    <row r="8" s="1" customFormat="1" ht="50" customHeight="1" spans="1:109">
      <c r="A8" s="29"/>
      <c r="B8" s="30" t="s">
        <v>139</v>
      </c>
      <c r="C8" s="31" t="s">
        <v>140</v>
      </c>
      <c r="D8" s="32" t="s">
        <v>137</v>
      </c>
      <c r="E8" s="25" t="s">
        <v>138</v>
      </c>
      <c r="F8" s="26">
        <v>92.83</v>
      </c>
      <c r="G8" s="33">
        <f t="shared" si="0"/>
        <v>86.7570093457944</v>
      </c>
      <c r="H8" s="34">
        <f t="shared" si="1"/>
        <v>89.7935046728972</v>
      </c>
      <c r="I8" s="44">
        <f t="shared" si="2"/>
        <v>3.40760869565217</v>
      </c>
      <c r="J8" s="44">
        <f t="shared" si="3"/>
        <v>1.54891304347826</v>
      </c>
      <c r="K8" s="44">
        <f t="shared" ref="K8:K56" si="10">SUM(I8:J8)</f>
        <v>4.95652173913043</v>
      </c>
      <c r="L8" s="103">
        <f t="shared" ref="L8:L61" si="11">SUM(H8,I8,J8)</f>
        <v>94.7500264120276</v>
      </c>
      <c r="M8" s="44">
        <f t="shared" si="4"/>
        <v>101.38252826087</v>
      </c>
      <c r="N8" s="107">
        <f t="shared" si="5"/>
        <v>15.3100604727872</v>
      </c>
      <c r="O8" s="108">
        <f>SUM(M8:N8)</f>
        <v>116.692588733657</v>
      </c>
      <c r="P8" s="109">
        <f>$P$3/0.095</f>
        <v>484.210526315789</v>
      </c>
      <c r="Q8" s="144">
        <v>60</v>
      </c>
      <c r="R8" s="145">
        <f t="shared" si="6"/>
        <v>7001.55532401941</v>
      </c>
      <c r="S8" s="142">
        <f t="shared" si="7"/>
        <v>397.950110930516</v>
      </c>
      <c r="T8" s="142">
        <f t="shared" si="8"/>
        <v>297.391304347826</v>
      </c>
      <c r="U8" s="142">
        <f t="shared" si="9"/>
        <v>918.603628367234</v>
      </c>
      <c r="V8" s="143"/>
      <c r="W8" s="143"/>
      <c r="X8" s="143"/>
      <c r="Y8" s="3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</row>
    <row r="9" s="1" customFormat="1" ht="50" customHeight="1" spans="1:109">
      <c r="A9" s="35"/>
      <c r="B9" s="36" t="s">
        <v>141</v>
      </c>
      <c r="C9" s="37" t="s">
        <v>142</v>
      </c>
      <c r="D9" s="38" t="s">
        <v>143</v>
      </c>
      <c r="E9" s="25" t="s">
        <v>138</v>
      </c>
      <c r="F9" s="39">
        <v>57.52</v>
      </c>
      <c r="G9" s="33">
        <f t="shared" si="0"/>
        <v>53.7570093457944</v>
      </c>
      <c r="H9" s="40">
        <f t="shared" si="1"/>
        <v>55.6385046728972</v>
      </c>
      <c r="I9" s="44">
        <f t="shared" si="2"/>
        <v>2.83369565217391</v>
      </c>
      <c r="J9" s="44">
        <f t="shared" si="3"/>
        <v>1.28804347826087</v>
      </c>
      <c r="K9" s="44">
        <f t="shared" ref="K9:K10" si="12">SUM(I9:J9)</f>
        <v>4.12173913043478</v>
      </c>
      <c r="L9" s="103">
        <f t="shared" si="11"/>
        <v>59.760243803332</v>
      </c>
      <c r="M9" s="44">
        <f t="shared" si="4"/>
        <v>63.9434608695652</v>
      </c>
      <c r="N9" s="107">
        <f t="shared" si="5"/>
        <v>9.48653106102254</v>
      </c>
      <c r="O9" s="108">
        <f t="shared" ref="O9:O56" si="13">SUM(M9:N9)</f>
        <v>73.4299919305878</v>
      </c>
      <c r="P9" s="109">
        <f>$P$3/0.079</f>
        <v>582.278481012658</v>
      </c>
      <c r="Q9" s="146"/>
      <c r="R9" s="147">
        <f t="shared" si="6"/>
        <v>0</v>
      </c>
      <c r="S9" s="142">
        <f t="shared" si="7"/>
        <v>0</v>
      </c>
      <c r="T9" s="142">
        <f t="shared" si="8"/>
        <v>0</v>
      </c>
      <c r="U9" s="142">
        <f t="shared" si="9"/>
        <v>0</v>
      </c>
      <c r="V9" s="143"/>
      <c r="W9" s="143"/>
      <c r="X9" s="143"/>
      <c r="Y9" s="3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</row>
    <row r="10" s="2" customFormat="1" ht="50" customHeight="1" spans="1:109">
      <c r="A10" s="35"/>
      <c r="B10" s="36" t="s">
        <v>144</v>
      </c>
      <c r="C10" s="37" t="s">
        <v>145</v>
      </c>
      <c r="D10" s="38" t="s">
        <v>143</v>
      </c>
      <c r="E10" s="25" t="s">
        <v>138</v>
      </c>
      <c r="F10" s="41">
        <v>59.52</v>
      </c>
      <c r="G10" s="33">
        <f t="shared" si="0"/>
        <v>55.6261682242991</v>
      </c>
      <c r="H10" s="40">
        <f t="shared" si="1"/>
        <v>57.5730841121495</v>
      </c>
      <c r="I10" s="44">
        <f t="shared" si="2"/>
        <v>2.83369565217391</v>
      </c>
      <c r="J10" s="44">
        <f t="shared" si="3"/>
        <v>1.28804347826087</v>
      </c>
      <c r="K10" s="44">
        <f t="shared" si="12"/>
        <v>4.12173913043478</v>
      </c>
      <c r="L10" s="103">
        <f t="shared" si="11"/>
        <v>61.6948232425843</v>
      </c>
      <c r="M10" s="44">
        <f t="shared" si="4"/>
        <v>66.0134608695652</v>
      </c>
      <c r="N10" s="107">
        <f t="shared" si="5"/>
        <v>9.81638262781749</v>
      </c>
      <c r="O10" s="108">
        <f t="shared" si="13"/>
        <v>75.8298434973827</v>
      </c>
      <c r="P10" s="109">
        <f>$P$3/0.079</f>
        <v>582.278481012658</v>
      </c>
      <c r="Q10" s="146"/>
      <c r="R10" s="147">
        <f t="shared" si="6"/>
        <v>0</v>
      </c>
      <c r="S10" s="142">
        <f t="shared" si="7"/>
        <v>0</v>
      </c>
      <c r="T10" s="142">
        <f t="shared" si="8"/>
        <v>0</v>
      </c>
      <c r="U10" s="142">
        <f t="shared" si="9"/>
        <v>0</v>
      </c>
      <c r="V10" s="148"/>
      <c r="W10" s="148"/>
      <c r="X10" s="148"/>
      <c r="Y10" s="6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</row>
    <row r="11" s="3" customFormat="1" ht="50" customHeight="1" spans="1:109">
      <c r="A11" s="29"/>
      <c r="B11" s="30" t="s">
        <v>146</v>
      </c>
      <c r="C11" s="31" t="s">
        <v>147</v>
      </c>
      <c r="D11" s="32" t="s">
        <v>148</v>
      </c>
      <c r="E11" s="25" t="s">
        <v>138</v>
      </c>
      <c r="F11" s="26">
        <v>45.41</v>
      </c>
      <c r="G11" s="33">
        <f t="shared" si="0"/>
        <v>42.4392523364486</v>
      </c>
      <c r="H11" s="34">
        <f t="shared" si="1"/>
        <v>43.9246261682243</v>
      </c>
      <c r="I11" s="44">
        <f t="shared" si="2"/>
        <v>2.33152173913043</v>
      </c>
      <c r="J11" s="44">
        <f t="shared" si="3"/>
        <v>1.05978260869565</v>
      </c>
      <c r="K11" s="44">
        <f t="shared" si="10"/>
        <v>3.39130434782609</v>
      </c>
      <c r="L11" s="103">
        <f t="shared" si="11"/>
        <v>47.3159305160504</v>
      </c>
      <c r="M11" s="44">
        <f t="shared" si="4"/>
        <v>50.6280456521739</v>
      </c>
      <c r="N11" s="107">
        <f t="shared" si="5"/>
        <v>7.48927982407916</v>
      </c>
      <c r="O11" s="108">
        <f t="shared" si="13"/>
        <v>58.1173254762531</v>
      </c>
      <c r="P11" s="109">
        <f>$P$3/0.065</f>
        <v>707.692307692308</v>
      </c>
      <c r="Q11" s="144">
        <v>150</v>
      </c>
      <c r="R11" s="145">
        <f t="shared" si="6"/>
        <v>8717.59882143796</v>
      </c>
      <c r="S11" s="142">
        <f t="shared" si="7"/>
        <v>496.81727041853</v>
      </c>
      <c r="T11" s="142">
        <f t="shared" si="8"/>
        <v>508.695652173913</v>
      </c>
      <c r="U11" s="142">
        <f t="shared" si="9"/>
        <v>1123.39197361187</v>
      </c>
      <c r="V11" s="148">
        <f>0.81*0.465*0.141</f>
        <v>0.05310765</v>
      </c>
      <c r="W11" s="143"/>
      <c r="X11" s="14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</row>
    <row r="12" ht="50" customHeight="1" spans="1:25">
      <c r="A12" s="42"/>
      <c r="B12" s="30" t="s">
        <v>149</v>
      </c>
      <c r="C12" s="31" t="s">
        <v>150</v>
      </c>
      <c r="D12" s="32" t="s">
        <v>151</v>
      </c>
      <c r="E12" s="43" t="s">
        <v>138</v>
      </c>
      <c r="F12" s="26">
        <v>34.81</v>
      </c>
      <c r="G12" s="44">
        <f t="shared" si="0"/>
        <v>32.5327102803738</v>
      </c>
      <c r="H12" s="34">
        <f t="shared" si="1"/>
        <v>33.6713551401869</v>
      </c>
      <c r="I12" s="44">
        <f t="shared" si="2"/>
        <v>1.75760869565217</v>
      </c>
      <c r="J12" s="44">
        <f t="shared" si="3"/>
        <v>0.798913043478261</v>
      </c>
      <c r="K12" s="44">
        <f t="shared" si="10"/>
        <v>2.55652173913043</v>
      </c>
      <c r="L12" s="103">
        <f t="shared" si="11"/>
        <v>36.2278768793173</v>
      </c>
      <c r="M12" s="44">
        <f t="shared" si="4"/>
        <v>38.7638282608696</v>
      </c>
      <c r="N12" s="110">
        <f t="shared" si="5"/>
        <v>5.74106652006597</v>
      </c>
      <c r="O12" s="44">
        <f t="shared" si="13"/>
        <v>44.5048947809355</v>
      </c>
      <c r="P12" s="111">
        <f>$P$3/0.049</f>
        <v>938.775510204082</v>
      </c>
      <c r="Q12" s="144">
        <v>30</v>
      </c>
      <c r="R12" s="145">
        <f t="shared" si="6"/>
        <v>1335.14684342807</v>
      </c>
      <c r="S12" s="142">
        <f t="shared" si="7"/>
        <v>76.0785414465665</v>
      </c>
      <c r="T12" s="142">
        <f t="shared" si="8"/>
        <v>76.6956521739131</v>
      </c>
      <c r="U12" s="142">
        <f t="shared" si="9"/>
        <v>172.231995601979</v>
      </c>
      <c r="V12" s="148">
        <f>0.61*0.465*0.141</f>
        <v>0.03999465</v>
      </c>
      <c r="W12" s="148"/>
      <c r="X12" s="148"/>
      <c r="Y12"/>
    </row>
    <row r="13" ht="50" customHeight="1" spans="1:25">
      <c r="A13" s="45"/>
      <c r="B13" s="46" t="s">
        <v>152</v>
      </c>
      <c r="C13" s="47" t="s">
        <v>153</v>
      </c>
      <c r="D13" s="47" t="s">
        <v>154</v>
      </c>
      <c r="E13" s="43" t="s">
        <v>138</v>
      </c>
      <c r="F13" s="41">
        <f>136-6</f>
        <v>130</v>
      </c>
      <c r="G13" s="44">
        <f t="shared" si="0"/>
        <v>121.495327102804</v>
      </c>
      <c r="H13" s="44">
        <f t="shared" si="1"/>
        <v>125.747663551402</v>
      </c>
      <c r="I13" s="44">
        <f t="shared" si="2"/>
        <v>4.71428571428571</v>
      </c>
      <c r="J13" s="44">
        <f t="shared" si="3"/>
        <v>2.14285714285714</v>
      </c>
      <c r="K13" s="44">
        <f t="shared" ref="K13" si="14">SUM(I13:J13)</f>
        <v>6.85714285714286</v>
      </c>
      <c r="L13" s="103">
        <f t="shared" si="11"/>
        <v>132.604806408545</v>
      </c>
      <c r="M13" s="44">
        <f t="shared" si="4"/>
        <v>141.887142857143</v>
      </c>
      <c r="N13" s="110">
        <f t="shared" si="5"/>
        <v>21.4403518416712</v>
      </c>
      <c r="O13" s="44">
        <f t="shared" si="13"/>
        <v>163.327494698814</v>
      </c>
      <c r="P13" s="111">
        <v>350</v>
      </c>
      <c r="Q13" s="149"/>
      <c r="R13" s="150"/>
      <c r="S13" s="142"/>
      <c r="T13" s="142"/>
      <c r="U13" s="142"/>
      <c r="V13" s="148"/>
      <c r="W13" s="148"/>
      <c r="X13" s="148"/>
      <c r="Y13"/>
    </row>
    <row r="14" s="4" customFormat="1" ht="56" customHeight="1" spans="1:24">
      <c r="A14" s="48"/>
      <c r="B14" s="47" t="s">
        <v>155</v>
      </c>
      <c r="C14" s="47" t="s">
        <v>156</v>
      </c>
      <c r="D14" s="47" t="s">
        <v>157</v>
      </c>
      <c r="E14" s="43" t="s">
        <v>138</v>
      </c>
      <c r="F14" s="49">
        <v>82.65</v>
      </c>
      <c r="G14" s="44">
        <f t="shared" si="0"/>
        <v>77.2429906542056</v>
      </c>
      <c r="H14" s="44">
        <f t="shared" si="1"/>
        <v>79.9464953271028</v>
      </c>
      <c r="I14" s="44">
        <f t="shared" si="2"/>
        <v>4.05326086956522</v>
      </c>
      <c r="J14" s="44">
        <f t="shared" si="3"/>
        <v>1.84239130434783</v>
      </c>
      <c r="K14" s="44">
        <f t="shared" ref="K14:K46" si="15">SUM(I14:J14)</f>
        <v>5.89565217391304</v>
      </c>
      <c r="L14" s="103">
        <f t="shared" si="11"/>
        <v>85.8421475010159</v>
      </c>
      <c r="M14" s="44">
        <f t="shared" si="4"/>
        <v>91.851097826087</v>
      </c>
      <c r="N14" s="110">
        <f t="shared" si="5"/>
        <v>13.631115997801</v>
      </c>
      <c r="O14" s="44">
        <f t="shared" si="13"/>
        <v>105.482213823888</v>
      </c>
      <c r="P14" s="111">
        <f>$P$3/0.113</f>
        <v>407.079646017699</v>
      </c>
      <c r="Q14" s="149"/>
      <c r="R14" s="150">
        <f t="shared" si="6"/>
        <v>0</v>
      </c>
      <c r="S14" s="142">
        <f t="shared" si="7"/>
        <v>0</v>
      </c>
      <c r="T14" s="142">
        <f t="shared" si="8"/>
        <v>0</v>
      </c>
      <c r="U14" s="142">
        <f t="shared" si="9"/>
        <v>0</v>
      </c>
      <c r="V14" s="143"/>
      <c r="W14" s="143"/>
      <c r="X14" s="143"/>
    </row>
    <row r="15" s="4" customFormat="1" ht="50" customHeight="1" spans="1:24">
      <c r="A15" s="50"/>
      <c r="B15" s="47" t="s">
        <v>158</v>
      </c>
      <c r="C15" s="47" t="s">
        <v>159</v>
      </c>
      <c r="D15" s="47" t="s">
        <v>157</v>
      </c>
      <c r="E15" s="43" t="s">
        <v>138</v>
      </c>
      <c r="F15" s="49">
        <v>78.12</v>
      </c>
      <c r="G15" s="44">
        <f t="shared" si="0"/>
        <v>73.0093457943925</v>
      </c>
      <c r="H15" s="44">
        <f t="shared" si="1"/>
        <v>75.5646728971963</v>
      </c>
      <c r="I15" s="44">
        <f t="shared" si="2"/>
        <v>4.05326086956522</v>
      </c>
      <c r="J15" s="44">
        <f t="shared" si="3"/>
        <v>1.84239130434783</v>
      </c>
      <c r="K15" s="44">
        <f t="shared" si="15"/>
        <v>5.89565217391304</v>
      </c>
      <c r="L15" s="103">
        <f t="shared" si="11"/>
        <v>81.4603250711093</v>
      </c>
      <c r="M15" s="44">
        <f t="shared" si="4"/>
        <v>87.162547826087</v>
      </c>
      <c r="N15" s="110">
        <f t="shared" si="5"/>
        <v>12.8840021990105</v>
      </c>
      <c r="O15" s="44">
        <f t="shared" si="13"/>
        <v>100.046550025097</v>
      </c>
      <c r="P15" s="111">
        <f>$P$3/0.113</f>
        <v>407.079646017699</v>
      </c>
      <c r="Q15" s="149"/>
      <c r="R15" s="150">
        <f t="shared" si="6"/>
        <v>0</v>
      </c>
      <c r="S15" s="142">
        <f t="shared" si="7"/>
        <v>0</v>
      </c>
      <c r="T15" s="142">
        <f t="shared" si="8"/>
        <v>0</v>
      </c>
      <c r="U15" s="142">
        <f t="shared" si="9"/>
        <v>0</v>
      </c>
      <c r="V15" s="143"/>
      <c r="W15" s="143"/>
      <c r="X15" s="143"/>
    </row>
    <row r="16" s="3" customFormat="1" ht="50" customHeight="1" spans="1:109">
      <c r="A16" s="51"/>
      <c r="B16" s="32" t="s">
        <v>160</v>
      </c>
      <c r="C16" s="32" t="s">
        <v>161</v>
      </c>
      <c r="D16" s="32" t="s">
        <v>162</v>
      </c>
      <c r="E16" s="43" t="s">
        <v>138</v>
      </c>
      <c r="F16" s="52">
        <v>50.96</v>
      </c>
      <c r="G16" s="44">
        <f t="shared" si="0"/>
        <v>47.6261682242991</v>
      </c>
      <c r="H16" s="34">
        <f t="shared" si="1"/>
        <v>49.2930841121495</v>
      </c>
      <c r="I16" s="44">
        <f t="shared" si="2"/>
        <v>3.3</v>
      </c>
      <c r="J16" s="44">
        <f t="shared" si="3"/>
        <v>1.5</v>
      </c>
      <c r="K16" s="44">
        <f t="shared" si="15"/>
        <v>4.8</v>
      </c>
      <c r="L16" s="103">
        <f t="shared" si="11"/>
        <v>54.0930841121495</v>
      </c>
      <c r="M16" s="44">
        <f t="shared" si="4"/>
        <v>57.8796</v>
      </c>
      <c r="N16" s="110">
        <f t="shared" si="5"/>
        <v>8.40461792193513</v>
      </c>
      <c r="O16" s="44">
        <f t="shared" si="13"/>
        <v>66.2842179219351</v>
      </c>
      <c r="P16" s="112">
        <f>$P$3/0.092</f>
        <v>500</v>
      </c>
      <c r="Q16" s="140">
        <v>52</v>
      </c>
      <c r="R16" s="145">
        <f t="shared" si="6"/>
        <v>3446.77933194063</v>
      </c>
      <c r="S16" s="142">
        <f t="shared" si="7"/>
        <v>196.898826168224</v>
      </c>
      <c r="T16" s="142">
        <f t="shared" si="8"/>
        <v>249.6</v>
      </c>
      <c r="U16" s="142">
        <f t="shared" si="9"/>
        <v>437.040131940627</v>
      </c>
      <c r="V16" s="143"/>
      <c r="W16" s="143"/>
      <c r="X16" s="143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</row>
    <row r="17" s="5" customFormat="1" ht="50" customHeight="1" spans="1:24">
      <c r="A17" s="50"/>
      <c r="B17" s="47" t="s">
        <v>108</v>
      </c>
      <c r="C17" s="47" t="s">
        <v>163</v>
      </c>
      <c r="D17" s="47" t="s">
        <v>157</v>
      </c>
      <c r="E17" s="43" t="s">
        <v>138</v>
      </c>
      <c r="F17" s="53">
        <v>53.98</v>
      </c>
      <c r="G17" s="44">
        <f t="shared" si="0"/>
        <v>50.4485981308411</v>
      </c>
      <c r="H17" s="44">
        <f t="shared" si="1"/>
        <v>52.2142990654205</v>
      </c>
      <c r="I17" s="44">
        <f t="shared" si="2"/>
        <v>4.05326086956522</v>
      </c>
      <c r="J17" s="44">
        <f t="shared" si="3"/>
        <v>1.84239130434783</v>
      </c>
      <c r="K17" s="44">
        <f t="shared" si="15"/>
        <v>5.89565217391304</v>
      </c>
      <c r="L17" s="103">
        <f t="shared" si="11"/>
        <v>58.1099512393336</v>
      </c>
      <c r="M17" s="44">
        <f t="shared" si="4"/>
        <v>62.177647826087</v>
      </c>
      <c r="N17" s="110">
        <f t="shared" si="5"/>
        <v>8.90269378779549</v>
      </c>
      <c r="O17" s="44">
        <f t="shared" si="13"/>
        <v>71.0803416138824</v>
      </c>
      <c r="P17" s="111">
        <f>$P$3/0.113</f>
        <v>407.079646017699</v>
      </c>
      <c r="Q17" s="149"/>
      <c r="R17" s="150">
        <f t="shared" si="6"/>
        <v>0</v>
      </c>
      <c r="S17" s="151">
        <f t="shared" si="7"/>
        <v>0</v>
      </c>
      <c r="T17" s="151">
        <f t="shared" si="8"/>
        <v>0</v>
      </c>
      <c r="U17" s="151">
        <f t="shared" si="9"/>
        <v>0</v>
      </c>
      <c r="V17" s="152"/>
      <c r="W17" s="152"/>
      <c r="X17" s="152"/>
    </row>
    <row r="18" s="5" customFormat="1" ht="50" customHeight="1" spans="1:24">
      <c r="A18" s="54"/>
      <c r="B18" s="47" t="s">
        <v>108</v>
      </c>
      <c r="C18" s="47" t="s">
        <v>164</v>
      </c>
      <c r="D18" s="47" t="s">
        <v>162</v>
      </c>
      <c r="E18" s="43" t="s">
        <v>138</v>
      </c>
      <c r="F18" s="53">
        <v>53.98</v>
      </c>
      <c r="G18" s="44">
        <f t="shared" si="0"/>
        <v>50.4485981308411</v>
      </c>
      <c r="H18" s="44">
        <f t="shared" si="1"/>
        <v>52.2142990654205</v>
      </c>
      <c r="I18" s="44">
        <f t="shared" si="2"/>
        <v>3.3</v>
      </c>
      <c r="J18" s="44">
        <f t="shared" si="3"/>
        <v>1.5</v>
      </c>
      <c r="K18" s="44">
        <f t="shared" si="15"/>
        <v>4.8</v>
      </c>
      <c r="L18" s="103">
        <f t="shared" si="11"/>
        <v>57.0142990654205</v>
      </c>
      <c r="M18" s="44">
        <f t="shared" si="4"/>
        <v>61.0053</v>
      </c>
      <c r="N18" s="110">
        <f t="shared" si="5"/>
        <v>8.90269378779549</v>
      </c>
      <c r="O18" s="44">
        <f t="shared" si="13"/>
        <v>69.9079937877955</v>
      </c>
      <c r="P18" s="112">
        <f>$P$3/0.092</f>
        <v>500</v>
      </c>
      <c r="Q18" s="149"/>
      <c r="R18" s="150">
        <f t="shared" si="6"/>
        <v>0</v>
      </c>
      <c r="S18" s="151">
        <f t="shared" si="7"/>
        <v>0</v>
      </c>
      <c r="T18" s="151">
        <f t="shared" si="8"/>
        <v>0</v>
      </c>
      <c r="U18" s="151">
        <f t="shared" si="9"/>
        <v>0</v>
      </c>
      <c r="V18" s="152"/>
      <c r="W18" s="152"/>
      <c r="X18" s="152"/>
    </row>
    <row r="19" s="5" customFormat="1" ht="50" customHeight="1" spans="1:24">
      <c r="A19" s="50"/>
      <c r="B19" s="47" t="s">
        <v>108</v>
      </c>
      <c r="C19" s="47" t="s">
        <v>165</v>
      </c>
      <c r="D19" s="47" t="s">
        <v>157</v>
      </c>
      <c r="E19" s="43" t="s">
        <v>138</v>
      </c>
      <c r="F19" s="53">
        <v>81.22</v>
      </c>
      <c r="G19" s="44">
        <f t="shared" si="0"/>
        <v>75.9065420560748</v>
      </c>
      <c r="H19" s="44">
        <f t="shared" si="1"/>
        <v>78.5632710280374</v>
      </c>
      <c r="I19" s="44">
        <f t="shared" si="2"/>
        <v>4.05326086956522</v>
      </c>
      <c r="J19" s="44">
        <f t="shared" si="3"/>
        <v>1.84239130434783</v>
      </c>
      <c r="K19" s="44">
        <f t="shared" ref="K19:K20" si="16">SUM(I19:J19)</f>
        <v>5.89565217391304</v>
      </c>
      <c r="L19" s="103">
        <f t="shared" si="11"/>
        <v>84.4589232019504</v>
      </c>
      <c r="M19" s="44">
        <f t="shared" si="4"/>
        <v>90.371047826087</v>
      </c>
      <c r="N19" s="110">
        <f t="shared" si="5"/>
        <v>13.3952721275426</v>
      </c>
      <c r="O19" s="44">
        <f t="shared" si="13"/>
        <v>103.76631995363</v>
      </c>
      <c r="P19" s="111">
        <f>$P$3/0.113</f>
        <v>407.079646017699</v>
      </c>
      <c r="Q19" s="153"/>
      <c r="R19" s="150">
        <f t="shared" si="6"/>
        <v>0</v>
      </c>
      <c r="S19" s="151">
        <f t="shared" si="7"/>
        <v>0</v>
      </c>
      <c r="T19" s="151">
        <f t="shared" si="8"/>
        <v>0</v>
      </c>
      <c r="U19" s="151">
        <f t="shared" si="9"/>
        <v>0</v>
      </c>
      <c r="V19" s="152"/>
      <c r="W19" s="152"/>
      <c r="X19" s="152"/>
    </row>
    <row r="20" s="5" customFormat="1" ht="50" customHeight="1" spans="1:24">
      <c r="A20" s="54"/>
      <c r="B20" s="47" t="s">
        <v>108</v>
      </c>
      <c r="C20" s="47" t="s">
        <v>166</v>
      </c>
      <c r="D20" s="47" t="s">
        <v>162</v>
      </c>
      <c r="E20" s="43" t="s">
        <v>138</v>
      </c>
      <c r="F20" s="53">
        <v>81.22</v>
      </c>
      <c r="G20" s="44">
        <f t="shared" si="0"/>
        <v>75.9065420560748</v>
      </c>
      <c r="H20" s="44">
        <f t="shared" si="1"/>
        <v>78.5632710280374</v>
      </c>
      <c r="I20" s="44">
        <f t="shared" si="2"/>
        <v>3.3</v>
      </c>
      <c r="J20" s="44">
        <f t="shared" si="3"/>
        <v>1.5</v>
      </c>
      <c r="K20" s="44">
        <f t="shared" si="16"/>
        <v>4.8</v>
      </c>
      <c r="L20" s="103">
        <f t="shared" si="11"/>
        <v>83.3632710280374</v>
      </c>
      <c r="M20" s="44">
        <f t="shared" si="4"/>
        <v>89.1987</v>
      </c>
      <c r="N20" s="110">
        <f t="shared" si="5"/>
        <v>13.3952721275426</v>
      </c>
      <c r="O20" s="44">
        <f t="shared" si="13"/>
        <v>102.593972127543</v>
      </c>
      <c r="P20" s="112">
        <f>$P$3/0.092</f>
        <v>500</v>
      </c>
      <c r="Q20" s="153"/>
      <c r="R20" s="150">
        <f t="shared" si="6"/>
        <v>0</v>
      </c>
      <c r="S20" s="151">
        <f t="shared" si="7"/>
        <v>0</v>
      </c>
      <c r="T20" s="151">
        <f t="shared" si="8"/>
        <v>0</v>
      </c>
      <c r="U20" s="151">
        <f t="shared" si="9"/>
        <v>0</v>
      </c>
      <c r="V20" s="152"/>
      <c r="W20" s="152"/>
      <c r="X20" s="152"/>
    </row>
    <row r="21" s="3" customFormat="1" ht="50" customHeight="1" spans="1:109">
      <c r="A21" s="51"/>
      <c r="B21" s="32" t="s">
        <v>167</v>
      </c>
      <c r="C21" s="32" t="s">
        <v>168</v>
      </c>
      <c r="D21" s="32" t="s">
        <v>169</v>
      </c>
      <c r="E21" s="43" t="s">
        <v>138</v>
      </c>
      <c r="F21" s="52">
        <v>37.84</v>
      </c>
      <c r="G21" s="44">
        <f t="shared" si="0"/>
        <v>35.3644859813084</v>
      </c>
      <c r="H21" s="34">
        <f t="shared" si="1"/>
        <v>36.6022429906542</v>
      </c>
      <c r="I21" s="44">
        <f t="shared" si="2"/>
        <v>2.58260869565217</v>
      </c>
      <c r="J21" s="44">
        <f t="shared" si="3"/>
        <v>1.17391304347826</v>
      </c>
      <c r="K21" s="44">
        <f t="shared" si="15"/>
        <v>3.75652173913043</v>
      </c>
      <c r="L21" s="103">
        <f t="shared" si="11"/>
        <v>40.3587647297846</v>
      </c>
      <c r="M21" s="44">
        <f t="shared" si="4"/>
        <v>43.1838782608696</v>
      </c>
      <c r="N21" s="110">
        <f t="shared" si="5"/>
        <v>6.24079164376031</v>
      </c>
      <c r="O21" s="44">
        <f t="shared" si="13"/>
        <v>49.4246699046299</v>
      </c>
      <c r="P21" s="112">
        <f>$P$3/0.072</f>
        <v>638.888888888889</v>
      </c>
      <c r="Q21" s="140">
        <v>26</v>
      </c>
      <c r="R21" s="145">
        <f t="shared" si="6"/>
        <v>1285.04141752038</v>
      </c>
      <c r="S21" s="142">
        <f t="shared" si="7"/>
        <v>73.4529518082082</v>
      </c>
      <c r="T21" s="142">
        <f t="shared" si="8"/>
        <v>97.6695652173913</v>
      </c>
      <c r="U21" s="142">
        <f t="shared" si="9"/>
        <v>162.260582737768</v>
      </c>
      <c r="V21" s="143"/>
      <c r="W21" s="143"/>
      <c r="X21" s="143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</row>
    <row r="22" s="6" customFormat="1" ht="50" customHeight="1" spans="1:109">
      <c r="A22" s="51"/>
      <c r="B22" s="32" t="s">
        <v>170</v>
      </c>
      <c r="C22" s="32" t="s">
        <v>171</v>
      </c>
      <c r="D22" s="32" t="s">
        <v>172</v>
      </c>
      <c r="E22" s="43" t="s">
        <v>138</v>
      </c>
      <c r="F22" s="52">
        <v>28.76</v>
      </c>
      <c r="G22" s="44">
        <f t="shared" si="0"/>
        <v>26.8785046728972</v>
      </c>
      <c r="H22" s="34">
        <f t="shared" si="1"/>
        <v>27.8192523364486</v>
      </c>
      <c r="I22" s="44">
        <f t="shared" si="2"/>
        <v>2.0804347826087</v>
      </c>
      <c r="J22" s="44">
        <f t="shared" si="3"/>
        <v>0.945652173913044</v>
      </c>
      <c r="K22" s="44">
        <f t="shared" si="15"/>
        <v>3.02608695652174</v>
      </c>
      <c r="L22" s="103">
        <f t="shared" si="11"/>
        <v>30.8453392929703</v>
      </c>
      <c r="M22" s="44">
        <f t="shared" si="4"/>
        <v>33.0045130434783</v>
      </c>
      <c r="N22" s="110">
        <f t="shared" si="5"/>
        <v>4.74326553051127</v>
      </c>
      <c r="O22" s="44">
        <f t="shared" si="13"/>
        <v>37.7477785739895</v>
      </c>
      <c r="P22" s="112">
        <f>$P$3/0.058</f>
        <v>793.103448275862</v>
      </c>
      <c r="Q22" s="140">
        <v>26</v>
      </c>
      <c r="R22" s="145">
        <f t="shared" si="6"/>
        <v>981.442242923728</v>
      </c>
      <c r="S22" s="142">
        <f t="shared" si="7"/>
        <v>56.1385175132061</v>
      </c>
      <c r="T22" s="142">
        <f t="shared" si="8"/>
        <v>78.6782608695652</v>
      </c>
      <c r="U22" s="142">
        <f t="shared" si="9"/>
        <v>123.324903793293</v>
      </c>
      <c r="V22" s="148"/>
      <c r="W22" s="148"/>
      <c r="X22" s="148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</row>
    <row r="23" ht="50" customHeight="1" spans="1:25">
      <c r="A23" s="55"/>
      <c r="B23" s="56" t="s">
        <v>173</v>
      </c>
      <c r="C23" s="57" t="s">
        <v>174</v>
      </c>
      <c r="D23" s="47"/>
      <c r="E23" s="43" t="s">
        <v>138</v>
      </c>
      <c r="F23" s="49">
        <v>124</v>
      </c>
      <c r="G23" s="44">
        <f t="shared" si="0"/>
        <v>115.88785046729</v>
      </c>
      <c r="H23" s="44">
        <f t="shared" si="1"/>
        <v>119.943925233645</v>
      </c>
      <c r="I23" s="44">
        <f t="shared" si="2"/>
        <v>4.71428571428571</v>
      </c>
      <c r="J23" s="44">
        <f t="shared" si="3"/>
        <v>2.14285714285714</v>
      </c>
      <c r="K23" s="44">
        <f t="shared" ref="K23:K27" si="17">SUM(I23:J23)</f>
        <v>6.85714285714286</v>
      </c>
      <c r="L23" s="103">
        <f t="shared" si="11"/>
        <v>126.801068090788</v>
      </c>
      <c r="M23" s="44">
        <f t="shared" si="4"/>
        <v>135.677142857143</v>
      </c>
      <c r="N23" s="110">
        <f t="shared" si="5"/>
        <v>20.4507971412864</v>
      </c>
      <c r="O23" s="44">
        <f t="shared" ref="O23:O27" si="18">SUM(M23:N23)</f>
        <v>156.127939998429</v>
      </c>
      <c r="P23" s="113">
        <v>350</v>
      </c>
      <c r="Q23" s="149"/>
      <c r="R23" s="150">
        <f t="shared" si="6"/>
        <v>0</v>
      </c>
      <c r="S23" s="154">
        <f t="shared" si="7"/>
        <v>0</v>
      </c>
      <c r="T23" s="154">
        <f t="shared" si="8"/>
        <v>0</v>
      </c>
      <c r="U23" s="154">
        <f t="shared" si="9"/>
        <v>0</v>
      </c>
      <c r="V23" s="155"/>
      <c r="W23" s="155"/>
      <c r="X23" s="155"/>
      <c r="Y23"/>
    </row>
    <row r="24" s="4" customFormat="1" ht="50" customHeight="1" spans="1:24">
      <c r="A24" s="58"/>
      <c r="B24" s="59" t="s">
        <v>175</v>
      </c>
      <c r="C24" s="60" t="s">
        <v>176</v>
      </c>
      <c r="D24" s="61" t="s">
        <v>177</v>
      </c>
      <c r="E24" s="43" t="s">
        <v>138</v>
      </c>
      <c r="F24" s="52">
        <v>72.72</v>
      </c>
      <c r="G24" s="44">
        <f t="shared" si="0"/>
        <v>67.9626168224299</v>
      </c>
      <c r="H24" s="34">
        <f t="shared" si="1"/>
        <v>70.341308411215</v>
      </c>
      <c r="I24" s="44">
        <f t="shared" si="2"/>
        <v>3.94565217391304</v>
      </c>
      <c r="J24" s="44">
        <f t="shared" si="3"/>
        <v>1.79347826086957</v>
      </c>
      <c r="K24" s="44">
        <f t="shared" si="17"/>
        <v>5.73913043478261</v>
      </c>
      <c r="L24" s="103">
        <f t="shared" si="11"/>
        <v>76.0804388459976</v>
      </c>
      <c r="M24" s="44">
        <f t="shared" si="4"/>
        <v>81.4060695652174</v>
      </c>
      <c r="N24" s="110">
        <f t="shared" si="5"/>
        <v>11.9934029686641</v>
      </c>
      <c r="O24" s="44">
        <f t="shared" si="18"/>
        <v>93.3994725338815</v>
      </c>
      <c r="P24" s="112">
        <f>$P$3/0.11</f>
        <v>418.181818181818</v>
      </c>
      <c r="Q24" s="140">
        <v>26</v>
      </c>
      <c r="R24" s="145">
        <f t="shared" si="6"/>
        <v>2428.38628588092</v>
      </c>
      <c r="S24" s="154">
        <f t="shared" si="7"/>
        <v>138.466398699716</v>
      </c>
      <c r="T24" s="154">
        <f t="shared" si="8"/>
        <v>149.217391304348</v>
      </c>
      <c r="U24" s="154">
        <f t="shared" si="9"/>
        <v>311.828477185267</v>
      </c>
      <c r="V24" s="156"/>
      <c r="W24" s="156"/>
      <c r="X24" s="156"/>
    </row>
    <row r="25" ht="50" customHeight="1" spans="1:25">
      <c r="A25" s="55"/>
      <c r="B25" s="56" t="s">
        <v>173</v>
      </c>
      <c r="C25" s="57" t="s">
        <v>178</v>
      </c>
      <c r="D25" s="62" t="s">
        <v>177</v>
      </c>
      <c r="E25" s="43" t="s">
        <v>138</v>
      </c>
      <c r="F25" s="49">
        <v>66</v>
      </c>
      <c r="G25" s="44">
        <f t="shared" si="0"/>
        <v>61.6822429906542</v>
      </c>
      <c r="H25" s="44">
        <f t="shared" si="1"/>
        <v>63.8411214953271</v>
      </c>
      <c r="I25" s="44">
        <f t="shared" si="2"/>
        <v>3.94565217391304</v>
      </c>
      <c r="J25" s="44">
        <f t="shared" si="3"/>
        <v>1.79347826086957</v>
      </c>
      <c r="K25" s="44">
        <f t="shared" si="17"/>
        <v>5.73913043478261</v>
      </c>
      <c r="L25" s="103">
        <f t="shared" si="11"/>
        <v>69.5802519301097</v>
      </c>
      <c r="M25" s="44">
        <f t="shared" si="4"/>
        <v>74.4508695652174</v>
      </c>
      <c r="N25" s="110">
        <f t="shared" si="5"/>
        <v>10.8851017042331</v>
      </c>
      <c r="O25" s="44">
        <f t="shared" si="18"/>
        <v>85.3359712694505</v>
      </c>
      <c r="P25" s="112">
        <f>$P$3/0.11</f>
        <v>418.181818181818</v>
      </c>
      <c r="Q25" s="149"/>
      <c r="R25" s="150">
        <f t="shared" si="6"/>
        <v>0</v>
      </c>
      <c r="S25" s="154">
        <f t="shared" si="7"/>
        <v>0</v>
      </c>
      <c r="T25" s="154">
        <f t="shared" si="8"/>
        <v>0</v>
      </c>
      <c r="U25" s="154">
        <f t="shared" si="9"/>
        <v>0</v>
      </c>
      <c r="V25" s="155"/>
      <c r="W25" s="155"/>
      <c r="X25" s="155"/>
      <c r="Y25"/>
    </row>
    <row r="26" ht="50" customHeight="1" spans="1:25">
      <c r="A26" s="55"/>
      <c r="B26" s="56" t="s">
        <v>173</v>
      </c>
      <c r="C26" s="57" t="s">
        <v>179</v>
      </c>
      <c r="D26" s="62" t="s">
        <v>177</v>
      </c>
      <c r="E26" s="43" t="s">
        <v>138</v>
      </c>
      <c r="F26" s="49">
        <v>69</v>
      </c>
      <c r="G26" s="44">
        <f t="shared" si="0"/>
        <v>64.4859813084112</v>
      </c>
      <c r="H26" s="44">
        <f t="shared" si="1"/>
        <v>66.7429906542056</v>
      </c>
      <c r="I26" s="44">
        <f t="shared" si="2"/>
        <v>3.94565217391304</v>
      </c>
      <c r="J26" s="44">
        <f t="shared" si="3"/>
        <v>1.79347826086957</v>
      </c>
      <c r="K26" s="44">
        <f t="shared" si="17"/>
        <v>5.73913043478261</v>
      </c>
      <c r="L26" s="103">
        <f t="shared" si="11"/>
        <v>72.4821210889882</v>
      </c>
      <c r="M26" s="44">
        <f t="shared" si="4"/>
        <v>77.5558695652174</v>
      </c>
      <c r="N26" s="110">
        <f t="shared" si="5"/>
        <v>11.3798790544255</v>
      </c>
      <c r="O26" s="44">
        <f t="shared" si="18"/>
        <v>88.9357486196429</v>
      </c>
      <c r="P26" s="112">
        <f>$P$3/0.11</f>
        <v>418.181818181818</v>
      </c>
      <c r="Q26" s="149"/>
      <c r="R26" s="150">
        <f t="shared" si="6"/>
        <v>0</v>
      </c>
      <c r="S26" s="154"/>
      <c r="T26" s="154"/>
      <c r="U26" s="154"/>
      <c r="V26" s="155"/>
      <c r="W26" s="155"/>
      <c r="X26" s="155"/>
      <c r="Y26"/>
    </row>
    <row r="27" ht="50" customHeight="1" spans="1:25">
      <c r="A27" s="55"/>
      <c r="B27" s="56" t="s">
        <v>173</v>
      </c>
      <c r="C27" s="57" t="s">
        <v>180</v>
      </c>
      <c r="D27" s="62" t="s">
        <v>177</v>
      </c>
      <c r="E27" s="43" t="s">
        <v>138</v>
      </c>
      <c r="F27" s="49">
        <v>69</v>
      </c>
      <c r="G27" s="44">
        <f t="shared" si="0"/>
        <v>64.4859813084112</v>
      </c>
      <c r="H27" s="44">
        <f t="shared" si="1"/>
        <v>66.7429906542056</v>
      </c>
      <c r="I27" s="44">
        <f t="shared" si="2"/>
        <v>3.94736842105263</v>
      </c>
      <c r="J27" s="44">
        <f t="shared" si="3"/>
        <v>1.79425837320574</v>
      </c>
      <c r="K27" s="44">
        <f t="shared" si="17"/>
        <v>5.74162679425837</v>
      </c>
      <c r="L27" s="103">
        <f t="shared" si="11"/>
        <v>72.484617448464</v>
      </c>
      <c r="M27" s="44">
        <f t="shared" si="4"/>
        <v>77.5585406698564</v>
      </c>
      <c r="N27" s="110">
        <f t="shared" si="5"/>
        <v>11.3798790544255</v>
      </c>
      <c r="O27" s="44">
        <f t="shared" si="18"/>
        <v>88.938419724282</v>
      </c>
      <c r="P27" s="113">
        <v>418</v>
      </c>
      <c r="Q27" s="149"/>
      <c r="R27" s="150">
        <f t="shared" si="6"/>
        <v>0</v>
      </c>
      <c r="S27" s="154"/>
      <c r="T27" s="154"/>
      <c r="U27" s="154"/>
      <c r="V27" s="155"/>
      <c r="W27" s="155"/>
      <c r="X27" s="155"/>
      <c r="Y27"/>
    </row>
    <row r="28" ht="50" customHeight="1" spans="1:25">
      <c r="A28" s="58"/>
      <c r="B28" s="59" t="s">
        <v>181</v>
      </c>
      <c r="C28" s="60" t="s">
        <v>182</v>
      </c>
      <c r="D28" s="61" t="s">
        <v>162</v>
      </c>
      <c r="E28" s="43" t="s">
        <v>138</v>
      </c>
      <c r="F28" s="52">
        <v>41</v>
      </c>
      <c r="G28" s="44">
        <f t="shared" si="0"/>
        <v>38.3177570093458</v>
      </c>
      <c r="H28" s="34">
        <f t="shared" si="1"/>
        <v>39.6588785046729</v>
      </c>
      <c r="I28" s="44">
        <f t="shared" si="2"/>
        <v>3.3</v>
      </c>
      <c r="J28" s="44">
        <f t="shared" si="3"/>
        <v>1.5</v>
      </c>
      <c r="K28" s="44">
        <f t="shared" ref="K28:K33" si="19">SUM(I28:J28)</f>
        <v>4.8</v>
      </c>
      <c r="L28" s="103">
        <f t="shared" si="11"/>
        <v>44.4588785046729</v>
      </c>
      <c r="M28" s="44">
        <f t="shared" si="4"/>
        <v>47.571</v>
      </c>
      <c r="N28" s="110">
        <f t="shared" si="5"/>
        <v>6.76195711929632</v>
      </c>
      <c r="O28" s="44">
        <f t="shared" ref="O28:O43" si="20">SUM(M28:N28)</f>
        <v>54.3329571192963</v>
      </c>
      <c r="P28" s="112">
        <v>500</v>
      </c>
      <c r="Q28" s="140">
        <v>26</v>
      </c>
      <c r="R28" s="145">
        <f t="shared" si="6"/>
        <v>1412.6568851017</v>
      </c>
      <c r="S28" s="154">
        <f>(M28-L28)*Q28</f>
        <v>80.9151588785047</v>
      </c>
      <c r="T28" s="154">
        <f>K28*Q28</f>
        <v>124.8</v>
      </c>
      <c r="U28" s="154">
        <f>N28*Q28</f>
        <v>175.810885101704</v>
      </c>
      <c r="V28" s="155"/>
      <c r="W28" s="155"/>
      <c r="X28" s="155"/>
      <c r="Y28"/>
    </row>
    <row r="29" ht="50" customHeight="1" spans="1:25">
      <c r="A29" s="55"/>
      <c r="B29" s="56" t="s">
        <v>173</v>
      </c>
      <c r="C29" s="57" t="s">
        <v>183</v>
      </c>
      <c r="D29" s="62" t="s">
        <v>162</v>
      </c>
      <c r="E29" s="43" t="s">
        <v>138</v>
      </c>
      <c r="F29" s="49">
        <v>43</v>
      </c>
      <c r="G29" s="44">
        <f t="shared" si="0"/>
        <v>40.1869158878505</v>
      </c>
      <c r="H29" s="44">
        <f t="shared" si="1"/>
        <v>41.5934579439252</v>
      </c>
      <c r="I29" s="44">
        <f t="shared" si="2"/>
        <v>3.3</v>
      </c>
      <c r="J29" s="44">
        <f t="shared" si="3"/>
        <v>1.5</v>
      </c>
      <c r="K29" s="44">
        <f t="shared" ref="K29:K30" si="21">SUM(I29:J29)</f>
        <v>4.8</v>
      </c>
      <c r="L29" s="103">
        <f t="shared" si="11"/>
        <v>46.3934579439252</v>
      </c>
      <c r="M29" s="44">
        <f t="shared" si="4"/>
        <v>49.641</v>
      </c>
      <c r="N29" s="110">
        <f t="shared" si="5"/>
        <v>7.09180868609126</v>
      </c>
      <c r="O29" s="44">
        <f t="shared" si="20"/>
        <v>56.7328086860913</v>
      </c>
      <c r="P29" s="112">
        <v>500</v>
      </c>
      <c r="Q29" s="149"/>
      <c r="R29" s="150">
        <f t="shared" si="6"/>
        <v>0</v>
      </c>
      <c r="S29" s="154"/>
      <c r="T29" s="154"/>
      <c r="U29" s="154"/>
      <c r="V29" s="155"/>
      <c r="W29" s="155"/>
      <c r="X29" s="155"/>
      <c r="Y29"/>
    </row>
    <row r="30" ht="50" customHeight="1" spans="1:25">
      <c r="A30" s="55"/>
      <c r="B30" s="56" t="s">
        <v>173</v>
      </c>
      <c r="C30" s="57" t="s">
        <v>184</v>
      </c>
      <c r="D30" s="62" t="s">
        <v>162</v>
      </c>
      <c r="E30" s="43" t="s">
        <v>138</v>
      </c>
      <c r="F30" s="49">
        <v>43</v>
      </c>
      <c r="G30" s="44">
        <f t="shared" si="0"/>
        <v>40.1869158878505</v>
      </c>
      <c r="H30" s="44">
        <f t="shared" si="1"/>
        <v>41.5934579439252</v>
      </c>
      <c r="I30" s="44">
        <f t="shared" si="2"/>
        <v>3.3</v>
      </c>
      <c r="J30" s="44">
        <f t="shared" si="3"/>
        <v>1.5</v>
      </c>
      <c r="K30" s="44">
        <f t="shared" si="21"/>
        <v>4.8</v>
      </c>
      <c r="L30" s="103">
        <f t="shared" si="11"/>
        <v>46.3934579439252</v>
      </c>
      <c r="M30" s="44">
        <f t="shared" si="4"/>
        <v>49.641</v>
      </c>
      <c r="N30" s="110">
        <f t="shared" si="5"/>
        <v>7.09180868609126</v>
      </c>
      <c r="O30" s="44">
        <f t="shared" si="20"/>
        <v>56.7328086860913</v>
      </c>
      <c r="P30" s="112">
        <v>500</v>
      </c>
      <c r="Q30" s="149"/>
      <c r="R30" s="150">
        <f t="shared" si="6"/>
        <v>0</v>
      </c>
      <c r="S30" s="154"/>
      <c r="T30" s="154"/>
      <c r="U30" s="154"/>
      <c r="V30" s="155"/>
      <c r="W30" s="155"/>
      <c r="X30" s="155"/>
      <c r="Y30"/>
    </row>
    <row r="31" s="4" customFormat="1" ht="50" customHeight="1" spans="1:24">
      <c r="A31" s="55"/>
      <c r="B31" s="56" t="s">
        <v>185</v>
      </c>
      <c r="C31" s="47" t="s">
        <v>186</v>
      </c>
      <c r="D31" s="62" t="s">
        <v>169</v>
      </c>
      <c r="E31" s="43" t="s">
        <v>138</v>
      </c>
      <c r="F31" s="49">
        <v>31</v>
      </c>
      <c r="G31" s="44">
        <f t="shared" si="0"/>
        <v>28.9719626168224</v>
      </c>
      <c r="H31" s="44">
        <f t="shared" si="1"/>
        <v>29.9859813084112</v>
      </c>
      <c r="I31" s="44">
        <f t="shared" si="2"/>
        <v>2.72608695652174</v>
      </c>
      <c r="J31" s="44">
        <f t="shared" si="3"/>
        <v>1.23913043478261</v>
      </c>
      <c r="K31" s="44">
        <f t="shared" si="19"/>
        <v>3.96521739130435</v>
      </c>
      <c r="L31" s="103">
        <f t="shared" si="11"/>
        <v>33.9511986997156</v>
      </c>
      <c r="M31" s="44">
        <f t="shared" si="4"/>
        <v>36.3277826086956</v>
      </c>
      <c r="N31" s="110">
        <f t="shared" si="5"/>
        <v>5.11269928532161</v>
      </c>
      <c r="O31" s="44">
        <f t="shared" si="20"/>
        <v>41.4404818940173</v>
      </c>
      <c r="P31" s="112">
        <f>$P$3/0.076</f>
        <v>605.263157894737</v>
      </c>
      <c r="Q31" s="149"/>
      <c r="R31" s="150">
        <f t="shared" si="6"/>
        <v>0</v>
      </c>
      <c r="S31" s="154">
        <f>(M31-L31)*Q31</f>
        <v>0</v>
      </c>
      <c r="T31" s="154">
        <f>K31*Q31</f>
        <v>0</v>
      </c>
      <c r="U31" s="154">
        <f>N31*Q31</f>
        <v>0</v>
      </c>
      <c r="V31" s="156"/>
      <c r="W31" s="156"/>
      <c r="X31" s="156"/>
    </row>
    <row r="32" ht="50" customHeight="1" spans="1:25">
      <c r="A32" s="55"/>
      <c r="B32" s="56" t="s">
        <v>173</v>
      </c>
      <c r="C32" s="47" t="s">
        <v>187</v>
      </c>
      <c r="D32" s="47"/>
      <c r="E32" s="43" t="s">
        <v>138</v>
      </c>
      <c r="F32" s="49">
        <v>25</v>
      </c>
      <c r="G32" s="44">
        <f t="shared" si="0"/>
        <v>23.3644859813084</v>
      </c>
      <c r="H32" s="44">
        <f t="shared" si="1"/>
        <v>24.1822429906542</v>
      </c>
      <c r="I32" s="44">
        <f t="shared" si="2"/>
        <v>1.65</v>
      </c>
      <c r="J32" s="44">
        <f t="shared" si="3"/>
        <v>0.75</v>
      </c>
      <c r="K32" s="44">
        <f t="shared" si="19"/>
        <v>2.4</v>
      </c>
      <c r="L32" s="103">
        <f t="shared" si="11"/>
        <v>26.5822429906542</v>
      </c>
      <c r="M32" s="44">
        <f t="shared" si="4"/>
        <v>28.443</v>
      </c>
      <c r="N32" s="110">
        <f t="shared" si="5"/>
        <v>4.12314458493678</v>
      </c>
      <c r="O32" s="44">
        <f t="shared" si="20"/>
        <v>32.5661445849368</v>
      </c>
      <c r="P32" s="113">
        <v>1000</v>
      </c>
      <c r="Q32" s="149"/>
      <c r="R32" s="150">
        <f t="shared" si="6"/>
        <v>0</v>
      </c>
      <c r="S32" s="154">
        <f>(M32-L32)*Q32</f>
        <v>0</v>
      </c>
      <c r="T32" s="154">
        <f>K32*Q32</f>
        <v>0</v>
      </c>
      <c r="U32" s="154">
        <f>N32*Q32</f>
        <v>0</v>
      </c>
      <c r="V32" s="155"/>
      <c r="W32" s="155"/>
      <c r="X32" s="155"/>
      <c r="Y32"/>
    </row>
    <row r="33" ht="50" customHeight="1" spans="1:25">
      <c r="A33" s="55"/>
      <c r="B33" s="56" t="s">
        <v>188</v>
      </c>
      <c r="C33" s="47" t="s">
        <v>189</v>
      </c>
      <c r="D33" s="47" t="s">
        <v>190</v>
      </c>
      <c r="E33" s="43" t="s">
        <v>138</v>
      </c>
      <c r="F33" s="49">
        <v>16.32</v>
      </c>
      <c r="G33" s="44">
        <f t="shared" si="0"/>
        <v>15.2523364485981</v>
      </c>
      <c r="H33" s="44">
        <f t="shared" si="1"/>
        <v>15.7861682242991</v>
      </c>
      <c r="I33" s="44">
        <f t="shared" si="2"/>
        <v>0.34375</v>
      </c>
      <c r="J33" s="44">
        <f t="shared" si="3"/>
        <v>0.15625</v>
      </c>
      <c r="K33" s="44">
        <f t="shared" si="19"/>
        <v>0.5</v>
      </c>
      <c r="L33" s="103">
        <f t="shared" si="11"/>
        <v>16.2861682242991</v>
      </c>
      <c r="M33" s="44">
        <f t="shared" si="4"/>
        <v>17.4262</v>
      </c>
      <c r="N33" s="110">
        <f t="shared" si="5"/>
        <v>2.69158878504673</v>
      </c>
      <c r="O33" s="44">
        <f t="shared" si="20"/>
        <v>20.1177887850467</v>
      </c>
      <c r="P33" s="114">
        <v>4800</v>
      </c>
      <c r="Q33" s="149"/>
      <c r="R33" s="150">
        <f t="shared" si="6"/>
        <v>0</v>
      </c>
      <c r="S33" s="154"/>
      <c r="T33" s="154"/>
      <c r="U33" s="154"/>
      <c r="V33" s="155"/>
      <c r="W33" s="155"/>
      <c r="X33" s="155"/>
      <c r="Y33"/>
    </row>
    <row r="34" ht="50" customHeight="1" spans="1:25">
      <c r="A34" s="58"/>
      <c r="B34" s="59" t="s">
        <v>191</v>
      </c>
      <c r="C34" s="32" t="s">
        <v>189</v>
      </c>
      <c r="D34" s="32" t="s">
        <v>190</v>
      </c>
      <c r="E34" s="43" t="s">
        <v>138</v>
      </c>
      <c r="F34" s="52">
        <v>34.71</v>
      </c>
      <c r="G34" s="44">
        <f t="shared" ref="G34" si="22">(F34)/$F$80</f>
        <v>32.4392523364486</v>
      </c>
      <c r="H34" s="34">
        <f t="shared" ref="H34" si="23">G34*$F$81</f>
        <v>33.5746261682243</v>
      </c>
      <c r="I34" s="44">
        <f t="shared" ref="I34" si="24">$F$82/P34</f>
        <v>0.34375</v>
      </c>
      <c r="J34" s="44">
        <f t="shared" ref="J34" si="25">$F$83/P34</f>
        <v>0.15625</v>
      </c>
      <c r="K34" s="44">
        <f t="shared" ref="K34" si="26">SUM(I34:J34)</f>
        <v>0.5</v>
      </c>
      <c r="L34" s="103">
        <f t="shared" ref="L34" si="27">SUM(H34,I34,J34)</f>
        <v>34.0746261682243</v>
      </c>
      <c r="M34" s="44">
        <f t="shared" ref="M34" si="28">L34*$F$85</f>
        <v>36.45985</v>
      </c>
      <c r="N34" s="110">
        <f t="shared" ref="N34" si="29">G34/(1-$F$86)-G34</f>
        <v>5.72457394172623</v>
      </c>
      <c r="O34" s="108">
        <f t="shared" ref="O34" si="30">SUM(M34:N34)</f>
        <v>42.1844239417262</v>
      </c>
      <c r="P34" s="114">
        <v>4800</v>
      </c>
      <c r="Q34" s="140">
        <v>28</v>
      </c>
      <c r="R34" s="145">
        <f t="shared" ref="R34" si="31">O34*Q34</f>
        <v>1181.16387036833</v>
      </c>
      <c r="S34" s="154"/>
      <c r="T34" s="154"/>
      <c r="U34" s="154"/>
      <c r="V34" s="155"/>
      <c r="W34" s="155"/>
      <c r="X34" s="155"/>
      <c r="Y34"/>
    </row>
    <row r="35" ht="50" customHeight="1" spans="1:25">
      <c r="A35" s="63"/>
      <c r="B35" s="59" t="s">
        <v>192</v>
      </c>
      <c r="C35" s="32" t="s">
        <v>189</v>
      </c>
      <c r="D35" s="32" t="s">
        <v>190</v>
      </c>
      <c r="E35" s="43" t="s">
        <v>138</v>
      </c>
      <c r="F35" s="52">
        <v>34.71</v>
      </c>
      <c r="G35" s="44">
        <f t="shared" ref="G35" si="32">(F35)/$F$80</f>
        <v>32.4392523364486</v>
      </c>
      <c r="H35" s="34">
        <f t="shared" ref="H35" si="33">G35*$F$81</f>
        <v>33.5746261682243</v>
      </c>
      <c r="I35" s="44">
        <f t="shared" ref="I35" si="34">$F$82/P35</f>
        <v>0.34375</v>
      </c>
      <c r="J35" s="44">
        <f t="shared" ref="J35" si="35">$F$83/P35</f>
        <v>0.15625</v>
      </c>
      <c r="K35" s="44">
        <f t="shared" ref="K35" si="36">SUM(I35:J35)</f>
        <v>0.5</v>
      </c>
      <c r="L35" s="103">
        <f t="shared" ref="L35" si="37">SUM(H35,I35,J35)</f>
        <v>34.0746261682243</v>
      </c>
      <c r="M35" s="44">
        <f t="shared" ref="M35" si="38">L35*$F$85</f>
        <v>36.45985</v>
      </c>
      <c r="N35" s="110">
        <f t="shared" ref="N35" si="39">G35/(1-$F$86)-G35</f>
        <v>5.72457394172623</v>
      </c>
      <c r="O35" s="108">
        <f t="shared" ref="O35" si="40">SUM(M35:N35)</f>
        <v>42.1844239417262</v>
      </c>
      <c r="P35" s="114">
        <v>4800</v>
      </c>
      <c r="Q35" s="140">
        <v>28</v>
      </c>
      <c r="R35" s="145">
        <f t="shared" ref="R35" si="41">O35*Q35</f>
        <v>1181.16387036833</v>
      </c>
      <c r="S35" s="154"/>
      <c r="T35" s="154"/>
      <c r="U35" s="154"/>
      <c r="V35" s="155"/>
      <c r="W35" s="155"/>
      <c r="X35" s="155"/>
      <c r="Y35"/>
    </row>
    <row r="36" s="1" customFormat="1" ht="50" customHeight="1" spans="1:109">
      <c r="A36" s="64"/>
      <c r="B36" s="56" t="s">
        <v>193</v>
      </c>
      <c r="C36" s="47" t="s">
        <v>194</v>
      </c>
      <c r="D36" s="65" t="s">
        <v>195</v>
      </c>
      <c r="E36" s="43" t="s">
        <v>138</v>
      </c>
      <c r="F36" s="66">
        <v>16.32</v>
      </c>
      <c r="G36" s="33">
        <f t="shared" si="0"/>
        <v>15.2523364485981</v>
      </c>
      <c r="H36" s="40">
        <f t="shared" si="1"/>
        <v>15.7861682242991</v>
      </c>
      <c r="I36" s="44">
        <f t="shared" si="2"/>
        <v>0.358695652173913</v>
      </c>
      <c r="J36" s="44">
        <f t="shared" si="3"/>
        <v>0.16304347826087</v>
      </c>
      <c r="K36" s="44">
        <f t="shared" ref="K36:K40" si="42">SUM(I36:J36)</f>
        <v>0.521739130434783</v>
      </c>
      <c r="L36" s="103">
        <f t="shared" si="11"/>
        <v>16.3079073547338</v>
      </c>
      <c r="M36" s="44">
        <f t="shared" si="4"/>
        <v>17.4494608695652</v>
      </c>
      <c r="N36" s="107">
        <f t="shared" si="5"/>
        <v>2.69158878504673</v>
      </c>
      <c r="O36" s="108">
        <f t="shared" si="20"/>
        <v>20.141049654612</v>
      </c>
      <c r="P36" s="106">
        <f>$P$3/0.01</f>
        <v>4600</v>
      </c>
      <c r="Q36" s="149"/>
      <c r="R36" s="147">
        <f t="shared" si="6"/>
        <v>0</v>
      </c>
      <c r="S36" s="142">
        <f t="shared" ref="S36:S44" si="43">(M36-L36)*Q36</f>
        <v>0</v>
      </c>
      <c r="T36" s="142">
        <f t="shared" ref="T36:T44" si="44">K36*Q36</f>
        <v>0</v>
      </c>
      <c r="U36" s="142">
        <f t="shared" ref="U36:U44" si="45">N36*Q36</f>
        <v>0</v>
      </c>
      <c r="V36" s="143"/>
      <c r="W36" s="143"/>
      <c r="X36" s="143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</row>
    <row r="37" s="2" customFormat="1" ht="50" customHeight="1" spans="1:109">
      <c r="A37" s="64"/>
      <c r="B37" s="67" t="s">
        <v>196</v>
      </c>
      <c r="C37" s="47" t="s">
        <v>194</v>
      </c>
      <c r="D37" s="62" t="s">
        <v>195</v>
      </c>
      <c r="E37" s="67" t="s">
        <v>197</v>
      </c>
      <c r="F37" s="49">
        <v>29</v>
      </c>
      <c r="G37" s="33">
        <f t="shared" si="0"/>
        <v>27.1028037383178</v>
      </c>
      <c r="H37" s="40">
        <f t="shared" si="1"/>
        <v>28.0514018691589</v>
      </c>
      <c r="I37" s="44">
        <f t="shared" si="2"/>
        <v>0.358695652173913</v>
      </c>
      <c r="J37" s="44">
        <f t="shared" si="3"/>
        <v>0.16304347826087</v>
      </c>
      <c r="K37" s="44">
        <f t="shared" si="42"/>
        <v>0.521739130434783</v>
      </c>
      <c r="L37" s="103">
        <f t="shared" si="11"/>
        <v>28.5731409995937</v>
      </c>
      <c r="M37" s="44">
        <f t="shared" si="4"/>
        <v>30.5732608695652</v>
      </c>
      <c r="N37" s="107">
        <f t="shared" si="5"/>
        <v>4.78284771852666</v>
      </c>
      <c r="O37" s="108">
        <f t="shared" si="20"/>
        <v>35.3561085880919</v>
      </c>
      <c r="P37" s="106">
        <f>$P$3/0.01</f>
        <v>4600</v>
      </c>
      <c r="Q37" s="149"/>
      <c r="R37" s="147">
        <f t="shared" si="6"/>
        <v>0</v>
      </c>
      <c r="S37" s="142">
        <f t="shared" si="43"/>
        <v>0</v>
      </c>
      <c r="T37" s="142">
        <f t="shared" si="44"/>
        <v>0</v>
      </c>
      <c r="U37" s="142">
        <f t="shared" si="45"/>
        <v>0</v>
      </c>
      <c r="V37" s="148"/>
      <c r="W37" s="148"/>
      <c r="X37" s="148"/>
      <c r="Y37" s="6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</row>
    <row r="38" s="2" customFormat="1" ht="50" customHeight="1" spans="1:109">
      <c r="A38" s="55"/>
      <c r="B38" s="67" t="s">
        <v>198</v>
      </c>
      <c r="C38" s="47" t="s">
        <v>194</v>
      </c>
      <c r="D38" s="62" t="s">
        <v>195</v>
      </c>
      <c r="E38" s="67" t="s">
        <v>197</v>
      </c>
      <c r="F38" s="49">
        <v>29</v>
      </c>
      <c r="G38" s="33">
        <f t="shared" si="0"/>
        <v>27.1028037383178</v>
      </c>
      <c r="H38" s="40">
        <f t="shared" si="1"/>
        <v>28.0514018691589</v>
      </c>
      <c r="I38" s="44">
        <f t="shared" si="2"/>
        <v>0.358695652173913</v>
      </c>
      <c r="J38" s="44">
        <f t="shared" si="3"/>
        <v>0.16304347826087</v>
      </c>
      <c r="K38" s="44">
        <f t="shared" si="42"/>
        <v>0.521739130434783</v>
      </c>
      <c r="L38" s="103">
        <f t="shared" si="11"/>
        <v>28.5731409995937</v>
      </c>
      <c r="M38" s="44">
        <f t="shared" si="4"/>
        <v>30.5732608695652</v>
      </c>
      <c r="N38" s="107">
        <f t="shared" si="5"/>
        <v>4.78284771852666</v>
      </c>
      <c r="O38" s="108">
        <f t="shared" si="20"/>
        <v>35.3561085880919</v>
      </c>
      <c r="P38" s="106">
        <v>4600</v>
      </c>
      <c r="Q38" s="149"/>
      <c r="R38" s="150">
        <f t="shared" si="6"/>
        <v>0</v>
      </c>
      <c r="S38" s="142">
        <f t="shared" si="43"/>
        <v>0</v>
      </c>
      <c r="T38" s="142">
        <f t="shared" si="44"/>
        <v>0</v>
      </c>
      <c r="U38" s="142">
        <f t="shared" si="45"/>
        <v>0</v>
      </c>
      <c r="V38" s="148"/>
      <c r="W38" s="148"/>
      <c r="X38" s="148"/>
      <c r="Y38" s="6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</row>
    <row r="39" s="1" customFormat="1" ht="50" customHeight="1" spans="1:109">
      <c r="A39" s="55"/>
      <c r="B39" s="67" t="s">
        <v>199</v>
      </c>
      <c r="C39" s="47" t="s">
        <v>194</v>
      </c>
      <c r="D39" s="62" t="s">
        <v>195</v>
      </c>
      <c r="E39" s="67" t="s">
        <v>200</v>
      </c>
      <c r="F39" s="49">
        <v>29</v>
      </c>
      <c r="G39" s="33">
        <f t="shared" si="0"/>
        <v>27.1028037383178</v>
      </c>
      <c r="H39" s="40">
        <f t="shared" si="1"/>
        <v>28.0514018691589</v>
      </c>
      <c r="I39" s="44">
        <f t="shared" si="2"/>
        <v>0.358695652173913</v>
      </c>
      <c r="J39" s="44">
        <f t="shared" si="3"/>
        <v>0.16304347826087</v>
      </c>
      <c r="K39" s="44">
        <f t="shared" si="42"/>
        <v>0.521739130434783</v>
      </c>
      <c r="L39" s="103">
        <f t="shared" si="11"/>
        <v>28.5731409995937</v>
      </c>
      <c r="M39" s="44">
        <f t="shared" si="4"/>
        <v>30.5732608695652</v>
      </c>
      <c r="N39" s="107">
        <f t="shared" si="5"/>
        <v>4.78284771852666</v>
      </c>
      <c r="O39" s="108">
        <f t="shared" si="20"/>
        <v>35.3561085880919</v>
      </c>
      <c r="P39" s="106">
        <f>$P$3/0.01</f>
        <v>4600</v>
      </c>
      <c r="Q39" s="149"/>
      <c r="R39" s="150">
        <f t="shared" si="6"/>
        <v>0</v>
      </c>
      <c r="S39" s="142">
        <f t="shared" si="43"/>
        <v>0</v>
      </c>
      <c r="T39" s="142">
        <f t="shared" si="44"/>
        <v>0</v>
      </c>
      <c r="U39" s="142">
        <f t="shared" si="45"/>
        <v>0</v>
      </c>
      <c r="V39" s="143"/>
      <c r="W39" s="143"/>
      <c r="X39" s="143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</row>
    <row r="40" s="4" customFormat="1" ht="50" customHeight="1" spans="1:24">
      <c r="A40" s="64"/>
      <c r="B40" s="56" t="s">
        <v>201</v>
      </c>
      <c r="C40" s="47" t="s">
        <v>202</v>
      </c>
      <c r="D40" s="65" t="s">
        <v>203</v>
      </c>
      <c r="E40" s="43" t="s">
        <v>138</v>
      </c>
      <c r="F40" s="49">
        <v>23.83</v>
      </c>
      <c r="G40" s="33">
        <f t="shared" si="0"/>
        <v>22.2710280373832</v>
      </c>
      <c r="H40" s="40">
        <f t="shared" si="1"/>
        <v>23.0505140186916</v>
      </c>
      <c r="I40" s="44">
        <f t="shared" si="2"/>
        <v>0.645652173913043</v>
      </c>
      <c r="J40" s="44">
        <f t="shared" si="3"/>
        <v>0.293478260869565</v>
      </c>
      <c r="K40" s="44">
        <f t="shared" si="42"/>
        <v>0.939130434782609</v>
      </c>
      <c r="L40" s="103">
        <f t="shared" si="11"/>
        <v>23.9896444534742</v>
      </c>
      <c r="M40" s="44">
        <f t="shared" si="4"/>
        <v>25.6689195652174</v>
      </c>
      <c r="N40" s="107">
        <f t="shared" si="5"/>
        <v>3.93018141836174</v>
      </c>
      <c r="O40" s="108">
        <f t="shared" si="20"/>
        <v>29.5991009835791</v>
      </c>
      <c r="P40" s="115">
        <f>$P$3/0.018</f>
        <v>2555.55555555556</v>
      </c>
      <c r="Q40" s="149"/>
      <c r="R40" s="147">
        <f t="shared" si="6"/>
        <v>0</v>
      </c>
      <c r="S40" s="142">
        <f t="shared" si="43"/>
        <v>0</v>
      </c>
      <c r="T40" s="142">
        <f t="shared" si="44"/>
        <v>0</v>
      </c>
      <c r="U40" s="142">
        <f t="shared" si="45"/>
        <v>0</v>
      </c>
      <c r="V40" s="143"/>
      <c r="W40" s="143"/>
      <c r="X40" s="143"/>
    </row>
    <row r="41" s="6" customFormat="1" ht="50" customHeight="1" spans="1:109">
      <c r="A41" s="64"/>
      <c r="B41" s="56" t="s">
        <v>204</v>
      </c>
      <c r="C41" s="47" t="s">
        <v>205</v>
      </c>
      <c r="D41" s="65" t="s">
        <v>206</v>
      </c>
      <c r="E41" s="43" t="s">
        <v>138</v>
      </c>
      <c r="F41" s="66">
        <v>29.4</v>
      </c>
      <c r="G41" s="33">
        <f t="shared" si="0"/>
        <v>27.4766355140187</v>
      </c>
      <c r="H41" s="40">
        <f t="shared" si="1"/>
        <v>28.4383177570093</v>
      </c>
      <c r="I41" s="44">
        <f t="shared" si="2"/>
        <v>0.932608695652174</v>
      </c>
      <c r="J41" s="44">
        <f t="shared" si="3"/>
        <v>0.423913043478261</v>
      </c>
      <c r="K41" s="44">
        <f t="shared" ref="K41:K45" si="46">SUM(I41:J41)</f>
        <v>1.35652173913043</v>
      </c>
      <c r="L41" s="103">
        <f t="shared" si="11"/>
        <v>29.7948394961398</v>
      </c>
      <c r="M41" s="44">
        <f t="shared" si="4"/>
        <v>31.8804782608696</v>
      </c>
      <c r="N41" s="107">
        <f t="shared" si="5"/>
        <v>4.84881803188565</v>
      </c>
      <c r="O41" s="108">
        <f t="shared" si="20"/>
        <v>36.7292962927552</v>
      </c>
      <c r="P41" s="106">
        <f>$P$3/0.026</f>
        <v>1769.23076923077</v>
      </c>
      <c r="Q41" s="146"/>
      <c r="R41" s="147">
        <f t="shared" si="6"/>
        <v>0</v>
      </c>
      <c r="S41" s="142">
        <f t="shared" si="43"/>
        <v>0</v>
      </c>
      <c r="T41" s="142">
        <f t="shared" si="44"/>
        <v>0</v>
      </c>
      <c r="U41" s="142">
        <f t="shared" si="45"/>
        <v>0</v>
      </c>
      <c r="V41" s="148"/>
      <c r="W41" s="148"/>
      <c r="X41" s="148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</row>
    <row r="42" s="3" customFormat="1" ht="50" customHeight="1" spans="1:109">
      <c r="A42" s="58"/>
      <c r="B42" s="59" t="s">
        <v>207</v>
      </c>
      <c r="C42" s="32" t="s">
        <v>208</v>
      </c>
      <c r="D42" s="61" t="s">
        <v>209</v>
      </c>
      <c r="E42" s="68" t="s">
        <v>138</v>
      </c>
      <c r="F42" s="52">
        <v>25.86</v>
      </c>
      <c r="G42" s="33">
        <f t="shared" si="0"/>
        <v>24.1682242990654</v>
      </c>
      <c r="H42" s="34">
        <f t="shared" si="1"/>
        <v>25.0141121495327</v>
      </c>
      <c r="I42" s="44">
        <f t="shared" si="2"/>
        <v>1.07608695652174</v>
      </c>
      <c r="J42" s="44">
        <f t="shared" si="3"/>
        <v>0.489130434782609</v>
      </c>
      <c r="K42" s="44">
        <f t="shared" si="46"/>
        <v>1.56521739130435</v>
      </c>
      <c r="L42" s="103">
        <f t="shared" si="11"/>
        <v>26.5793295408371</v>
      </c>
      <c r="M42" s="44">
        <f t="shared" si="4"/>
        <v>28.4398826086957</v>
      </c>
      <c r="N42" s="107">
        <f t="shared" si="5"/>
        <v>4.26498075865861</v>
      </c>
      <c r="O42" s="108">
        <f t="shared" si="20"/>
        <v>32.7048633673543</v>
      </c>
      <c r="P42" s="109">
        <f>$P$3/0.03</f>
        <v>1533.33333333333</v>
      </c>
      <c r="Q42" s="144">
        <v>288</v>
      </c>
      <c r="R42" s="145">
        <f t="shared" si="6"/>
        <v>9419.00064979803</v>
      </c>
      <c r="S42" s="142">
        <f t="shared" si="43"/>
        <v>535.839283543276</v>
      </c>
      <c r="T42" s="142">
        <f t="shared" si="44"/>
        <v>450.782608695652</v>
      </c>
      <c r="U42" s="142">
        <f t="shared" si="45"/>
        <v>1228.31445849368</v>
      </c>
      <c r="V42" s="143"/>
      <c r="W42" s="143"/>
      <c r="X42" s="14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</row>
    <row r="43" s="1" customFormat="1" ht="50" customHeight="1" spans="1:109">
      <c r="A43" s="64"/>
      <c r="B43" s="56" t="s">
        <v>210</v>
      </c>
      <c r="C43" s="47" t="s">
        <v>208</v>
      </c>
      <c r="D43" s="65" t="s">
        <v>209</v>
      </c>
      <c r="E43" s="67" t="s">
        <v>197</v>
      </c>
      <c r="F43" s="66">
        <v>38.5</v>
      </c>
      <c r="G43" s="33">
        <f t="shared" si="0"/>
        <v>35.981308411215</v>
      </c>
      <c r="H43" s="40">
        <f t="shared" si="1"/>
        <v>37.2406542056075</v>
      </c>
      <c r="I43" s="44">
        <f t="shared" si="2"/>
        <v>1.07608695652174</v>
      </c>
      <c r="J43" s="44">
        <f t="shared" si="3"/>
        <v>0.489130434782609</v>
      </c>
      <c r="K43" s="44">
        <f t="shared" si="46"/>
        <v>1.56521739130435</v>
      </c>
      <c r="L43" s="103">
        <f t="shared" si="11"/>
        <v>38.8058715969118</v>
      </c>
      <c r="M43" s="44">
        <f t="shared" si="4"/>
        <v>41.5222826086957</v>
      </c>
      <c r="N43" s="107">
        <f t="shared" si="5"/>
        <v>6.34964266080264</v>
      </c>
      <c r="O43" s="108">
        <f t="shared" si="20"/>
        <v>47.8719252694983</v>
      </c>
      <c r="P43" s="109">
        <f>$P$3/0.03</f>
        <v>1533.33333333333</v>
      </c>
      <c r="Q43" s="146"/>
      <c r="R43" s="147">
        <f t="shared" si="6"/>
        <v>0</v>
      </c>
      <c r="S43" s="142">
        <f t="shared" si="43"/>
        <v>0</v>
      </c>
      <c r="T43" s="142">
        <f t="shared" si="44"/>
        <v>0</v>
      </c>
      <c r="U43" s="142">
        <f t="shared" si="45"/>
        <v>0</v>
      </c>
      <c r="V43" s="143"/>
      <c r="W43" s="143"/>
      <c r="X43" s="143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</row>
    <row r="44" s="2" customFormat="1" ht="72" customHeight="1" spans="1:109">
      <c r="A44" s="58"/>
      <c r="B44" s="69" t="s">
        <v>211</v>
      </c>
      <c r="C44" s="32" t="s">
        <v>208</v>
      </c>
      <c r="D44" s="61" t="s">
        <v>209</v>
      </c>
      <c r="E44" s="67" t="s">
        <v>200</v>
      </c>
      <c r="F44" s="52">
        <v>38.5</v>
      </c>
      <c r="G44" s="33">
        <f t="shared" si="0"/>
        <v>35.981308411215</v>
      </c>
      <c r="H44" s="34">
        <f t="shared" si="1"/>
        <v>37.2406542056075</v>
      </c>
      <c r="I44" s="44">
        <f t="shared" si="2"/>
        <v>1.07608695652174</v>
      </c>
      <c r="J44" s="44">
        <f t="shared" si="3"/>
        <v>0.489130434782609</v>
      </c>
      <c r="K44" s="44">
        <f t="shared" si="46"/>
        <v>1.56521739130435</v>
      </c>
      <c r="L44" s="103">
        <f t="shared" si="11"/>
        <v>38.8058715969118</v>
      </c>
      <c r="M44" s="44">
        <f t="shared" si="4"/>
        <v>41.5222826086957</v>
      </c>
      <c r="N44" s="107">
        <f t="shared" si="5"/>
        <v>6.34964266080264</v>
      </c>
      <c r="O44" s="108">
        <f t="shared" ref="O44:O45" si="47">SUM(M44:N44)</f>
        <v>47.8719252694983</v>
      </c>
      <c r="P44" s="109">
        <f>$P$3/0.03</f>
        <v>1533.33333333333</v>
      </c>
      <c r="Q44" s="144">
        <v>32</v>
      </c>
      <c r="R44" s="145">
        <f t="shared" si="6"/>
        <v>1531.90160862395</v>
      </c>
      <c r="S44" s="142">
        <f t="shared" si="43"/>
        <v>86.9251523770827</v>
      </c>
      <c r="T44" s="142">
        <f t="shared" si="44"/>
        <v>50.0869565217391</v>
      </c>
      <c r="U44" s="142">
        <f t="shared" si="45"/>
        <v>203.188565145684</v>
      </c>
      <c r="V44" s="148"/>
      <c r="W44" s="148"/>
      <c r="X44" s="148"/>
      <c r="Y44" s="6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</row>
    <row r="45" s="2" customFormat="1" ht="50" customHeight="1" spans="1:109">
      <c r="A45" s="55"/>
      <c r="B45" s="70" t="s">
        <v>212</v>
      </c>
      <c r="C45" s="47" t="s">
        <v>213</v>
      </c>
      <c r="D45" s="71" t="s">
        <v>214</v>
      </c>
      <c r="E45" s="72" t="s">
        <v>215</v>
      </c>
      <c r="F45" s="66">
        <v>30</v>
      </c>
      <c r="G45" s="33">
        <f t="shared" si="0"/>
        <v>28.0373831775701</v>
      </c>
      <c r="H45" s="40">
        <f t="shared" si="1"/>
        <v>29.018691588785</v>
      </c>
      <c r="I45" s="44">
        <f t="shared" si="2"/>
        <v>1.43478260869565</v>
      </c>
      <c r="J45" s="44">
        <f t="shared" si="3"/>
        <v>0.652173913043478</v>
      </c>
      <c r="K45" s="44">
        <f t="shared" si="46"/>
        <v>2.08695652173913</v>
      </c>
      <c r="L45" s="103">
        <f t="shared" si="11"/>
        <v>31.1056481105242</v>
      </c>
      <c r="M45" s="44">
        <f t="shared" si="4"/>
        <v>33.2830434782609</v>
      </c>
      <c r="N45" s="107">
        <f t="shared" si="5"/>
        <v>4.94777350192413</v>
      </c>
      <c r="O45" s="108">
        <f t="shared" si="47"/>
        <v>38.230816980185</v>
      </c>
      <c r="P45" s="106">
        <f>46/0.04</f>
        <v>1150</v>
      </c>
      <c r="Q45" s="149"/>
      <c r="R45" s="147">
        <f t="shared" si="6"/>
        <v>0</v>
      </c>
      <c r="S45" s="142"/>
      <c r="T45" s="142"/>
      <c r="U45" s="142"/>
      <c r="V45" s="148"/>
      <c r="W45" s="148"/>
      <c r="X45" s="148"/>
      <c r="Y45" s="6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</row>
    <row r="46" ht="50" customHeight="1" spans="1:25">
      <c r="A46" s="64"/>
      <c r="B46" s="73" t="s">
        <v>216</v>
      </c>
      <c r="C46" s="47" t="s">
        <v>217</v>
      </c>
      <c r="D46" s="74"/>
      <c r="E46" s="43" t="s">
        <v>138</v>
      </c>
      <c r="F46" s="66">
        <v>22.33</v>
      </c>
      <c r="G46" s="33">
        <f t="shared" si="0"/>
        <v>20.8691588785047</v>
      </c>
      <c r="H46" s="40">
        <f t="shared" si="1"/>
        <v>21.5995794392523</v>
      </c>
      <c r="I46" s="44">
        <f t="shared" si="2"/>
        <v>1.68367346938776</v>
      </c>
      <c r="J46" s="44">
        <f t="shared" si="3"/>
        <v>0.76530612244898</v>
      </c>
      <c r="K46" s="44">
        <f t="shared" si="15"/>
        <v>2.44897959183673</v>
      </c>
      <c r="L46" s="103">
        <f t="shared" si="11"/>
        <v>24.0485590310891</v>
      </c>
      <c r="M46" s="44">
        <f t="shared" si="4"/>
        <v>25.7319581632653</v>
      </c>
      <c r="N46" s="107">
        <f t="shared" si="5"/>
        <v>3.68279274326553</v>
      </c>
      <c r="O46" s="108">
        <f t="shared" si="13"/>
        <v>29.4147509065308</v>
      </c>
      <c r="P46" s="106">
        <v>980</v>
      </c>
      <c r="Q46" s="149"/>
      <c r="R46" s="147">
        <f t="shared" si="6"/>
        <v>0</v>
      </c>
      <c r="S46" s="142">
        <f t="shared" ref="S46:S61" si="48">(M46-L46)*Q46</f>
        <v>0</v>
      </c>
      <c r="T46" s="142">
        <f t="shared" ref="T46:T61" si="49">K46*Q46</f>
        <v>0</v>
      </c>
      <c r="U46" s="142">
        <f t="shared" ref="U46:U61" si="50">N46*Q46</f>
        <v>0</v>
      </c>
      <c r="V46" s="148"/>
      <c r="W46" s="148"/>
      <c r="X46" s="148"/>
      <c r="Y46"/>
    </row>
    <row r="47" s="1" customFormat="1" ht="50" customHeight="1" spans="1:109">
      <c r="A47" s="64"/>
      <c r="B47" s="56" t="s">
        <v>218</v>
      </c>
      <c r="C47" s="47" t="s">
        <v>219</v>
      </c>
      <c r="D47" s="65" t="s">
        <v>220</v>
      </c>
      <c r="E47" s="43" t="s">
        <v>138</v>
      </c>
      <c r="F47" s="66">
        <v>31.9</v>
      </c>
      <c r="G47" s="33">
        <f t="shared" si="0"/>
        <v>29.8130841121495</v>
      </c>
      <c r="H47" s="40">
        <f t="shared" si="1"/>
        <v>30.8565420560748</v>
      </c>
      <c r="I47" s="44">
        <f t="shared" si="2"/>
        <v>1.29130434782609</v>
      </c>
      <c r="J47" s="44">
        <f t="shared" si="3"/>
        <v>0.58695652173913</v>
      </c>
      <c r="K47" s="44">
        <f t="shared" ref="K47:K50" si="51">SUM(I47:J47)</f>
        <v>1.87826086956522</v>
      </c>
      <c r="L47" s="103">
        <f t="shared" si="11"/>
        <v>32.73480292564</v>
      </c>
      <c r="M47" s="44">
        <f t="shared" si="4"/>
        <v>35.0262391304348</v>
      </c>
      <c r="N47" s="107">
        <f t="shared" si="5"/>
        <v>5.26113249037933</v>
      </c>
      <c r="O47" s="108">
        <f t="shared" ref="O47:O50" si="52">SUM(M47:N47)</f>
        <v>40.2873716208141</v>
      </c>
      <c r="P47" s="106">
        <f>$P$3/0.036</f>
        <v>1277.77777777778</v>
      </c>
      <c r="Q47" s="149"/>
      <c r="R47" s="147">
        <f t="shared" si="6"/>
        <v>0</v>
      </c>
      <c r="S47" s="142">
        <f t="shared" si="48"/>
        <v>0</v>
      </c>
      <c r="T47" s="142">
        <f t="shared" si="49"/>
        <v>0</v>
      </c>
      <c r="U47" s="142">
        <f t="shared" si="50"/>
        <v>0</v>
      </c>
      <c r="V47" s="143"/>
      <c r="W47" s="143"/>
      <c r="X47" s="143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</row>
    <row r="48" s="4" customFormat="1" ht="43.25" customHeight="1" spans="1:24">
      <c r="A48" s="58"/>
      <c r="B48" s="75" t="s">
        <v>221</v>
      </c>
      <c r="C48" s="31" t="s">
        <v>222</v>
      </c>
      <c r="D48" s="76" t="s">
        <v>223</v>
      </c>
      <c r="E48" s="43" t="s">
        <v>138</v>
      </c>
      <c r="F48" s="26">
        <v>23.21</v>
      </c>
      <c r="G48" s="33">
        <f t="shared" si="0"/>
        <v>21.6915887850467</v>
      </c>
      <c r="H48" s="34">
        <f t="shared" si="1"/>
        <v>22.4507943925234</v>
      </c>
      <c r="I48" s="44">
        <f t="shared" si="2"/>
        <v>0.430434782608696</v>
      </c>
      <c r="J48" s="44">
        <f t="shared" si="3"/>
        <v>0.195652173913043</v>
      </c>
      <c r="K48" s="44">
        <f t="shared" si="51"/>
        <v>0.626086956521739</v>
      </c>
      <c r="L48" s="103">
        <f t="shared" si="11"/>
        <v>23.0768813490451</v>
      </c>
      <c r="M48" s="44">
        <f t="shared" si="4"/>
        <v>24.6922630434783</v>
      </c>
      <c r="N48" s="107">
        <f t="shared" si="5"/>
        <v>3.8279274326553</v>
      </c>
      <c r="O48" s="108">
        <f t="shared" si="52"/>
        <v>28.5201904761336</v>
      </c>
      <c r="P48" s="109">
        <f>$P$3/0.012</f>
        <v>3833.33333333333</v>
      </c>
      <c r="Q48" s="144">
        <v>320</v>
      </c>
      <c r="R48" s="145">
        <f t="shared" si="6"/>
        <v>9126.46095236274</v>
      </c>
      <c r="S48" s="142">
        <f t="shared" si="48"/>
        <v>516.92214221861</v>
      </c>
      <c r="T48" s="142">
        <f t="shared" si="49"/>
        <v>200.347826086957</v>
      </c>
      <c r="U48" s="142">
        <f t="shared" si="50"/>
        <v>1224.9367784497</v>
      </c>
      <c r="V48" s="143"/>
      <c r="W48" s="143"/>
      <c r="X48" s="143"/>
    </row>
    <row r="49" ht="43.25" customHeight="1" spans="1:25">
      <c r="A49" s="55"/>
      <c r="B49" s="77" t="s">
        <v>224</v>
      </c>
      <c r="C49" s="37" t="s">
        <v>222</v>
      </c>
      <c r="D49" s="78" t="s">
        <v>223</v>
      </c>
      <c r="E49" s="67" t="s">
        <v>197</v>
      </c>
      <c r="F49" s="41">
        <v>23.21</v>
      </c>
      <c r="G49" s="33">
        <f t="shared" si="0"/>
        <v>21.6915887850467</v>
      </c>
      <c r="H49" s="40">
        <f t="shared" si="1"/>
        <v>22.4507943925234</v>
      </c>
      <c r="I49" s="44">
        <f t="shared" si="2"/>
        <v>0.430434782608696</v>
      </c>
      <c r="J49" s="44">
        <f t="shared" si="3"/>
        <v>0.195652173913043</v>
      </c>
      <c r="K49" s="44">
        <f t="shared" si="51"/>
        <v>0.626086956521739</v>
      </c>
      <c r="L49" s="103">
        <f t="shared" si="11"/>
        <v>23.0768813490451</v>
      </c>
      <c r="M49" s="44">
        <f t="shared" si="4"/>
        <v>24.6922630434783</v>
      </c>
      <c r="N49" s="107">
        <f t="shared" si="5"/>
        <v>3.8279274326553</v>
      </c>
      <c r="O49" s="108">
        <f t="shared" si="52"/>
        <v>28.5201904761336</v>
      </c>
      <c r="P49" s="109">
        <f>$P$3/0.012</f>
        <v>3833.33333333333</v>
      </c>
      <c r="Q49" s="146"/>
      <c r="R49" s="150">
        <f t="shared" si="6"/>
        <v>0</v>
      </c>
      <c r="S49" s="142">
        <f t="shared" si="48"/>
        <v>0</v>
      </c>
      <c r="T49" s="142">
        <f t="shared" si="49"/>
        <v>0</v>
      </c>
      <c r="U49" s="142">
        <f t="shared" si="50"/>
        <v>0</v>
      </c>
      <c r="V49" s="148"/>
      <c r="W49" s="148"/>
      <c r="X49" s="148"/>
      <c r="Y49"/>
    </row>
    <row r="50" ht="43.25" customHeight="1" spans="1:25">
      <c r="A50" s="64"/>
      <c r="B50" s="77" t="s">
        <v>225</v>
      </c>
      <c r="C50" s="37" t="s">
        <v>222</v>
      </c>
      <c r="D50" s="79" t="s">
        <v>223</v>
      </c>
      <c r="E50" s="67" t="s">
        <v>200</v>
      </c>
      <c r="F50" s="39">
        <v>35.7</v>
      </c>
      <c r="G50" s="33">
        <f t="shared" si="0"/>
        <v>33.3644859813084</v>
      </c>
      <c r="H50" s="40">
        <f t="shared" si="1"/>
        <v>34.5322429906542</v>
      </c>
      <c r="I50" s="44">
        <f t="shared" si="2"/>
        <v>0.430434782608696</v>
      </c>
      <c r="J50" s="44">
        <f t="shared" si="3"/>
        <v>0.195652173913043</v>
      </c>
      <c r="K50" s="44">
        <f t="shared" si="51"/>
        <v>0.626086956521739</v>
      </c>
      <c r="L50" s="103">
        <f t="shared" si="11"/>
        <v>35.1583299471759</v>
      </c>
      <c r="M50" s="44">
        <f t="shared" si="4"/>
        <v>37.6194130434783</v>
      </c>
      <c r="N50" s="107">
        <f t="shared" si="5"/>
        <v>5.88785046728972</v>
      </c>
      <c r="O50" s="108">
        <f t="shared" si="52"/>
        <v>43.507263510768</v>
      </c>
      <c r="P50" s="109">
        <f>$P$3/0.012</f>
        <v>3833.33333333333</v>
      </c>
      <c r="Q50" s="146"/>
      <c r="R50" s="147">
        <f t="shared" si="6"/>
        <v>0</v>
      </c>
      <c r="S50" s="142">
        <f t="shared" si="48"/>
        <v>0</v>
      </c>
      <c r="T50" s="142">
        <f t="shared" si="49"/>
        <v>0</v>
      </c>
      <c r="U50" s="142">
        <f t="shared" si="50"/>
        <v>0</v>
      </c>
      <c r="V50" s="148"/>
      <c r="W50" s="148"/>
      <c r="X50" s="148"/>
      <c r="Y50"/>
    </row>
    <row r="51" ht="50" customHeight="1" spans="1:25">
      <c r="A51" s="55"/>
      <c r="C51" s="57">
        <v>6500</v>
      </c>
      <c r="D51" s="47"/>
      <c r="E51" s="43" t="s">
        <v>138</v>
      </c>
      <c r="F51" s="49">
        <f>30.5</f>
        <v>30.5</v>
      </c>
      <c r="G51" s="44">
        <f t="shared" si="0"/>
        <v>28.5046728971963</v>
      </c>
      <c r="H51" s="40">
        <f t="shared" si="1"/>
        <v>29.5023364485981</v>
      </c>
      <c r="I51" s="44">
        <f t="shared" si="2"/>
        <v>1.03125</v>
      </c>
      <c r="J51" s="44">
        <f t="shared" si="3"/>
        <v>0.46875</v>
      </c>
      <c r="K51" s="44">
        <f t="shared" ref="K51" si="53">SUM(I51:J51)</f>
        <v>1.5</v>
      </c>
      <c r="L51" s="103">
        <f t="shared" si="11"/>
        <v>31.0023364485981</v>
      </c>
      <c r="M51" s="44">
        <f t="shared" si="4"/>
        <v>33.1725</v>
      </c>
      <c r="N51" s="110">
        <f t="shared" si="5"/>
        <v>5.03023639362287</v>
      </c>
      <c r="O51" s="33">
        <f t="shared" ref="O51" si="54">SUM(M51:N51)</f>
        <v>38.2027363936229</v>
      </c>
      <c r="P51" s="116">
        <v>1600</v>
      </c>
      <c r="Q51" s="149"/>
      <c r="R51" s="150">
        <f t="shared" si="6"/>
        <v>0</v>
      </c>
      <c r="S51" s="154">
        <f t="shared" si="48"/>
        <v>0</v>
      </c>
      <c r="T51" s="154">
        <f t="shared" si="49"/>
        <v>0</v>
      </c>
      <c r="U51" s="154">
        <f t="shared" si="50"/>
        <v>0</v>
      </c>
      <c r="V51" s="155"/>
      <c r="W51" s="155"/>
      <c r="X51" s="155"/>
      <c r="Y51"/>
    </row>
    <row r="52" ht="50" customHeight="1" spans="1:25">
      <c r="A52" s="55"/>
      <c r="C52" s="57">
        <v>6501</v>
      </c>
      <c r="D52" s="56" t="s">
        <v>226</v>
      </c>
      <c r="E52" s="43" t="s">
        <v>138</v>
      </c>
      <c r="F52" s="49">
        <f>28.5</f>
        <v>28.5</v>
      </c>
      <c r="G52" s="44">
        <f t="shared" si="0"/>
        <v>26.6355140186916</v>
      </c>
      <c r="H52" s="40">
        <f t="shared" si="1"/>
        <v>27.5677570093458</v>
      </c>
      <c r="I52" s="44">
        <f t="shared" si="2"/>
        <v>1.03125</v>
      </c>
      <c r="J52" s="44">
        <f t="shared" si="3"/>
        <v>0.46875</v>
      </c>
      <c r="K52" s="44">
        <f t="shared" si="10"/>
        <v>1.5</v>
      </c>
      <c r="L52" s="103">
        <f t="shared" si="11"/>
        <v>29.0677570093458</v>
      </c>
      <c r="M52" s="44">
        <f t="shared" si="4"/>
        <v>31.1025</v>
      </c>
      <c r="N52" s="110">
        <f t="shared" si="5"/>
        <v>4.70038482682793</v>
      </c>
      <c r="O52" s="33">
        <f t="shared" si="13"/>
        <v>35.8028848268279</v>
      </c>
      <c r="P52" s="116">
        <v>1600</v>
      </c>
      <c r="Q52" s="149"/>
      <c r="R52" s="150">
        <f t="shared" si="6"/>
        <v>0</v>
      </c>
      <c r="S52" s="154">
        <f t="shared" si="48"/>
        <v>0</v>
      </c>
      <c r="T52" s="154">
        <f t="shared" si="49"/>
        <v>0</v>
      </c>
      <c r="U52" s="154">
        <f t="shared" si="50"/>
        <v>0</v>
      </c>
      <c r="V52" s="155"/>
      <c r="W52" s="155"/>
      <c r="X52" s="155"/>
      <c r="Y52"/>
    </row>
    <row r="53" ht="50" customHeight="1" spans="1:25">
      <c r="A53" s="55"/>
      <c r="C53" s="47">
        <v>6502</v>
      </c>
      <c r="D53" s="56" t="s">
        <v>226</v>
      </c>
      <c r="E53" s="43" t="s">
        <v>138</v>
      </c>
      <c r="F53" s="49">
        <f>32</f>
        <v>32</v>
      </c>
      <c r="G53" s="44">
        <f t="shared" si="0"/>
        <v>29.9065420560748</v>
      </c>
      <c r="H53" s="40">
        <f t="shared" si="1"/>
        <v>30.9532710280374</v>
      </c>
      <c r="I53" s="44">
        <f t="shared" si="2"/>
        <v>1.65</v>
      </c>
      <c r="J53" s="44">
        <f t="shared" si="3"/>
        <v>0.75</v>
      </c>
      <c r="K53" s="44">
        <f t="shared" ref="K53:K55" si="55">SUM(I53:J53)</f>
        <v>2.4</v>
      </c>
      <c r="L53" s="103">
        <f t="shared" si="11"/>
        <v>33.3532710280374</v>
      </c>
      <c r="M53" s="44">
        <f t="shared" si="4"/>
        <v>35.688</v>
      </c>
      <c r="N53" s="110">
        <f t="shared" si="5"/>
        <v>5.27762506871908</v>
      </c>
      <c r="O53" s="33">
        <f t="shared" ref="O53:O55" si="56">SUM(M53:N53)</f>
        <v>40.9656250687191</v>
      </c>
      <c r="P53" s="116">
        <v>1000</v>
      </c>
      <c r="Q53" s="149"/>
      <c r="R53" s="150">
        <f t="shared" si="6"/>
        <v>0</v>
      </c>
      <c r="S53" s="154">
        <f t="shared" si="48"/>
        <v>0</v>
      </c>
      <c r="T53" s="154">
        <f t="shared" si="49"/>
        <v>0</v>
      </c>
      <c r="U53" s="154">
        <f t="shared" si="50"/>
        <v>0</v>
      </c>
      <c r="V53" s="155"/>
      <c r="W53" s="155"/>
      <c r="X53" s="155"/>
      <c r="Y53"/>
    </row>
    <row r="54" ht="50" customHeight="1" spans="1:25">
      <c r="A54" s="55"/>
      <c r="C54" s="47">
        <v>6507</v>
      </c>
      <c r="D54" s="56" t="s">
        <v>227</v>
      </c>
      <c r="E54" s="43" t="s">
        <v>138</v>
      </c>
      <c r="F54" s="49">
        <v>37.5</v>
      </c>
      <c r="G54" s="44">
        <f t="shared" si="0"/>
        <v>35.0467289719626</v>
      </c>
      <c r="H54" s="40">
        <f t="shared" si="1"/>
        <v>36.2733644859813</v>
      </c>
      <c r="I54" s="44">
        <f t="shared" si="2"/>
        <v>1.65</v>
      </c>
      <c r="J54" s="44">
        <f t="shared" si="3"/>
        <v>0.75</v>
      </c>
      <c r="K54" s="44">
        <f t="shared" si="55"/>
        <v>2.4</v>
      </c>
      <c r="L54" s="103">
        <f t="shared" si="11"/>
        <v>38.6733644859813</v>
      </c>
      <c r="M54" s="44">
        <f t="shared" si="4"/>
        <v>41.3805</v>
      </c>
      <c r="N54" s="110">
        <f t="shared" si="5"/>
        <v>6.18471687740517</v>
      </c>
      <c r="O54" s="33">
        <f t="shared" si="56"/>
        <v>47.5652168774052</v>
      </c>
      <c r="P54" s="116">
        <v>1000</v>
      </c>
      <c r="Q54" s="149"/>
      <c r="R54" s="150">
        <f t="shared" si="6"/>
        <v>0</v>
      </c>
      <c r="S54" s="154">
        <f t="shared" si="48"/>
        <v>0</v>
      </c>
      <c r="T54" s="154">
        <f t="shared" si="49"/>
        <v>0</v>
      </c>
      <c r="U54" s="154">
        <f t="shared" si="50"/>
        <v>0</v>
      </c>
      <c r="V54" s="155"/>
      <c r="W54" s="155"/>
      <c r="X54" s="155"/>
      <c r="Y54"/>
    </row>
    <row r="55" ht="50" customHeight="1" spans="1:25">
      <c r="A55" s="55"/>
      <c r="C55" s="47" t="s">
        <v>228</v>
      </c>
      <c r="D55" s="56" t="s">
        <v>229</v>
      </c>
      <c r="E55" s="43" t="s">
        <v>138</v>
      </c>
      <c r="F55" s="49">
        <v>24</v>
      </c>
      <c r="G55" s="44">
        <f t="shared" si="0"/>
        <v>22.4299065420561</v>
      </c>
      <c r="H55" s="40">
        <f t="shared" si="1"/>
        <v>23.214953271028</v>
      </c>
      <c r="I55" s="44">
        <f t="shared" si="2"/>
        <v>0.4125</v>
      </c>
      <c r="J55" s="44">
        <f t="shared" si="3"/>
        <v>0.1875</v>
      </c>
      <c r="K55" s="44">
        <f t="shared" si="55"/>
        <v>0.6</v>
      </c>
      <c r="L55" s="103">
        <f t="shared" si="11"/>
        <v>23.814953271028</v>
      </c>
      <c r="M55" s="44">
        <f t="shared" si="4"/>
        <v>25.482</v>
      </c>
      <c r="N55" s="110">
        <f t="shared" si="5"/>
        <v>3.95821880153931</v>
      </c>
      <c r="O55" s="33">
        <f t="shared" si="56"/>
        <v>29.4402188015393</v>
      </c>
      <c r="P55" s="116">
        <v>4000</v>
      </c>
      <c r="Q55" s="149"/>
      <c r="R55" s="150">
        <f t="shared" si="6"/>
        <v>0</v>
      </c>
      <c r="S55" s="154">
        <f t="shared" si="48"/>
        <v>0</v>
      </c>
      <c r="T55" s="154">
        <f t="shared" si="49"/>
        <v>0</v>
      </c>
      <c r="U55" s="154">
        <f t="shared" si="50"/>
        <v>0</v>
      </c>
      <c r="V55" s="155"/>
      <c r="W55" s="155"/>
      <c r="X55" s="155"/>
      <c r="Y55"/>
    </row>
    <row r="56" ht="44" customHeight="1" spans="1:25">
      <c r="A56" s="55"/>
      <c r="C56" s="47" t="s">
        <v>230</v>
      </c>
      <c r="D56" s="56" t="s">
        <v>231</v>
      </c>
      <c r="E56" s="43" t="s">
        <v>138</v>
      </c>
      <c r="F56" s="49">
        <v>24</v>
      </c>
      <c r="G56" s="44">
        <f t="shared" si="0"/>
        <v>22.4299065420561</v>
      </c>
      <c r="H56" s="40">
        <f t="shared" si="1"/>
        <v>23.214953271028</v>
      </c>
      <c r="I56" s="44">
        <f t="shared" si="2"/>
        <v>0.4125</v>
      </c>
      <c r="J56" s="44">
        <f t="shared" si="3"/>
        <v>0.1875</v>
      </c>
      <c r="K56" s="44">
        <f t="shared" si="10"/>
        <v>0.6</v>
      </c>
      <c r="L56" s="103">
        <f t="shared" si="11"/>
        <v>23.814953271028</v>
      </c>
      <c r="M56" s="44">
        <f t="shared" si="4"/>
        <v>25.482</v>
      </c>
      <c r="N56" s="110">
        <f t="shared" si="5"/>
        <v>3.95821880153931</v>
      </c>
      <c r="O56" s="33">
        <f t="shared" si="13"/>
        <v>29.4402188015393</v>
      </c>
      <c r="P56" s="116">
        <v>4000</v>
      </c>
      <c r="Q56" s="149"/>
      <c r="R56" s="150">
        <f t="shared" si="6"/>
        <v>0</v>
      </c>
      <c r="S56" s="154">
        <f t="shared" si="48"/>
        <v>0</v>
      </c>
      <c r="T56" s="154">
        <f t="shared" si="49"/>
        <v>0</v>
      </c>
      <c r="U56" s="154">
        <f t="shared" si="50"/>
        <v>0</v>
      </c>
      <c r="V56" s="155"/>
      <c r="W56" s="155"/>
      <c r="X56" s="155"/>
      <c r="Y56"/>
    </row>
    <row r="57" ht="44" customHeight="1" spans="1:25">
      <c r="A57" s="80"/>
      <c r="C57" s="80" t="s">
        <v>232</v>
      </c>
      <c r="D57" s="56" t="s">
        <v>231</v>
      </c>
      <c r="E57" s="43" t="s">
        <v>138</v>
      </c>
      <c r="F57" s="81">
        <v>93.5</v>
      </c>
      <c r="G57" s="44">
        <f t="shared" si="0"/>
        <v>87.3831775700935</v>
      </c>
      <c r="H57" s="40">
        <f t="shared" si="1"/>
        <v>90.4415887850467</v>
      </c>
      <c r="I57" s="44">
        <f t="shared" si="2"/>
        <v>2.66129032258064</v>
      </c>
      <c r="J57" s="44">
        <f t="shared" si="3"/>
        <v>1.20967741935484</v>
      </c>
      <c r="K57" s="44">
        <f t="shared" ref="K57:K61" si="57">SUM(I57:J57)</f>
        <v>3.87096774193548</v>
      </c>
      <c r="L57" s="103">
        <f t="shared" si="11"/>
        <v>94.3125565269822</v>
      </c>
      <c r="M57" s="44">
        <f t="shared" si="4"/>
        <v>100.914435483871</v>
      </c>
      <c r="N57" s="110">
        <f t="shared" si="5"/>
        <v>15.4205607476636</v>
      </c>
      <c r="O57" s="117">
        <f t="shared" ref="O57:O61" si="58">SUM(M57:N57)</f>
        <v>116.334996231535</v>
      </c>
      <c r="P57" s="118">
        <v>620</v>
      </c>
      <c r="Q57" s="149"/>
      <c r="R57" s="150">
        <f t="shared" si="6"/>
        <v>0</v>
      </c>
      <c r="S57" s="154">
        <f t="shared" si="48"/>
        <v>0</v>
      </c>
      <c r="T57" s="154">
        <f t="shared" si="49"/>
        <v>0</v>
      </c>
      <c r="U57" s="154">
        <f t="shared" si="50"/>
        <v>0</v>
      </c>
      <c r="V57" s="155"/>
      <c r="W57" s="155"/>
      <c r="X57" s="155"/>
      <c r="Y57"/>
    </row>
    <row r="58" ht="44" customHeight="1" spans="1:25">
      <c r="A58" s="80"/>
      <c r="C58" s="80" t="s">
        <v>233</v>
      </c>
      <c r="D58" s="82" t="s">
        <v>234</v>
      </c>
      <c r="E58" s="43" t="s">
        <v>138</v>
      </c>
      <c r="F58" s="81">
        <v>88</v>
      </c>
      <c r="G58" s="44">
        <f t="shared" si="0"/>
        <v>82.2429906542056</v>
      </c>
      <c r="H58" s="40">
        <f t="shared" si="1"/>
        <v>85.1214953271028</v>
      </c>
      <c r="I58" s="44">
        <f t="shared" si="2"/>
        <v>2.66129032258064</v>
      </c>
      <c r="J58" s="44">
        <f t="shared" si="3"/>
        <v>1.20967741935484</v>
      </c>
      <c r="K58" s="44">
        <f t="shared" si="57"/>
        <v>3.87096774193548</v>
      </c>
      <c r="L58" s="103">
        <f t="shared" si="11"/>
        <v>88.9924630690383</v>
      </c>
      <c r="M58" s="44">
        <f t="shared" si="4"/>
        <v>95.221935483871</v>
      </c>
      <c r="N58" s="110">
        <f t="shared" si="5"/>
        <v>14.5134689389775</v>
      </c>
      <c r="O58" s="117">
        <f t="shared" si="58"/>
        <v>109.735404422848</v>
      </c>
      <c r="P58" s="118">
        <v>620</v>
      </c>
      <c r="Q58" s="149"/>
      <c r="R58" s="150">
        <f t="shared" si="6"/>
        <v>0</v>
      </c>
      <c r="S58" s="154">
        <f t="shared" si="48"/>
        <v>0</v>
      </c>
      <c r="T58" s="154">
        <f t="shared" si="49"/>
        <v>0</v>
      </c>
      <c r="U58" s="154">
        <f t="shared" si="50"/>
        <v>0</v>
      </c>
      <c r="V58" s="155"/>
      <c r="W58" s="155"/>
      <c r="X58" s="155"/>
      <c r="Y58"/>
    </row>
    <row r="59" ht="44" customHeight="1" spans="1:25">
      <c r="A59" s="80"/>
      <c r="C59" s="80" t="s">
        <v>235</v>
      </c>
      <c r="D59" s="82" t="s">
        <v>234</v>
      </c>
      <c r="E59" s="43" t="s">
        <v>138</v>
      </c>
      <c r="F59" s="81">
        <v>57.5</v>
      </c>
      <c r="G59" s="44">
        <f t="shared" si="0"/>
        <v>53.7383177570093</v>
      </c>
      <c r="H59" s="40">
        <f t="shared" si="1"/>
        <v>55.6191588785047</v>
      </c>
      <c r="I59" s="44">
        <f t="shared" si="2"/>
        <v>2.04968944099379</v>
      </c>
      <c r="J59" s="44">
        <f t="shared" si="3"/>
        <v>0.93167701863354</v>
      </c>
      <c r="K59" s="44">
        <f t="shared" si="57"/>
        <v>2.98136645962733</v>
      </c>
      <c r="L59" s="103">
        <f t="shared" si="11"/>
        <v>58.600525338132</v>
      </c>
      <c r="M59" s="44">
        <f t="shared" si="4"/>
        <v>62.7025621118012</v>
      </c>
      <c r="N59" s="110">
        <f t="shared" si="5"/>
        <v>9.48323254535459</v>
      </c>
      <c r="O59" s="117">
        <f t="shared" si="58"/>
        <v>72.1857946571558</v>
      </c>
      <c r="P59" s="118">
        <v>805</v>
      </c>
      <c r="Q59" s="149"/>
      <c r="R59" s="150">
        <f t="shared" si="6"/>
        <v>0</v>
      </c>
      <c r="S59" s="154">
        <f t="shared" si="48"/>
        <v>0</v>
      </c>
      <c r="T59" s="154">
        <f t="shared" si="49"/>
        <v>0</v>
      </c>
      <c r="U59" s="154">
        <f t="shared" si="50"/>
        <v>0</v>
      </c>
      <c r="V59" s="155"/>
      <c r="W59" s="155"/>
      <c r="X59" s="155"/>
      <c r="Y59"/>
    </row>
    <row r="60" ht="44" customHeight="1" spans="1:25">
      <c r="A60" s="80"/>
      <c r="C60" s="80" t="s">
        <v>236</v>
      </c>
      <c r="D60" s="82" t="s">
        <v>237</v>
      </c>
      <c r="E60" s="43" t="s">
        <v>138</v>
      </c>
      <c r="F60" s="81">
        <v>41.5</v>
      </c>
      <c r="G60" s="44">
        <f t="shared" si="0"/>
        <v>38.785046728972</v>
      </c>
      <c r="H60" s="40">
        <f t="shared" si="1"/>
        <v>40.142523364486</v>
      </c>
      <c r="I60" s="44">
        <f t="shared" si="2"/>
        <v>1.65</v>
      </c>
      <c r="J60" s="44">
        <f t="shared" si="3"/>
        <v>0.75</v>
      </c>
      <c r="K60" s="44">
        <f t="shared" si="57"/>
        <v>2.4</v>
      </c>
      <c r="L60" s="103">
        <f t="shared" si="11"/>
        <v>42.542523364486</v>
      </c>
      <c r="M60" s="44">
        <f t="shared" si="4"/>
        <v>45.5205</v>
      </c>
      <c r="N60" s="110">
        <f t="shared" si="5"/>
        <v>6.84442001099505</v>
      </c>
      <c r="O60" s="117">
        <f t="shared" si="58"/>
        <v>52.364920010995</v>
      </c>
      <c r="P60" s="118">
        <v>1000</v>
      </c>
      <c r="Q60" s="146"/>
      <c r="R60" s="150">
        <f t="shared" si="6"/>
        <v>0</v>
      </c>
      <c r="S60" s="154">
        <f t="shared" si="48"/>
        <v>0</v>
      </c>
      <c r="T60" s="154">
        <f t="shared" si="49"/>
        <v>0</v>
      </c>
      <c r="U60" s="154">
        <f t="shared" si="50"/>
        <v>0</v>
      </c>
      <c r="V60" s="155"/>
      <c r="W60" s="155"/>
      <c r="X60" s="155"/>
      <c r="Y60"/>
    </row>
    <row r="61" ht="44" customHeight="1" spans="1:25">
      <c r="A61" s="80"/>
      <c r="C61" s="80" t="s">
        <v>238</v>
      </c>
      <c r="D61" s="82" t="s">
        <v>239</v>
      </c>
      <c r="E61" s="43" t="s">
        <v>138</v>
      </c>
      <c r="F61" s="81">
        <v>30.5</v>
      </c>
      <c r="G61" s="44">
        <f t="shared" si="0"/>
        <v>28.5046728971963</v>
      </c>
      <c r="H61" s="40">
        <f t="shared" si="1"/>
        <v>29.5023364485981</v>
      </c>
      <c r="I61" s="44">
        <f t="shared" si="2"/>
        <v>1.25</v>
      </c>
      <c r="J61" s="44">
        <f t="shared" si="3"/>
        <v>0.568181818181818</v>
      </c>
      <c r="K61" s="44">
        <f t="shared" si="57"/>
        <v>1.81818181818182</v>
      </c>
      <c r="L61" s="103">
        <f t="shared" si="11"/>
        <v>31.3205182667799</v>
      </c>
      <c r="M61" s="44">
        <f t="shared" si="4"/>
        <v>33.5129545454545</v>
      </c>
      <c r="N61" s="110">
        <f t="shared" si="5"/>
        <v>5.03023639362287</v>
      </c>
      <c r="O61" s="117">
        <f t="shared" si="58"/>
        <v>38.5431909390774</v>
      </c>
      <c r="P61" s="116">
        <v>1320</v>
      </c>
      <c r="Q61" s="146"/>
      <c r="R61" s="150">
        <f t="shared" si="6"/>
        <v>0</v>
      </c>
      <c r="S61" s="154">
        <f t="shared" si="48"/>
        <v>0</v>
      </c>
      <c r="T61" s="154">
        <f t="shared" si="49"/>
        <v>0</v>
      </c>
      <c r="U61" s="154">
        <f t="shared" si="50"/>
        <v>0</v>
      </c>
      <c r="V61" s="155"/>
      <c r="W61" s="155"/>
      <c r="X61" s="155"/>
      <c r="Y61"/>
    </row>
    <row r="62" ht="21" customHeight="1" spans="3:25">
      <c r="C62" s="83"/>
      <c r="D62" s="82" t="s">
        <v>240</v>
      </c>
      <c r="E62" s="84"/>
      <c r="F62" s="85"/>
      <c r="G62" s="86"/>
      <c r="H62" s="86"/>
      <c r="I62" s="86"/>
      <c r="J62" s="86"/>
      <c r="K62" s="86"/>
      <c r="L62" s="86"/>
      <c r="M62" s="86"/>
      <c r="N62" s="119"/>
      <c r="O62" s="86"/>
      <c r="P62" s="120"/>
      <c r="Q62" s="157"/>
      <c r="R62" s="155"/>
      <c r="S62" s="158"/>
      <c r="T62" s="157"/>
      <c r="U62" s="157"/>
      <c r="V62" s="155"/>
      <c r="W62" s="155"/>
      <c r="X62" s="155"/>
      <c r="Y62"/>
    </row>
    <row r="63" ht="11" customHeight="1" spans="3:19">
      <c r="C63" s="83"/>
      <c r="D63" s="87"/>
      <c r="E63" s="43" t="s">
        <v>138</v>
      </c>
      <c r="F63" s="9"/>
      <c r="G63" s="9"/>
      <c r="I63" s="121"/>
      <c r="J63" s="9"/>
      <c r="K63" s="9"/>
      <c r="L63" s="9"/>
      <c r="M63" s="9"/>
      <c r="N63" s="9"/>
      <c r="O63" s="122"/>
      <c r="P63" s="123"/>
      <c r="S63" s="158"/>
    </row>
    <row r="64" ht="11" customHeight="1" spans="3:19">
      <c r="C64" s="83"/>
      <c r="D64" s="87"/>
      <c r="E64" s="88"/>
      <c r="F64" s="9"/>
      <c r="G64" s="9"/>
      <c r="I64" s="121"/>
      <c r="J64" s="9"/>
      <c r="K64" s="9"/>
      <c r="L64" s="9"/>
      <c r="M64" s="9"/>
      <c r="N64" s="9"/>
      <c r="O64" s="122"/>
      <c r="P64" s="123"/>
      <c r="S64" s="158"/>
    </row>
    <row r="65" ht="11" customHeight="1" spans="3:19">
      <c r="C65" s="83"/>
      <c r="D65" s="87"/>
      <c r="E65" s="88"/>
      <c r="F65" s="9"/>
      <c r="G65" s="9"/>
      <c r="I65" s="121"/>
      <c r="J65" s="9"/>
      <c r="K65" s="9"/>
      <c r="L65" s="9"/>
      <c r="M65" s="9"/>
      <c r="N65" s="9"/>
      <c r="O65" s="122"/>
      <c r="P65" s="123"/>
      <c r="S65" s="158"/>
    </row>
    <row r="66" ht="11" customHeight="1" spans="3:19">
      <c r="C66" s="83"/>
      <c r="D66" s="87"/>
      <c r="E66" s="88"/>
      <c r="F66" s="9"/>
      <c r="G66" s="9"/>
      <c r="I66" s="121"/>
      <c r="J66" s="9"/>
      <c r="K66" s="9"/>
      <c r="L66" s="9"/>
      <c r="M66" s="9"/>
      <c r="N66" s="9"/>
      <c r="O66" s="122"/>
      <c r="P66" s="123"/>
      <c r="S66" s="158"/>
    </row>
    <row r="67" ht="11" customHeight="1" spans="3:19">
      <c r="C67" s="83"/>
      <c r="D67" s="87"/>
      <c r="E67" s="88"/>
      <c r="F67" s="9"/>
      <c r="G67" s="9"/>
      <c r="I67" s="121"/>
      <c r="J67" s="9"/>
      <c r="K67" s="9"/>
      <c r="L67" s="9"/>
      <c r="M67" s="9"/>
      <c r="N67" s="9"/>
      <c r="O67" s="122"/>
      <c r="P67" s="123"/>
      <c r="S67" s="158"/>
    </row>
    <row r="68" ht="11" customHeight="1" spans="3:19">
      <c r="C68" s="83"/>
      <c r="D68" s="87"/>
      <c r="E68" s="88"/>
      <c r="F68" s="9"/>
      <c r="G68" s="9"/>
      <c r="I68" s="121"/>
      <c r="J68" s="9"/>
      <c r="K68" s="9"/>
      <c r="L68" s="9"/>
      <c r="M68" s="9"/>
      <c r="N68" s="9"/>
      <c r="O68" s="122"/>
      <c r="P68" s="123"/>
      <c r="S68" s="158"/>
    </row>
    <row r="69" ht="11" customHeight="1" spans="3:19">
      <c r="C69" s="83"/>
      <c r="D69" s="87"/>
      <c r="E69" s="88"/>
      <c r="F69" s="9"/>
      <c r="G69" s="9"/>
      <c r="I69" s="121"/>
      <c r="J69" s="9"/>
      <c r="K69" s="9"/>
      <c r="L69" s="9"/>
      <c r="M69" s="9"/>
      <c r="N69" s="9"/>
      <c r="O69" s="122"/>
      <c r="P69" s="123"/>
      <c r="S69" s="158"/>
    </row>
    <row r="70" ht="11" customHeight="1" spans="3:19">
      <c r="C70" s="83"/>
      <c r="D70" s="87"/>
      <c r="E70" s="88"/>
      <c r="F70" s="9"/>
      <c r="G70" s="9"/>
      <c r="I70" s="121"/>
      <c r="J70" s="9"/>
      <c r="K70" s="9"/>
      <c r="L70" s="9"/>
      <c r="M70" s="9"/>
      <c r="N70" s="9"/>
      <c r="O70" s="122"/>
      <c r="P70" s="123"/>
      <c r="S70" s="158"/>
    </row>
    <row r="71" ht="11" customHeight="1" spans="3:19">
      <c r="C71" s="83"/>
      <c r="D71" s="87"/>
      <c r="E71" s="88"/>
      <c r="F71" s="9"/>
      <c r="G71" s="9"/>
      <c r="I71" s="121"/>
      <c r="J71" s="9"/>
      <c r="K71" s="9"/>
      <c r="L71" s="9"/>
      <c r="M71" s="9"/>
      <c r="N71" s="9"/>
      <c r="O71" s="122"/>
      <c r="P71" s="123"/>
      <c r="S71" s="158"/>
    </row>
    <row r="72" ht="11" customHeight="1" spans="3:19">
      <c r="C72" s="83"/>
      <c r="D72" s="87"/>
      <c r="E72" s="88"/>
      <c r="F72" s="9"/>
      <c r="G72" s="9"/>
      <c r="I72" s="121"/>
      <c r="J72" s="9"/>
      <c r="K72" s="9"/>
      <c r="L72" s="9"/>
      <c r="M72" s="9"/>
      <c r="N72" s="9"/>
      <c r="O72" s="122"/>
      <c r="P72" s="123"/>
      <c r="S72" s="158"/>
    </row>
    <row r="73" ht="11" customHeight="1" spans="3:19">
      <c r="C73" s="83"/>
      <c r="D73" s="87"/>
      <c r="E73" s="88"/>
      <c r="F73" s="9"/>
      <c r="G73" s="9"/>
      <c r="I73" s="121"/>
      <c r="J73" s="9"/>
      <c r="K73" s="9"/>
      <c r="L73" s="9"/>
      <c r="M73" s="9"/>
      <c r="N73" s="9"/>
      <c r="O73" s="122"/>
      <c r="P73" s="123"/>
      <c r="S73" s="158"/>
    </row>
    <row r="74" ht="11" customHeight="1" spans="3:19">
      <c r="C74" s="83"/>
      <c r="D74" s="87"/>
      <c r="E74" s="88"/>
      <c r="F74" s="9"/>
      <c r="G74" s="9"/>
      <c r="I74" s="121"/>
      <c r="J74" s="9"/>
      <c r="K74" s="9"/>
      <c r="L74" s="9"/>
      <c r="M74" s="9"/>
      <c r="N74" s="9"/>
      <c r="O74" s="122"/>
      <c r="P74" s="123"/>
      <c r="S74" s="158"/>
    </row>
    <row r="75" ht="11" customHeight="1" spans="3:19">
      <c r="C75" s="83"/>
      <c r="D75" s="87"/>
      <c r="E75" s="88"/>
      <c r="F75" s="9"/>
      <c r="G75" s="9"/>
      <c r="I75" s="121"/>
      <c r="J75" s="9"/>
      <c r="K75" s="9"/>
      <c r="L75" s="9"/>
      <c r="M75" s="9"/>
      <c r="N75" s="9"/>
      <c r="O75" s="122"/>
      <c r="P75" s="123"/>
      <c r="S75" s="158"/>
    </row>
    <row r="76" ht="11" customHeight="1" spans="3:19">
      <c r="C76" s="83"/>
      <c r="D76" s="87"/>
      <c r="E76" s="88"/>
      <c r="F76" s="9"/>
      <c r="G76" s="9"/>
      <c r="I76" s="121"/>
      <c r="J76" s="9"/>
      <c r="K76" s="9"/>
      <c r="L76" s="9"/>
      <c r="M76" s="9"/>
      <c r="N76" s="9"/>
      <c r="O76" s="122"/>
      <c r="P76" s="123"/>
      <c r="S76" s="158"/>
    </row>
    <row r="77" ht="11" customHeight="1" spans="3:19">
      <c r="C77" s="83"/>
      <c r="D77" s="87"/>
      <c r="E77" s="88"/>
      <c r="F77" s="9"/>
      <c r="G77" s="9"/>
      <c r="I77" s="121"/>
      <c r="J77" s="9"/>
      <c r="K77" s="9"/>
      <c r="L77" s="9"/>
      <c r="M77" s="9"/>
      <c r="N77" s="9"/>
      <c r="O77" s="122"/>
      <c r="P77" s="123"/>
      <c r="S77" s="158"/>
    </row>
    <row r="78" ht="11" customHeight="1" spans="3:19">
      <c r="C78" s="83"/>
      <c r="D78" s="87"/>
      <c r="E78" s="88"/>
      <c r="F78" s="9"/>
      <c r="G78" s="9"/>
      <c r="I78" s="121"/>
      <c r="J78" s="9"/>
      <c r="K78" s="9"/>
      <c r="L78" s="9"/>
      <c r="M78" s="9"/>
      <c r="N78" s="9"/>
      <c r="O78" s="122"/>
      <c r="P78" s="123"/>
      <c r="S78" s="158"/>
    </row>
    <row r="79" ht="11" customHeight="1" spans="3:19">
      <c r="C79" s="83"/>
      <c r="D79" s="87"/>
      <c r="E79" s="88"/>
      <c r="F79" s="9"/>
      <c r="G79" s="9"/>
      <c r="I79" s="121"/>
      <c r="J79" s="9"/>
      <c r="K79" s="9"/>
      <c r="L79" s="9"/>
      <c r="M79" s="9"/>
      <c r="N79" s="9"/>
      <c r="O79" s="122"/>
      <c r="P79" s="123"/>
      <c r="S79" s="158"/>
    </row>
    <row r="80" ht="13.5" spans="2:24">
      <c r="B80" s="159" t="s">
        <v>119</v>
      </c>
      <c r="C80" s="160" t="s">
        <v>241</v>
      </c>
      <c r="D80" s="160"/>
      <c r="E80" s="161"/>
      <c r="F80" s="47">
        <v>1.07</v>
      </c>
      <c r="G80" s="9"/>
      <c r="H80" s="9" t="s">
        <v>242</v>
      </c>
      <c r="I80" s="178"/>
      <c r="J80" s="178"/>
      <c r="K80" s="178"/>
      <c r="L80" s="122"/>
      <c r="M80" s="122"/>
      <c r="O80" s="179" t="s">
        <v>243</v>
      </c>
      <c r="P80" s="180"/>
      <c r="Q80" s="194">
        <f>SUM(Q7:Q56)</f>
        <v>1152</v>
      </c>
      <c r="R80" s="195">
        <f>SUM(R7:R56)</f>
        <v>56494.0659528073</v>
      </c>
      <c r="S80" s="196">
        <f>SUM(S7:S56)</f>
        <v>3079.42081072735</v>
      </c>
      <c r="T80" s="196">
        <f>SUM(T7:T56)</f>
        <v>2581.35652173913</v>
      </c>
      <c r="U80" s="196">
        <f>SUM(U7:U56)</f>
        <v>7060.59153380978</v>
      </c>
      <c r="V80" s="188"/>
      <c r="W80" s="188"/>
      <c r="X80" s="188"/>
    </row>
    <row r="81" spans="2:24">
      <c r="B81" s="159"/>
      <c r="C81" s="159" t="s">
        <v>244</v>
      </c>
      <c r="D81" s="159"/>
      <c r="E81" s="162"/>
      <c r="F81" s="163">
        <v>1.035</v>
      </c>
      <c r="G81" s="9"/>
      <c r="I81" s="181"/>
      <c r="J81" s="182"/>
      <c r="K81" s="181"/>
      <c r="L81" s="122"/>
      <c r="M81" s="122"/>
      <c r="N81" s="122"/>
      <c r="O81" s="86"/>
      <c r="P81" s="86"/>
      <c r="Q81" s="155"/>
      <c r="R81" s="155"/>
      <c r="S81" s="155"/>
      <c r="T81" s="155"/>
      <c r="U81" s="155"/>
      <c r="V81" s="155"/>
      <c r="W81" s="155"/>
      <c r="X81" s="155"/>
    </row>
    <row r="82" spans="2:24">
      <c r="B82" s="159" t="s">
        <v>245</v>
      </c>
      <c r="C82" s="164" t="s">
        <v>132</v>
      </c>
      <c r="D82" s="164"/>
      <c r="E82" s="165"/>
      <c r="F82" s="166">
        <v>1650</v>
      </c>
      <c r="H82" s="167" t="s">
        <v>246</v>
      </c>
      <c r="I82" s="166">
        <v>5000</v>
      </c>
      <c r="J82" s="182"/>
      <c r="K82" s="181"/>
      <c r="L82" s="122"/>
      <c r="M82" s="122"/>
      <c r="N82" s="122"/>
      <c r="O82" s="183" t="s">
        <v>247</v>
      </c>
      <c r="P82" s="184"/>
      <c r="Q82" s="160">
        <v>44</v>
      </c>
      <c r="R82" s="197">
        <f>17*Q82*1</f>
        <v>748</v>
      </c>
      <c r="S82" s="198" t="s">
        <v>248</v>
      </c>
      <c r="T82" s="187"/>
      <c r="U82" s="187"/>
      <c r="V82" s="199"/>
      <c r="W82" s="86"/>
      <c r="X82" s="86"/>
    </row>
    <row r="83" spans="2:9">
      <c r="B83" s="168" t="s">
        <v>249</v>
      </c>
      <c r="C83" s="164" t="s">
        <v>250</v>
      </c>
      <c r="D83" s="164"/>
      <c r="E83" s="165"/>
      <c r="F83" s="166">
        <v>750</v>
      </c>
      <c r="G83" s="9"/>
      <c r="H83" s="167" t="s">
        <v>251</v>
      </c>
      <c r="I83" s="185">
        <f>I82-F82</f>
        <v>3350</v>
      </c>
    </row>
    <row r="84" spans="2:24">
      <c r="B84" s="169"/>
      <c r="C84" s="164" t="s">
        <v>134</v>
      </c>
      <c r="D84" s="164"/>
      <c r="E84" s="165"/>
      <c r="F84" s="166">
        <f>SUM(F82:F83)</f>
        <v>2400</v>
      </c>
      <c r="G84" s="9"/>
      <c r="H84" s="167" t="s">
        <v>252</v>
      </c>
      <c r="I84" s="185">
        <f>I83*(F85-1)</f>
        <v>234.5</v>
      </c>
      <c r="J84" s="182"/>
      <c r="K84" s="9"/>
      <c r="L84" s="122"/>
      <c r="M84" s="122"/>
      <c r="N84" s="122"/>
      <c r="O84" s="186" t="s">
        <v>253</v>
      </c>
      <c r="P84" s="187"/>
      <c r="Q84" s="160"/>
      <c r="R84" s="200">
        <f>R80+R82</f>
        <v>57242.0659528073</v>
      </c>
      <c r="S84" s="187"/>
      <c r="T84" s="187"/>
      <c r="U84" s="187"/>
      <c r="V84" s="201"/>
      <c r="W84" s="201"/>
      <c r="X84" s="201"/>
    </row>
    <row r="85" spans="2:16">
      <c r="B85" s="160" t="s">
        <v>254</v>
      </c>
      <c r="C85" s="170" t="s">
        <v>255</v>
      </c>
      <c r="D85" s="170"/>
      <c r="E85" s="171"/>
      <c r="F85" s="38">
        <v>1.07</v>
      </c>
      <c r="I85" s="181"/>
      <c r="J85" s="182"/>
      <c r="K85" s="9"/>
      <c r="L85" s="122"/>
      <c r="M85" s="122"/>
      <c r="N85" s="122"/>
      <c r="O85" s="122"/>
      <c r="P85" s="188"/>
    </row>
    <row r="86" ht="13.5" spans="2:18">
      <c r="B86" s="160" t="s">
        <v>124</v>
      </c>
      <c r="C86" s="170" t="s">
        <v>256</v>
      </c>
      <c r="D86" s="170"/>
      <c r="E86" s="171"/>
      <c r="F86" s="38">
        <v>0.15</v>
      </c>
      <c r="G86" s="9"/>
      <c r="I86" s="181"/>
      <c r="J86" s="182"/>
      <c r="K86" s="9"/>
      <c r="L86" s="122"/>
      <c r="M86" s="122"/>
      <c r="N86" s="122"/>
      <c r="O86" s="179" t="s">
        <v>257</v>
      </c>
      <c r="P86" s="180"/>
      <c r="Q86" s="194"/>
      <c r="R86" s="195">
        <f>I83+I84</f>
        <v>3584.5</v>
      </c>
    </row>
    <row r="87" customHeight="1" spans="2:11">
      <c r="B87" s="172"/>
      <c r="C87" s="172"/>
      <c r="D87" s="172"/>
      <c r="E87" s="173"/>
      <c r="F87" s="174"/>
      <c r="G87" s="175"/>
      <c r="H87" s="176"/>
      <c r="I87" s="189"/>
      <c r="J87" s="189"/>
      <c r="K87" s="190"/>
    </row>
    <row r="88" customHeight="1" spans="3:10">
      <c r="C88" s="172"/>
      <c r="D88" s="172"/>
      <c r="G88" s="175"/>
      <c r="H88" s="176"/>
      <c r="I88" s="189"/>
      <c r="J88" s="189"/>
    </row>
    <row r="89" spans="2:25">
      <c r="B89"/>
      <c r="I89" s="189"/>
      <c r="J89" s="189"/>
      <c r="Y89"/>
    </row>
    <row r="90" spans="9:10">
      <c r="I90" s="189"/>
      <c r="J90" s="189"/>
    </row>
    <row r="91" spans="9:10">
      <c r="I91" s="189"/>
      <c r="J91" s="189"/>
    </row>
    <row r="92" spans="2:24">
      <c r="B92" s="7">
        <f>171+127+233</f>
        <v>531</v>
      </c>
      <c r="I92" s="191"/>
      <c r="J92" s="189"/>
      <c r="U92" s="155"/>
      <c r="V92" s="155"/>
      <c r="W92" s="155"/>
      <c r="X92" s="155"/>
    </row>
    <row r="93" spans="9:24">
      <c r="I93" s="191"/>
      <c r="J93" s="189"/>
      <c r="K93" s="192"/>
      <c r="L93" s="192"/>
      <c r="O93" s="128"/>
      <c r="P93" s="128"/>
      <c r="Q93" s="128"/>
      <c r="R93" s="128"/>
      <c r="S93" s="128"/>
      <c r="T93" s="128"/>
      <c r="U93" s="202"/>
      <c r="V93" s="202"/>
      <c r="W93" s="202"/>
      <c r="X93" s="202"/>
    </row>
    <row r="94" spans="9:12">
      <c r="I94" s="191"/>
      <c r="J94" s="189"/>
      <c r="K94" s="192"/>
      <c r="L94" s="192"/>
    </row>
    <row r="95" spans="9:24">
      <c r="I95" s="191"/>
      <c r="J95" s="189"/>
      <c r="K95" s="189"/>
      <c r="O95" s="128"/>
      <c r="P95" s="128"/>
      <c r="Q95" s="128"/>
      <c r="R95" s="128"/>
      <c r="S95" s="128"/>
      <c r="T95" s="128"/>
      <c r="U95" s="202"/>
      <c r="V95" s="202"/>
      <c r="W95" s="202"/>
      <c r="X95" s="202"/>
    </row>
    <row r="96" spans="17:20">
      <c r="Q96" s="7"/>
      <c r="R96" s="7"/>
      <c r="S96" s="7"/>
      <c r="T96" s="7"/>
    </row>
    <row r="97" ht="13.5" spans="15:24">
      <c r="O97" s="193"/>
      <c r="P97" s="193"/>
      <c r="Q97" s="193"/>
      <c r="R97" s="193"/>
      <c r="S97" s="193"/>
      <c r="T97" s="193"/>
      <c r="U97" s="203"/>
      <c r="V97" s="203"/>
      <c r="W97" s="203"/>
      <c r="X97" s="203"/>
    </row>
    <row r="99" ht="23.25" spans="8:12">
      <c r="H99" s="177"/>
      <c r="I99" s="177"/>
      <c r="J99" s="177"/>
      <c r="K99" s="177"/>
      <c r="L99" s="177"/>
    </row>
    <row r="169" spans="5:5">
      <c r="E169" s="8" t="s">
        <v>108</v>
      </c>
    </row>
  </sheetData>
  <autoFilter xmlns:etc="http://www.wps.cn/officeDocument/2017/etCustomData" ref="A1:V63" etc:filterBottomFollowUsedRange="0">
    <extLst/>
  </autoFilter>
  <mergeCells count="31">
    <mergeCell ref="S3:U3"/>
    <mergeCell ref="O4:R4"/>
    <mergeCell ref="I5:K5"/>
    <mergeCell ref="O80:P80"/>
    <mergeCell ref="O82:P82"/>
    <mergeCell ref="O84:P84"/>
    <mergeCell ref="O86:P86"/>
    <mergeCell ref="O93:Q93"/>
    <mergeCell ref="O95:Q95"/>
    <mergeCell ref="O97:Q97"/>
    <mergeCell ref="H99:L99"/>
    <mergeCell ref="A5:A6"/>
    <mergeCell ref="B5:B6"/>
    <mergeCell ref="B83:B84"/>
    <mergeCell ref="C5:C6"/>
    <mergeCell ref="D5:D6"/>
    <mergeCell ref="E5:E6"/>
    <mergeCell ref="F5:F6"/>
    <mergeCell ref="G5:G6"/>
    <mergeCell ref="H5:H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Y5:Y6"/>
  </mergeCells>
  <pageMargins left="0.7" right="0.7" top="0.75" bottom="0.75" header="0.3" footer="0.3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93536725-0222-4761-82BB-DA3425367A55}">
  <ds:schemaRefs/>
</ds:datastoreItem>
</file>

<file path=customXml/itemProps2.xml><?xml version="1.0" encoding="utf-8"?>
<ds:datastoreItem xmlns:ds="http://schemas.openxmlformats.org/officeDocument/2006/customXml" ds:itemID="{D9A9F497-0AD4-48D1-A1B6-0C58F8CFEE58}">
  <ds:schemaRefs/>
</ds:datastoreItem>
</file>

<file path=customXml/itemProps3.xml><?xml version="1.0" encoding="utf-8"?>
<ds:datastoreItem xmlns:ds="http://schemas.openxmlformats.org/officeDocument/2006/customXml" ds:itemID="{66FF00E5-8186-4301-A1E3-5CB85F854B1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FOURNIER</Company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Mirrotic Mirrors</vt:lpstr>
      <vt:lpstr>Eros Extern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ESCHULER</dc:creator>
  <cp:lastModifiedBy>企业用户_390540452</cp:lastModifiedBy>
  <dcterms:created xsi:type="dcterms:W3CDTF">2010-10-01T13:52:00Z</dcterms:created>
  <dcterms:modified xsi:type="dcterms:W3CDTF">2025-10-09T00:16:08Z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0x0101005FD20EB9978BF144BE8CFDE2306412D3</vt:lpwstr>
  </property>
  <property fmtid="{D5CDD505-2E9C-101B-9397-08002B2CF9AE}" pid="3" name="MediaServiceImageTags">
    <vt:lpwstr/>
  </property>
  <property fmtid="{D5CDD505-2E9C-101B-9397-08002B2CF9AE}" pid="4" name="ICV">
    <vt:lpwstr>A3F0CBCE55B74818836CBC96DFDD7906_12</vt:lpwstr>
  </property>
  <property fmtid="{D5CDD505-2E9C-101B-9397-08002B2CF9AE}" pid="5" name="KSOProductBuildVer">
    <vt:lpwstr>2052-12.1.0.22529</vt:lpwstr>
  </property>
</Properties>
</file>