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gxhe_connect_hku_hk/Documents/MSBA_7003/MSBA_7003_2023/Tutorial 04/"/>
    </mc:Choice>
  </mc:AlternateContent>
  <xr:revisionPtr revIDLastSave="1020" documentId="8_{82F3AD3F-CE33-4947-B91E-9C3100277C11}" xr6:coauthVersionLast="47" xr6:coauthVersionMax="47" xr10:uidLastSave="{718B88E2-0F6B-2848-8FC5-BFDE1D5673DA}"/>
  <bookViews>
    <workbookView xWindow="640" yWindow="500" windowWidth="20660" windowHeight="16220" activeTab="4" xr2:uid="{A2E1646E-F870-4F1C-837C-0E302EACBAA2}"/>
  </bookViews>
  <sheets>
    <sheet name="Q1" sheetId="32" r:id="rId1"/>
    <sheet name="Q2" sheetId="8" r:id="rId2"/>
    <sheet name="Answer Report 1" sheetId="41" r:id="rId3"/>
    <sheet name="Sensitivity Report 1" sheetId="42" r:id="rId4"/>
    <sheet name="Q3" sheetId="3" r:id="rId5"/>
  </sheets>
  <definedNames>
    <definedName name="solver_adj" localSheetId="0" hidden="1">'Q1'!$B$2:$C$2</definedName>
    <definedName name="solver_adj" localSheetId="1" hidden="1">'Q2'!$B$6,'Q2'!$B$4:$F$4</definedName>
    <definedName name="solver_adj" localSheetId="4" hidden="1">'Q3'!$Q$19:$Q$22,'Q3'!$Q$24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0" hidden="1">'Q1'!$B$2:$C$2</definedName>
    <definedName name="solver_lhs1" localSheetId="1" hidden="1">'Q2'!$B$6</definedName>
    <definedName name="solver_lhs1" localSheetId="4" hidden="1">'Q3'!$K$23:$M$23</definedName>
    <definedName name="solver_lhs2" localSheetId="0" hidden="1">'Q1'!$D$5</definedName>
    <definedName name="solver_lhs2" localSheetId="1" hidden="1">'Q2'!$B$6</definedName>
    <definedName name="solver_lhs2" localSheetId="4" hidden="1">'Q3'!$N$23:$P$23</definedName>
    <definedName name="solver_lhs3" localSheetId="0" hidden="1">'Q1'!$D$6</definedName>
    <definedName name="solver_lhs3" localSheetId="1" hidden="1">'Q2'!$G$10</definedName>
    <definedName name="solver_lhs3" localSheetId="4" hidden="1">'Q3'!$R$22</definedName>
    <definedName name="solver_lhs4" localSheetId="0" hidden="1">'Q1'!$D$7</definedName>
    <definedName name="solver_lhs4" localSheetId="1" hidden="1">'Q2'!$G$11</definedName>
    <definedName name="solver_lhs5" localSheetId="1" hidden="1">'Q2'!$G$12</definedName>
    <definedName name="solver_lhs6" localSheetId="1" hidden="1">'Q2'!$G$9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4</definedName>
    <definedName name="solver_num" localSheetId="1" hidden="1">6</definedName>
    <definedName name="solver_num" localSheetId="4" hidden="1">3</definedName>
    <definedName name="solver_nwt" localSheetId="4" hidden="1">1</definedName>
    <definedName name="solver_opt" localSheetId="0" hidden="1">'Q1'!$F$2</definedName>
    <definedName name="solver_opt" localSheetId="1" hidden="1">'Q2'!$B$6</definedName>
    <definedName name="solver_opt" localSheetId="4" hidden="1">'Q3'!$Q$24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0" hidden="1">4</definedName>
    <definedName name="solver_rel1" localSheetId="1" hidden="1">1</definedName>
    <definedName name="solver_rel1" localSheetId="4" hidden="1">1</definedName>
    <definedName name="solver_rel2" localSheetId="0" hidden="1">1</definedName>
    <definedName name="solver_rel2" localSheetId="1" hidden="1">1</definedName>
    <definedName name="solver_rel2" localSheetId="4" hidden="1">3</definedName>
    <definedName name="solver_rel3" localSheetId="0" hidden="1">1</definedName>
    <definedName name="solver_rel3" localSheetId="1" hidden="1">3</definedName>
    <definedName name="solver_rel3" localSheetId="4" hidden="1">2</definedName>
    <definedName name="solver_rel4" localSheetId="0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hs1" localSheetId="0" hidden="1">"integer"</definedName>
    <definedName name="solver_rhs1" localSheetId="1" hidden="1">'Q2'!$G$2</definedName>
    <definedName name="solver_rhs1" localSheetId="4" hidden="1">'Q3'!$K$21:$M$21</definedName>
    <definedName name="solver_rhs2" localSheetId="0" hidden="1">'Q1'!$F$5</definedName>
    <definedName name="solver_rhs2" localSheetId="1" hidden="1">'Q2'!$G$3</definedName>
    <definedName name="solver_rhs2" localSheetId="4" hidden="1">'Q3'!$N$24:$P$24</definedName>
    <definedName name="solver_rhs3" localSheetId="0" hidden="1">'Q1'!$F$6</definedName>
    <definedName name="solver_rhs3" localSheetId="1" hidden="1">'Q2'!$I$10</definedName>
    <definedName name="solver_rhs3" localSheetId="4" hidden="1">1</definedName>
    <definedName name="solver_rhs4" localSheetId="0" hidden="1">'Q1'!$F$7</definedName>
    <definedName name="solver_rhs4" localSheetId="1" hidden="1">'Q2'!$I$11</definedName>
    <definedName name="solver_rhs5" localSheetId="1" hidden="1">'Q2'!$I$12</definedName>
    <definedName name="solver_rhs6" localSheetId="1" hidden="1">'Q2'!$I$9</definedName>
    <definedName name="solver_rlx" localSheetId="0" hidden="1">2</definedName>
    <definedName name="solver_rlx" localSheetId="1" hidden="1">1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8" l="1"/>
  <c r="I11" i="8"/>
  <c r="I10" i="8"/>
  <c r="G12" i="8"/>
  <c r="G11" i="8"/>
  <c r="G10" i="8"/>
  <c r="G9" i="8"/>
  <c r="G3" i="8"/>
  <c r="G2" i="8"/>
  <c r="C3" i="32" l="1"/>
  <c r="B3" i="32"/>
  <c r="F2" i="32"/>
  <c r="D5" i="32"/>
  <c r="D6" i="32"/>
  <c r="D7" i="32"/>
  <c r="C6" i="32"/>
  <c r="B6" i="32"/>
  <c r="C5" i="32"/>
  <c r="B5" i="32"/>
  <c r="F3" i="8" l="1"/>
  <c r="E3" i="8"/>
  <c r="D3" i="8"/>
  <c r="C3" i="8"/>
  <c r="B3" i="8"/>
  <c r="F2" i="8"/>
  <c r="E2" i="8"/>
  <c r="D2" i="8"/>
  <c r="C2" i="8"/>
  <c r="B2" i="8"/>
  <c r="R22" i="3" l="1"/>
  <c r="R7" i="3"/>
  <c r="O32" i="3" l="1"/>
  <c r="P32" i="3"/>
  <c r="N32" i="3"/>
  <c r="L31" i="3"/>
  <c r="M31" i="3"/>
  <c r="N31" i="3"/>
  <c r="O31" i="3"/>
  <c r="P31" i="3"/>
  <c r="K31" i="3"/>
  <c r="O24" i="3"/>
  <c r="P24" i="3"/>
  <c r="N24" i="3"/>
  <c r="L23" i="3"/>
  <c r="M23" i="3"/>
  <c r="N23" i="3"/>
  <c r="O23" i="3"/>
  <c r="P23" i="3"/>
  <c r="K23" i="3"/>
  <c r="O16" i="3"/>
  <c r="P16" i="3"/>
  <c r="N16" i="3"/>
  <c r="L15" i="3"/>
  <c r="M15" i="3"/>
  <c r="N15" i="3"/>
  <c r="O15" i="3"/>
  <c r="P15" i="3"/>
  <c r="K15" i="3"/>
  <c r="O8" i="3"/>
  <c r="P8" i="3"/>
  <c r="N8" i="3"/>
  <c r="L7" i="3"/>
  <c r="M7" i="3"/>
  <c r="N7" i="3"/>
  <c r="O7" i="3"/>
  <c r="P7" i="3"/>
  <c r="K7" i="3"/>
  <c r="D41" i="3"/>
  <c r="D42" i="3"/>
  <c r="D43" i="3"/>
  <c r="D40" i="3"/>
  <c r="B41" i="3"/>
  <c r="B42" i="3"/>
  <c r="B43" i="3"/>
  <c r="B40" i="3"/>
  <c r="D32" i="3"/>
  <c r="D33" i="3"/>
  <c r="D34" i="3"/>
  <c r="D31" i="3"/>
  <c r="B32" i="3"/>
  <c r="B33" i="3"/>
  <c r="B34" i="3"/>
  <c r="B31" i="3"/>
  <c r="D23" i="3"/>
  <c r="D24" i="3"/>
  <c r="D25" i="3"/>
  <c r="D22" i="3"/>
  <c r="B23" i="3"/>
  <c r="B24" i="3"/>
  <c r="B25" i="3"/>
  <c r="B22" i="3"/>
  <c r="D14" i="3"/>
  <c r="D15" i="3"/>
  <c r="D16" i="3"/>
  <c r="D13" i="3"/>
  <c r="B14" i="3"/>
  <c r="B15" i="3"/>
  <c r="B16" i="3"/>
  <c r="B13" i="3"/>
  <c r="G42" i="3" l="1"/>
  <c r="G43" i="3"/>
  <c r="G41" i="3"/>
  <c r="G40" i="3"/>
  <c r="G34" i="3"/>
  <c r="G33" i="3"/>
  <c r="G32" i="3"/>
  <c r="G31" i="3"/>
  <c r="G22" i="3"/>
  <c r="G23" i="3"/>
  <c r="G24" i="3"/>
  <c r="G25" i="3"/>
  <c r="G16" i="3"/>
  <c r="G15" i="3"/>
  <c r="G13" i="3"/>
  <c r="G14" i="3"/>
</calcChain>
</file>

<file path=xl/sharedStrings.xml><?xml version="1.0" encoding="utf-8"?>
<sst xmlns="http://schemas.openxmlformats.org/spreadsheetml/2006/main" count="270" uniqueCount="103">
  <si>
    <t>A</t>
  </si>
  <si>
    <t>B</t>
  </si>
  <si>
    <t>C</t>
  </si>
  <si>
    <t>D</t>
  </si>
  <si>
    <t>&lt;=</t>
  </si>
  <si>
    <t>&gt;=</t>
  </si>
  <si>
    <t>School</t>
  </si>
  <si>
    <t>Input 1</t>
  </si>
  <si>
    <t>Input 2</t>
  </si>
  <si>
    <t>Input 3</t>
  </si>
  <si>
    <t>Output 1</t>
  </si>
  <si>
    <t>Output 3</t>
  </si>
  <si>
    <t>Assuming constant returns to scale</t>
  </si>
  <si>
    <t>Evaluating A</t>
  </si>
  <si>
    <t>Evaluating B</t>
  </si>
  <si>
    <t>Evaluating C</t>
  </si>
  <si>
    <t>Evaluating D</t>
  </si>
  <si>
    <t>Weight</t>
  </si>
  <si>
    <t>TOV</t>
  </si>
  <si>
    <t>TIV</t>
  </si>
  <si>
    <t>fixed as 1</t>
  </si>
  <si>
    <t>Efficiency</t>
  </si>
  <si>
    <t>Virtual</t>
  </si>
  <si>
    <t>k-multiple output</t>
  </si>
  <si>
    <t>Factor k</t>
  </si>
  <si>
    <t>Assuming non-constant returns to scale</t>
  </si>
  <si>
    <t>Constraints</t>
  </si>
  <si>
    <t>Investment</t>
  </si>
  <si>
    <t>Amount</t>
  </si>
  <si>
    <t>Total Return</t>
  </si>
  <si>
    <t>Investment Grade Bonds</t>
  </si>
  <si>
    <t>Commodities</t>
  </si>
  <si>
    <t>Hedge Funds</t>
  </si>
  <si>
    <t>International Equity</t>
  </si>
  <si>
    <t>S&amp;P 500</t>
  </si>
  <si>
    <t>Scer.1- Projected Return (%)</t>
  </si>
  <si>
    <t>Scer.2- Projected Return (%)</t>
  </si>
  <si>
    <t># of business</t>
  </si>
  <si>
    <t># of economy</t>
  </si>
  <si>
    <t>Decision Variables</t>
  </si>
  <si>
    <t>coeff.</t>
  </si>
  <si>
    <t>Constratints</t>
  </si>
  <si>
    <t>Microsoft Excel 16.76 Answer Report</t>
  </si>
  <si>
    <t>Worksheet: [Assignment_3_Solutions2.xlsx]Q2</t>
  </si>
  <si>
    <t>Result: Solver found a solution.  All constraints and optimality conditions are satisfied.</t>
  </si>
  <si>
    <t>Solver Engine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</si>
  <si>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</si>
  <si>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</si>
  <si>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</si>
  <si>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</si>
  <si>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</si>
  <si>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</si>
  <si>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</si>
  <si>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</si>
  <si>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</si>
  <si>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</si>
  <si>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</si>
  <si>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</si>
  <si>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</si>
  <si>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</si>
  <si>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$B$6</t>
  </si>
  <si>
    <t>Total Return Investment Grade Bonds</t>
  </si>
  <si>
    <t>$B$4</t>
  </si>
  <si>
    <t>Amount Investment Grade Bonds</t>
  </si>
  <si>
    <t>Contin</t>
  </si>
  <si>
    <t>$C$4</t>
  </si>
  <si>
    <t>Amount Commodities</t>
  </si>
  <si>
    <t>$D$4</t>
  </si>
  <si>
    <t>Amount Hedge Funds</t>
  </si>
  <si>
    <t>$E$4</t>
  </si>
  <si>
    <t>Amount International Equity</t>
  </si>
  <si>
    <t>$F$4</t>
  </si>
  <si>
    <t>Amount S&amp;P 500</t>
  </si>
  <si>
    <t>$G$10</t>
  </si>
  <si>
    <t>$G$10&gt;=$I$10</t>
  </si>
  <si>
    <t>Not Binding</t>
  </si>
  <si>
    <t>$G$11</t>
  </si>
  <si>
    <t>$G$11&gt;=$I$11</t>
  </si>
  <si>
    <t>Binding</t>
  </si>
  <si>
    <t>$G$12</t>
  </si>
  <si>
    <t>$G$12&lt;=$I$12</t>
  </si>
  <si>
    <t>$G$9</t>
  </si>
  <si>
    <t>$G$9&lt;=$I$9</t>
  </si>
  <si>
    <t>Microsoft Excel 16.76 Sensitivity Report</t>
  </si>
  <si>
    <t>Final</t>
  </si>
  <si>
    <t>Value</t>
  </si>
  <si>
    <t>Reduced</t>
  </si>
  <si>
    <t>Engine: Simplex LP</t>
  </si>
  <si>
    <t>$B$6&lt;=$G$2</t>
  </si>
  <si>
    <t>$B$6&lt;=$G$3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</si>
  <si>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</si>
  <si>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</si>
  <si>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</si>
  <si>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</si>
  <si>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</si>
  <si>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</si>
  <si>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</si>
  <si>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</si>
  <si>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</si>
  <si>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</si>
  <si>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2/10/2023 11:09:31 PM</t>
  </si>
  <si>
    <t>Solution Time: 4295937.535 Seconds.</t>
  </si>
  <si>
    <t>Iterations: 6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</si>
</sst>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9" fontId="0" fillId="0" borderId="0" xfId="1" applyFont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0" borderId="0" xfId="0" applyAlignment="1">
      <alignment wrapText="1" shrinkToFit="1"/>
    </xf>
    <xf numFmtId="0" fontId="4" fillId="0" borderId="0" xfId="0" applyFont="1" applyAlignment="1">
      <alignment wrapText="1" shrinkToFit="1"/>
    </xf>
    <xf numFmtId="0" fontId="0" fillId="8" borderId="0" xfId="0" applyFill="1"/>
    <xf numFmtId="0" fontId="0" fillId="9" borderId="0" xfId="0" applyFill="1"/>
    <xf numFmtId="0" fontId="5" fillId="0" borderId="0" xfId="0" applyFont="1"/>
    <xf numFmtId="0" fontId="0" fillId="0" borderId="4" xfId="0" applyBorder="1"/>
    <xf numFmtId="0" fontId="6" fillId="0" borderId="3" xfId="0" applyFont="1" applyBorder="1" applyAlignment="1">
      <alignment horizontal="center"/>
    </xf>
    <xf numFmtId="0" fontId="0" fillId="0" borderId="5" xfId="0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10" borderId="4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B3A6-AC93-EB40-90CC-24B989D624FF}">
  <dimension ref="A1:F7"/>
  <sheetViews>
    <sheetView workbookViewId="0">
      <selection activeCell="F2" sqref="F2"/>
    </sheetView>
  </sheetViews>
  <sheetFormatPr baseColWidth="10" defaultRowHeight="15" x14ac:dyDescent="0.2"/>
  <cols>
    <col min="1" max="1" width="17" customWidth="1"/>
  </cols>
  <sheetData>
    <row r="1" spans="1:6" x14ac:dyDescent="0.2">
      <c r="B1" t="s">
        <v>37</v>
      </c>
      <c r="C1" t="s">
        <v>38</v>
      </c>
    </row>
    <row r="2" spans="1:6" x14ac:dyDescent="0.2">
      <c r="A2" t="s">
        <v>39</v>
      </c>
      <c r="B2" s="1">
        <v>5</v>
      </c>
      <c r="C2" s="1">
        <v>26</v>
      </c>
      <c r="D2" s="16"/>
      <c r="F2">
        <f>SUMPRODUCT(B2:C2,B3:C3)</f>
        <v>196</v>
      </c>
    </row>
    <row r="3" spans="1:6" x14ac:dyDescent="0.2">
      <c r="A3" t="s">
        <v>40</v>
      </c>
      <c r="B3">
        <f>2*4</f>
        <v>8</v>
      </c>
      <c r="C3">
        <f>1*6</f>
        <v>6</v>
      </c>
      <c r="D3" s="16"/>
    </row>
    <row r="4" spans="1:6" x14ac:dyDescent="0.2">
      <c r="D4" s="16"/>
    </row>
    <row r="5" spans="1:6" x14ac:dyDescent="0.2">
      <c r="A5" t="s">
        <v>41</v>
      </c>
      <c r="B5" s="17">
        <f>1.2</f>
        <v>1.2</v>
      </c>
      <c r="C5" s="17">
        <f>1</f>
        <v>1</v>
      </c>
      <c r="D5" s="2">
        <f>SUMPRODUCT(B5:C5,B$2:C$2)</f>
        <v>32</v>
      </c>
      <c r="E5" t="s">
        <v>4</v>
      </c>
      <c r="F5">
        <v>32</v>
      </c>
    </row>
    <row r="6" spans="1:6" x14ac:dyDescent="0.2">
      <c r="B6" s="17">
        <f>2.2*4</f>
        <v>8.8000000000000007</v>
      </c>
      <c r="C6" s="17">
        <f>1*6</f>
        <v>6</v>
      </c>
      <c r="D6" s="2">
        <f>SUMPRODUCT(B6:C6,B$2:C$2)</f>
        <v>200</v>
      </c>
      <c r="E6" t="s">
        <v>4</v>
      </c>
      <c r="F6">
        <v>200</v>
      </c>
    </row>
    <row r="7" spans="1:6" x14ac:dyDescent="0.2">
      <c r="B7" s="17">
        <v>1</v>
      </c>
      <c r="C7" s="17"/>
      <c r="D7" s="2">
        <f>SUMPRODUCT(B7:C7,B$2:C$2)</f>
        <v>5</v>
      </c>
      <c r="E7" t="s">
        <v>4</v>
      </c>
      <c r="F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6278-A40F-B44B-A0AE-93256F11E25C}">
  <dimension ref="A1:I12"/>
  <sheetViews>
    <sheetView topLeftCell="B1" workbookViewId="0">
      <selection activeCell="I12" sqref="I12"/>
    </sheetView>
  </sheetViews>
  <sheetFormatPr baseColWidth="10" defaultRowHeight="15" x14ac:dyDescent="0.2"/>
  <cols>
    <col min="1" max="1" width="16.1640625" customWidth="1"/>
    <col min="2" max="2" width="21.6640625" bestFit="1" customWidth="1"/>
    <col min="3" max="3" width="13.1640625" customWidth="1"/>
    <col min="5" max="5" width="12.1640625" customWidth="1"/>
  </cols>
  <sheetData>
    <row r="1" spans="1:9" ht="34" x14ac:dyDescent="0.2">
      <c r="A1" s="14" t="s">
        <v>27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</row>
    <row r="2" spans="1:9" ht="32" x14ac:dyDescent="0.2">
      <c r="A2" s="11" t="s">
        <v>35</v>
      </c>
      <c r="B2" s="13">
        <f>1.1/100</f>
        <v>1.1000000000000001E-2</v>
      </c>
      <c r="C2" s="13">
        <f>-5/100</f>
        <v>-0.05</v>
      </c>
      <c r="D2" s="13">
        <f>-1.7/100</f>
        <v>-1.7000000000000001E-2</v>
      </c>
      <c r="E2" s="13">
        <f>-0.3/100</f>
        <v>-3.0000000000000001E-3</v>
      </c>
      <c r="F2" s="13">
        <f>-7.5/100</f>
        <v>-7.4999999999999997E-2</v>
      </c>
      <c r="G2" s="2">
        <f>SUMPRODUCT(B2:F2,B4:F4)</f>
        <v>1350.0000000000002</v>
      </c>
    </row>
    <row r="3" spans="1:9" ht="32" x14ac:dyDescent="0.2">
      <c r="A3" s="11" t="s">
        <v>36</v>
      </c>
      <c r="B3" s="13">
        <f>-2.3/100</f>
        <v>-2.3E-2</v>
      </c>
      <c r="C3" s="13">
        <f>6.8/100</f>
        <v>6.8000000000000005E-2</v>
      </c>
      <c r="D3" s="13">
        <f>4.9/100</f>
        <v>4.9000000000000002E-2</v>
      </c>
      <c r="E3" s="13">
        <f>8.4/100</f>
        <v>8.4000000000000005E-2</v>
      </c>
      <c r="F3" s="13">
        <f>11.8/100</f>
        <v>0.11800000000000001</v>
      </c>
      <c r="G3" s="2">
        <f>SUMPRODUCT(B3:F3,B4:F4)</f>
        <v>4950</v>
      </c>
    </row>
    <row r="4" spans="1:9" x14ac:dyDescent="0.2">
      <c r="A4" t="s">
        <v>28</v>
      </c>
      <c r="B4" s="1">
        <v>150000</v>
      </c>
      <c r="C4" s="1">
        <v>0</v>
      </c>
      <c r="D4" s="1">
        <v>0</v>
      </c>
      <c r="E4" s="1">
        <v>100000</v>
      </c>
      <c r="F4" s="1">
        <v>0</v>
      </c>
    </row>
    <row r="6" spans="1:9" x14ac:dyDescent="0.2">
      <c r="A6" t="s">
        <v>29</v>
      </c>
      <c r="B6" s="12">
        <v>1350.0000000000125</v>
      </c>
    </row>
    <row r="8" spans="1:9" x14ac:dyDescent="0.2">
      <c r="A8" t="s">
        <v>26</v>
      </c>
    </row>
    <row r="9" spans="1:9" x14ac:dyDescent="0.2"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2">
        <f>SUMPRODUCT(B9:F9,$B$4:$F$4)</f>
        <v>250000</v>
      </c>
      <c r="H9" t="s">
        <v>4</v>
      </c>
      <c r="I9">
        <v>250000</v>
      </c>
    </row>
    <row r="10" spans="1:9" x14ac:dyDescent="0.2">
      <c r="B10" s="13">
        <v>1</v>
      </c>
      <c r="C10" s="13"/>
      <c r="D10" s="13"/>
      <c r="E10" s="13"/>
      <c r="F10" s="13"/>
      <c r="G10" s="2">
        <f>SUMPRODUCT(B10:F10,$B$4:$F$4)</f>
        <v>150000</v>
      </c>
      <c r="H10" t="s">
        <v>5</v>
      </c>
      <c r="I10">
        <f>0.2*SUM(B4:F4)</f>
        <v>50000</v>
      </c>
    </row>
    <row r="11" spans="1:9" x14ac:dyDescent="0.2">
      <c r="B11" s="13"/>
      <c r="C11" s="13"/>
      <c r="D11" s="13"/>
      <c r="E11" s="13">
        <v>1</v>
      </c>
      <c r="F11" s="13">
        <v>1</v>
      </c>
      <c r="G11" s="2">
        <f>SUMPRODUCT(B11:F11,$B$4:$F$4)</f>
        <v>100000</v>
      </c>
      <c r="H11" t="s">
        <v>5</v>
      </c>
      <c r="I11">
        <f>0.4*SUM(B4:F4)</f>
        <v>100000</v>
      </c>
    </row>
    <row r="12" spans="1:9" x14ac:dyDescent="0.2">
      <c r="B12" s="13"/>
      <c r="C12" s="13"/>
      <c r="D12" s="13">
        <v>1</v>
      </c>
      <c r="E12" s="13"/>
      <c r="F12" s="13"/>
      <c r="G12" s="2">
        <f>SUMPRODUCT(B12:F12,$B$4:$F$4)</f>
        <v>0</v>
      </c>
      <c r="H12" t="s">
        <v>4</v>
      </c>
      <c r="I12">
        <f>0.8*B4</f>
        <v>120000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6E93-73D5-564E-9703-7CD554901A71}">
  <dimension ref="A1:G36"/>
  <sheetViews>
    <sheetView showGridLines="0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29.6640625" bestFit="1" customWidth="1"/>
    <col min="4" max="4" width="12" bestFit="1" customWidth="1"/>
    <col min="5" max="5" width="12.5" bestFit="1" customWidth="1"/>
    <col min="6" max="6" width="10.1640625" bestFit="1" customWidth="1"/>
    <col min="7" max="7" width="7.1640625" bestFit="1" customWidth="1"/>
  </cols>
  <sheetData>
    <row r="1" spans="1:5" x14ac:dyDescent="0.2">
      <c r="A1" s="18" t="s">
        <v>42</v>
      </c>
    </row>
    <row r="2" spans="1:5" x14ac:dyDescent="0.2">
      <c r="A2" s="18" t="s">
        <v>43</v>
      </c>
    </row>
    <row r="3" spans="1:5" x14ac:dyDescent="0.2">
      <c r="A3" s="18" t="s">
        <v>100</v>
      </c>
    </row>
    <row r="4" spans="1:5" x14ac:dyDescent="0.2">
      <c r="A4" s="18" t="s">
        <v>44</v>
      </c>
    </row>
    <row r="5" spans="1:5" x14ac:dyDescent="0.2">
      <c r="A5" s="18" t="s">
        <v>45</v>
      </c>
    </row>
    <row r="6" spans="1:5" x14ac:dyDescent="0.2">
      <c r="A6" s="18"/>
      <c r="B6" t="s">
        <v>87</v>
      </c>
    </row>
    <row r="7" spans="1:5" x14ac:dyDescent="0.2">
      <c r="A7" s="18"/>
      <c r="B7" t="s">
        <v>101</v>
      </c>
    </row>
    <row r="8" spans="1:5" x14ac:dyDescent="0.2">
      <c r="A8" s="18"/>
      <c r="B8" t="s">
        <v>102</v>
      </c>
    </row>
    <row r="9" spans="1:5" x14ac:dyDescent="0.2">
      <c r="A9" s="18" t="s">
        <v>46</v>
      </c>
    </row>
    <row r="10" spans="1:5" x14ac:dyDescent="0.2">
      <c r="B10" t="s">
        <v>47</v>
      </c>
    </row>
    <row r="11" spans="1:5" x14ac:dyDescent="0.2">
      <c r="B11" t="s">
        <v>48</v>
      </c>
    </row>
    <row r="14" spans="1:5" ht="16" thickBot="1" x14ac:dyDescent="0.25">
      <c r="A14" t="s">
        <v>49</v>
      </c>
    </row>
    <row r="15" spans="1:5" ht="16" thickBot="1" x14ac:dyDescent="0.25">
      <c r="B15" s="20" t="s">
        <v>50</v>
      </c>
      <c r="C15" s="20" t="s">
        <v>51</v>
      </c>
      <c r="D15" s="20" t="s">
        <v>52</v>
      </c>
      <c r="E15" s="20" t="s">
        <v>53</v>
      </c>
    </row>
    <row r="16" spans="1:5" ht="16" thickBot="1" x14ac:dyDescent="0.25">
      <c r="B16" s="19" t="s">
        <v>60</v>
      </c>
      <c r="C16" s="19" t="s">
        <v>61</v>
      </c>
      <c r="D16" s="19">
        <v>1350.0000000000134</v>
      </c>
      <c r="E16" s="19">
        <v>1350.0000000000125</v>
      </c>
    </row>
    <row r="19" spans="1:7" ht="16" thickBot="1" x14ac:dyDescent="0.25">
      <c r="A19" t="s">
        <v>54</v>
      </c>
    </row>
    <row r="20" spans="1:7" ht="16" thickBot="1" x14ac:dyDescent="0.25">
      <c r="B20" s="20" t="s">
        <v>50</v>
      </c>
      <c r="C20" s="20" t="s">
        <v>51</v>
      </c>
      <c r="D20" s="20" t="s">
        <v>52</v>
      </c>
      <c r="E20" s="20" t="s">
        <v>53</v>
      </c>
      <c r="F20" s="20" t="s">
        <v>55</v>
      </c>
    </row>
    <row r="21" spans="1:7" x14ac:dyDescent="0.2">
      <c r="B21" s="21" t="s">
        <v>60</v>
      </c>
      <c r="C21" s="21" t="s">
        <v>61</v>
      </c>
      <c r="D21" s="21">
        <v>1350.0000000000134</v>
      </c>
      <c r="E21" s="21">
        <v>1350.0000000000125</v>
      </c>
      <c r="F21" s="21" t="s">
        <v>64</v>
      </c>
    </row>
    <row r="22" spans="1:7" x14ac:dyDescent="0.2">
      <c r="B22" s="21" t="s">
        <v>62</v>
      </c>
      <c r="C22" s="21" t="s">
        <v>63</v>
      </c>
      <c r="D22" s="21">
        <v>150000.00000000012</v>
      </c>
      <c r="E22" s="21">
        <v>150000</v>
      </c>
      <c r="F22" s="21" t="s">
        <v>64</v>
      </c>
    </row>
    <row r="23" spans="1:7" x14ac:dyDescent="0.2">
      <c r="B23" s="21" t="s">
        <v>65</v>
      </c>
      <c r="C23" s="21" t="s">
        <v>66</v>
      </c>
      <c r="D23" s="21">
        <v>0</v>
      </c>
      <c r="E23" s="21">
        <v>0</v>
      </c>
      <c r="F23" s="21" t="s">
        <v>64</v>
      </c>
    </row>
    <row r="24" spans="1:7" x14ac:dyDescent="0.2">
      <c r="B24" s="21" t="s">
        <v>67</v>
      </c>
      <c r="C24" s="21" t="s">
        <v>68</v>
      </c>
      <c r="D24" s="21">
        <v>0</v>
      </c>
      <c r="E24" s="21">
        <v>0</v>
      </c>
      <c r="F24" s="21" t="s">
        <v>64</v>
      </c>
    </row>
    <row r="25" spans="1:7" x14ac:dyDescent="0.2">
      <c r="B25" s="21" t="s">
        <v>69</v>
      </c>
      <c r="C25" s="21" t="s">
        <v>70</v>
      </c>
      <c r="D25" s="21">
        <v>99999.999999999985</v>
      </c>
      <c r="E25" s="21">
        <v>100000</v>
      </c>
      <c r="F25" s="21" t="s">
        <v>64</v>
      </c>
    </row>
    <row r="26" spans="1:7" ht="16" thickBot="1" x14ac:dyDescent="0.25">
      <c r="B26" s="19" t="s">
        <v>71</v>
      </c>
      <c r="C26" s="19" t="s">
        <v>72</v>
      </c>
      <c r="D26" s="19">
        <v>0</v>
      </c>
      <c r="E26" s="19">
        <v>0</v>
      </c>
      <c r="F26" s="19" t="s">
        <v>64</v>
      </c>
    </row>
    <row r="29" spans="1:7" ht="16" thickBot="1" x14ac:dyDescent="0.25">
      <c r="A29" t="s">
        <v>26</v>
      </c>
    </row>
    <row r="30" spans="1:7" ht="16" thickBot="1" x14ac:dyDescent="0.25">
      <c r="B30" s="20" t="s">
        <v>50</v>
      </c>
      <c r="C30" s="20" t="s">
        <v>51</v>
      </c>
      <c r="D30" s="20" t="s">
        <v>56</v>
      </c>
      <c r="E30" s="20" t="s">
        <v>57</v>
      </c>
      <c r="F30" s="20" t="s">
        <v>58</v>
      </c>
      <c r="G30" s="20" t="s">
        <v>59</v>
      </c>
    </row>
    <row r="31" spans="1:7" x14ac:dyDescent="0.2">
      <c r="B31" s="21" t="s">
        <v>60</v>
      </c>
      <c r="C31" s="21" t="s">
        <v>61</v>
      </c>
      <c r="D31" s="21">
        <v>1350.0000000000125</v>
      </c>
      <c r="E31" s="21" t="s">
        <v>88</v>
      </c>
      <c r="F31" s="21" t="s">
        <v>78</v>
      </c>
      <c r="G31" s="21">
        <v>0</v>
      </c>
    </row>
    <row r="32" spans="1:7" x14ac:dyDescent="0.2">
      <c r="B32" s="21" t="s">
        <v>60</v>
      </c>
      <c r="C32" s="21" t="s">
        <v>61</v>
      </c>
      <c r="D32" s="21">
        <v>1350.0000000000125</v>
      </c>
      <c r="E32" s="21" t="s">
        <v>89</v>
      </c>
      <c r="F32" s="21" t="s">
        <v>75</v>
      </c>
      <c r="G32" s="21">
        <v>3599.9999999999873</v>
      </c>
    </row>
    <row r="33" spans="2:7" x14ac:dyDescent="0.2">
      <c r="B33" s="21" t="s">
        <v>73</v>
      </c>
      <c r="C33" s="21"/>
      <c r="D33" s="21">
        <v>150000</v>
      </c>
      <c r="E33" s="21" t="s">
        <v>74</v>
      </c>
      <c r="F33" s="21" t="s">
        <v>75</v>
      </c>
      <c r="G33" s="21">
        <v>100000</v>
      </c>
    </row>
    <row r="34" spans="2:7" x14ac:dyDescent="0.2">
      <c r="B34" s="21" t="s">
        <v>76</v>
      </c>
      <c r="C34" s="21"/>
      <c r="D34" s="21">
        <v>100000</v>
      </c>
      <c r="E34" s="21" t="s">
        <v>77</v>
      </c>
      <c r="F34" s="21" t="s">
        <v>78</v>
      </c>
      <c r="G34" s="21">
        <v>0</v>
      </c>
    </row>
    <row r="35" spans="2:7" x14ac:dyDescent="0.2">
      <c r="B35" s="21" t="s">
        <v>79</v>
      </c>
      <c r="C35" s="21"/>
      <c r="D35" s="21">
        <v>0</v>
      </c>
      <c r="E35" s="21" t="s">
        <v>80</v>
      </c>
      <c r="F35" s="21" t="s">
        <v>75</v>
      </c>
      <c r="G35" s="21">
        <v>120000</v>
      </c>
    </row>
    <row r="36" spans="2:7" ht="16" thickBot="1" x14ac:dyDescent="0.25">
      <c r="B36" s="19" t="s">
        <v>81</v>
      </c>
      <c r="C36" s="19"/>
      <c r="D36" s="19">
        <v>250000</v>
      </c>
      <c r="E36" s="19" t="s">
        <v>82</v>
      </c>
      <c r="F36" s="19" t="s">
        <v>78</v>
      </c>
      <c r="G36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9A4A-473B-7E49-9253-69BFC5B9BADF}">
  <dimension ref="A1:H24"/>
  <sheetViews>
    <sheetView showGridLines="0" workbookViewId="0">
      <selection activeCell="I33" sqref="I3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9.6640625" bestFit="1" customWidth="1"/>
    <col min="4" max="4" width="7.1640625" bestFit="1" customWidth="1"/>
    <col min="5" max="5" width="8" bestFit="1" customWidth="1"/>
    <col min="6" max="6" width="9.6640625" bestFit="1" customWidth="1"/>
    <col min="7" max="8" width="12.1640625" bestFit="1" customWidth="1"/>
  </cols>
  <sheetData>
    <row r="1" spans="1:8" x14ac:dyDescent="0.2">
      <c r="A1" s="18" t="s">
        <v>83</v>
      </c>
    </row>
    <row r="2" spans="1:8" x14ac:dyDescent="0.2">
      <c r="A2" s="18" t="s">
        <v>43</v>
      </c>
    </row>
    <row r="3" spans="1:8" x14ac:dyDescent="0.2">
      <c r="A3" s="18" t="s">
        <v>100</v>
      </c>
    </row>
    <row r="6" spans="1:8" ht="16" thickBot="1" x14ac:dyDescent="0.25">
      <c r="A6" t="s">
        <v>54</v>
      </c>
    </row>
    <row r="7" spans="1:8" x14ac:dyDescent="0.2">
      <c r="B7" s="22"/>
      <c r="C7" s="22"/>
      <c r="D7" s="22" t="s">
        <v>84</v>
      </c>
      <c r="E7" s="22" t="s">
        <v>86</v>
      </c>
      <c r="F7" s="22" t="s">
        <v>91</v>
      </c>
      <c r="G7" s="22" t="s">
        <v>93</v>
      </c>
      <c r="H7" s="22" t="s">
        <v>93</v>
      </c>
    </row>
    <row r="8" spans="1:8" ht="16" thickBot="1" x14ac:dyDescent="0.25">
      <c r="B8" s="23" t="s">
        <v>50</v>
      </c>
      <c r="C8" s="23" t="s">
        <v>51</v>
      </c>
      <c r="D8" s="23" t="s">
        <v>85</v>
      </c>
      <c r="E8" s="23" t="s">
        <v>90</v>
      </c>
      <c r="F8" s="23" t="s">
        <v>92</v>
      </c>
      <c r="G8" s="23" t="s">
        <v>94</v>
      </c>
      <c r="H8" s="23" t="s">
        <v>95</v>
      </c>
    </row>
    <row r="9" spans="1:8" x14ac:dyDescent="0.2">
      <c r="B9" s="21" t="s">
        <v>60</v>
      </c>
      <c r="C9" s="21" t="s">
        <v>61</v>
      </c>
      <c r="D9" s="21">
        <v>1350.0000000000125</v>
      </c>
      <c r="E9" s="21">
        <v>0</v>
      </c>
      <c r="F9" s="21">
        <v>1</v>
      </c>
      <c r="G9" s="21">
        <v>1E+30</v>
      </c>
      <c r="H9" s="21">
        <v>1</v>
      </c>
    </row>
    <row r="10" spans="1:8" x14ac:dyDescent="0.2">
      <c r="B10" s="21" t="s">
        <v>62</v>
      </c>
      <c r="C10" s="21" t="s">
        <v>63</v>
      </c>
      <c r="D10" s="21">
        <v>150000</v>
      </c>
      <c r="E10" s="21">
        <v>0</v>
      </c>
      <c r="F10" s="21">
        <v>0</v>
      </c>
      <c r="G10" s="21">
        <v>1E+30</v>
      </c>
      <c r="H10" s="21">
        <v>9.0000000000000843E-3</v>
      </c>
    </row>
    <row r="11" spans="1:8" x14ac:dyDescent="0.2">
      <c r="B11" s="21" t="s">
        <v>65</v>
      </c>
      <c r="C11" s="21" t="s">
        <v>66</v>
      </c>
      <c r="D11" s="21">
        <v>0</v>
      </c>
      <c r="E11" s="21">
        <v>-6.099999999999995E-2</v>
      </c>
      <c r="F11" s="21">
        <v>0</v>
      </c>
      <c r="G11" s="21">
        <v>6.099999999999995E-2</v>
      </c>
      <c r="H11" s="21">
        <v>1E+30</v>
      </c>
    </row>
    <row r="12" spans="1:8" x14ac:dyDescent="0.2">
      <c r="B12" s="21" t="s">
        <v>67</v>
      </c>
      <c r="C12" s="21" t="s">
        <v>68</v>
      </c>
      <c r="D12" s="21">
        <v>0</v>
      </c>
      <c r="E12" s="21">
        <v>-2.8000000000000122E-2</v>
      </c>
      <c r="F12" s="21">
        <v>0</v>
      </c>
      <c r="G12" s="21">
        <v>2.8000000000000122E-2</v>
      </c>
      <c r="H12" s="21">
        <v>1E+30</v>
      </c>
    </row>
    <row r="13" spans="1:8" x14ac:dyDescent="0.2">
      <c r="B13" s="21" t="s">
        <v>69</v>
      </c>
      <c r="C13" s="21" t="s">
        <v>70</v>
      </c>
      <c r="D13" s="21">
        <v>100000</v>
      </c>
      <c r="E13" s="21">
        <v>0</v>
      </c>
      <c r="F13" s="21">
        <v>0</v>
      </c>
      <c r="G13" s="21">
        <v>1.3999999999999915E-2</v>
      </c>
      <c r="H13" s="21">
        <v>1.3500000000000126E-2</v>
      </c>
    </row>
    <row r="14" spans="1:8" ht="16" thickBot="1" x14ac:dyDescent="0.25">
      <c r="B14" s="19" t="s">
        <v>71</v>
      </c>
      <c r="C14" s="19" t="s">
        <v>72</v>
      </c>
      <c r="D14" s="19">
        <v>0</v>
      </c>
      <c r="E14" s="19">
        <v>-7.2000000000000064E-2</v>
      </c>
      <c r="F14" s="19">
        <v>0</v>
      </c>
      <c r="G14" s="19">
        <v>7.2000000000000064E-2</v>
      </c>
      <c r="H14" s="19">
        <v>1E+30</v>
      </c>
    </row>
    <row r="16" spans="1:8" ht="16" thickBot="1" x14ac:dyDescent="0.25">
      <c r="A16" t="s">
        <v>26</v>
      </c>
    </row>
    <row r="17" spans="2:8" x14ac:dyDescent="0.2">
      <c r="B17" s="22"/>
      <c r="C17" s="22"/>
      <c r="D17" s="22" t="s">
        <v>84</v>
      </c>
      <c r="E17" s="22" t="s">
        <v>96</v>
      </c>
      <c r="F17" s="22" t="s">
        <v>98</v>
      </c>
      <c r="G17" s="22" t="s">
        <v>93</v>
      </c>
      <c r="H17" s="22" t="s">
        <v>93</v>
      </c>
    </row>
    <row r="18" spans="2:8" ht="16" thickBot="1" x14ac:dyDescent="0.25">
      <c r="B18" s="23" t="s">
        <v>50</v>
      </c>
      <c r="C18" s="23" t="s">
        <v>51</v>
      </c>
      <c r="D18" s="23" t="s">
        <v>85</v>
      </c>
      <c r="E18" s="23" t="s">
        <v>97</v>
      </c>
      <c r="F18" s="23" t="s">
        <v>99</v>
      </c>
      <c r="G18" s="23" t="s">
        <v>94</v>
      </c>
      <c r="H18" s="23" t="s">
        <v>95</v>
      </c>
    </row>
    <row r="19" spans="2:8" x14ac:dyDescent="0.2">
      <c r="B19" s="21" t="s">
        <v>60</v>
      </c>
      <c r="C19" s="21" t="s">
        <v>61</v>
      </c>
      <c r="D19" s="21">
        <v>1350.0000000000125</v>
      </c>
      <c r="E19" s="21">
        <v>1</v>
      </c>
      <c r="F19" s="21">
        <v>0</v>
      </c>
      <c r="G19" s="21">
        <v>3599.9999999999973</v>
      </c>
      <c r="H19" s="21">
        <v>1350.0000000000125</v>
      </c>
    </row>
    <row r="20" spans="2:8" x14ac:dyDescent="0.2">
      <c r="B20" s="21" t="s">
        <v>60</v>
      </c>
      <c r="C20" s="21" t="s">
        <v>61</v>
      </c>
      <c r="D20" s="21">
        <v>1350.0000000000125</v>
      </c>
      <c r="E20" s="21">
        <v>0</v>
      </c>
      <c r="F20" s="21">
        <v>0</v>
      </c>
      <c r="G20" s="21">
        <v>1E+30</v>
      </c>
      <c r="H20" s="21">
        <v>3599.9999999999973</v>
      </c>
    </row>
    <row r="21" spans="2:8" x14ac:dyDescent="0.2">
      <c r="B21" s="21" t="s">
        <v>73</v>
      </c>
      <c r="C21" s="21"/>
      <c r="D21" s="21">
        <v>150000</v>
      </c>
      <c r="E21" s="21">
        <v>0</v>
      </c>
      <c r="F21" s="21">
        <v>0</v>
      </c>
      <c r="G21" s="21">
        <v>100000.00000000003</v>
      </c>
      <c r="H21" s="21">
        <v>1E+30</v>
      </c>
    </row>
    <row r="22" spans="2:8" x14ac:dyDescent="0.2">
      <c r="B22" s="21" t="s">
        <v>76</v>
      </c>
      <c r="C22" s="21"/>
      <c r="D22" s="21">
        <v>100000</v>
      </c>
      <c r="E22" s="21">
        <v>-1.3999999999999908E-2</v>
      </c>
      <c r="F22" s="21">
        <v>0</v>
      </c>
      <c r="G22" s="21">
        <v>96428.571428572948</v>
      </c>
      <c r="H22" s="21">
        <v>29752.066115702517</v>
      </c>
    </row>
    <row r="23" spans="2:8" x14ac:dyDescent="0.2">
      <c r="B23" s="21" t="s">
        <v>79</v>
      </c>
      <c r="C23" s="21"/>
      <c r="D23" s="21">
        <v>0</v>
      </c>
      <c r="E23" s="21">
        <v>0</v>
      </c>
      <c r="F23" s="21">
        <v>0</v>
      </c>
      <c r="G23" s="21">
        <v>1E+30</v>
      </c>
      <c r="H23" s="21">
        <v>120000.00000000004</v>
      </c>
    </row>
    <row r="24" spans="2:8" ht="16" thickBot="1" x14ac:dyDescent="0.25">
      <c r="B24" s="19" t="s">
        <v>81</v>
      </c>
      <c r="C24" s="19"/>
      <c r="D24" s="19">
        <v>250000</v>
      </c>
      <c r="E24" s="24">
        <v>5.4000000000000506E-3</v>
      </c>
      <c r="F24" s="19">
        <v>250000</v>
      </c>
      <c r="G24" s="19">
        <v>1E+30</v>
      </c>
      <c r="H24" s="19">
        <v>249999.99999999997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DE8A-ABD4-4933-BC75-87E46FDC88E3}">
  <dimension ref="A1:R43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6.83203125" bestFit="1" customWidth="1"/>
    <col min="2" max="7" width="10.6640625" customWidth="1"/>
  </cols>
  <sheetData>
    <row r="1" spans="1:18" ht="17" x14ac:dyDescent="0.2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10</v>
      </c>
      <c r="G1" s="5" t="s">
        <v>11</v>
      </c>
      <c r="J1" s="6" t="s">
        <v>25</v>
      </c>
    </row>
    <row r="2" spans="1:18" ht="17" x14ac:dyDescent="0.2">
      <c r="A2" s="5" t="s">
        <v>0</v>
      </c>
      <c r="B2" s="10">
        <v>14.5</v>
      </c>
      <c r="C2" s="10">
        <v>3</v>
      </c>
      <c r="D2" s="10">
        <v>0.25</v>
      </c>
      <c r="E2" s="10">
        <v>3.5</v>
      </c>
      <c r="F2" s="10">
        <v>2.7</v>
      </c>
      <c r="G2" s="10">
        <v>3</v>
      </c>
      <c r="J2" t="s">
        <v>13</v>
      </c>
      <c r="Q2" t="s">
        <v>17</v>
      </c>
    </row>
    <row r="3" spans="1:18" ht="17" x14ac:dyDescent="0.2">
      <c r="A3" s="5" t="s">
        <v>1</v>
      </c>
      <c r="B3" s="10">
        <v>13</v>
      </c>
      <c r="C3" s="10">
        <v>2</v>
      </c>
      <c r="D3" s="10">
        <v>0.13</v>
      </c>
      <c r="E3" s="10">
        <v>3.3</v>
      </c>
      <c r="F3" s="10">
        <v>2.5</v>
      </c>
      <c r="G3" s="10">
        <v>2.4</v>
      </c>
      <c r="J3" s="5" t="s">
        <v>0</v>
      </c>
      <c r="K3" s="10">
        <v>14.5</v>
      </c>
      <c r="L3" s="10">
        <v>3</v>
      </c>
      <c r="M3" s="10">
        <v>0.25</v>
      </c>
      <c r="N3" s="10">
        <v>3.5</v>
      </c>
      <c r="O3" s="10">
        <v>2.7</v>
      </c>
      <c r="P3" s="10">
        <v>3</v>
      </c>
      <c r="Q3" s="1">
        <v>0</v>
      </c>
    </row>
    <row r="4" spans="1:18" ht="17" x14ac:dyDescent="0.2">
      <c r="A4" s="5" t="s">
        <v>2</v>
      </c>
      <c r="B4" s="10">
        <v>15.5</v>
      </c>
      <c r="C4" s="10">
        <v>4</v>
      </c>
      <c r="D4" s="10">
        <v>0.28000000000000003</v>
      </c>
      <c r="E4" s="10">
        <v>3.8</v>
      </c>
      <c r="F4" s="10">
        <v>3</v>
      </c>
      <c r="G4" s="10">
        <v>3.3</v>
      </c>
      <c r="J4" s="5" t="s">
        <v>1</v>
      </c>
      <c r="K4" s="5">
        <v>13</v>
      </c>
      <c r="L4" s="5">
        <v>2</v>
      </c>
      <c r="M4" s="5">
        <v>0.13</v>
      </c>
      <c r="N4" s="5">
        <v>3.3</v>
      </c>
      <c r="O4" s="5">
        <v>2.5</v>
      </c>
      <c r="P4" s="5">
        <v>2.4</v>
      </c>
      <c r="Q4" s="1">
        <v>0.53125000000000044</v>
      </c>
    </row>
    <row r="5" spans="1:18" ht="17" x14ac:dyDescent="0.2">
      <c r="A5" s="5" t="s">
        <v>3</v>
      </c>
      <c r="B5" s="10">
        <v>16.2</v>
      </c>
      <c r="C5" s="10">
        <v>3</v>
      </c>
      <c r="D5" s="10">
        <v>0.33</v>
      </c>
      <c r="E5" s="10">
        <v>4</v>
      </c>
      <c r="F5" s="10">
        <v>3.8</v>
      </c>
      <c r="G5" s="10">
        <v>4</v>
      </c>
      <c r="J5" s="5" t="s">
        <v>2</v>
      </c>
      <c r="K5" s="5">
        <v>15.5</v>
      </c>
      <c r="L5" s="5">
        <v>4</v>
      </c>
      <c r="M5" s="5">
        <v>0.28000000000000003</v>
      </c>
      <c r="N5" s="5">
        <v>3.8</v>
      </c>
      <c r="O5" s="5">
        <v>3</v>
      </c>
      <c r="P5" s="5">
        <v>3.3</v>
      </c>
      <c r="Q5" s="1">
        <v>0</v>
      </c>
    </row>
    <row r="6" spans="1:18" ht="17" x14ac:dyDescent="0.2">
      <c r="J6" s="5" t="s">
        <v>3</v>
      </c>
      <c r="K6" s="5">
        <v>16.2</v>
      </c>
      <c r="L6" s="5">
        <v>3</v>
      </c>
      <c r="M6" s="5">
        <v>0.33</v>
      </c>
      <c r="N6" s="5">
        <v>4</v>
      </c>
      <c r="O6" s="5">
        <v>3.8</v>
      </c>
      <c r="P6" s="5">
        <v>4</v>
      </c>
      <c r="Q6" s="1">
        <v>0.46874999999999956</v>
      </c>
    </row>
    <row r="7" spans="1:18" ht="17" x14ac:dyDescent="0.2">
      <c r="J7" s="5" t="s">
        <v>22</v>
      </c>
      <c r="K7" s="2">
        <f>SUMPRODUCT(K3:K6,$Q$3:$Q$6)</f>
        <v>14.499999999999998</v>
      </c>
      <c r="L7" s="2">
        <f t="shared" ref="L7:P7" si="0">SUMPRODUCT(L3:L6,$Q$3:$Q$6)</f>
        <v>2.4687499999999996</v>
      </c>
      <c r="M7" s="2">
        <f t="shared" si="0"/>
        <v>0.22374999999999992</v>
      </c>
      <c r="N7" s="2">
        <f t="shared" si="0"/>
        <v>3.6281249999999998</v>
      </c>
      <c r="O7" s="2">
        <f t="shared" si="0"/>
        <v>3.1093749999999991</v>
      </c>
      <c r="P7" s="2">
        <f t="shared" si="0"/>
        <v>3.1499999999999995</v>
      </c>
      <c r="Q7" t="s">
        <v>24</v>
      </c>
      <c r="R7" s="2">
        <f>SUM(Q3:Q6)</f>
        <v>1</v>
      </c>
    </row>
    <row r="8" spans="1:18" ht="16" x14ac:dyDescent="0.2">
      <c r="A8" s="6" t="s">
        <v>12</v>
      </c>
      <c r="M8" s="3" t="s">
        <v>23</v>
      </c>
      <c r="N8">
        <f>N3*$Q$8</f>
        <v>3.6281249999999989</v>
      </c>
      <c r="O8">
        <f t="shared" ref="O8:P8" si="1">O3*$Q$8</f>
        <v>2.7988392857142852</v>
      </c>
      <c r="P8">
        <f t="shared" si="1"/>
        <v>3.1098214285714278</v>
      </c>
      <c r="Q8" s="1">
        <v>1.0366071428571426</v>
      </c>
    </row>
    <row r="9" spans="1:18" x14ac:dyDescent="0.2">
      <c r="A9" t="s">
        <v>13</v>
      </c>
    </row>
    <row r="10" spans="1:18" ht="17" x14ac:dyDescent="0.2">
      <c r="B10" s="5" t="s">
        <v>7</v>
      </c>
      <c r="C10" s="5" t="s">
        <v>8</v>
      </c>
      <c r="D10" s="5" t="s">
        <v>9</v>
      </c>
      <c r="E10" s="5" t="s">
        <v>10</v>
      </c>
      <c r="F10" s="5" t="s">
        <v>10</v>
      </c>
      <c r="G10" s="5" t="s">
        <v>11</v>
      </c>
      <c r="J10" t="s">
        <v>14</v>
      </c>
      <c r="Q10" t="s">
        <v>17</v>
      </c>
    </row>
    <row r="11" spans="1:18" ht="17" x14ac:dyDescent="0.2">
      <c r="A11" t="s">
        <v>17</v>
      </c>
      <c r="B11" s="7">
        <v>6.8965517241379309E-2</v>
      </c>
      <c r="C11" s="7">
        <v>0</v>
      </c>
      <c r="D11" s="7">
        <v>0</v>
      </c>
      <c r="E11" s="7">
        <v>0.25134099616858269</v>
      </c>
      <c r="F11" s="7">
        <v>0</v>
      </c>
      <c r="G11" s="7">
        <v>2.7969348659003575E-2</v>
      </c>
      <c r="J11" s="5" t="s">
        <v>0</v>
      </c>
      <c r="K11" s="5">
        <v>14.5</v>
      </c>
      <c r="L11" s="5">
        <v>3</v>
      </c>
      <c r="M11" s="5">
        <v>0.25</v>
      </c>
      <c r="N11" s="5">
        <v>3.5</v>
      </c>
      <c r="O11" s="5">
        <v>2.7</v>
      </c>
      <c r="P11" s="5">
        <v>3</v>
      </c>
      <c r="Q11" s="1">
        <v>0</v>
      </c>
    </row>
    <row r="12" spans="1:18" ht="17" x14ac:dyDescent="0.2">
      <c r="B12" s="5" t="s">
        <v>18</v>
      </c>
      <c r="C12" s="5"/>
      <c r="D12" s="5" t="s">
        <v>19</v>
      </c>
      <c r="E12" s="5"/>
      <c r="F12" s="5"/>
      <c r="G12" s="5" t="s">
        <v>21</v>
      </c>
      <c r="J12" s="5" t="s">
        <v>1</v>
      </c>
      <c r="K12" s="10">
        <v>13</v>
      </c>
      <c r="L12" s="10">
        <v>2</v>
      </c>
      <c r="M12" s="10">
        <v>0.13</v>
      </c>
      <c r="N12" s="10">
        <v>3.3</v>
      </c>
      <c r="O12" s="10">
        <v>2.5</v>
      </c>
      <c r="P12" s="10">
        <v>2.4</v>
      </c>
      <c r="Q12" s="1">
        <v>0.99999999999999756</v>
      </c>
    </row>
    <row r="13" spans="1:18" ht="17" x14ac:dyDescent="0.2">
      <c r="A13" t="s">
        <v>0</v>
      </c>
      <c r="B13" s="4">
        <f>SUMPRODUCT($E$11:$G$11,E2:G2)</f>
        <v>0.96360153256705017</v>
      </c>
      <c r="C13" t="s">
        <v>4</v>
      </c>
      <c r="D13">
        <f>SUMPRODUCT($B$11:$D$11,B2:D2)</f>
        <v>1</v>
      </c>
      <c r="E13" t="s">
        <v>20</v>
      </c>
      <c r="G13" s="8">
        <f>B13/D13</f>
        <v>0.96360153256705017</v>
      </c>
      <c r="J13" s="5" t="s">
        <v>2</v>
      </c>
      <c r="K13" s="5">
        <v>15.5</v>
      </c>
      <c r="L13" s="5">
        <v>4</v>
      </c>
      <c r="M13" s="5">
        <v>0.28000000000000003</v>
      </c>
      <c r="N13" s="5">
        <v>3.8</v>
      </c>
      <c r="O13" s="5">
        <v>3</v>
      </c>
      <c r="P13" s="5">
        <v>3.3</v>
      </c>
      <c r="Q13" s="1">
        <v>0</v>
      </c>
    </row>
    <row r="14" spans="1:18" ht="17" x14ac:dyDescent="0.2">
      <c r="A14" t="s">
        <v>1</v>
      </c>
      <c r="B14">
        <f t="shared" ref="B14:B16" si="2">SUMPRODUCT($E$11:$G$11,E3:G3)</f>
        <v>0.89655172413793138</v>
      </c>
      <c r="C14" t="s">
        <v>4</v>
      </c>
      <c r="D14">
        <f t="shared" ref="D14:D16" si="3">SUMPRODUCT($B$11:$D$11,B3:D3)</f>
        <v>0.89655172413793105</v>
      </c>
      <c r="G14" s="8">
        <f t="shared" ref="G14:G16" si="4">B14/D14</f>
        <v>1.0000000000000004</v>
      </c>
      <c r="J14" s="5" t="s">
        <v>3</v>
      </c>
      <c r="K14" s="5">
        <v>16.2</v>
      </c>
      <c r="L14" s="5">
        <v>3</v>
      </c>
      <c r="M14" s="5">
        <v>0.33</v>
      </c>
      <c r="N14" s="5">
        <v>4</v>
      </c>
      <c r="O14" s="5">
        <v>3.8</v>
      </c>
      <c r="P14" s="5">
        <v>4</v>
      </c>
      <c r="Q14" s="1">
        <v>0</v>
      </c>
    </row>
    <row r="15" spans="1:18" ht="17" x14ac:dyDescent="0.2">
      <c r="A15" t="s">
        <v>2</v>
      </c>
      <c r="B15">
        <f t="shared" si="2"/>
        <v>1.0473946360153259</v>
      </c>
      <c r="C15" t="s">
        <v>4</v>
      </c>
      <c r="D15">
        <f t="shared" si="3"/>
        <v>1.0689655172413792</v>
      </c>
      <c r="G15" s="8">
        <f t="shared" si="4"/>
        <v>0.97982078853046628</v>
      </c>
      <c r="J15" s="5" t="s">
        <v>22</v>
      </c>
      <c r="K15" s="2">
        <f>SUMPRODUCT(K11:K14,$Q$11:$Q$14)</f>
        <v>12.999999999999968</v>
      </c>
      <c r="L15" s="2">
        <f t="shared" ref="L15:P15" si="5">SUMPRODUCT(L11:L14,$Q$11:$Q$14)</f>
        <v>1.9999999999999951</v>
      </c>
      <c r="M15" s="2">
        <f t="shared" si="5"/>
        <v>0.1299999999999997</v>
      </c>
      <c r="N15" s="2">
        <f t="shared" si="5"/>
        <v>3.2999999999999918</v>
      </c>
      <c r="O15" s="2">
        <f t="shared" si="5"/>
        <v>2.4999999999999938</v>
      </c>
      <c r="P15" s="2">
        <f t="shared" si="5"/>
        <v>2.3999999999999941</v>
      </c>
      <c r="Q15" t="s">
        <v>24</v>
      </c>
    </row>
    <row r="16" spans="1:18" x14ac:dyDescent="0.2">
      <c r="A16" t="s">
        <v>3</v>
      </c>
      <c r="B16">
        <f t="shared" si="2"/>
        <v>1.1172413793103451</v>
      </c>
      <c r="C16" t="s">
        <v>4</v>
      </c>
      <c r="D16">
        <f t="shared" si="3"/>
        <v>1.1172413793103448</v>
      </c>
      <c r="G16" s="8">
        <f t="shared" si="4"/>
        <v>1.0000000000000002</v>
      </c>
      <c r="M16" s="3" t="s">
        <v>23</v>
      </c>
      <c r="N16">
        <f>N12*$Q$16</f>
        <v>3.2999999999999967</v>
      </c>
      <c r="O16">
        <f t="shared" ref="O16:P16" si="6">O12*$Q$16</f>
        <v>2.4999999999999978</v>
      </c>
      <c r="P16">
        <f t="shared" si="6"/>
        <v>2.3999999999999977</v>
      </c>
      <c r="Q16" s="1">
        <v>0.99999999999999911</v>
      </c>
    </row>
    <row r="18" spans="1:18" x14ac:dyDescent="0.2">
      <c r="A18" t="s">
        <v>14</v>
      </c>
      <c r="J18" t="s">
        <v>15</v>
      </c>
      <c r="Q18" t="s">
        <v>17</v>
      </c>
    </row>
    <row r="19" spans="1:18" ht="17" x14ac:dyDescent="0.2">
      <c r="B19" s="5" t="s">
        <v>7</v>
      </c>
      <c r="C19" s="5" t="s">
        <v>8</v>
      </c>
      <c r="D19" s="5" t="s">
        <v>9</v>
      </c>
      <c r="E19" s="5" t="s">
        <v>10</v>
      </c>
      <c r="F19" s="5" t="s">
        <v>10</v>
      </c>
      <c r="G19" s="5" t="s">
        <v>11</v>
      </c>
      <c r="J19" s="5" t="s">
        <v>0</v>
      </c>
      <c r="K19" s="5">
        <v>14.5</v>
      </c>
      <c r="L19" s="5">
        <v>3</v>
      </c>
      <c r="M19" s="5">
        <v>0.25</v>
      </c>
      <c r="N19" s="5">
        <v>3.5</v>
      </c>
      <c r="O19" s="5">
        <v>2.7</v>
      </c>
      <c r="P19" s="5">
        <v>3</v>
      </c>
      <c r="Q19" s="1">
        <v>0</v>
      </c>
    </row>
    <row r="20" spans="1:18" ht="17" x14ac:dyDescent="0.2">
      <c r="A20" t="s">
        <v>17</v>
      </c>
      <c r="B20" s="7">
        <v>6.0622710622710241E-2</v>
      </c>
      <c r="C20" s="7">
        <v>0</v>
      </c>
      <c r="D20" s="7">
        <v>1.6300366300366584</v>
      </c>
      <c r="E20" s="7">
        <v>0</v>
      </c>
      <c r="F20" s="7">
        <v>0.4</v>
      </c>
      <c r="G20" s="7">
        <v>0</v>
      </c>
      <c r="J20" s="5" t="s">
        <v>1</v>
      </c>
      <c r="K20" s="5">
        <v>13</v>
      </c>
      <c r="L20" s="5">
        <v>2</v>
      </c>
      <c r="M20" s="5">
        <v>0.13</v>
      </c>
      <c r="N20" s="5">
        <v>3.3</v>
      </c>
      <c r="O20" s="5">
        <v>2.5</v>
      </c>
      <c r="P20" s="5">
        <v>2.4</v>
      </c>
      <c r="Q20" s="1">
        <v>0.24999999999999964</v>
      </c>
    </row>
    <row r="21" spans="1:18" ht="17" x14ac:dyDescent="0.2">
      <c r="B21" s="5" t="s">
        <v>18</v>
      </c>
      <c r="C21" s="5"/>
      <c r="D21" s="5" t="s">
        <v>19</v>
      </c>
      <c r="E21" s="5"/>
      <c r="F21" s="5"/>
      <c r="G21" s="5" t="s">
        <v>21</v>
      </c>
      <c r="J21" s="5" t="s">
        <v>2</v>
      </c>
      <c r="K21" s="10">
        <v>15.5</v>
      </c>
      <c r="L21" s="10">
        <v>4</v>
      </c>
      <c r="M21" s="10">
        <v>0.28000000000000003</v>
      </c>
      <c r="N21" s="10">
        <v>3.8</v>
      </c>
      <c r="O21" s="10">
        <v>3</v>
      </c>
      <c r="P21" s="10">
        <v>3.3</v>
      </c>
      <c r="Q21" s="1">
        <v>0</v>
      </c>
    </row>
    <row r="22" spans="1:18" ht="17" x14ac:dyDescent="0.2">
      <c r="A22" t="s">
        <v>0</v>
      </c>
      <c r="B22" s="5">
        <f>SUMPRODUCT($E$20:$G$20,E2:G2)</f>
        <v>1.08</v>
      </c>
      <c r="C22" t="s">
        <v>4</v>
      </c>
      <c r="D22" s="5">
        <f>SUMPRODUCT($B$20:$D$20,B2:D2)</f>
        <v>1.2865384615384632</v>
      </c>
      <c r="E22" s="5"/>
      <c r="F22" s="5"/>
      <c r="G22" s="8">
        <f>B22/D22</f>
        <v>0.83946188340807071</v>
      </c>
      <c r="J22" s="5" t="s">
        <v>3</v>
      </c>
      <c r="K22" s="5">
        <v>16.2</v>
      </c>
      <c r="L22" s="5">
        <v>3</v>
      </c>
      <c r="M22" s="5">
        <v>0.33</v>
      </c>
      <c r="N22" s="5">
        <v>4</v>
      </c>
      <c r="O22" s="5">
        <v>3.8</v>
      </c>
      <c r="P22" s="5">
        <v>4</v>
      </c>
      <c r="Q22" s="1">
        <v>0.75000000000000033</v>
      </c>
      <c r="R22">
        <f>SUM(Q19:Q22)</f>
        <v>1</v>
      </c>
    </row>
    <row r="23" spans="1:18" ht="17" x14ac:dyDescent="0.2">
      <c r="A23" t="s">
        <v>1</v>
      </c>
      <c r="B23" s="9">
        <f t="shared" ref="B23:B25" si="7">SUMPRODUCT($E$20:$G$20,E3:G3)</f>
        <v>1</v>
      </c>
      <c r="C23" t="s">
        <v>4</v>
      </c>
      <c r="D23" s="5">
        <f t="shared" ref="D23:D25" si="8">SUMPRODUCT($B$20:$D$20,B3:D3)</f>
        <v>0.99999999999999867</v>
      </c>
      <c r="E23" t="s">
        <v>20</v>
      </c>
      <c r="F23" s="5"/>
      <c r="G23" s="8">
        <f t="shared" ref="G23:G25" si="9">B23/D23</f>
        <v>1.0000000000000013</v>
      </c>
      <c r="J23" s="5" t="s">
        <v>22</v>
      </c>
      <c r="K23" s="2">
        <f>SUMPRODUCT(K19:K22,$Q$19:$Q$22)</f>
        <v>15.4</v>
      </c>
      <c r="L23" s="2">
        <f t="shared" ref="L23:P23" si="10">SUMPRODUCT(L19:L22,$Q$19:$Q$22)</f>
        <v>2.75</v>
      </c>
      <c r="M23" s="2">
        <f t="shared" si="10"/>
        <v>0.28000000000000008</v>
      </c>
      <c r="N23" s="2">
        <f t="shared" si="10"/>
        <v>3.8250000000000002</v>
      </c>
      <c r="O23" s="2">
        <f t="shared" si="10"/>
        <v>3.4750000000000001</v>
      </c>
      <c r="P23" s="2">
        <f t="shared" si="10"/>
        <v>3.6000000000000005</v>
      </c>
      <c r="Q23" t="s">
        <v>24</v>
      </c>
    </row>
    <row r="24" spans="1:18" ht="16" x14ac:dyDescent="0.2">
      <c r="A24" t="s">
        <v>2</v>
      </c>
      <c r="B24" s="5">
        <f t="shared" si="7"/>
        <v>1.2000000000000002</v>
      </c>
      <c r="C24" t="s">
        <v>4</v>
      </c>
      <c r="D24" s="5">
        <f t="shared" si="8"/>
        <v>1.3960622710622732</v>
      </c>
      <c r="E24" s="5"/>
      <c r="F24" s="5"/>
      <c r="G24" s="8">
        <f t="shared" si="9"/>
        <v>0.8595605116431605</v>
      </c>
      <c r="M24" s="3" t="s">
        <v>23</v>
      </c>
      <c r="N24">
        <f>N21*$Q$24</f>
        <v>3.8250000000000006</v>
      </c>
      <c r="O24">
        <f t="shared" ref="O24:P24" si="11">O21*$Q$24</f>
        <v>3.0197368421052637</v>
      </c>
      <c r="P24">
        <f t="shared" si="11"/>
        <v>3.32171052631579</v>
      </c>
      <c r="Q24" s="1">
        <v>1.0065789473684212</v>
      </c>
    </row>
    <row r="25" spans="1:18" ht="16" x14ac:dyDescent="0.2">
      <c r="A25" t="s">
        <v>3</v>
      </c>
      <c r="B25" s="5">
        <f t="shared" si="7"/>
        <v>1.52</v>
      </c>
      <c r="C25" t="s">
        <v>4</v>
      </c>
      <c r="D25" s="5">
        <f t="shared" si="8"/>
        <v>1.5200000000000031</v>
      </c>
      <c r="G25" s="8">
        <f t="shared" si="9"/>
        <v>0.999999999999998</v>
      </c>
    </row>
    <row r="26" spans="1:18" x14ac:dyDescent="0.2">
      <c r="J26" t="s">
        <v>16</v>
      </c>
      <c r="Q26" t="s">
        <v>17</v>
      </c>
    </row>
    <row r="27" spans="1:18" ht="17" x14ac:dyDescent="0.2">
      <c r="A27" t="s">
        <v>15</v>
      </c>
      <c r="J27" s="5" t="s">
        <v>0</v>
      </c>
      <c r="K27" s="5">
        <v>14.5</v>
      </c>
      <c r="L27" s="5">
        <v>3</v>
      </c>
      <c r="M27" s="5">
        <v>0.25</v>
      </c>
      <c r="N27" s="5">
        <v>3.5</v>
      </c>
      <c r="O27" s="5">
        <v>2.7</v>
      </c>
      <c r="P27" s="5">
        <v>3</v>
      </c>
      <c r="Q27" s="1">
        <v>0</v>
      </c>
    </row>
    <row r="28" spans="1:18" ht="17" x14ac:dyDescent="0.2">
      <c r="B28" s="5" t="s">
        <v>7</v>
      </c>
      <c r="C28" s="5" t="s">
        <v>8</v>
      </c>
      <c r="D28" s="5" t="s">
        <v>9</v>
      </c>
      <c r="E28" s="5" t="s">
        <v>10</v>
      </c>
      <c r="F28" s="5" t="s">
        <v>10</v>
      </c>
      <c r="G28" s="5" t="s">
        <v>11</v>
      </c>
      <c r="J28" s="5" t="s">
        <v>1</v>
      </c>
      <c r="K28" s="5">
        <v>13</v>
      </c>
      <c r="L28" s="5">
        <v>2</v>
      </c>
      <c r="M28" s="5">
        <v>0.13</v>
      </c>
      <c r="N28" s="5">
        <v>3.3</v>
      </c>
      <c r="O28" s="5">
        <v>2.5</v>
      </c>
      <c r="P28" s="5">
        <v>2.4</v>
      </c>
      <c r="Q28" s="1">
        <v>0</v>
      </c>
    </row>
    <row r="29" spans="1:18" ht="17" x14ac:dyDescent="0.2">
      <c r="A29" t="s">
        <v>17</v>
      </c>
      <c r="B29" s="7">
        <v>6.4516129032258063E-2</v>
      </c>
      <c r="C29" s="7">
        <v>0</v>
      </c>
      <c r="D29" s="7">
        <v>0</v>
      </c>
      <c r="E29" s="7">
        <v>0.23512544802867413</v>
      </c>
      <c r="F29" s="7">
        <v>0</v>
      </c>
      <c r="G29" s="7">
        <v>2.6164874551971039E-2</v>
      </c>
      <c r="J29" s="5" t="s">
        <v>2</v>
      </c>
      <c r="K29" s="5">
        <v>15.5</v>
      </c>
      <c r="L29" s="5">
        <v>4</v>
      </c>
      <c r="M29" s="5">
        <v>0.28000000000000003</v>
      </c>
      <c r="N29" s="5">
        <v>3.8</v>
      </c>
      <c r="O29" s="5">
        <v>3</v>
      </c>
      <c r="P29" s="5">
        <v>3.3</v>
      </c>
      <c r="Q29" s="1">
        <v>0</v>
      </c>
    </row>
    <row r="30" spans="1:18" ht="17" x14ac:dyDescent="0.2">
      <c r="B30" s="5" t="s">
        <v>18</v>
      </c>
      <c r="C30" s="5"/>
      <c r="D30" s="5" t="s">
        <v>19</v>
      </c>
      <c r="E30" s="5"/>
      <c r="F30" s="5"/>
      <c r="G30" s="5" t="s">
        <v>21</v>
      </c>
      <c r="J30" s="5" t="s">
        <v>3</v>
      </c>
      <c r="K30" s="10">
        <v>16.2</v>
      </c>
      <c r="L30" s="10">
        <v>3</v>
      </c>
      <c r="M30" s="10">
        <v>0.33</v>
      </c>
      <c r="N30" s="10">
        <v>4</v>
      </c>
      <c r="O30" s="10">
        <v>3.8</v>
      </c>
      <c r="P30" s="10">
        <v>4</v>
      </c>
      <c r="Q30" s="1">
        <v>0.99999999999999989</v>
      </c>
    </row>
    <row r="31" spans="1:18" ht="17" x14ac:dyDescent="0.2">
      <c r="A31" t="s">
        <v>0</v>
      </c>
      <c r="B31" s="5">
        <f>SUMPRODUCT($E$29:$G$29,E2:G2)</f>
        <v>0.90143369175627253</v>
      </c>
      <c r="C31" t="s">
        <v>4</v>
      </c>
      <c r="D31" s="5">
        <f>SUMPRODUCT($B$29:$D$29,B2:D2)</f>
        <v>0.93548387096774188</v>
      </c>
      <c r="E31" s="5"/>
      <c r="F31" s="5"/>
      <c r="G31" s="8">
        <f>B31/D31</f>
        <v>0.96360153256704995</v>
      </c>
      <c r="J31" s="5" t="s">
        <v>22</v>
      </c>
      <c r="K31" s="2">
        <f>SUMPRODUCT(K27:K30,$Q$27:$Q$30)</f>
        <v>16.199999999999996</v>
      </c>
      <c r="L31" s="2">
        <f t="shared" ref="L31:P31" si="12">SUMPRODUCT(L27:L30,$Q$27:$Q$30)</f>
        <v>2.9999999999999996</v>
      </c>
      <c r="M31" s="2">
        <f t="shared" si="12"/>
        <v>0.32999999999999996</v>
      </c>
      <c r="N31" s="2">
        <f t="shared" si="12"/>
        <v>3.9999999999999996</v>
      </c>
      <c r="O31" s="2">
        <f t="shared" si="12"/>
        <v>3.7999999999999994</v>
      </c>
      <c r="P31" s="2">
        <f t="shared" si="12"/>
        <v>3.9999999999999996</v>
      </c>
      <c r="Q31" t="s">
        <v>24</v>
      </c>
    </row>
    <row r="32" spans="1:18" ht="16" x14ac:dyDescent="0.2">
      <c r="A32" t="s">
        <v>1</v>
      </c>
      <c r="B32" s="5">
        <f t="shared" ref="B32:B34" si="13">SUMPRODUCT($E$29:$G$29,E3:G3)</f>
        <v>0.83870967741935509</v>
      </c>
      <c r="C32" t="s">
        <v>4</v>
      </c>
      <c r="D32" s="5">
        <f t="shared" ref="D32:D34" si="14">SUMPRODUCT($B$29:$D$29,B3:D3)</f>
        <v>0.83870967741935476</v>
      </c>
      <c r="E32" s="5"/>
      <c r="F32" s="5"/>
      <c r="G32" s="8">
        <f t="shared" ref="G32:G34" si="15">B32/D32</f>
        <v>1.0000000000000004</v>
      </c>
      <c r="M32" s="3" t="s">
        <v>23</v>
      </c>
      <c r="N32">
        <f>N30*$Q$32</f>
        <v>4</v>
      </c>
      <c r="O32">
        <f t="shared" ref="O32:P32" si="16">O30*$Q$32</f>
        <v>3.8</v>
      </c>
      <c r="P32">
        <f t="shared" si="16"/>
        <v>4</v>
      </c>
      <c r="Q32" s="1">
        <v>1</v>
      </c>
    </row>
    <row r="33" spans="1:7" ht="16" x14ac:dyDescent="0.2">
      <c r="A33" t="s">
        <v>2</v>
      </c>
      <c r="B33" s="9">
        <f t="shared" si="13"/>
        <v>0.97982078853046617</v>
      </c>
      <c r="C33" t="s">
        <v>4</v>
      </c>
      <c r="D33" s="5">
        <f t="shared" si="14"/>
        <v>1</v>
      </c>
      <c r="E33" t="s">
        <v>20</v>
      </c>
      <c r="F33" s="5"/>
      <c r="G33" s="8">
        <f t="shared" si="15"/>
        <v>0.97982078853046617</v>
      </c>
    </row>
    <row r="34" spans="1:7" ht="16" x14ac:dyDescent="0.2">
      <c r="A34" t="s">
        <v>3</v>
      </c>
      <c r="B34" s="5">
        <f t="shared" si="13"/>
        <v>1.0451612903225806</v>
      </c>
      <c r="C34" t="s">
        <v>4</v>
      </c>
      <c r="D34" s="5">
        <f t="shared" si="14"/>
        <v>1.0451612903225806</v>
      </c>
      <c r="G34" s="8">
        <f t="shared" si="15"/>
        <v>1</v>
      </c>
    </row>
    <row r="36" spans="1:7" x14ac:dyDescent="0.2">
      <c r="A36" t="s">
        <v>16</v>
      </c>
    </row>
    <row r="37" spans="1:7" ht="17" x14ac:dyDescent="0.2">
      <c r="B37" s="5" t="s">
        <v>7</v>
      </c>
      <c r="C37" s="5" t="s">
        <v>8</v>
      </c>
      <c r="D37" s="5" t="s">
        <v>9</v>
      </c>
      <c r="E37" s="5" t="s">
        <v>10</v>
      </c>
      <c r="F37" s="5" t="s">
        <v>10</v>
      </c>
      <c r="G37" s="5" t="s">
        <v>11</v>
      </c>
    </row>
    <row r="38" spans="1:7" ht="16" x14ac:dyDescent="0.2">
      <c r="A38" t="s">
        <v>17</v>
      </c>
      <c r="B38" s="7">
        <v>6.1728395061728399E-2</v>
      </c>
      <c r="C38" s="7">
        <v>0</v>
      </c>
      <c r="D38" s="7">
        <v>0</v>
      </c>
      <c r="E38" s="7">
        <v>0</v>
      </c>
      <c r="F38" s="7">
        <v>0.26315789473684204</v>
      </c>
      <c r="G38" s="7">
        <v>0</v>
      </c>
    </row>
    <row r="39" spans="1:7" ht="17" x14ac:dyDescent="0.2">
      <c r="B39" s="5" t="s">
        <v>18</v>
      </c>
      <c r="C39" s="5"/>
      <c r="D39" s="5" t="s">
        <v>19</v>
      </c>
      <c r="E39" s="5"/>
      <c r="F39" s="5"/>
      <c r="G39" s="5" t="s">
        <v>21</v>
      </c>
    </row>
    <row r="40" spans="1:7" ht="16" x14ac:dyDescent="0.2">
      <c r="A40" t="s">
        <v>0</v>
      </c>
      <c r="B40" s="5">
        <f>SUMPRODUCT($E$38:$G$38,E2:G2)</f>
        <v>0.71052631578947356</v>
      </c>
      <c r="C40" t="s">
        <v>4</v>
      </c>
      <c r="D40" s="5">
        <f>SUMPRODUCT($B$38:$D$38,B2:D2)</f>
        <v>0.89506172839506182</v>
      </c>
      <c r="E40" s="5"/>
      <c r="F40" s="5"/>
      <c r="G40" s="8">
        <f>B40/D40</f>
        <v>0.79382940108892897</v>
      </c>
    </row>
    <row r="41" spans="1:7" ht="16" x14ac:dyDescent="0.2">
      <c r="A41" t="s">
        <v>1</v>
      </c>
      <c r="B41" s="5">
        <f t="shared" ref="B41:B43" si="17">SUMPRODUCT($E$38:$G$38,E3:G3)</f>
        <v>0.65789473684210509</v>
      </c>
      <c r="C41" t="s">
        <v>4</v>
      </c>
      <c r="D41" s="5">
        <f t="shared" ref="D41:D43" si="18">SUMPRODUCT($B$38:$D$38,B3:D3)</f>
        <v>0.80246913580246915</v>
      </c>
      <c r="E41" s="5"/>
      <c r="F41" s="5"/>
      <c r="G41" s="8">
        <f t="shared" ref="G41:G43" si="19">B41/D41</f>
        <v>0.81983805668016174</v>
      </c>
    </row>
    <row r="42" spans="1:7" ht="16" x14ac:dyDescent="0.2">
      <c r="A42" t="s">
        <v>2</v>
      </c>
      <c r="B42" s="5">
        <f t="shared" si="17"/>
        <v>0.78947368421052611</v>
      </c>
      <c r="C42" t="s">
        <v>4</v>
      </c>
      <c r="D42" s="5">
        <f t="shared" si="18"/>
        <v>0.95679012345679015</v>
      </c>
      <c r="E42" s="5"/>
      <c r="F42" s="5"/>
      <c r="G42" s="8">
        <f t="shared" si="19"/>
        <v>0.82512733446519504</v>
      </c>
    </row>
    <row r="43" spans="1:7" ht="16" x14ac:dyDescent="0.2">
      <c r="A43" t="s">
        <v>3</v>
      </c>
      <c r="B43" s="9">
        <f t="shared" si="17"/>
        <v>0.99999999999999967</v>
      </c>
      <c r="C43" t="s">
        <v>4</v>
      </c>
      <c r="D43" s="5">
        <f t="shared" si="18"/>
        <v>1</v>
      </c>
      <c r="E43" t="s">
        <v>20</v>
      </c>
      <c r="G43" s="8">
        <f t="shared" si="19"/>
        <v>0.99999999999999967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Answer Report 1</vt:lpstr>
      <vt:lpstr>Sensitivity Report 1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黯 心</cp:lastModifiedBy>
  <dcterms:created xsi:type="dcterms:W3CDTF">2019-09-20T12:06:55Z</dcterms:created>
  <dcterms:modified xsi:type="dcterms:W3CDTF">2023-10-02T15:20:24Z</dcterms:modified>
</cp:coreProperties>
</file>