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ate1904="1" showObjects="placeholders"/>
  <mc:AlternateContent xmlns:mc="http://schemas.openxmlformats.org/markup-compatibility/2006">
    <mc:Choice Requires="x15">
      <x15ac:absPath xmlns:x15ac="http://schemas.microsoft.com/office/spreadsheetml/2010/11/ac" url="https://d.docs.live.net/f9569fbf7f2805e3/Desktop/Portfolio Projects/"/>
    </mc:Choice>
  </mc:AlternateContent>
  <xr:revisionPtr revIDLastSave="0" documentId="8_{7FCD1EB0-2149-4D05-806F-5DD84D090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yroll Master" sheetId="4" r:id="rId1"/>
    <sheet name="Payroll Journal" sheetId="6" r:id="rId2"/>
  </sheets>
  <definedNames>
    <definedName name="KNCPAY2016">'Payroll Master'!$B$2:$F$10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6" l="1"/>
  <c r="C7" i="6"/>
  <c r="C9" i="6"/>
  <c r="C10" i="6"/>
  <c r="C11" i="6"/>
  <c r="C6" i="6"/>
  <c r="C12" i="6"/>
  <c r="D5" i="6"/>
  <c r="E5" i="6"/>
  <c r="H5" i="6"/>
  <c r="J5" i="6"/>
  <c r="K5" i="6"/>
  <c r="N5" i="6"/>
  <c r="L5" i="6"/>
  <c r="M5" i="6"/>
  <c r="O5" i="6"/>
  <c r="D6" i="6"/>
  <c r="E6" i="6"/>
  <c r="H6" i="6"/>
  <c r="J6" i="6"/>
  <c r="K6" i="6"/>
  <c r="L6" i="6"/>
  <c r="M6" i="6"/>
  <c r="N6" i="6"/>
  <c r="O6" i="6"/>
  <c r="D7" i="6"/>
  <c r="E7" i="6"/>
  <c r="H7" i="6"/>
  <c r="J7" i="6"/>
  <c r="K7" i="6"/>
  <c r="L7" i="6"/>
  <c r="M7" i="6"/>
  <c r="N7" i="6"/>
  <c r="O7" i="6"/>
  <c r="D8" i="6"/>
  <c r="E8" i="6"/>
  <c r="H8" i="6"/>
  <c r="J8" i="6"/>
  <c r="K8" i="6"/>
  <c r="L8" i="6"/>
  <c r="M8" i="6"/>
  <c r="N8" i="6"/>
  <c r="O8" i="6"/>
  <c r="D9" i="6"/>
  <c r="E9" i="6"/>
  <c r="H9" i="6"/>
  <c r="J9" i="6"/>
  <c r="K9" i="6"/>
  <c r="L9" i="6"/>
  <c r="M9" i="6"/>
  <c r="N9" i="6"/>
  <c r="O9" i="6"/>
  <c r="D10" i="6"/>
  <c r="E10" i="6"/>
  <c r="H10" i="6"/>
  <c r="J10" i="6"/>
  <c r="K10" i="6"/>
  <c r="L10" i="6"/>
  <c r="M10" i="6"/>
  <c r="N10" i="6"/>
  <c r="O10" i="6"/>
  <c r="D11" i="6"/>
  <c r="E11" i="6"/>
  <c r="H11" i="6"/>
  <c r="J11" i="6"/>
  <c r="K11" i="6"/>
  <c r="L11" i="6"/>
  <c r="M11" i="6"/>
  <c r="N11" i="6"/>
  <c r="O11" i="6"/>
  <c r="D12" i="6"/>
  <c r="E12" i="6"/>
  <c r="H12" i="6"/>
  <c r="J12" i="6"/>
  <c r="K12" i="6"/>
  <c r="L12" i="6"/>
  <c r="M12" i="6"/>
  <c r="N12" i="6"/>
  <c r="O12" i="6"/>
  <c r="D13" i="6"/>
  <c r="E13" i="6"/>
  <c r="H13" i="6"/>
  <c r="J13" i="6"/>
  <c r="K13" i="6"/>
  <c r="L13" i="6"/>
  <c r="M13" i="6"/>
  <c r="N13" i="6"/>
  <c r="O13" i="6"/>
  <c r="O14" i="6"/>
  <c r="S12" i="6"/>
  <c r="S13" i="6"/>
  <c r="R13" i="6"/>
  <c r="I6" i="6"/>
  <c r="I7" i="6"/>
  <c r="I8" i="6"/>
  <c r="I9" i="6"/>
  <c r="I10" i="6"/>
  <c r="I11" i="6"/>
  <c r="I12" i="6"/>
  <c r="I13" i="6"/>
  <c r="I5" i="6"/>
  <c r="G13" i="6"/>
  <c r="G12" i="6"/>
  <c r="G11" i="6"/>
  <c r="G10" i="6"/>
  <c r="G9" i="6"/>
  <c r="G8" i="6"/>
  <c r="G7" i="6"/>
  <c r="G6" i="6"/>
  <c r="P7" i="6"/>
  <c r="P8" i="6"/>
  <c r="P9" i="6"/>
  <c r="P10" i="6"/>
  <c r="P11" i="6"/>
  <c r="P12" i="6"/>
  <c r="P13" i="6"/>
  <c r="P6" i="6"/>
  <c r="S6" i="6"/>
  <c r="S7" i="6"/>
  <c r="S8" i="6"/>
  <c r="S9" i="6"/>
  <c r="S10" i="6"/>
  <c r="S11" i="6"/>
  <c r="R6" i="6"/>
  <c r="R7" i="6"/>
  <c r="R8" i="6"/>
  <c r="R9" i="6"/>
  <c r="R10" i="6"/>
  <c r="R11" i="6"/>
  <c r="R12" i="6"/>
  <c r="S5" i="6"/>
  <c r="R5" i="6"/>
  <c r="G5" i="6"/>
  <c r="A6" i="6"/>
  <c r="A7" i="6"/>
  <c r="A8" i="6"/>
  <c r="A9" i="6"/>
  <c r="A10" i="6"/>
  <c r="A11" i="6"/>
  <c r="A12" i="6"/>
  <c r="A13" i="6"/>
  <c r="C5" i="6"/>
  <c r="C8" i="6"/>
</calcChain>
</file>

<file path=xl/sharedStrings.xml><?xml version="1.0" encoding="utf-8"?>
<sst xmlns="http://schemas.openxmlformats.org/spreadsheetml/2006/main" count="54" uniqueCount="47">
  <si>
    <t>EMPLOYEE NAME</t>
  </si>
  <si>
    <t>PAYMENT</t>
  </si>
  <si>
    <t>PAY
TYPE</t>
  </si>
  <si>
    <t>Fed. Income Tax
G/L 20300</t>
  </si>
  <si>
    <t>Date</t>
  </si>
  <si>
    <t>Employee ID</t>
  </si>
  <si>
    <t>Employee Name</t>
  </si>
  <si>
    <t>Pay Type</t>
  </si>
  <si>
    <t>Pay Rate</t>
  </si>
  <si>
    <t>Regular Pay</t>
  </si>
  <si>
    <t>Overtime Hours</t>
  </si>
  <si>
    <t>Overtime Pay</t>
  </si>
  <si>
    <t>Net Pay
G/L 10100</t>
  </si>
  <si>
    <t>Check Number</t>
  </si>
  <si>
    <t>Subs Post Ref</t>
  </si>
  <si>
    <t>REGULAR
PAY RATE</t>
  </si>
  <si>
    <t>Fed Income Tax W/H</t>
  </si>
  <si>
    <t>Total Hours</t>
  </si>
  <si>
    <t>EMPLOYEE DEDUCTIONS</t>
  </si>
  <si>
    <t>EMPLOYEE EARNINGS</t>
  </si>
  <si>
    <t>Social Security W/H
G/L 20600</t>
  </si>
  <si>
    <t>Medicare W/H
G/L 20650</t>
  </si>
  <si>
    <t>Constants</t>
  </si>
  <si>
    <t>CONTRIBUTIONS</t>
  </si>
  <si>
    <t>Regular Hours</t>
  </si>
  <si>
    <t>Gross Pay
G/L 50500</t>
  </si>
  <si>
    <t>Soc Sec Contrib
G/L 50600</t>
  </si>
  <si>
    <t>Medicare Contrib
G/L 50650</t>
  </si>
  <si>
    <t>Excel 2</t>
  </si>
  <si>
    <t>EMPLOYEE ID</t>
  </si>
  <si>
    <t>Social Security Withholding Rate:</t>
  </si>
  <si>
    <t>Medicare Withholding Rate:</t>
  </si>
  <si>
    <t>Overtime Pay Factor:</t>
  </si>
  <si>
    <t>Social Security Employer Rate:</t>
  </si>
  <si>
    <t>Medicare Employer Rate:</t>
  </si>
  <si>
    <t>SPRG 2016</t>
  </si>
  <si>
    <t>Zach Weldon</t>
  </si>
  <si>
    <t>Anthony Leland</t>
  </si>
  <si>
    <t>S</t>
  </si>
  <si>
    <t>H</t>
  </si>
  <si>
    <t>Julia Josepher</t>
  </si>
  <si>
    <t>Miles Baker</t>
  </si>
  <si>
    <t>Patrick Mahomes</t>
  </si>
  <si>
    <t>Maxx Crosby</t>
  </si>
  <si>
    <t>Brennen DeLaney</t>
  </si>
  <si>
    <t>Tessa Pipochio</t>
  </si>
  <si>
    <t>Tyreek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</si>
</sst>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Geneva"/>
    </font>
    <font>
      <sz val="11"/>
      <color theme="1"/>
      <name val="Calibri"/>
      <family val="2"/>
      <scheme val="minor"/>
    </font>
    <font>
      <sz val="10"/>
      <name val="Geneva"/>
    </font>
    <font>
      <b/>
      <u/>
      <sz val="10"/>
      <name val="Geneva"/>
    </font>
    <font>
      <sz val="10"/>
      <color theme="6" tint="0.59999389629810485"/>
      <name val="Geneva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4" borderId="8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1" applyNumberFormat="1" applyFont="1" applyProtection="1">
      <protection locked="0"/>
    </xf>
    <xf numFmtId="0" fontId="0" fillId="2" borderId="0" xfId="0" applyFill="1" applyAlignment="1" applyProtection="1">
      <alignment horizontal="center" wrapText="1"/>
      <protection locked="0"/>
    </xf>
    <xf numFmtId="0" fontId="0" fillId="2" borderId="4" xfId="0" applyFill="1" applyBorder="1" applyAlignment="1" applyProtection="1">
      <alignment horizontal="center" wrapText="1"/>
      <protection locked="0"/>
    </xf>
    <xf numFmtId="0" fontId="0" fillId="2" borderId="5" xfId="0" applyFill="1" applyBorder="1" applyAlignment="1" applyProtection="1">
      <alignment horizontal="center" wrapText="1"/>
      <protection locked="0"/>
    </xf>
    <xf numFmtId="0" fontId="0" fillId="2" borderId="6" xfId="0" applyFill="1" applyBorder="1" applyAlignment="1" applyProtection="1">
      <alignment horizontal="center" wrapText="1"/>
      <protection locked="0"/>
    </xf>
    <xf numFmtId="0" fontId="0" fillId="2" borderId="0" xfId="0" quotePrefix="1" applyFill="1" applyAlignment="1" applyProtection="1">
      <alignment horizontal="center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 wrapText="1"/>
    </xf>
    <xf numFmtId="0" fontId="4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4" fontId="0" fillId="0" borderId="0" xfId="0" applyNumberFormat="1" applyProtection="1">
      <protection locked="0"/>
    </xf>
    <xf numFmtId="43" fontId="0" fillId="0" borderId="0" xfId="1" applyFont="1" applyProtection="1">
      <protection locked="0"/>
    </xf>
    <xf numFmtId="44" fontId="0" fillId="0" borderId="0" xfId="2" applyFont="1" applyProtection="1">
      <protection locked="0"/>
    </xf>
    <xf numFmtId="14" fontId="1" fillId="6" borderId="0" xfId="5" applyNumberFormat="1" applyProtection="1">
      <protection locked="0"/>
    </xf>
    <xf numFmtId="0" fontId="1" fillId="6" borderId="0" xfId="5" applyProtection="1">
      <protection locked="0"/>
    </xf>
    <xf numFmtId="43" fontId="6" fillId="8" borderId="8" xfId="3" applyNumberFormat="1" applyFont="1" applyFill="1" applyProtection="1">
      <protection locked="0"/>
    </xf>
    <xf numFmtId="44" fontId="6" fillId="8" borderId="8" xfId="3" applyNumberFormat="1" applyFont="1" applyFill="1" applyProtection="1">
      <protection locked="0"/>
    </xf>
    <xf numFmtId="44" fontId="1" fillId="7" borderId="0" xfId="6" applyNumberFormat="1" applyProtection="1">
      <protection locked="0"/>
    </xf>
    <xf numFmtId="44" fontId="1" fillId="5" borderId="0" xfId="4" applyNumberFormat="1" applyProtection="1">
      <protection locked="0"/>
    </xf>
    <xf numFmtId="44" fontId="1" fillId="5" borderId="7" xfId="4" applyNumberFormat="1" applyBorder="1" applyProtection="1">
      <protection locked="0"/>
    </xf>
  </cellXfs>
  <cellStyles count="7">
    <cellStyle name="20% - Accent4" xfId="5" builtinId="42"/>
    <cellStyle name="40% - Accent6" xfId="6" builtinId="51"/>
    <cellStyle name="60% - Accent3" xfId="4" builtinId="40"/>
    <cellStyle name="Calculation" xfId="3" builtinId="22"/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" sqref="B1"/>
    </sheetView>
  </sheetViews>
  <sheetFormatPr defaultColWidth="9.08984375" defaultRowHeight="12.5"/>
  <cols>
    <col min="1" max="1" width="5.36328125" style="5" customWidth="1"/>
    <col min="2" max="2" width="14" style="1" customWidth="1"/>
    <col min="3" max="3" width="30.36328125" style="1" customWidth="1"/>
    <col min="4" max="4" width="15.36328125" style="1" customWidth="1"/>
    <col min="5" max="5" width="9.08984375" style="1"/>
    <col min="6" max="6" width="16" style="1" customWidth="1"/>
    <col min="7" max="7" width="1.54296875" style="1" customWidth="1"/>
    <col min="8" max="8" width="29.453125" style="1" bestFit="1" customWidth="1"/>
    <col min="9" max="16384" width="9.08984375" style="1"/>
  </cols>
  <sheetData>
    <row r="1" spans="1:9" s="6" customFormat="1" ht="25.5">
      <c r="B1" s="8" t="s">
        <v>29</v>
      </c>
      <c r="C1" s="8" t="s">
        <v>0</v>
      </c>
      <c r="D1" s="8" t="s">
        <v>15</v>
      </c>
      <c r="E1" s="12" t="s">
        <v>2</v>
      </c>
      <c r="F1" s="8" t="s">
        <v>16</v>
      </c>
      <c r="G1" s="15"/>
      <c r="H1" s="13" t="s">
        <v>22</v>
      </c>
      <c r="I1" s="14"/>
    </row>
    <row r="2" spans="1:9">
      <c r="A2" s="5">
        <v>1</v>
      </c>
      <c r="B2" s="1">
        <v>1145762</v>
      </c>
      <c r="C2" s="1" t="s">
        <v>40</v>
      </c>
      <c r="D2" s="7">
        <v>1385</v>
      </c>
      <c r="E2" s="5" t="s">
        <v>38</v>
      </c>
      <c r="F2" s="18">
        <v>0.2</v>
      </c>
      <c r="G2" s="15"/>
      <c r="H2" s="1" t="s">
        <v>30</v>
      </c>
      <c r="I2" s="19">
        <v>6.2E-2</v>
      </c>
    </row>
    <row r="3" spans="1:9">
      <c r="A3" s="5">
        <v>2</v>
      </c>
      <c r="B3" s="1">
        <v>2315443</v>
      </c>
      <c r="C3" s="1" t="s">
        <v>37</v>
      </c>
      <c r="D3" s="7">
        <v>23.46</v>
      </c>
      <c r="E3" s="5" t="s">
        <v>39</v>
      </c>
      <c r="F3" s="18">
        <v>0.17</v>
      </c>
      <c r="G3" s="15"/>
      <c r="H3" s="1" t="s">
        <v>31</v>
      </c>
      <c r="I3" s="19">
        <v>1.4500000000000001E-2</v>
      </c>
    </row>
    <row r="4" spans="1:9">
      <c r="A4" s="5">
        <v>3</v>
      </c>
      <c r="B4" s="1">
        <v>7549836</v>
      </c>
      <c r="C4" s="1" t="s">
        <v>41</v>
      </c>
      <c r="D4" s="7">
        <v>1123</v>
      </c>
      <c r="E4" s="5" t="s">
        <v>38</v>
      </c>
      <c r="F4" s="18">
        <v>0.21</v>
      </c>
      <c r="G4" s="15"/>
      <c r="H4" s="1" t="s">
        <v>33</v>
      </c>
      <c r="I4" s="19">
        <v>6.2E-2</v>
      </c>
    </row>
    <row r="5" spans="1:9">
      <c r="A5" s="5">
        <v>4</v>
      </c>
      <c r="B5" s="1">
        <v>4038027</v>
      </c>
      <c r="C5" s="1" t="s">
        <v>36</v>
      </c>
      <c r="D5" s="7">
        <v>26.52</v>
      </c>
      <c r="E5" s="5" t="s">
        <v>39</v>
      </c>
      <c r="F5" s="18">
        <v>0.18</v>
      </c>
      <c r="G5" s="15"/>
      <c r="H5" s="1" t="s">
        <v>34</v>
      </c>
      <c r="I5" s="19">
        <v>1.4500000000000001E-2</v>
      </c>
    </row>
    <row r="6" spans="1:9">
      <c r="A6" s="5">
        <v>5</v>
      </c>
      <c r="B6" s="1">
        <v>9325730</v>
      </c>
      <c r="C6" s="1" t="s">
        <v>44</v>
      </c>
      <c r="D6" s="7">
        <v>1289</v>
      </c>
      <c r="E6" s="5" t="s">
        <v>38</v>
      </c>
      <c r="F6" s="18">
        <v>0.22</v>
      </c>
      <c r="G6" s="15"/>
      <c r="H6" s="1" t="s">
        <v>32</v>
      </c>
      <c r="I6" s="18">
        <v>2</v>
      </c>
    </row>
    <row r="7" spans="1:9">
      <c r="A7" s="5">
        <v>6</v>
      </c>
      <c r="B7" s="1">
        <v>3027593</v>
      </c>
      <c r="C7" s="1" t="s">
        <v>45</v>
      </c>
      <c r="D7" s="7">
        <v>19.38</v>
      </c>
      <c r="E7" s="5" t="s">
        <v>39</v>
      </c>
      <c r="F7" s="18">
        <v>0.19</v>
      </c>
      <c r="G7" s="15"/>
    </row>
    <row r="8" spans="1:9">
      <c r="A8" s="5">
        <v>7</v>
      </c>
      <c r="B8" s="1">
        <v>5397203</v>
      </c>
      <c r="C8" s="1" t="s">
        <v>42</v>
      </c>
      <c r="D8" s="7">
        <v>32.46</v>
      </c>
      <c r="E8" s="5" t="s">
        <v>39</v>
      </c>
      <c r="F8" s="18">
        <v>0.23</v>
      </c>
      <c r="G8" s="15"/>
    </row>
    <row r="9" spans="1:9">
      <c r="A9" s="5">
        <v>8</v>
      </c>
      <c r="B9" s="1">
        <v>6037496</v>
      </c>
      <c r="C9" s="1" t="s">
        <v>46</v>
      </c>
      <c r="D9" s="7">
        <v>1225</v>
      </c>
      <c r="E9" s="5" t="s">
        <v>38</v>
      </c>
      <c r="F9" s="18">
        <v>0.2</v>
      </c>
      <c r="G9" s="15"/>
    </row>
    <row r="10" spans="1:9">
      <c r="A10" s="5">
        <v>9</v>
      </c>
      <c r="B10" s="1">
        <v>8372956</v>
      </c>
      <c r="C10" s="1" t="s">
        <v>43</v>
      </c>
      <c r="D10" s="7">
        <v>25.54</v>
      </c>
      <c r="E10" s="5" t="s">
        <v>39</v>
      </c>
      <c r="F10" s="18">
        <v>0.22</v>
      </c>
      <c r="G10" s="15"/>
    </row>
  </sheetData>
  <sheetProtection formatCells="0" formatColumns="0" formatRows="0" insertHyperlinks="0" sort="0" autoFilter="0" pivotTables="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topLeftCell="A2" workbookViewId="0">
      <selection activeCell="C13" sqref="C13"/>
    </sheetView>
  </sheetViews>
  <sheetFormatPr defaultColWidth="9.08984375" defaultRowHeight="12.5"/>
  <cols>
    <col min="1" max="1" width="10.90625" style="1" bestFit="1" customWidth="1"/>
    <col min="2" max="2" width="13.453125" style="1" customWidth="1"/>
    <col min="3" max="3" width="26.54296875" style="1" customWidth="1"/>
    <col min="4" max="4" width="8" style="1" customWidth="1"/>
    <col min="5" max="5" width="10" style="1" bestFit="1" customWidth="1"/>
    <col min="6" max="6" width="6.90625" style="1" customWidth="1"/>
    <col min="7" max="7" width="8.90625" style="1" customWidth="1"/>
    <col min="8" max="8" width="11.7265625" style="1" customWidth="1"/>
    <col min="9" max="9" width="11.36328125" style="1" customWidth="1"/>
    <col min="10" max="10" width="10.453125" style="1" customWidth="1"/>
    <col min="11" max="11" width="11.453125" style="1" customWidth="1"/>
    <col min="12" max="13" width="19.08984375" style="1" customWidth="1"/>
    <col min="14" max="14" width="15" style="1" customWidth="1"/>
    <col min="15" max="15" width="10.90625" style="1" customWidth="1"/>
    <col min="16" max="16" width="10.453125" style="1" customWidth="1"/>
    <col min="17" max="17" width="1.54296875" style="1" customWidth="1"/>
    <col min="18" max="18" width="16.08984375" style="1" customWidth="1"/>
    <col min="19" max="19" width="16.6328125" style="1" customWidth="1"/>
    <col min="20" max="20" width="1.54296875" style="1" customWidth="1"/>
    <col min="21" max="21" width="11.54296875" style="1" customWidth="1"/>
    <col min="22" max="16384" width="9.08984375" style="1"/>
  </cols>
  <sheetData>
    <row r="1" spans="1:21">
      <c r="A1" t="s">
        <v>28</v>
      </c>
    </row>
    <row r="2" spans="1:21">
      <c r="A2" t="s">
        <v>35</v>
      </c>
    </row>
    <row r="3" spans="1:21">
      <c r="G3" s="2" t="s">
        <v>19</v>
      </c>
      <c r="H3" s="3"/>
      <c r="I3" s="3"/>
      <c r="J3" s="3"/>
      <c r="K3" s="4"/>
      <c r="L3" s="2" t="s">
        <v>18</v>
      </c>
      <c r="M3" s="3"/>
      <c r="N3" s="4"/>
      <c r="O3" s="2" t="s">
        <v>1</v>
      </c>
      <c r="P3" s="3"/>
      <c r="Q3" s="16"/>
      <c r="R3" s="2" t="s">
        <v>23</v>
      </c>
      <c r="S3" s="4"/>
      <c r="T3" s="16"/>
      <c r="U3" s="4"/>
    </row>
    <row r="4" spans="1:21" s="5" customFormat="1" ht="25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17</v>
      </c>
      <c r="G4" s="9" t="s">
        <v>24</v>
      </c>
      <c r="H4" s="10" t="s">
        <v>9</v>
      </c>
      <c r="I4" s="10" t="s">
        <v>10</v>
      </c>
      <c r="J4" s="10" t="s">
        <v>11</v>
      </c>
      <c r="K4" s="11" t="s">
        <v>25</v>
      </c>
      <c r="L4" s="9" t="s">
        <v>20</v>
      </c>
      <c r="M4" s="10" t="s">
        <v>21</v>
      </c>
      <c r="N4" s="11" t="s">
        <v>3</v>
      </c>
      <c r="O4" s="9" t="s">
        <v>12</v>
      </c>
      <c r="P4" s="10" t="s">
        <v>13</v>
      </c>
      <c r="Q4" s="17"/>
      <c r="R4" s="9" t="s">
        <v>26</v>
      </c>
      <c r="S4" s="11" t="s">
        <v>27</v>
      </c>
      <c r="T4" s="17"/>
      <c r="U4" s="11" t="s">
        <v>14</v>
      </c>
    </row>
    <row r="5" spans="1:21" ht="14.5">
      <c r="A5" s="23">
        <v>40914</v>
      </c>
      <c r="B5" s="24">
        <v>1145762</v>
      </c>
      <c r="C5" s="24" t="str">
        <f t="shared" ref="C5" si="0">VLOOKUP(B5,KNCPAY2016,2,FALSE)</f>
        <v>Julia Josepher</v>
      </c>
      <c r="D5" s="24" t="str">
        <f t="shared" ref="D5" si="1">VLOOKUP(B5,KNCPAY2016,4,FALSE)</f>
        <v>S</v>
      </c>
      <c r="E5" s="20">
        <f t="shared" ref="E5" si="2">VLOOKUP(B5,KNCPAY2016,3,FALSE)</f>
        <v>1385</v>
      </c>
      <c r="F5" s="21"/>
      <c r="G5" s="25">
        <f t="shared" ref="G5:G13" si="3">IF(F5&lt;=40,F5,40)</f>
        <v>0</v>
      </c>
      <c r="H5" s="26">
        <f>IF(D5&gt;="S",E5,G5*E5)</f>
        <v>1385</v>
      </c>
      <c r="I5" s="25">
        <f>IF(F5&gt;40,(F5-40),0)</f>
        <v>0</v>
      </c>
      <c r="J5" s="26">
        <f>IF(I5&gt;0,I5*('Payroll Journal'!E5*'Payroll Master'!$I$6),0)</f>
        <v>0</v>
      </c>
      <c r="K5" s="27">
        <f>SUM(H5,J5)</f>
        <v>1385</v>
      </c>
      <c r="L5" s="22">
        <f>(K5*'Payroll Master'!$I$2)</f>
        <v>85.87</v>
      </c>
      <c r="M5" s="22">
        <f>(K5*'Payroll Master'!$I$3)</f>
        <v>20.0825</v>
      </c>
      <c r="N5" s="22">
        <f>VLOOKUP('Payroll Journal'!B5,KNCPAY2016,5,FALSE)*('Payroll Journal'!K5)</f>
        <v>277</v>
      </c>
      <c r="O5" s="28">
        <f>(K5-(L5+M5+N5))</f>
        <v>1002.0475</v>
      </c>
      <c r="P5" s="1">
        <v>14601</v>
      </c>
      <c r="Q5" s="16"/>
      <c r="R5" s="22">
        <f>(K5*'Payroll Master'!$I$4)</f>
        <v>85.87</v>
      </c>
      <c r="S5" s="22">
        <f>(K5*'Payroll Master'!$I$5)</f>
        <v>20.0825</v>
      </c>
      <c r="T5" s="16"/>
    </row>
    <row r="6" spans="1:21" ht="14.5">
      <c r="A6" s="23">
        <f>A5</f>
        <v>40914</v>
      </c>
      <c r="B6" s="24">
        <v>2315443</v>
      </c>
      <c r="C6" s="24" t="str">
        <f t="shared" ref="C6:C13" si="4">VLOOKUP(B6,KNCPAY2016,2,FALSE)</f>
        <v>Anthony Leland</v>
      </c>
      <c r="D6" s="24" t="str">
        <f t="shared" ref="D6:D13" si="5">VLOOKUP(B6,KNCPAY2016,4,FALSE)</f>
        <v>H</v>
      </c>
      <c r="E6" s="20">
        <f t="shared" ref="E6:E13" si="6">VLOOKUP(B6,KNCPAY2016,3,FALSE)</f>
        <v>23.46</v>
      </c>
      <c r="F6" s="21">
        <v>52</v>
      </c>
      <c r="G6" s="25">
        <f t="shared" si="3"/>
        <v>40</v>
      </c>
      <c r="H6" s="26">
        <f t="shared" ref="H6:H13" si="7">IF(D6&gt;="S",E6,G6*E6)</f>
        <v>938.40000000000009</v>
      </c>
      <c r="I6" s="25">
        <f t="shared" ref="I6:I13" si="8">IF(F6&gt;40,(F6-40),0)</f>
        <v>12</v>
      </c>
      <c r="J6" s="26">
        <f>IF(I6&gt;0,I6*('Payroll Journal'!E6*'Payroll Master'!$I$6),0)</f>
        <v>563.04</v>
      </c>
      <c r="K6" s="27">
        <f t="shared" ref="K6:K13" si="9">SUM(H6,J6)</f>
        <v>1501.44</v>
      </c>
      <c r="L6" s="22">
        <f>(K6*'Payroll Master'!$I$2)</f>
        <v>93.089280000000002</v>
      </c>
      <c r="M6" s="22">
        <f>(K6*'Payroll Master'!$I$3)</f>
        <v>21.770880000000002</v>
      </c>
      <c r="N6" s="22">
        <f>VLOOKUP('Payroll Journal'!B6,KNCPAY2016,5,FALSE)*('Payroll Journal'!K6)</f>
        <v>255.24480000000003</v>
      </c>
      <c r="O6" s="28">
        <f t="shared" ref="O6:O13" si="10">(K6-(L6+M6+N6))</f>
        <v>1131.3350399999999</v>
      </c>
      <c r="P6" s="1">
        <f>(P5+1)</f>
        <v>14602</v>
      </c>
      <c r="Q6" s="16"/>
      <c r="R6" s="22">
        <f>(K6*'Payroll Master'!$I$4)</f>
        <v>93.089280000000002</v>
      </c>
      <c r="S6" s="22">
        <f>(K6*'Payroll Master'!$I$5)</f>
        <v>21.770880000000002</v>
      </c>
      <c r="T6" s="16"/>
    </row>
    <row r="7" spans="1:21" ht="14.5">
      <c r="A7" s="23">
        <f t="shared" ref="A7:A13" si="11">A6</f>
        <v>40914</v>
      </c>
      <c r="B7" s="24">
        <v>3027593</v>
      </c>
      <c r="C7" s="24" t="str">
        <f t="shared" si="4"/>
        <v>Tessa Pipochio</v>
      </c>
      <c r="D7" s="24" t="str">
        <f t="shared" si="5"/>
        <v>H</v>
      </c>
      <c r="E7" s="20">
        <f t="shared" si="6"/>
        <v>19.38</v>
      </c>
      <c r="F7" s="21">
        <v>45</v>
      </c>
      <c r="G7" s="25">
        <f t="shared" si="3"/>
        <v>40</v>
      </c>
      <c r="H7" s="26">
        <f t="shared" si="7"/>
        <v>775.19999999999993</v>
      </c>
      <c r="I7" s="25">
        <f t="shared" si="8"/>
        <v>5</v>
      </c>
      <c r="J7" s="26">
        <f>IF(I7&gt;0,I7*('Payroll Journal'!E7*'Payroll Master'!$I$6),0)</f>
        <v>193.79999999999998</v>
      </c>
      <c r="K7" s="27">
        <f t="shared" si="9"/>
        <v>968.99999999999989</v>
      </c>
      <c r="L7" s="22">
        <f>(K7*'Payroll Master'!$I$2)</f>
        <v>60.077999999999996</v>
      </c>
      <c r="M7" s="22">
        <f>(K7*'Payroll Master'!$I$3)</f>
        <v>14.0505</v>
      </c>
      <c r="N7" s="22">
        <f>VLOOKUP('Payroll Journal'!B7,KNCPAY2016,5,FALSE)*('Payroll Journal'!K7)</f>
        <v>184.10999999999999</v>
      </c>
      <c r="O7" s="28">
        <f t="shared" si="10"/>
        <v>710.76149999999984</v>
      </c>
      <c r="P7" s="1">
        <f t="shared" ref="P7:P13" si="12">(P6+1)</f>
        <v>14603</v>
      </c>
      <c r="Q7" s="16"/>
      <c r="R7" s="22">
        <f>(K7*'Payroll Master'!$I$4)</f>
        <v>60.077999999999996</v>
      </c>
      <c r="S7" s="22">
        <f>(K7*'Payroll Master'!$I$5)</f>
        <v>14.0505</v>
      </c>
      <c r="T7" s="16"/>
    </row>
    <row r="8" spans="1:21" ht="14.5">
      <c r="A8" s="23">
        <f t="shared" si="11"/>
        <v>40914</v>
      </c>
      <c r="B8" s="24">
        <v>4038027</v>
      </c>
      <c r="C8" s="24" t="str">
        <f t="shared" si="4"/>
        <v>Zach Weldon</v>
      </c>
      <c r="D8" s="24" t="str">
        <f t="shared" si="5"/>
        <v>H</v>
      </c>
      <c r="E8" s="20">
        <f t="shared" si="6"/>
        <v>26.52</v>
      </c>
      <c r="F8" s="21">
        <v>40</v>
      </c>
      <c r="G8" s="25">
        <f t="shared" si="3"/>
        <v>40</v>
      </c>
      <c r="H8" s="26">
        <f t="shared" si="7"/>
        <v>1060.8</v>
      </c>
      <c r="I8" s="25">
        <f t="shared" si="8"/>
        <v>0</v>
      </c>
      <c r="J8" s="26">
        <f>IF(I8&gt;0,I8*('Payroll Journal'!E8*'Payroll Master'!$I$6),0)</f>
        <v>0</v>
      </c>
      <c r="K8" s="27">
        <f t="shared" si="9"/>
        <v>1060.8</v>
      </c>
      <c r="L8" s="22">
        <f>(K8*'Payroll Master'!$I$2)</f>
        <v>65.769599999999997</v>
      </c>
      <c r="M8" s="22">
        <f>(K8*'Payroll Master'!$I$3)</f>
        <v>15.381600000000001</v>
      </c>
      <c r="N8" s="22">
        <f>VLOOKUP('Payroll Journal'!B8,KNCPAY2016,5,FALSE)*('Payroll Journal'!K8)</f>
        <v>190.94399999999999</v>
      </c>
      <c r="O8" s="28">
        <f t="shared" si="10"/>
        <v>788.70479999999998</v>
      </c>
      <c r="P8" s="1">
        <f t="shared" si="12"/>
        <v>14604</v>
      </c>
      <c r="Q8" s="16"/>
      <c r="R8" s="22">
        <f>(K8*'Payroll Master'!$I$4)</f>
        <v>65.769599999999997</v>
      </c>
      <c r="S8" s="22">
        <f>(K8*'Payroll Master'!$I$5)</f>
        <v>15.381600000000001</v>
      </c>
      <c r="T8" s="16"/>
    </row>
    <row r="9" spans="1:21" ht="14.5">
      <c r="A9" s="23">
        <f t="shared" si="11"/>
        <v>40914</v>
      </c>
      <c r="B9" s="24">
        <v>5397203</v>
      </c>
      <c r="C9" s="24" t="str">
        <f t="shared" si="4"/>
        <v>Patrick Mahomes</v>
      </c>
      <c r="D9" s="24" t="str">
        <f t="shared" si="5"/>
        <v>H</v>
      </c>
      <c r="E9" s="20">
        <f t="shared" si="6"/>
        <v>32.46</v>
      </c>
      <c r="F9" s="21">
        <v>37</v>
      </c>
      <c r="G9" s="25">
        <f t="shared" si="3"/>
        <v>37</v>
      </c>
      <c r="H9" s="26">
        <f t="shared" si="7"/>
        <v>1201.02</v>
      </c>
      <c r="I9" s="25">
        <f t="shared" si="8"/>
        <v>0</v>
      </c>
      <c r="J9" s="26">
        <f>IF(I9&gt;0,I9*('Payroll Journal'!E9*'Payroll Master'!$I$6),0)</f>
        <v>0</v>
      </c>
      <c r="K9" s="27">
        <f t="shared" si="9"/>
        <v>1201.02</v>
      </c>
      <c r="L9" s="22">
        <f>(K9*'Payroll Master'!$I$2)</f>
        <v>74.463239999999999</v>
      </c>
      <c r="M9" s="22">
        <f>(K9*'Payroll Master'!$I$3)</f>
        <v>17.41479</v>
      </c>
      <c r="N9" s="22">
        <f>VLOOKUP('Payroll Journal'!B9,KNCPAY2016,5,FALSE)*('Payroll Journal'!K9)</f>
        <v>276.2346</v>
      </c>
      <c r="O9" s="28">
        <f t="shared" si="10"/>
        <v>832.90737000000001</v>
      </c>
      <c r="P9" s="1">
        <f t="shared" si="12"/>
        <v>14605</v>
      </c>
      <c r="Q9" s="16"/>
      <c r="R9" s="22">
        <f>(K9*'Payroll Master'!$I$4)</f>
        <v>74.463239999999999</v>
      </c>
      <c r="S9" s="22">
        <f>(K9*'Payroll Master'!$I$5)</f>
        <v>17.41479</v>
      </c>
      <c r="T9" s="16"/>
    </row>
    <row r="10" spans="1:21" ht="14.5">
      <c r="A10" s="23">
        <f t="shared" si="11"/>
        <v>40914</v>
      </c>
      <c r="B10" s="24">
        <v>6037496</v>
      </c>
      <c r="C10" s="24" t="str">
        <f t="shared" si="4"/>
        <v>Tyreek Hill</v>
      </c>
      <c r="D10" s="24" t="str">
        <f t="shared" si="5"/>
        <v>S</v>
      </c>
      <c r="E10" s="20">
        <f t="shared" si="6"/>
        <v>1225</v>
      </c>
      <c r="F10" s="21"/>
      <c r="G10" s="25">
        <f t="shared" si="3"/>
        <v>0</v>
      </c>
      <c r="H10" s="26">
        <f t="shared" si="7"/>
        <v>1225</v>
      </c>
      <c r="I10" s="25">
        <f t="shared" si="8"/>
        <v>0</v>
      </c>
      <c r="J10" s="26">
        <f>IF(I10&gt;0,I10*('Payroll Journal'!E10*'Payroll Master'!$I$6),0)</f>
        <v>0</v>
      </c>
      <c r="K10" s="27">
        <f t="shared" si="9"/>
        <v>1225</v>
      </c>
      <c r="L10" s="22">
        <f>(K10*'Payroll Master'!$I$2)</f>
        <v>75.95</v>
      </c>
      <c r="M10" s="22">
        <f>(K10*'Payroll Master'!$I$3)</f>
        <v>17.762499999999999</v>
      </c>
      <c r="N10" s="22">
        <f>VLOOKUP('Payroll Journal'!B10,KNCPAY2016,5,FALSE)*('Payroll Journal'!K10)</f>
        <v>245</v>
      </c>
      <c r="O10" s="28">
        <f t="shared" si="10"/>
        <v>886.28750000000002</v>
      </c>
      <c r="P10" s="1">
        <f t="shared" si="12"/>
        <v>14606</v>
      </c>
      <c r="Q10" s="16"/>
      <c r="R10" s="22">
        <f>(K10*'Payroll Master'!$I$4)</f>
        <v>75.95</v>
      </c>
      <c r="S10" s="22">
        <f>(K10*'Payroll Master'!$I$5)</f>
        <v>17.762499999999999</v>
      </c>
      <c r="T10" s="16"/>
    </row>
    <row r="11" spans="1:21" ht="14.5">
      <c r="A11" s="23">
        <f t="shared" si="11"/>
        <v>40914</v>
      </c>
      <c r="B11" s="24">
        <v>7549836</v>
      </c>
      <c r="C11" s="24" t="str">
        <f t="shared" si="4"/>
        <v>Miles Baker</v>
      </c>
      <c r="D11" s="24" t="str">
        <f t="shared" si="5"/>
        <v>S</v>
      </c>
      <c r="E11" s="20">
        <f t="shared" si="6"/>
        <v>1123</v>
      </c>
      <c r="F11" s="21"/>
      <c r="G11" s="25">
        <f t="shared" si="3"/>
        <v>0</v>
      </c>
      <c r="H11" s="26">
        <f t="shared" si="7"/>
        <v>1123</v>
      </c>
      <c r="I11" s="25">
        <f t="shared" si="8"/>
        <v>0</v>
      </c>
      <c r="J11" s="26">
        <f>IF(I11&gt;0,I11*('Payroll Journal'!E11*'Payroll Master'!$I$6),0)</f>
        <v>0</v>
      </c>
      <c r="K11" s="27">
        <f t="shared" si="9"/>
        <v>1123</v>
      </c>
      <c r="L11" s="22">
        <f>(K11*'Payroll Master'!$I$2)</f>
        <v>69.626000000000005</v>
      </c>
      <c r="M11" s="22">
        <f>(K11*'Payroll Master'!$I$3)</f>
        <v>16.2835</v>
      </c>
      <c r="N11" s="22">
        <f>VLOOKUP('Payroll Journal'!B11,KNCPAY2016,5,FALSE)*('Payroll Journal'!K11)</f>
        <v>235.82999999999998</v>
      </c>
      <c r="O11" s="28">
        <f t="shared" si="10"/>
        <v>801.26049999999998</v>
      </c>
      <c r="P11" s="1">
        <f t="shared" si="12"/>
        <v>14607</v>
      </c>
      <c r="Q11" s="16"/>
      <c r="R11" s="22">
        <f>(K11*'Payroll Master'!$I$4)</f>
        <v>69.626000000000005</v>
      </c>
      <c r="S11" s="22">
        <f>(K11*'Payroll Master'!$I$5)</f>
        <v>16.2835</v>
      </c>
      <c r="T11" s="16"/>
    </row>
    <row r="12" spans="1:21" ht="14.5">
      <c r="A12" s="23">
        <f t="shared" si="11"/>
        <v>40914</v>
      </c>
      <c r="B12" s="24">
        <v>8372956</v>
      </c>
      <c r="C12" s="24" t="str">
        <f t="shared" si="4"/>
        <v>Maxx Crosby</v>
      </c>
      <c r="D12" s="24" t="str">
        <f t="shared" si="5"/>
        <v>H</v>
      </c>
      <c r="E12" s="20">
        <f t="shared" si="6"/>
        <v>25.54</v>
      </c>
      <c r="F12" s="21">
        <v>24</v>
      </c>
      <c r="G12" s="25">
        <f t="shared" si="3"/>
        <v>24</v>
      </c>
      <c r="H12" s="26">
        <f t="shared" si="7"/>
        <v>612.96</v>
      </c>
      <c r="I12" s="25">
        <f t="shared" si="8"/>
        <v>0</v>
      </c>
      <c r="J12" s="26">
        <f>IF(I12&gt;0,I12*('Payroll Journal'!E12*'Payroll Master'!$I$6),0)</f>
        <v>0</v>
      </c>
      <c r="K12" s="27">
        <f t="shared" si="9"/>
        <v>612.96</v>
      </c>
      <c r="L12" s="22">
        <f>(K12*'Payroll Master'!$I$2)</f>
        <v>38.003520000000002</v>
      </c>
      <c r="M12" s="22">
        <f>(K12*'Payroll Master'!$I$3)</f>
        <v>8.8879200000000012</v>
      </c>
      <c r="N12" s="22">
        <f>VLOOKUP('Payroll Journal'!B12,KNCPAY2016,5,FALSE)*('Payroll Journal'!K12)</f>
        <v>134.85120000000001</v>
      </c>
      <c r="O12" s="28">
        <f t="shared" si="10"/>
        <v>431.21736000000004</v>
      </c>
      <c r="P12" s="1">
        <f t="shared" si="12"/>
        <v>14608</v>
      </c>
      <c r="Q12" s="16"/>
      <c r="R12" s="22">
        <f>(K12*'Payroll Master'!$I$4)</f>
        <v>38.003520000000002</v>
      </c>
      <c r="S12" s="22">
        <f>(K12*'Payroll Master'!$I$5)</f>
        <v>8.8879200000000012</v>
      </c>
      <c r="T12" s="16"/>
    </row>
    <row r="13" spans="1:21" ht="14.5">
      <c r="A13" s="23">
        <f t="shared" si="11"/>
        <v>40914</v>
      </c>
      <c r="B13" s="24">
        <v>9325730</v>
      </c>
      <c r="C13" s="24" t="str">
        <f>VLOOKUP(B13,KNCPAY2016,2,FALSE)</f>
        <v>Brennen DeLaney</v>
      </c>
      <c r="D13" s="24" t="str">
        <f t="shared" si="5"/>
        <v>S</v>
      </c>
      <c r="E13" s="20">
        <f t="shared" si="6"/>
        <v>1289</v>
      </c>
      <c r="F13" s="21"/>
      <c r="G13" s="25">
        <f t="shared" si="3"/>
        <v>0</v>
      </c>
      <c r="H13" s="26">
        <f t="shared" si="7"/>
        <v>1289</v>
      </c>
      <c r="I13" s="25">
        <f t="shared" si="8"/>
        <v>0</v>
      </c>
      <c r="J13" s="26">
        <f>IF(I13&gt;0,I13*('Payroll Journal'!E13*'Payroll Master'!$I$6),0)</f>
        <v>0</v>
      </c>
      <c r="K13" s="27">
        <f t="shared" si="9"/>
        <v>1289</v>
      </c>
      <c r="L13" s="22">
        <f>(K13*'Payroll Master'!$I$2)</f>
        <v>79.918000000000006</v>
      </c>
      <c r="M13" s="22">
        <f>(K13*'Payroll Master'!$I$3)</f>
        <v>18.6905</v>
      </c>
      <c r="N13" s="22">
        <f>VLOOKUP('Payroll Journal'!B13,KNCPAY2016,5,FALSE)*('Payroll Journal'!K13)</f>
        <v>283.58</v>
      </c>
      <c r="O13" s="28">
        <f t="shared" si="10"/>
        <v>906.81150000000002</v>
      </c>
      <c r="P13" s="1">
        <f t="shared" si="12"/>
        <v>14609</v>
      </c>
      <c r="R13" s="22">
        <f>(K13*'Payroll Master'!$I$4)</f>
        <v>79.918000000000006</v>
      </c>
      <c r="S13" s="22">
        <f>(K13*'Payroll Master'!$I$5)</f>
        <v>18.6905</v>
      </c>
    </row>
    <row r="14" spans="1:21" ht="15" thickBot="1">
      <c r="O14" s="29">
        <f>SUM(O5:O13)</f>
        <v>7491.3330700000006</v>
      </c>
    </row>
    <row r="15" spans="1:21" ht="13" thickTop="1"/>
  </sheetData>
  <sheetProtection algorithmName="SHA-512" hashValue="jz5Wu/9B2yerMpufUEMD5A6ImO7qz3tqOGeI2eyyN/Risw692fPTnyXN53d6Gxpn+X8C3HNg0lLPt/2RsOTOng==" saltValue="gK6MU6iLXX42wnAOZBWFqQ==" spinCount="100000" sheet="1" formatCells="0" formatColumns="0" formatRows="0" insertColumns="0" insertRows="0" insertHyperlinks="0" sort="0" autoFilter="0" pivotTables="0"/>
  <sortState xmlns:xlrd2="http://schemas.microsoft.com/office/spreadsheetml/2017/richdata2" ref="B5:B13">
    <sortCondition ref="B5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Payroll Master</vt:lpstr>
      <vt:lpstr>Payroll Journal</vt:lpstr>
      <vt:lpstr>KNCPAY2016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Pickerd</dc:creator>
  <dc:description>SINT 2013</dc:description>
  <cp:lastModifiedBy>Zach Weldon</cp:lastModifiedBy>
  <cp:lastPrinted>2003-05-22T23:39:53Z</cp:lastPrinted>
  <dcterms:created xsi:type="dcterms:W3CDTF">1998-08-28T20:31:43Z</dcterms:created>
  <dcterms:modified xsi:type="dcterms:W3CDTF">2024-01-14T02:54:34Z</dcterms:modified>
</cp:coreProperties>
</file>