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面积比较" sheetId="4" r:id="rId7"/>
    <sheet name="Sheet1" sheetId="8" r:id="rId8"/>
  </sheets>
  <calcPr calcId="152511"/>
</workbook>
</file>

<file path=xl/calcChain.xml><?xml version="1.0" encoding="utf-8"?>
<calcChain xmlns="http://schemas.openxmlformats.org/spreadsheetml/2006/main">
  <c r="B10" i="7" l="1"/>
  <c r="A10" i="7"/>
  <c r="J10" i="7"/>
  <c r="I10" i="7"/>
  <c r="I11" i="7" s="1"/>
  <c r="H10" i="7"/>
  <c r="G10" i="7"/>
  <c r="G11" i="7" s="1"/>
  <c r="F10" i="7"/>
  <c r="E10" i="7"/>
  <c r="E11" i="7" s="1"/>
  <c r="D10" i="7"/>
  <c r="C10" i="7"/>
  <c r="C11" i="7" s="1"/>
  <c r="K10" i="7"/>
  <c r="B17" i="2"/>
  <c r="T36" i="6"/>
  <c r="T33" i="6"/>
  <c r="T32" i="6"/>
  <c r="D11" i="7" l="1"/>
  <c r="F11" i="7"/>
  <c r="H11" i="7"/>
  <c r="J11" i="7"/>
  <c r="B11" i="7"/>
  <c r="U33" i="6"/>
  <c r="U34" i="6"/>
  <c r="U35" i="6"/>
  <c r="U36" i="6"/>
  <c r="U37" i="6"/>
  <c r="U32" i="6"/>
  <c r="T34" i="6"/>
  <c r="T35" i="6"/>
  <c r="T37" i="6"/>
  <c r="U27" i="6"/>
  <c r="U28" i="6"/>
  <c r="U29" i="6"/>
  <c r="U30" i="6"/>
  <c r="U31" i="6"/>
  <c r="U26" i="6"/>
  <c r="U19" i="6"/>
  <c r="U20" i="6"/>
  <c r="U21" i="6"/>
  <c r="U22" i="6"/>
  <c r="U23" i="6"/>
  <c r="U18" i="6"/>
  <c r="U11" i="6"/>
  <c r="U12" i="6"/>
  <c r="U13" i="6"/>
  <c r="U14" i="6"/>
  <c r="U15" i="6"/>
  <c r="U10" i="6"/>
  <c r="U3" i="6"/>
  <c r="U4" i="6"/>
  <c r="U5" i="6"/>
  <c r="U6" i="6"/>
  <c r="U7" i="6"/>
  <c r="U2" i="6"/>
  <c r="J3" i="1"/>
  <c r="J4" i="1"/>
  <c r="J5" i="1"/>
  <c r="J6" i="1"/>
  <c r="J7" i="1"/>
  <c r="J2" i="1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" i="6"/>
  <c r="T4" i="6"/>
  <c r="T5" i="6"/>
  <c r="T6" i="6"/>
  <c r="T7" i="6"/>
  <c r="T2" i="6"/>
  <c r="K27" i="6" l="1"/>
  <c r="L27" i="6"/>
  <c r="M27" i="6"/>
  <c r="N27" i="6"/>
  <c r="O27" i="6"/>
  <c r="P27" i="6"/>
  <c r="K28" i="6"/>
  <c r="L28" i="6"/>
  <c r="M28" i="6"/>
  <c r="N28" i="6"/>
  <c r="O28" i="6"/>
  <c r="P28" i="6"/>
  <c r="K29" i="6"/>
  <c r="L29" i="6"/>
  <c r="M29" i="6"/>
  <c r="N29" i="6"/>
  <c r="O29" i="6"/>
  <c r="P29" i="6"/>
  <c r="K30" i="6"/>
  <c r="L30" i="6"/>
  <c r="M30" i="6"/>
  <c r="N30" i="6"/>
  <c r="O30" i="6"/>
  <c r="P30" i="6"/>
  <c r="K31" i="6"/>
  <c r="L31" i="6"/>
  <c r="M31" i="6"/>
  <c r="N31" i="6"/>
  <c r="O31" i="6"/>
  <c r="P31" i="6"/>
  <c r="L26" i="6"/>
  <c r="M26" i="6"/>
  <c r="N26" i="6"/>
  <c r="O26" i="6"/>
  <c r="P26" i="6"/>
  <c r="K26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K19" i="6"/>
  <c r="K20" i="6"/>
  <c r="K21" i="6"/>
  <c r="K22" i="6"/>
  <c r="K23" i="6"/>
  <c r="K18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L10" i="6"/>
  <c r="M10" i="6"/>
  <c r="N10" i="6"/>
  <c r="O10" i="6"/>
  <c r="K10" i="6"/>
  <c r="K2" i="6"/>
  <c r="K3" i="6"/>
  <c r="K4" i="6"/>
  <c r="K5" i="6"/>
  <c r="K6" i="6"/>
  <c r="K7" i="6"/>
  <c r="K9" i="6"/>
  <c r="F2" i="7" l="1"/>
  <c r="F9" i="3" l="1"/>
  <c r="F5" i="3"/>
  <c r="F2" i="3" l="1"/>
  <c r="F4" i="3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9" i="3"/>
  <c r="H8" i="7" s="1"/>
  <c r="I9" i="3"/>
  <c r="I6" i="7" s="1"/>
  <c r="K9" i="3"/>
  <c r="J6" i="7" s="1"/>
  <c r="B8" i="7"/>
  <c r="C5" i="3"/>
  <c r="D5" i="3"/>
  <c r="E5" i="3"/>
  <c r="G5" i="3"/>
  <c r="H5" i="3"/>
  <c r="I5" i="3"/>
  <c r="K5" i="3"/>
  <c r="B5" i="3"/>
  <c r="J4" i="3"/>
  <c r="J9" i="3" s="1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8" i="7" l="1"/>
  <c r="J2" i="7"/>
  <c r="J5" i="3"/>
  <c r="I2" i="7"/>
  <c r="G2" i="7"/>
  <c r="E2" i="7"/>
  <c r="C2" i="7"/>
  <c r="I4" i="7"/>
  <c r="G4" i="7"/>
  <c r="E4" i="7"/>
  <c r="C4" i="7"/>
  <c r="B6" i="7"/>
  <c r="H6" i="7"/>
  <c r="F6" i="7"/>
  <c r="D6" i="7"/>
  <c r="I8" i="7"/>
  <c r="G8" i="7"/>
  <c r="E8" i="7"/>
  <c r="C8" i="7"/>
  <c r="K8" i="7" s="1"/>
  <c r="J21" i="4"/>
  <c r="B2" i="7"/>
  <c r="H2" i="7"/>
  <c r="D2" i="7"/>
  <c r="B4" i="7"/>
  <c r="H4" i="7"/>
  <c r="F4" i="7"/>
  <c r="D4" i="7"/>
  <c r="J4" i="7"/>
  <c r="J15" i="4"/>
  <c r="J11" i="4"/>
  <c r="D9" i="7" l="1"/>
  <c r="B9" i="7"/>
  <c r="F9" i="7"/>
  <c r="H9" i="7"/>
  <c r="E9" i="7"/>
  <c r="I9" i="7"/>
  <c r="K6" i="7"/>
  <c r="B7" i="7" s="1"/>
  <c r="K4" i="7"/>
  <c r="D5" i="7" s="1"/>
  <c r="K2" i="7"/>
  <c r="J3" i="7" s="1"/>
  <c r="C9" i="7"/>
  <c r="G9" i="7"/>
  <c r="D7" i="7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E11" i="4" s="1"/>
  <c r="F11" i="6"/>
  <c r="G11" i="6"/>
  <c r="G11" i="4" s="1"/>
  <c r="C12" i="6"/>
  <c r="D12" i="6"/>
  <c r="E12" i="6"/>
  <c r="F12" i="6"/>
  <c r="F12" i="4" s="1"/>
  <c r="G12" i="6"/>
  <c r="C13" i="6"/>
  <c r="D13" i="6"/>
  <c r="E13" i="6"/>
  <c r="E13" i="4" s="1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7" i="4" s="1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C5" i="7" l="1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1" i="6"/>
  <c r="Q9" i="6"/>
  <c r="Q1" i="6"/>
  <c r="O9" i="6"/>
  <c r="O1" i="6"/>
  <c r="M9" i="6"/>
  <c r="M1" i="6"/>
  <c r="F6" i="6"/>
  <c r="D6" i="6"/>
  <c r="S18" i="6"/>
  <c r="J2" i="4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B6" i="4"/>
  <c r="B2" i="4"/>
  <c r="D7" i="4"/>
  <c r="M7" i="6"/>
  <c r="E6" i="4"/>
  <c r="N6" i="6"/>
  <c r="F5" i="4"/>
  <c r="O5" i="6"/>
  <c r="G4" i="4"/>
  <c r="P4" i="6"/>
  <c r="C4" i="4"/>
  <c r="L4" i="6"/>
  <c r="D3" i="4"/>
  <c r="M3" i="6"/>
  <c r="E2" i="4"/>
  <c r="N2" i="6"/>
  <c r="H6" i="4"/>
  <c r="Q6" i="6"/>
  <c r="H4" i="4"/>
  <c r="Q4" i="6"/>
  <c r="H2" i="4"/>
  <c r="Q2" i="6"/>
  <c r="B5" i="4"/>
  <c r="G7" i="4"/>
  <c r="P7" i="6"/>
  <c r="C7" i="4"/>
  <c r="L7" i="6"/>
  <c r="D6" i="4"/>
  <c r="M6" i="6"/>
  <c r="E5" i="4"/>
  <c r="N5" i="6"/>
  <c r="F4" i="4"/>
  <c r="O4" i="6"/>
  <c r="G3" i="4"/>
  <c r="P3" i="6"/>
  <c r="D2" i="4"/>
  <c r="M2" i="6"/>
  <c r="I7" i="4"/>
  <c r="R7" i="6"/>
  <c r="I5" i="4"/>
  <c r="R5" i="6"/>
  <c r="I3" i="4"/>
  <c r="R3" i="6"/>
  <c r="B4" i="4"/>
  <c r="F7" i="4"/>
  <c r="O7" i="6"/>
  <c r="G6" i="4"/>
  <c r="P6" i="6"/>
  <c r="C6" i="4"/>
  <c r="L6" i="6"/>
  <c r="D5" i="4"/>
  <c r="M5" i="6"/>
  <c r="E4" i="4"/>
  <c r="N4" i="6"/>
  <c r="F3" i="4"/>
  <c r="O3" i="6"/>
  <c r="G2" i="4"/>
  <c r="P2" i="6"/>
  <c r="C2" i="4"/>
  <c r="L2" i="6"/>
  <c r="H7" i="4"/>
  <c r="Q7" i="6"/>
  <c r="H5" i="4"/>
  <c r="Q5" i="6"/>
  <c r="H3" i="4"/>
  <c r="Q3" i="6"/>
  <c r="B7" i="4"/>
  <c r="B3" i="4"/>
  <c r="E7" i="4"/>
  <c r="N7" i="6"/>
  <c r="F6" i="4"/>
  <c r="O6" i="6"/>
  <c r="G5" i="4"/>
  <c r="P5" i="6"/>
  <c r="D4" i="4"/>
  <c r="M4" i="6"/>
  <c r="E3" i="4"/>
  <c r="N3" i="6"/>
  <c r="F2" i="4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J4" i="4"/>
  <c r="P9" i="6"/>
  <c r="S20" i="6"/>
  <c r="H1" i="4"/>
  <c r="T9" i="4" s="1"/>
  <c r="B1" i="4"/>
  <c r="N9" i="4" s="1"/>
  <c r="J3" i="4"/>
  <c r="S11" i="6"/>
  <c r="S23" i="6"/>
  <c r="S30" i="6"/>
  <c r="R21" i="6"/>
  <c r="S10" i="6"/>
  <c r="S14" i="6"/>
  <c r="S21" i="6"/>
  <c r="S31" i="6"/>
  <c r="S15" i="6"/>
  <c r="S26" i="6"/>
  <c r="J5" i="4"/>
  <c r="F1" i="4"/>
  <c r="R9" i="4" s="1"/>
  <c r="I30" i="4"/>
  <c r="Q29" i="6"/>
  <c r="H26" i="4"/>
  <c r="I31" i="4"/>
  <c r="H23" i="4"/>
  <c r="I28" i="4"/>
  <c r="R27" i="6"/>
  <c r="Q14" i="6"/>
  <c r="Q12" i="6"/>
  <c r="Q10" i="6"/>
  <c r="H18" i="4"/>
  <c r="P13" i="6"/>
  <c r="C3" i="4"/>
  <c r="H14" i="4"/>
  <c r="H21" i="4"/>
  <c r="H12" i="4"/>
  <c r="R18" i="6"/>
  <c r="Q15" i="6"/>
  <c r="Q13" i="6"/>
  <c r="Q11" i="6"/>
  <c r="I15" i="4"/>
  <c r="H22" i="4"/>
  <c r="I26" i="4"/>
  <c r="E12" i="4"/>
  <c r="H10" i="4"/>
  <c r="R20" i="6"/>
  <c r="I11" i="4"/>
  <c r="I13" i="4"/>
  <c r="H19" i="4"/>
  <c r="E21" i="4"/>
  <c r="H30" i="4"/>
  <c r="R12" i="6"/>
  <c r="P12" i="6"/>
  <c r="G12" i="4"/>
  <c r="E10" i="4"/>
  <c r="C15" i="4"/>
  <c r="F18" i="4"/>
  <c r="G30" i="4"/>
  <c r="Q27" i="6"/>
  <c r="H27" i="4"/>
  <c r="C5" i="4"/>
  <c r="H11" i="4"/>
  <c r="H13" i="4"/>
  <c r="H15" i="4"/>
  <c r="H20" i="4"/>
  <c r="H31" i="4"/>
  <c r="B12" i="4"/>
  <c r="P10" i="6"/>
  <c r="G10" i="4"/>
  <c r="C10" i="4"/>
  <c r="B18" i="4"/>
  <c r="B27" i="4"/>
  <c r="C31" i="4"/>
  <c r="E29" i="4"/>
  <c r="D28" i="4"/>
  <c r="I10" i="4"/>
  <c r="I14" i="4"/>
  <c r="I21" i="4"/>
  <c r="B28" i="4"/>
  <c r="B14" i="4"/>
  <c r="F13" i="4"/>
  <c r="C12" i="4"/>
  <c r="E14" i="4"/>
  <c r="P15" i="6"/>
  <c r="G15" i="4"/>
  <c r="C11" i="4"/>
  <c r="B19" i="4"/>
  <c r="P23" i="6"/>
  <c r="G23" i="4"/>
  <c r="F22" i="4"/>
  <c r="P19" i="6"/>
  <c r="G19" i="4"/>
  <c r="D31" i="4"/>
  <c r="F29" i="4"/>
  <c r="E28" i="4"/>
  <c r="C26" i="4"/>
  <c r="P14" i="6"/>
  <c r="G14" i="4"/>
  <c r="F11" i="4"/>
  <c r="B22" i="4"/>
  <c r="F23" i="4"/>
  <c r="P20" i="6"/>
  <c r="G20" i="4"/>
  <c r="C20" i="4"/>
  <c r="G31" i="4"/>
  <c r="F30" i="4"/>
  <c r="G27" i="4"/>
  <c r="C27" i="4"/>
  <c r="I22" i="4"/>
  <c r="I29" i="4"/>
  <c r="B15" i="4"/>
  <c r="B11" i="4"/>
  <c r="F14" i="4"/>
  <c r="C13" i="4"/>
  <c r="F10" i="4"/>
  <c r="B21" i="4"/>
  <c r="R23" i="6"/>
  <c r="P21" i="6"/>
  <c r="G21" i="4"/>
  <c r="F20" i="4"/>
  <c r="R19" i="6"/>
  <c r="B30" i="4"/>
  <c r="B26" i="4"/>
  <c r="F31" i="4"/>
  <c r="D10" i="4"/>
  <c r="D12" i="4"/>
  <c r="D13" i="4"/>
  <c r="D15" i="4"/>
  <c r="D20" i="4"/>
  <c r="D21" i="4"/>
  <c r="D22" i="4"/>
  <c r="H28" i="4"/>
  <c r="P11" i="6"/>
  <c r="B29" i="4"/>
  <c r="G29" i="4"/>
  <c r="C29" i="4"/>
  <c r="C18" i="4"/>
  <c r="G18" i="4"/>
  <c r="C22" i="4"/>
  <c r="G22" i="4"/>
  <c r="B20" i="4"/>
  <c r="F27" i="4"/>
  <c r="D30" i="4"/>
  <c r="J6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<sst xmlns="http://schemas.openxmlformats.org/spreadsheetml/2006/main" count="44" uniqueCount="39">
  <si>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</si>
  <si>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</si>
  <si>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</si>
  <si>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</si>
  <si>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</si>
  <si>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</si>
  <si>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</si>
  <si>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</si>
  <si>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</si>
  <si>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</si>
  <si>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</si>
  <si>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</si>
  <si>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</si>
  <si>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</si>
  <si>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</si>
  <si>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</si>
  <si>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</si>
  <si>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</si>
  <si>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</si>
  <si>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</si>
  <si>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</si>
  <si>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</si>
  <si>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</si>
  <si>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</si>
  <si>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</si>
  <si>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</si>
  <si>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</si>
  <si>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</si>
  <si>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</si>
  <si>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</si>
  <si>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</si>
  <si>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</si>
  <si>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</si>
  <si>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</si>
  <si>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</si>
  <si>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</si>
  <si>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</si>
  <si>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</si>
  <si>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COBRA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</si>
</sst>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9" fontId="3" fillId="0" borderId="0" xfId="1" applyFont="1" applyAlignment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9" sqref="D9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  <c r="J2" s="2">
        <f>SUM(B2:G2)</f>
        <v>12</v>
      </c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  <c r="J3" s="2">
        <f t="shared" ref="J3:J7" si="0">SUM(B3:G3)</f>
        <v>6</v>
      </c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  <c r="J4" s="2">
        <f t="shared" si="0"/>
        <v>9</v>
      </c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  <c r="J5" s="2">
        <f t="shared" si="0"/>
        <v>15</v>
      </c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  <c r="J6" s="2">
        <f t="shared" si="0"/>
        <v>6</v>
      </c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  <c r="J7" s="2">
        <f t="shared" si="0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A10" workbookViewId="0">
      <selection activeCell="J1" sqref="J1"/>
    </sheetView>
  </sheetViews>
  <sheetFormatPr defaultRowHeight="15" x14ac:dyDescent="0.15"/>
  <cols>
    <col min="1" max="1" width="14.125" style="2" customWidth="1"/>
    <col min="2" max="5" width="9" style="2"/>
    <col min="6" max="6" width="11.75" style="2" customWidth="1"/>
    <col min="7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32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33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32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33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32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33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1278</v>
      </c>
      <c r="C9" s="5">
        <v>3549.5</v>
      </c>
      <c r="D9" s="5">
        <v>2298</v>
      </c>
      <c r="E9" s="5">
        <v>1614</v>
      </c>
      <c r="F9" s="5">
        <f>51191/4</f>
        <v>12797.75</v>
      </c>
      <c r="G9" s="7">
        <f t="shared" ref="G9:K9" si="6">G4</f>
        <v>8000</v>
      </c>
      <c r="H9" s="7">
        <f t="shared" si="6"/>
        <v>500</v>
      </c>
      <c r="I9" s="7">
        <f t="shared" si="6"/>
        <v>400</v>
      </c>
      <c r="J9" s="7">
        <f t="shared" si="6"/>
        <v>7742.8</v>
      </c>
      <c r="K9" s="7">
        <f t="shared" si="6"/>
        <v>38714</v>
      </c>
    </row>
  </sheetData>
  <mergeCells count="3">
    <mergeCell ref="A2:A3"/>
    <mergeCell ref="A6:A7"/>
    <mergeCell ref="A4:A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2" sqref="D22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32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34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34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34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34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33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32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6</v>
      </c>
      <c r="G8" s="30">
        <v>4</v>
      </c>
      <c r="H8" s="5"/>
      <c r="I8" s="5">
        <v>0</v>
      </c>
      <c r="J8" s="5"/>
      <c r="K8" s="5">
        <v>4</v>
      </c>
    </row>
    <row r="9" spans="1:11" x14ac:dyDescent="0.15">
      <c r="A9" s="34"/>
      <c r="B9" s="5" t="s">
        <v>20</v>
      </c>
      <c r="C9" s="5">
        <v>1</v>
      </c>
      <c r="D9" s="5">
        <v>1</v>
      </c>
      <c r="E9" s="5">
        <v>1</v>
      </c>
      <c r="F9" s="5">
        <v>6</v>
      </c>
      <c r="G9" s="5">
        <v>0</v>
      </c>
      <c r="H9" s="5"/>
      <c r="I9" s="5">
        <v>0</v>
      </c>
      <c r="J9" s="5"/>
      <c r="K9" s="5">
        <v>4</v>
      </c>
    </row>
    <row r="10" spans="1:11" x14ac:dyDescent="0.15">
      <c r="A10" s="33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1</v>
      </c>
    </row>
    <row r="11" spans="1:11" x14ac:dyDescent="0.15">
      <c r="A11" s="32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33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35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35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  <row r="15" spans="1:11" x14ac:dyDescent="0.15">
      <c r="A15" s="32" t="s">
        <v>38</v>
      </c>
      <c r="B15" s="5" t="s">
        <v>14</v>
      </c>
      <c r="C15" s="5">
        <v>2</v>
      </c>
      <c r="D15" s="5">
        <v>3</v>
      </c>
      <c r="E15" s="5">
        <v>0</v>
      </c>
      <c r="F15" s="5">
        <v>3</v>
      </c>
      <c r="G15" s="30">
        <v>1</v>
      </c>
      <c r="H15" s="5">
        <v>1</v>
      </c>
      <c r="I15" s="5">
        <v>0</v>
      </c>
      <c r="J15" s="5"/>
      <c r="K15" s="5">
        <v>2</v>
      </c>
    </row>
    <row r="16" spans="1:11" x14ac:dyDescent="0.15">
      <c r="A16" s="34"/>
      <c r="B16" s="5" t="s">
        <v>20</v>
      </c>
      <c r="C16" s="5">
        <v>2</v>
      </c>
      <c r="D16" s="5">
        <v>3</v>
      </c>
      <c r="E16" s="5">
        <v>0</v>
      </c>
      <c r="F16" s="5">
        <v>3</v>
      </c>
      <c r="G16" s="5">
        <v>2</v>
      </c>
      <c r="H16" s="5">
        <v>1</v>
      </c>
      <c r="I16" s="5">
        <v>0</v>
      </c>
      <c r="J16" s="5"/>
      <c r="K16" s="5">
        <v>2</v>
      </c>
    </row>
    <row r="17" spans="1:11" x14ac:dyDescent="0.15">
      <c r="A17" s="33"/>
      <c r="B17" s="5">
        <f>单元面积!J11</f>
        <v>0</v>
      </c>
      <c r="C17" s="5"/>
      <c r="D17" s="5"/>
      <c r="E17" s="5"/>
      <c r="F17" s="5"/>
      <c r="G17" s="5"/>
      <c r="H17" s="5"/>
      <c r="I17" s="5"/>
      <c r="J17" s="5"/>
      <c r="K17" s="5">
        <v>1</v>
      </c>
    </row>
  </sheetData>
  <mergeCells count="5">
    <mergeCell ref="A2:A7"/>
    <mergeCell ref="A8:A10"/>
    <mergeCell ref="A11:A12"/>
    <mergeCell ref="A13:A14"/>
    <mergeCell ref="A15:A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3" sqref="K13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32" t="str">
        <f>架构比较!A2</f>
        <v>本文</v>
      </c>
      <c r="B2" s="5">
        <f>SUMPRODUCT(架构比较!C2:C6,架构比较!$K2:$K6)*单元面积!B9</f>
        <v>15336</v>
      </c>
      <c r="C2" s="5">
        <f>SUMPRODUCT(架构比较!D2:D6,架构比较!$K2:$K6)*单元面积!C9</f>
        <v>42594</v>
      </c>
      <c r="D2" s="5">
        <f>SUMPRODUCT(架构比较!E2:E6,架构比较!$K2:$K6)*单元面积!D9</f>
        <v>9192</v>
      </c>
      <c r="E2" s="5">
        <f>SUMPRODUCT(架构比较!F2:F6,架构比较!$K2:$K6)*单元面积!E9</f>
        <v>19368</v>
      </c>
      <c r="F2" s="5">
        <f>SUMPRODUCT(架构比较!G2:G6,架构比较!$K2:$K6)*单元面积!F9</f>
        <v>51191</v>
      </c>
      <c r="G2" s="5">
        <f>SUMPRODUCT(架构比较!H2:H6,架构比较!$K2:$K6)*单元面积!G9</f>
        <v>32000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23228.400000000001</v>
      </c>
      <c r="K2" s="5">
        <f>SUM(B2:I2)</f>
        <v>169681</v>
      </c>
    </row>
    <row r="3" spans="1:11" x14ac:dyDescent="0.15">
      <c r="A3" s="33"/>
      <c r="B3" s="29">
        <f>B2/$K2</f>
        <v>9.0381362674665996E-2</v>
      </c>
      <c r="C3" s="29">
        <f t="shared" ref="C3:J3" si="0">C2/$K2</f>
        <v>0.25102398029243111</v>
      </c>
      <c r="D3" s="29">
        <f t="shared" si="0"/>
        <v>5.4172240851951603E-2</v>
      </c>
      <c r="E3" s="29">
        <f t="shared" si="0"/>
        <v>0.1141435988708223</v>
      </c>
      <c r="F3" s="29">
        <f t="shared" si="0"/>
        <v>0.30168964115015823</v>
      </c>
      <c r="G3" s="29">
        <f t="shared" si="0"/>
        <v>0.18858917615997076</v>
      </c>
      <c r="H3" s="29">
        <f t="shared" si="0"/>
        <v>0</v>
      </c>
      <c r="I3" s="29">
        <f t="shared" si="0"/>
        <v>0</v>
      </c>
      <c r="J3" s="29">
        <f t="shared" si="0"/>
        <v>0.13689452560982079</v>
      </c>
      <c r="K3" s="5"/>
    </row>
    <row r="4" spans="1:11" x14ac:dyDescent="0.15">
      <c r="A4" s="32" t="str">
        <f>架构比较!A8</f>
        <v>TH</v>
      </c>
      <c r="B4" s="5">
        <f>SUMPRODUCT(架构比较!C8:C9,架构比较!$K8:$K9)*单元面积!B9</f>
        <v>10224</v>
      </c>
      <c r="C4" s="5">
        <f>SUMPRODUCT(架构比较!D8:D9,架构比较!$K8:$K9)*单元面积!C9</f>
        <v>28396</v>
      </c>
      <c r="D4" s="5">
        <f>SUMPRODUCT(架构比较!E8:E9,架构比较!$K8:$K9)*单元面积!D9</f>
        <v>9192</v>
      </c>
      <c r="E4" s="5">
        <f>SUMPRODUCT(架构比较!F8:F9,架构比较!$K8:$K9)*单元面积!E9</f>
        <v>77472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38714</v>
      </c>
      <c r="K4" s="5">
        <f>SUM(B4:I4)</f>
        <v>330048</v>
      </c>
    </row>
    <row r="5" spans="1:11" x14ac:dyDescent="0.15">
      <c r="A5" s="33"/>
      <c r="B5" s="29">
        <f>B4/$K4</f>
        <v>3.0977312390924956E-2</v>
      </c>
      <c r="C5" s="29">
        <f t="shared" ref="C5:J5" si="1">C4/$K4</f>
        <v>8.6035970525499328E-2</v>
      </c>
      <c r="D5" s="29">
        <f t="shared" si="1"/>
        <v>2.7850494473531124E-2</v>
      </c>
      <c r="E5" s="29">
        <f t="shared" si="1"/>
        <v>0.23472949389179756</v>
      </c>
      <c r="F5" s="29">
        <f t="shared" si="1"/>
        <v>0.62040672871824709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0.11729808997479155</v>
      </c>
      <c r="K5" s="5"/>
    </row>
    <row r="6" spans="1:11" x14ac:dyDescent="0.15">
      <c r="A6" s="32" t="str">
        <f>架构比较!A11</f>
        <v>Cyptoraptor</v>
      </c>
      <c r="B6" s="5">
        <f>架构比较!C11*架构比较!$K11*单元面积!B9</f>
        <v>5112</v>
      </c>
      <c r="C6" s="5">
        <f>架构比较!D11*架构比较!$K11*单元面积!C9</f>
        <v>14198</v>
      </c>
      <c r="D6" s="5">
        <f>架构比较!E11*架构比较!$K11*单元面积!D9</f>
        <v>9192</v>
      </c>
      <c r="E6" s="5">
        <f>架构比较!F11*架构比较!$K11*单元面积!E9</f>
        <v>6456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38714</v>
      </c>
      <c r="K6" s="5">
        <f>SUM(B6:I6)</f>
        <v>398095</v>
      </c>
    </row>
    <row r="7" spans="1:11" x14ac:dyDescent="0.15">
      <c r="A7" s="33"/>
      <c r="B7" s="29">
        <f>B6/$K6</f>
        <v>1.2841156005476079E-2</v>
      </c>
      <c r="C7" s="29">
        <f t="shared" ref="C7:J7" si="2">C6/$K6</f>
        <v>3.5664853866539392E-2</v>
      </c>
      <c r="D7" s="29">
        <f t="shared" si="2"/>
        <v>2.3089965962898303E-2</v>
      </c>
      <c r="E7" s="29">
        <f t="shared" si="2"/>
        <v>1.6217234579685755E-2</v>
      </c>
      <c r="F7" s="29">
        <f t="shared" si="2"/>
        <v>0.90012936610608019</v>
      </c>
      <c r="G7" s="29">
        <f t="shared" si="2"/>
        <v>0</v>
      </c>
      <c r="H7" s="29">
        <f t="shared" si="2"/>
        <v>0</v>
      </c>
      <c r="I7" s="29">
        <f t="shared" si="2"/>
        <v>1.2057423479320263E-2</v>
      </c>
      <c r="J7" s="29">
        <f t="shared" si="2"/>
        <v>9.7248144287167632E-2</v>
      </c>
      <c r="K7" s="5"/>
    </row>
    <row r="8" spans="1:11" x14ac:dyDescent="0.15">
      <c r="A8" s="35" t="str">
        <f>架构比较!A13</f>
        <v>RCPA</v>
      </c>
      <c r="B8" s="5">
        <f>架构比较!C13*架构比较!$K13*单元面积!B9</f>
        <v>5112</v>
      </c>
      <c r="C8" s="5">
        <f>架构比较!D13*架构比较!$K13*单元面积!C9</f>
        <v>14198</v>
      </c>
      <c r="D8" s="5">
        <f>架构比较!E13*架构比较!$K13*单元面积!D9</f>
        <v>9192</v>
      </c>
      <c r="E8" s="5">
        <f>架构比较!F13*架构比较!$K13*单元面积!E9</f>
        <v>12912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架构比较!K14*单元面积!J9</f>
        <v>7742.8</v>
      </c>
      <c r="K8" s="5">
        <f>SUM(B8:I8)</f>
        <v>175796</v>
      </c>
    </row>
    <row r="9" spans="1:11" x14ac:dyDescent="0.15">
      <c r="A9" s="35"/>
      <c r="B9" s="29">
        <f>B8/$K8</f>
        <v>2.9079159935379646E-2</v>
      </c>
      <c r="C9" s="29">
        <f t="shared" ref="C9:J9" si="3">C8/$K8</f>
        <v>8.0764067441807544E-2</v>
      </c>
      <c r="D9" s="29">
        <f t="shared" si="3"/>
        <v>5.2287879132631006E-2</v>
      </c>
      <c r="E9" s="29">
        <f t="shared" si="3"/>
        <v>7.3448770165419008E-2</v>
      </c>
      <c r="F9" s="29">
        <f t="shared" si="3"/>
        <v>0.58239095315024236</v>
      </c>
      <c r="G9" s="29">
        <f t="shared" si="3"/>
        <v>0.18202917017452047</v>
      </c>
      <c r="H9" s="29">
        <f t="shared" si="3"/>
        <v>0</v>
      </c>
      <c r="I9" s="29">
        <f t="shared" si="3"/>
        <v>0</v>
      </c>
      <c r="J9" s="29">
        <f t="shared" si="3"/>
        <v>4.4044233088352411E-2</v>
      </c>
      <c r="K9" s="5"/>
    </row>
    <row r="10" spans="1:11" x14ac:dyDescent="0.15">
      <c r="A10" s="35" t="str">
        <f>架构比较!A15</f>
        <v>COBRA</v>
      </c>
      <c r="B10" s="5">
        <f>架构比较!C15*架构比较!$K15*单元面积!B11</f>
        <v>0</v>
      </c>
      <c r="C10" s="5">
        <f>架构比较!D15*架构比较!$K15*单元面积!C11</f>
        <v>0</v>
      </c>
      <c r="D10" s="5">
        <f>架构比较!E15*架构比较!$K15*单元面积!D11</f>
        <v>0</v>
      </c>
      <c r="E10" s="5">
        <f>架构比较!F15*架构比较!$K15*单元面积!E11</f>
        <v>0</v>
      </c>
      <c r="F10" s="5">
        <f>架构比较!G15*架构比较!$K15*单元面积!F11</f>
        <v>0</v>
      </c>
      <c r="G10" s="5">
        <f>架构比较!H15*架构比较!$K15*单元面积!G11</f>
        <v>0</v>
      </c>
      <c r="H10" s="5">
        <f>架构比较!I15*架构比较!$K15*单元面积!H11</f>
        <v>0</v>
      </c>
      <c r="I10" s="5">
        <f>架构比较!J15*架构比较!$K15*单元面积!I11</f>
        <v>0</v>
      </c>
      <c r="J10" s="5">
        <f>架构比较!K16*单元面积!J11</f>
        <v>0</v>
      </c>
      <c r="K10" s="5">
        <f>SUM(B10:I10)</f>
        <v>0</v>
      </c>
    </row>
    <row r="11" spans="1:11" x14ac:dyDescent="0.15">
      <c r="A11" s="35"/>
      <c r="B11" s="29" t="e">
        <f>B10/$K10</f>
        <v>#DIV/0!</v>
      </c>
      <c r="C11" s="29" t="e">
        <f t="shared" ref="C11:J11" si="4">C10/$K10</f>
        <v>#DIV/0!</v>
      </c>
      <c r="D11" s="29" t="e">
        <f t="shared" si="4"/>
        <v>#DIV/0!</v>
      </c>
      <c r="E11" s="29" t="e">
        <f t="shared" si="4"/>
        <v>#DIV/0!</v>
      </c>
      <c r="F11" s="29" t="e">
        <f t="shared" si="4"/>
        <v>#DIV/0!</v>
      </c>
      <c r="G11" s="29" t="e">
        <f t="shared" si="4"/>
        <v>#DIV/0!</v>
      </c>
      <c r="H11" s="29" t="e">
        <f t="shared" si="4"/>
        <v>#DIV/0!</v>
      </c>
      <c r="I11" s="29" t="e">
        <f t="shared" si="4"/>
        <v>#DIV/0!</v>
      </c>
      <c r="J11" s="29" t="e">
        <f t="shared" si="4"/>
        <v>#DIV/0!</v>
      </c>
      <c r="K11" s="5"/>
    </row>
  </sheetData>
  <mergeCells count="5">
    <mergeCell ref="A2:A3"/>
    <mergeCell ref="A4:A5"/>
    <mergeCell ref="A6:A7"/>
    <mergeCell ref="A8:A9"/>
    <mergeCell ref="A10:A1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8" sqref="H18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35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35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35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35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35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35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35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35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35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32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33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32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33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70" zoomScaleNormal="70" workbookViewId="0">
      <selection activeCell="S36" sqref="S36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20" width="9.5" style="1" bestFit="1" customWidth="1"/>
    <col min="21" max="16384" width="9" style="1"/>
  </cols>
  <sheetData>
    <row r="1" spans="1:21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21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  <c r="T2" s="1">
        <f>SUM(B2:G2)</f>
        <v>48</v>
      </c>
      <c r="U2" s="31">
        <f>算法分析!J2/资源数比较!T2</f>
        <v>0.25</v>
      </c>
    </row>
    <row r="3" spans="1:21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  <c r="T3" s="1">
        <f t="shared" ref="T3:T31" si="1">SUM(B3:G3)</f>
        <v>48</v>
      </c>
      <c r="U3" s="31">
        <f>算法分析!J3/资源数比较!T3</f>
        <v>0.125</v>
      </c>
    </row>
    <row r="4" spans="1:21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  <c r="T4" s="1">
        <f t="shared" si="1"/>
        <v>48</v>
      </c>
      <c r="U4" s="31">
        <f>算法分析!J4/资源数比较!T4</f>
        <v>0.1875</v>
      </c>
    </row>
    <row r="5" spans="1:21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  <c r="T5" s="1">
        <f t="shared" si="1"/>
        <v>96</v>
      </c>
      <c r="U5" s="31">
        <f>算法分析!J5/资源数比较!T5</f>
        <v>0.15625</v>
      </c>
    </row>
    <row r="6" spans="1:21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  <c r="T6" s="1">
        <f t="shared" si="1"/>
        <v>64</v>
      </c>
      <c r="U6" s="31">
        <f>算法分析!J6/资源数比较!T6</f>
        <v>9.375E-2</v>
      </c>
    </row>
    <row r="7" spans="1:21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  <c r="T7" s="1">
        <f t="shared" si="1"/>
        <v>48</v>
      </c>
      <c r="U7" s="31">
        <f>算法分析!J7/资源数比较!T7</f>
        <v>0.14583333333333334</v>
      </c>
    </row>
    <row r="8" spans="1:21" x14ac:dyDescent="0.25">
      <c r="A8" s="2"/>
      <c r="T8" s="1">
        <f t="shared" si="1"/>
        <v>0</v>
      </c>
    </row>
    <row r="9" spans="1:21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  <c r="T9" s="1">
        <f t="shared" si="1"/>
        <v>0</v>
      </c>
    </row>
    <row r="10" spans="1:21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48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0</v>
      </c>
      <c r="I10" s="6">
        <f>SUMPRODUCT(架构比较!J$8:J$9,映射分析!$C$8:$C$9)</f>
        <v>0</v>
      </c>
      <c r="J10" s="6">
        <f>映射分析!C$10</f>
        <v>2</v>
      </c>
      <c r="K10" s="16">
        <f>IF(资源数比较!B2&lt;&gt;0,算法分析!B2/资源数比较!B10,"")</f>
        <v>0</v>
      </c>
      <c r="L10" s="16">
        <f>IF(资源数比较!C2&lt;&gt;0,算法分析!C2/资源数比较!C10,"")</f>
        <v>0</v>
      </c>
      <c r="M10" s="16">
        <f>IF(资源数比较!D2&lt;&gt;0,算法分析!D2/资源数比较!D10,"")</f>
        <v>0</v>
      </c>
      <c r="N10" s="16">
        <f>IF(资源数比较!E2&lt;&gt;0,算法分析!E2/资源数比较!E10,"")</f>
        <v>8.3333333333333329E-2</v>
      </c>
      <c r="O10" s="16">
        <f>IF(资源数比较!F2&lt;&gt;0,算法分析!F2/资源数比较!F10,"")</f>
        <v>0.25</v>
      </c>
      <c r="P10" s="16" t="str">
        <f t="shared" ref="P10:S15" si="2">IF(G10&lt;&gt;0,(G2-G10)/G10,"")</f>
        <v/>
      </c>
      <c r="Q10" s="16" t="str">
        <f t="shared" si="2"/>
        <v/>
      </c>
      <c r="R10" s="16" t="str">
        <f t="shared" si="2"/>
        <v/>
      </c>
      <c r="S10" s="16">
        <f t="shared" si="2"/>
        <v>0.5</v>
      </c>
      <c r="T10" s="1">
        <f t="shared" si="1"/>
        <v>84</v>
      </c>
      <c r="U10" s="31">
        <f>算法分析!J2/资源数比较!T10</f>
        <v>0.14285714285714285</v>
      </c>
    </row>
    <row r="11" spans="1:21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96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0</v>
      </c>
      <c r="I11" s="6">
        <f>SUMPRODUCT(架构比较!J$8:J$9,映射分析!$D$8:$D$9)</f>
        <v>0</v>
      </c>
      <c r="J11" s="6">
        <f>映射分析!D$10</f>
        <v>4</v>
      </c>
      <c r="K11" s="16">
        <f>IF(资源数比较!B3&lt;&gt;0,算法分析!B3/资源数比较!B11,"")</f>
        <v>0</v>
      </c>
      <c r="L11" s="16">
        <f>IF(资源数比较!C3&lt;&gt;0,算法分析!C3/资源数比较!C11,"")</f>
        <v>0</v>
      </c>
      <c r="M11" s="16">
        <f>IF(资源数比较!D3&lt;&gt;0,算法分析!D3/资源数比较!D11,"")</f>
        <v>0.25</v>
      </c>
      <c r="N11" s="16">
        <f>IF(资源数比较!E3&lt;&gt;0,算法分析!E3/资源数比较!E11,"")</f>
        <v>2.0833333333333332E-2</v>
      </c>
      <c r="O11" s="16">
        <f>IF(资源数比较!F3&lt;&gt;0,算法分析!F3/资源数比较!F11,"")</f>
        <v>6.25E-2</v>
      </c>
      <c r="P11" s="16" t="str">
        <f t="shared" si="2"/>
        <v/>
      </c>
      <c r="Q11" s="16" t="str">
        <f t="shared" si="2"/>
        <v/>
      </c>
      <c r="R11" s="16" t="str">
        <f t="shared" si="2"/>
        <v/>
      </c>
      <c r="S11" s="16">
        <f t="shared" si="2"/>
        <v>-0.25</v>
      </c>
      <c r="T11" s="1">
        <f t="shared" si="1"/>
        <v>168</v>
      </c>
      <c r="U11" s="31">
        <f>算法分析!J3/资源数比较!T11</f>
        <v>3.5714285714285712E-2</v>
      </c>
    </row>
    <row r="12" spans="1:21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96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0</v>
      </c>
      <c r="I12" s="6">
        <f>SUMPRODUCT(架构比较!J$8:J$9,映射分析!$E$8:$E$9)</f>
        <v>0</v>
      </c>
      <c r="J12" s="6">
        <f>映射分析!E$10</f>
        <v>4</v>
      </c>
      <c r="K12" s="16">
        <f>IF(资源数比较!B4&lt;&gt;0,算法分析!B4/资源数比较!B12,"")</f>
        <v>0</v>
      </c>
      <c r="L12" s="16">
        <f>IF(资源数比较!C4&lt;&gt;0,算法分析!C4/资源数比较!C12,"")</f>
        <v>0.25</v>
      </c>
      <c r="M12" s="16">
        <f>IF(资源数比较!D4&lt;&gt;0,算法分析!D4/资源数比较!D12,"")</f>
        <v>0</v>
      </c>
      <c r="N12" s="16">
        <f>IF(资源数比较!E4&lt;&gt;0,算法分析!E4/资源数比较!E12,"")</f>
        <v>4.1666666666666664E-2</v>
      </c>
      <c r="O12" s="16">
        <f>IF(资源数比较!F4&lt;&gt;0,算法分析!F4/资源数比较!F12,"")</f>
        <v>3.125E-2</v>
      </c>
      <c r="P12" s="16" t="str">
        <f t="shared" si="2"/>
        <v/>
      </c>
      <c r="Q12" s="16" t="str">
        <f t="shared" si="2"/>
        <v/>
      </c>
      <c r="R12" s="16" t="str">
        <f t="shared" si="2"/>
        <v/>
      </c>
      <c r="S12" s="16">
        <f t="shared" si="2"/>
        <v>-0.25</v>
      </c>
      <c r="T12" s="1">
        <f t="shared" si="1"/>
        <v>168</v>
      </c>
      <c r="U12" s="31">
        <f>算法分析!J4/资源数比较!T12</f>
        <v>5.3571428571428568E-2</v>
      </c>
    </row>
    <row r="13" spans="1:21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144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0</v>
      </c>
      <c r="I13" s="6">
        <f>SUMPRODUCT(架构比较!J$8:J$9,映射分析!$F$8:$F$9)</f>
        <v>0</v>
      </c>
      <c r="J13" s="6">
        <f>映射分析!F$10</f>
        <v>6</v>
      </c>
      <c r="K13" s="16">
        <f>IF(资源数比较!B5&lt;&gt;0,算法分析!B5/资源数比较!B13,"")</f>
        <v>0.16666666666666666</v>
      </c>
      <c r="L13" s="16">
        <f>IF(资源数比较!C5&lt;&gt;0,算法分析!C5/资源数比较!C13,"")</f>
        <v>4.1666666666666664E-2</v>
      </c>
      <c r="M13" s="16">
        <f>IF(资源数比较!D5&lt;&gt;0,算法分析!D5/资源数比较!D13,"")</f>
        <v>0</v>
      </c>
      <c r="N13" s="16">
        <f>IF(资源数比较!E5&lt;&gt;0,算法分析!E5/资源数比较!E13,"")</f>
        <v>4.1666666666666664E-2</v>
      </c>
      <c r="O13" s="16">
        <f>IF(资源数比较!F5&lt;&gt;0,算法分析!F5/资源数比较!F13,"")</f>
        <v>4.1666666666666664E-2</v>
      </c>
      <c r="P13" s="16" t="str">
        <f t="shared" si="2"/>
        <v/>
      </c>
      <c r="Q13" s="16" t="str">
        <f t="shared" si="2"/>
        <v/>
      </c>
      <c r="R13" s="16" t="str">
        <f t="shared" si="2"/>
        <v/>
      </c>
      <c r="S13" s="16">
        <f t="shared" si="2"/>
        <v>0</v>
      </c>
      <c r="T13" s="1">
        <f t="shared" si="1"/>
        <v>252</v>
      </c>
      <c r="U13" s="31">
        <f>算法分析!J5/资源数比较!T13</f>
        <v>5.9523809523809521E-2</v>
      </c>
    </row>
    <row r="14" spans="1:21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96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0</v>
      </c>
      <c r="I14" s="6">
        <f>SUMPRODUCT(架构比较!J$8:J$9,映射分析!$G$8:$G$9)</f>
        <v>0</v>
      </c>
      <c r="J14" s="6">
        <f>映射分析!G$10</f>
        <v>4</v>
      </c>
      <c r="K14" s="16">
        <f>IF(资源数比较!B6&lt;&gt;0,算法分析!B6/资源数比较!B14,"")</f>
        <v>0.125</v>
      </c>
      <c r="L14" s="16">
        <f>IF(资源数比较!C6&lt;&gt;0,算法分析!C6/资源数比较!C14,"")</f>
        <v>0.125</v>
      </c>
      <c r="M14" s="16">
        <f>IF(资源数比较!D6&lt;&gt;0,算法分析!D6/资源数比较!D14,"")</f>
        <v>0</v>
      </c>
      <c r="N14" s="16">
        <f>IF(资源数比较!E6&lt;&gt;0,算法分析!E6/资源数比较!E14,"")</f>
        <v>2.0833333333333332E-2</v>
      </c>
      <c r="O14" s="16">
        <f>IF(资源数比较!F6&lt;&gt;0,算法分析!F6/资源数比较!F14,"")</f>
        <v>0</v>
      </c>
      <c r="P14" s="16" t="str">
        <f t="shared" si="2"/>
        <v/>
      </c>
      <c r="Q14" s="16" t="str">
        <f t="shared" si="2"/>
        <v/>
      </c>
      <c r="R14" s="16" t="str">
        <f t="shared" si="2"/>
        <v/>
      </c>
      <c r="S14" s="16">
        <f t="shared" si="2"/>
        <v>0</v>
      </c>
      <c r="T14" s="1">
        <f t="shared" si="1"/>
        <v>168</v>
      </c>
      <c r="U14" s="31">
        <f>算法分析!J6/资源数比较!T14</f>
        <v>3.5714285714285712E-2</v>
      </c>
    </row>
    <row r="15" spans="1:21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96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0</v>
      </c>
      <c r="I15" s="6">
        <f>SUMPRODUCT(架构比较!J$8:J$9,映射分析!$H$8:$H$9)</f>
        <v>0</v>
      </c>
      <c r="J15" s="6">
        <f>映射分析!H$10</f>
        <v>4</v>
      </c>
      <c r="K15" s="16">
        <f>IF(资源数比较!B7&lt;&gt;0,算法分析!B7/资源数比较!B15,"")</f>
        <v>0.1875</v>
      </c>
      <c r="L15" s="16">
        <f>IF(资源数比较!C7&lt;&gt;0,算法分析!C7/资源数比较!C15,"")</f>
        <v>0</v>
      </c>
      <c r="M15" s="16">
        <f>IF(资源数比较!D7&lt;&gt;0,算法分析!D7/资源数比较!D15,"")</f>
        <v>0</v>
      </c>
      <c r="N15" s="16">
        <f>IF(资源数比较!E7&lt;&gt;0,算法分析!E7/资源数比较!E15,"")</f>
        <v>3.125E-2</v>
      </c>
      <c r="O15" s="16">
        <f>IF(资源数比较!F7&lt;&gt;0,算法分析!F7/资源数比较!F15,"")</f>
        <v>3.125E-2</v>
      </c>
      <c r="P15" s="16" t="str">
        <f t="shared" si="2"/>
        <v/>
      </c>
      <c r="Q15" s="16" t="str">
        <f t="shared" si="2"/>
        <v/>
      </c>
      <c r="R15" s="16" t="str">
        <f t="shared" si="2"/>
        <v/>
      </c>
      <c r="S15" s="16">
        <f t="shared" si="2"/>
        <v>-0.25</v>
      </c>
      <c r="T15" s="1">
        <f t="shared" si="1"/>
        <v>168</v>
      </c>
      <c r="U15" s="31">
        <f>算法分析!J7/资源数比较!T15</f>
        <v>4.1666666666666664E-2</v>
      </c>
    </row>
    <row r="16" spans="1:21" x14ac:dyDescent="0.25">
      <c r="A16" s="2"/>
      <c r="T16" s="1">
        <f t="shared" si="1"/>
        <v>0</v>
      </c>
    </row>
    <row r="17" spans="1:21" x14ac:dyDescent="0.25">
      <c r="A17" s="5" t="str">
        <f>映射分析!A11</f>
        <v>Cyptoraptor</v>
      </c>
      <c r="T17" s="1">
        <f t="shared" si="1"/>
        <v>0</v>
      </c>
    </row>
    <row r="18" spans="1:21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>IF(资源数比较!B2&lt;&gt;0,算法分析!B2/资源数比较!B18,"")</f>
        <v>0</v>
      </c>
      <c r="L18" s="17">
        <f>IF(资源数比较!C2&lt;&gt;0,算法分析!C2/资源数比较!C18,"")</f>
        <v>0</v>
      </c>
      <c r="M18" s="17">
        <f>IF(资源数比较!D2&lt;&gt;0,算法分析!D2/资源数比较!D18,"")</f>
        <v>0</v>
      </c>
      <c r="N18" s="17">
        <f>IF(资源数比较!E2&lt;&gt;0,算法分析!E2/资源数比较!E18,"")</f>
        <v>0.5</v>
      </c>
      <c r="O18" s="17">
        <f>IF(资源数比较!F2&lt;&gt;0,算法分析!F2/资源数比较!F18,"")</f>
        <v>7.1428571428571425E-2</v>
      </c>
      <c r="P18" s="17" t="str">
        <f t="shared" ref="P18:S23" si="3">IF(G18&lt;&gt;0,(G2-G18)/G18,"")</f>
        <v/>
      </c>
      <c r="Q18" s="17" t="str">
        <f t="shared" si="3"/>
        <v/>
      </c>
      <c r="R18" s="17">
        <f t="shared" si="3"/>
        <v>-1</v>
      </c>
      <c r="S18" s="17">
        <f t="shared" si="3"/>
        <v>0.5</v>
      </c>
      <c r="T18" s="1">
        <f t="shared" si="1"/>
        <v>88</v>
      </c>
      <c r="U18" s="31">
        <f>算法分析!J2/资源数比较!T18</f>
        <v>0.13636363636363635</v>
      </c>
    </row>
    <row r="19" spans="1:21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>IF(资源数比较!B3&lt;&gt;0,算法分析!B3/资源数比较!B19,"")</f>
        <v>0</v>
      </c>
      <c r="L19" s="17">
        <f>IF(资源数比较!C3&lt;&gt;0,算法分析!C3/资源数比较!C19,"")</f>
        <v>0</v>
      </c>
      <c r="M19" s="17">
        <f>IF(资源数比较!D3&lt;&gt;0,算法分析!D3/资源数比较!D19,"")</f>
        <v>0.16666666666666666</v>
      </c>
      <c r="N19" s="17">
        <f>IF(资源数比较!E3&lt;&gt;0,算法分析!E3/资源数比较!E19,"")</f>
        <v>0.16666666666666666</v>
      </c>
      <c r="O19" s="17">
        <f>IF(资源数比较!F3&lt;&gt;0,算法分析!F3/资源数比较!F19,"")</f>
        <v>2.3809523809523808E-2</v>
      </c>
      <c r="P19" s="17" t="str">
        <f t="shared" si="3"/>
        <v/>
      </c>
      <c r="Q19" s="17" t="str">
        <f t="shared" si="3"/>
        <v/>
      </c>
      <c r="R19" s="17">
        <f t="shared" si="3"/>
        <v>-1</v>
      </c>
      <c r="S19" s="17">
        <f t="shared" si="3"/>
        <v>0</v>
      </c>
      <c r="T19" s="1">
        <f t="shared" si="1"/>
        <v>132</v>
      </c>
      <c r="U19" s="31">
        <f>算法分析!J3/资源数比较!T19</f>
        <v>4.5454545454545456E-2</v>
      </c>
    </row>
    <row r="20" spans="1:21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>IF(资源数比较!B4&lt;&gt;0,算法分析!B4/资源数比较!B20,"")</f>
        <v>0</v>
      </c>
      <c r="L20" s="17">
        <f>IF(资源数比较!C4&lt;&gt;0,算法分析!C4/资源数比较!C20,"")</f>
        <v>0.25</v>
      </c>
      <c r="M20" s="17">
        <f>IF(资源数比较!D4&lt;&gt;0,算法分析!D4/资源数比较!D20,"")</f>
        <v>0</v>
      </c>
      <c r="N20" s="17">
        <f>IF(资源数比较!E4&lt;&gt;0,算法分析!E4/资源数比较!E20,"")</f>
        <v>0.25</v>
      </c>
      <c r="O20" s="17">
        <f>IF(资源数比较!F4&lt;&gt;0,算法分析!F4/资源数比较!F20,"")</f>
        <v>8.9285714285714281E-3</v>
      </c>
      <c r="P20" s="17" t="str">
        <f t="shared" si="3"/>
        <v/>
      </c>
      <c r="Q20" s="17" t="str">
        <f t="shared" si="3"/>
        <v/>
      </c>
      <c r="R20" s="17">
        <f t="shared" si="3"/>
        <v>-1</v>
      </c>
      <c r="S20" s="17">
        <f t="shared" si="3"/>
        <v>-0.25</v>
      </c>
      <c r="T20" s="1">
        <f t="shared" si="1"/>
        <v>176</v>
      </c>
      <c r="U20" s="31">
        <f>算法分析!J4/资源数比较!T20</f>
        <v>5.113636363636364E-2</v>
      </c>
    </row>
    <row r="21" spans="1:21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>IF(资源数比较!B5&lt;&gt;0,算法分析!B5/资源数比较!B21,"")</f>
        <v>0.2</v>
      </c>
      <c r="L21" s="17">
        <f>IF(资源数比较!C5&lt;&gt;0,算法分析!C5/资源数比较!C21,"")</f>
        <v>0.05</v>
      </c>
      <c r="M21" s="17">
        <f>IF(资源数比较!D5&lt;&gt;0,算法分析!D5/资源数比较!D21,"")</f>
        <v>0</v>
      </c>
      <c r="N21" s="17">
        <f>IF(资源数比较!E5&lt;&gt;0,算法分析!E5/资源数比较!E21,"")</f>
        <v>0.3</v>
      </c>
      <c r="O21" s="17">
        <f>IF(资源数比较!F5&lt;&gt;0,算法分析!F5/资源数比较!F21,"")</f>
        <v>1.4285714285714285E-2</v>
      </c>
      <c r="P21" s="17" t="str">
        <f t="shared" si="3"/>
        <v/>
      </c>
      <c r="Q21" s="17" t="str">
        <f t="shared" si="3"/>
        <v/>
      </c>
      <c r="R21" s="17">
        <f t="shared" si="3"/>
        <v>-1</v>
      </c>
      <c r="S21" s="17">
        <f t="shared" si="3"/>
        <v>0.2</v>
      </c>
      <c r="T21" s="1">
        <f t="shared" si="1"/>
        <v>220</v>
      </c>
      <c r="U21" s="31">
        <f>算法分析!J5/资源数比较!T21</f>
        <v>6.8181818181818177E-2</v>
      </c>
    </row>
    <row r="22" spans="1:21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>IF(资源数比较!B6&lt;&gt;0,算法分析!B6/资源数比较!B22,"")</f>
        <v>0.125</v>
      </c>
      <c r="L22" s="17">
        <f>IF(资源数比较!C6&lt;&gt;0,算法分析!C6/资源数比较!C22,"")</f>
        <v>0.125</v>
      </c>
      <c r="M22" s="17">
        <f>IF(资源数比较!D6&lt;&gt;0,算法分析!D6/资源数比较!D22,"")</f>
        <v>0</v>
      </c>
      <c r="N22" s="17">
        <f>IF(资源数比较!E6&lt;&gt;0,算法分析!E6/资源数比较!E22,"")</f>
        <v>0.125</v>
      </c>
      <c r="O22" s="17">
        <f>IF(资源数比较!F6&lt;&gt;0,算法分析!F6/资源数比较!F22,"")</f>
        <v>0</v>
      </c>
      <c r="P22" s="17" t="str">
        <f t="shared" si="3"/>
        <v/>
      </c>
      <c r="Q22" s="17" t="str">
        <f t="shared" si="3"/>
        <v/>
      </c>
      <c r="R22" s="17">
        <f t="shared" si="3"/>
        <v>-1</v>
      </c>
      <c r="S22" s="17">
        <f t="shared" si="3"/>
        <v>0</v>
      </c>
      <c r="T22" s="1">
        <f t="shared" si="1"/>
        <v>176</v>
      </c>
      <c r="U22" s="31">
        <f>算法分析!J6/资源数比较!T22</f>
        <v>3.4090909090909088E-2</v>
      </c>
    </row>
    <row r="23" spans="1:21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>IF(资源数比较!B7&lt;&gt;0,算法分析!B7/资源数比较!B23,"")</f>
        <v>0.25</v>
      </c>
      <c r="L23" s="17">
        <f>IF(资源数比较!C7&lt;&gt;0,算法分析!C7/资源数比较!C23,"")</f>
        <v>0</v>
      </c>
      <c r="M23" s="17">
        <f>IF(资源数比较!D7&lt;&gt;0,算法分析!D7/资源数比较!D23,"")</f>
        <v>0</v>
      </c>
      <c r="N23" s="17">
        <f>IF(资源数比较!E7&lt;&gt;0,算法分析!E7/资源数比较!E23,"")</f>
        <v>0.25</v>
      </c>
      <c r="O23" s="17">
        <f>IF(资源数比较!F7&lt;&gt;0,算法分析!F7/资源数比较!F23,"")</f>
        <v>1.1904761904761904E-2</v>
      </c>
      <c r="P23" s="17" t="str">
        <f t="shared" si="3"/>
        <v/>
      </c>
      <c r="Q23" s="17" t="str">
        <f t="shared" si="3"/>
        <v/>
      </c>
      <c r="R23" s="17">
        <f t="shared" si="3"/>
        <v>-1</v>
      </c>
      <c r="S23" s="17">
        <f t="shared" si="3"/>
        <v>0</v>
      </c>
      <c r="T23" s="1">
        <f t="shared" si="1"/>
        <v>132</v>
      </c>
      <c r="U23" s="31">
        <f>算法分析!J7/资源数比较!T23</f>
        <v>5.3030303030303032E-2</v>
      </c>
    </row>
    <row r="24" spans="1:21" x14ac:dyDescent="0.25">
      <c r="A24" s="2"/>
      <c r="T24" s="1">
        <f t="shared" si="1"/>
        <v>0</v>
      </c>
    </row>
    <row r="25" spans="1:21" x14ac:dyDescent="0.25">
      <c r="A25" s="5" t="str">
        <f>映射分析!A13</f>
        <v>RCPA</v>
      </c>
      <c r="T25" s="1">
        <f t="shared" si="1"/>
        <v>0</v>
      </c>
    </row>
    <row r="26" spans="1:21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>IF(资源数比较!B2&lt;&gt;0,算法分析!B2/资源数比较!B26,"")</f>
        <v>0</v>
      </c>
      <c r="L26" s="17">
        <f>IF(资源数比较!C2&lt;&gt;0,算法分析!C2/资源数比较!C26,"")</f>
        <v>0</v>
      </c>
      <c r="M26" s="17">
        <f>IF(资源数比较!D2&lt;&gt;0,算法分析!D2/资源数比较!D26,"")</f>
        <v>0</v>
      </c>
      <c r="N26" s="17">
        <f>IF(资源数比较!E2&lt;&gt;0,算法分析!E2/资源数比较!E26,"")</f>
        <v>0.25</v>
      </c>
      <c r="O26" s="17">
        <f>IF(资源数比较!F2&lt;&gt;0,算法分析!F2/资源数比较!F26,"")</f>
        <v>0.25</v>
      </c>
      <c r="P26" s="17">
        <f>IF(资源数比较!G2&lt;&gt;0,算法分析!G2/资源数比较!G26,"")</f>
        <v>0.5</v>
      </c>
      <c r="Q26" s="17" t="str">
        <f t="shared" ref="Q26:S31" si="4">IF(H26&lt;&gt;0,(H2-H26)/H26,"")</f>
        <v/>
      </c>
      <c r="R26" s="17" t="str">
        <f t="shared" si="4"/>
        <v/>
      </c>
      <c r="S26" s="17">
        <f t="shared" si="4"/>
        <v>0.5</v>
      </c>
      <c r="T26" s="1">
        <f t="shared" si="1"/>
        <v>64</v>
      </c>
      <c r="U26" s="31">
        <f>算法分析!J2/资源数比较!T26</f>
        <v>0.1875</v>
      </c>
    </row>
    <row r="27" spans="1:21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>IF(资源数比较!B3&lt;&gt;0,算法分析!B3/资源数比较!B27,"")</f>
        <v>0</v>
      </c>
      <c r="L27" s="17">
        <f>IF(资源数比较!C3&lt;&gt;0,算法分析!C3/资源数比较!C27,"")</f>
        <v>0</v>
      </c>
      <c r="M27" s="17">
        <f>IF(资源数比较!D3&lt;&gt;0,算法分析!D3/资源数比较!D27,"")</f>
        <v>0.16666666666666666</v>
      </c>
      <c r="N27" s="17">
        <f>IF(资源数比较!E3&lt;&gt;0,算法分析!E3/资源数比较!E27,"")</f>
        <v>8.3333333333333329E-2</v>
      </c>
      <c r="O27" s="17">
        <f>IF(资源数比较!F3&lt;&gt;0,算法分析!F3/资源数比较!F27,"")</f>
        <v>8.3333333333333329E-2</v>
      </c>
      <c r="P27" s="17">
        <f>IF(资源数比较!G3&lt;&gt;0,算法分析!G3/资源数比较!G27,"")</f>
        <v>0</v>
      </c>
      <c r="Q27" s="17" t="str">
        <f t="shared" si="4"/>
        <v/>
      </c>
      <c r="R27" s="17" t="str">
        <f t="shared" si="4"/>
        <v/>
      </c>
      <c r="S27" s="17">
        <f t="shared" si="4"/>
        <v>0</v>
      </c>
      <c r="T27" s="1">
        <f t="shared" si="1"/>
        <v>96</v>
      </c>
      <c r="U27" s="31">
        <f>算法分析!J3/资源数比较!T27</f>
        <v>6.25E-2</v>
      </c>
    </row>
    <row r="28" spans="1:21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>IF(资源数比较!B4&lt;&gt;0,算法分析!B4/资源数比较!B28,"")</f>
        <v>0</v>
      </c>
      <c r="L28" s="17">
        <f>IF(资源数比较!C4&lt;&gt;0,算法分析!C4/资源数比较!C28,"")</f>
        <v>0.25</v>
      </c>
      <c r="M28" s="17">
        <f>IF(资源数比较!D4&lt;&gt;0,算法分析!D4/资源数比较!D28,"")</f>
        <v>0</v>
      </c>
      <c r="N28" s="17">
        <f>IF(资源数比较!E4&lt;&gt;0,算法分析!E4/资源数比较!E28,"")</f>
        <v>0.125</v>
      </c>
      <c r="O28" s="17">
        <f>IF(资源数比较!F4&lt;&gt;0,算法分析!F4/资源数比较!F28,"")</f>
        <v>3.125E-2</v>
      </c>
      <c r="P28" s="17">
        <f>IF(资源数比较!G4&lt;&gt;0,算法分析!G4/资源数比较!G28,"")</f>
        <v>0</v>
      </c>
      <c r="Q28" s="17" t="str">
        <f t="shared" si="4"/>
        <v/>
      </c>
      <c r="R28" s="17" t="str">
        <f t="shared" si="4"/>
        <v/>
      </c>
      <c r="S28" s="17">
        <f t="shared" si="4"/>
        <v>-0.25</v>
      </c>
      <c r="T28" s="1">
        <f t="shared" si="1"/>
        <v>128</v>
      </c>
      <c r="U28" s="31">
        <f>算法分析!J4/资源数比较!T28</f>
        <v>7.03125E-2</v>
      </c>
    </row>
    <row r="29" spans="1:21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>IF(资源数比较!B5&lt;&gt;0,算法分析!B5/资源数比较!B29,"")</f>
        <v>0.2</v>
      </c>
      <c r="L29" s="17">
        <f>IF(资源数比较!C5&lt;&gt;0,算法分析!C5/资源数比较!C29,"")</f>
        <v>0.05</v>
      </c>
      <c r="M29" s="17">
        <f>IF(资源数比较!D5&lt;&gt;0,算法分析!D5/资源数比较!D29,"")</f>
        <v>0</v>
      </c>
      <c r="N29" s="17">
        <f>IF(资源数比较!E5&lt;&gt;0,算法分析!E5/资源数比较!E29,"")</f>
        <v>0.15</v>
      </c>
      <c r="O29" s="17">
        <f>IF(资源数比较!F5&lt;&gt;0,算法分析!F5/资源数比较!F29,"")</f>
        <v>0.05</v>
      </c>
      <c r="P29" s="17">
        <f>IF(资源数比较!G5&lt;&gt;0,算法分析!G5/资源数比较!G29,"")</f>
        <v>0.1</v>
      </c>
      <c r="Q29" s="17" t="str">
        <f t="shared" si="4"/>
        <v/>
      </c>
      <c r="R29" s="17" t="str">
        <f t="shared" si="4"/>
        <v/>
      </c>
      <c r="S29" s="17">
        <f t="shared" si="4"/>
        <v>0.2</v>
      </c>
      <c r="T29" s="1">
        <f t="shared" si="1"/>
        <v>160</v>
      </c>
      <c r="U29" s="31">
        <f>算法分析!J5/资源数比较!T29</f>
        <v>9.375E-2</v>
      </c>
    </row>
    <row r="30" spans="1:21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>IF(资源数比较!B6&lt;&gt;0,算法分析!B6/资源数比较!B30,"")</f>
        <v>0.125</v>
      </c>
      <c r="L30" s="17">
        <f>IF(资源数比较!C6&lt;&gt;0,算法分析!C6/资源数比较!C30,"")</f>
        <v>0.125</v>
      </c>
      <c r="M30" s="17">
        <f>IF(资源数比较!D6&lt;&gt;0,算法分析!D6/资源数比较!D30,"")</f>
        <v>0</v>
      </c>
      <c r="N30" s="17">
        <f>IF(资源数比较!E6&lt;&gt;0,算法分析!E6/资源数比较!E30,"")</f>
        <v>6.25E-2</v>
      </c>
      <c r="O30" s="17">
        <f>IF(资源数比较!F6&lt;&gt;0,算法分析!F6/资源数比较!F30,"")</f>
        <v>0</v>
      </c>
      <c r="P30" s="17">
        <f>IF(资源数比较!G6&lt;&gt;0,算法分析!G6/资源数比较!G30,"")</f>
        <v>0</v>
      </c>
      <c r="Q30" s="17" t="str">
        <f t="shared" si="4"/>
        <v/>
      </c>
      <c r="R30" s="17" t="str">
        <f t="shared" si="4"/>
        <v/>
      </c>
      <c r="S30" s="17">
        <f t="shared" si="4"/>
        <v>0</v>
      </c>
      <c r="T30" s="1">
        <f t="shared" si="1"/>
        <v>128</v>
      </c>
      <c r="U30" s="31">
        <f>算法分析!J6/资源数比较!T30</f>
        <v>4.6875E-2</v>
      </c>
    </row>
    <row r="31" spans="1:21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>IF(资源数比较!B7&lt;&gt;0,算法分析!B7/资源数比较!B31,"")</f>
        <v>0.25</v>
      </c>
      <c r="L31" s="17">
        <f>IF(资源数比较!C7&lt;&gt;0,算法分析!C7/资源数比较!C31,"")</f>
        <v>0</v>
      </c>
      <c r="M31" s="17">
        <f>IF(资源数比较!D7&lt;&gt;0,算法分析!D7/资源数比较!D31,"")</f>
        <v>0</v>
      </c>
      <c r="N31" s="17">
        <f>IF(资源数比较!E7&lt;&gt;0,算法分析!E7/资源数比较!E31,"")</f>
        <v>0.125</v>
      </c>
      <c r="O31" s="17">
        <f>IF(资源数比较!F7&lt;&gt;0,算法分析!F7/资源数比较!F31,"")</f>
        <v>4.1666666666666664E-2</v>
      </c>
      <c r="P31" s="17">
        <f>IF(资源数比较!G7&lt;&gt;0,算法分析!G7/资源数比较!G31,"")</f>
        <v>0</v>
      </c>
      <c r="Q31" s="17" t="str">
        <f t="shared" si="4"/>
        <v/>
      </c>
      <c r="R31" s="17" t="str">
        <f t="shared" si="4"/>
        <v/>
      </c>
      <c r="S31" s="17">
        <f t="shared" si="4"/>
        <v>0</v>
      </c>
      <c r="T31" s="1">
        <f t="shared" si="1"/>
        <v>96</v>
      </c>
      <c r="U31" s="31">
        <f>算法分析!J7/资源数比较!T31</f>
        <v>7.2916666666666671E-2</v>
      </c>
    </row>
    <row r="32" spans="1:21" x14ac:dyDescent="0.25">
      <c r="S32" s="1">
        <v>11</v>
      </c>
      <c r="T32" s="1">
        <f>S32*8</f>
        <v>88</v>
      </c>
      <c r="U32" s="31">
        <f>算法分析!J2/资源数比较!T32</f>
        <v>0.13636363636363635</v>
      </c>
    </row>
    <row r="33" spans="19:21" x14ac:dyDescent="0.25">
      <c r="S33" s="1">
        <v>22</v>
      </c>
      <c r="T33" s="1">
        <f>S33*8</f>
        <v>176</v>
      </c>
      <c r="U33" s="31">
        <f>算法分析!J3/资源数比较!T33</f>
        <v>3.4090909090909088E-2</v>
      </c>
    </row>
    <row r="34" spans="19:21" x14ac:dyDescent="0.25">
      <c r="S34" s="1">
        <v>0</v>
      </c>
      <c r="T34" s="1">
        <f t="shared" ref="T34:T37" si="5">S34*8</f>
        <v>0</v>
      </c>
      <c r="U34" s="31" t="e">
        <f>算法分析!J4/资源数比较!T34</f>
        <v>#DIV/0!</v>
      </c>
    </row>
    <row r="35" spans="19:21" x14ac:dyDescent="0.25">
      <c r="S35" s="1">
        <v>0</v>
      </c>
      <c r="T35" s="1">
        <f t="shared" si="5"/>
        <v>0</v>
      </c>
      <c r="U35" s="31" t="e">
        <f>算法分析!J5/资源数比较!T35</f>
        <v>#DIV/0!</v>
      </c>
    </row>
    <row r="36" spans="19:21" x14ac:dyDescent="0.25">
      <c r="S36" s="1">
        <v>11</v>
      </c>
      <c r="T36" s="1">
        <f>S36*8</f>
        <v>88</v>
      </c>
      <c r="U36" s="31">
        <f>算法分析!J6/资源数比较!T36</f>
        <v>6.8181818181818177E-2</v>
      </c>
    </row>
    <row r="37" spans="19:21" x14ac:dyDescent="0.25">
      <c r="S37" s="1">
        <v>0</v>
      </c>
      <c r="T37" s="1">
        <f t="shared" si="5"/>
        <v>0</v>
      </c>
      <c r="U37" s="31" t="e">
        <f>算法分析!J7/资源数比较!T37</f>
        <v>#DIV/0!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K28" sqref="K28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资源数比较!B2*单元面积!B$9</f>
        <v>15336</v>
      </c>
      <c r="C2" s="5">
        <f>资源数比较!C2*单元面积!C$9</f>
        <v>42594</v>
      </c>
      <c r="D2" s="5">
        <f>资源数比较!D2*单元面积!D$9</f>
        <v>9192</v>
      </c>
      <c r="E2" s="5">
        <f>资源数比较!E2*单元面积!E$9</f>
        <v>19368</v>
      </c>
      <c r="F2" s="5">
        <f>资源数比较!F2*单元面积!F$9</f>
        <v>51191</v>
      </c>
      <c r="G2" s="5">
        <f>资源数比较!G2*单元面积!G$9</f>
        <v>32000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资源数比较!J2*单元面积!J$9</f>
        <v>23228.400000000001</v>
      </c>
      <c r="K2" s="23">
        <f t="shared" ref="K2:K7" si="0">SUM(B2:J2)</f>
        <v>192909.4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资源数比较!B3*单元面积!B$9</f>
        <v>15336</v>
      </c>
      <c r="C3" s="5">
        <f>资源数比较!C3*单元面积!C$9</f>
        <v>42594</v>
      </c>
      <c r="D3" s="5">
        <f>资源数比较!D3*单元面积!D$9</f>
        <v>9192</v>
      </c>
      <c r="E3" s="5">
        <f>资源数比较!E3*单元面积!E$9</f>
        <v>19368</v>
      </c>
      <c r="F3" s="5">
        <f>资源数比较!F3*单元面积!F$9</f>
        <v>51191</v>
      </c>
      <c r="G3" s="5">
        <f>资源数比较!G3*单元面积!G$9</f>
        <v>32000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资源数比较!J3*单元面积!J$9</f>
        <v>23228.400000000001</v>
      </c>
      <c r="K3" s="23">
        <f t="shared" si="0"/>
        <v>192909.4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资源数比较!B4*单元面积!B$9</f>
        <v>15336</v>
      </c>
      <c r="C4" s="5">
        <f>资源数比较!C4*单元面积!C$9</f>
        <v>42594</v>
      </c>
      <c r="D4" s="5">
        <f>资源数比较!D4*单元面积!D$9</f>
        <v>9192</v>
      </c>
      <c r="E4" s="5">
        <f>资源数比较!E4*单元面积!E$9</f>
        <v>19368</v>
      </c>
      <c r="F4" s="5">
        <f>资源数比较!F4*单元面积!F$9</f>
        <v>51191</v>
      </c>
      <c r="G4" s="5">
        <f>资源数比较!G4*单元面积!G$9</f>
        <v>32000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资源数比较!J4*单元面积!J$9</f>
        <v>23228.400000000001</v>
      </c>
      <c r="K4" s="23">
        <f t="shared" si="0"/>
        <v>192909.4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资源数比较!B5*单元面积!B$9</f>
        <v>30672</v>
      </c>
      <c r="C5" s="5">
        <f>资源数比较!C5*单元面积!C$9</f>
        <v>85188</v>
      </c>
      <c r="D5" s="5">
        <f>资源数比较!D5*单元面积!D$9</f>
        <v>18384</v>
      </c>
      <c r="E5" s="5">
        <f>资源数比较!E5*单元面积!E$9</f>
        <v>38736</v>
      </c>
      <c r="F5" s="5">
        <f>资源数比较!F5*单元面积!F$9</f>
        <v>102382</v>
      </c>
      <c r="G5" s="5">
        <f>资源数比较!G5*单元面积!G$9</f>
        <v>64000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资源数比较!J5*单元面积!J$9</f>
        <v>46456.800000000003</v>
      </c>
      <c r="K5" s="23">
        <f t="shared" si="0"/>
        <v>385818.8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资源数比较!B6*单元面积!B$9</f>
        <v>20447.999999999996</v>
      </c>
      <c r="C6" s="5">
        <f>资源数比较!C6*单元面积!C$9</f>
        <v>56791.999999999993</v>
      </c>
      <c r="D6" s="5">
        <f>资源数比较!D6*单元面积!D$9</f>
        <v>12256</v>
      </c>
      <c r="E6" s="5">
        <f>资源数比较!E6*单元面积!E$9</f>
        <v>25823.999999999996</v>
      </c>
      <c r="F6" s="5">
        <f>资源数比较!F6*单元面积!F$9</f>
        <v>68254.666666666657</v>
      </c>
      <c r="G6" s="5">
        <f>资源数比较!G6*单元面积!G$9</f>
        <v>42666.666666666664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资源数比较!J6*单元面积!J$9</f>
        <v>30971.200000000001</v>
      </c>
      <c r="K6" s="23">
        <f t="shared" si="0"/>
        <v>257212.5333333333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资源数比较!B7*单元面积!B$9</f>
        <v>15336</v>
      </c>
      <c r="C7" s="5">
        <f>资源数比较!C7*单元面积!C$9</f>
        <v>42594</v>
      </c>
      <c r="D7" s="5">
        <f>资源数比较!D7*单元面积!D$9</f>
        <v>9192</v>
      </c>
      <c r="E7" s="5">
        <f>资源数比较!E7*单元面积!E$9</f>
        <v>19368</v>
      </c>
      <c r="F7" s="5">
        <f>资源数比较!F7*单元面积!F$9</f>
        <v>51191</v>
      </c>
      <c r="G7" s="5">
        <f>资源数比较!G7*单元面积!G$9</f>
        <v>32000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资源数比较!J7*单元面积!J$9</f>
        <v>23228.400000000001</v>
      </c>
      <c r="K7" s="23">
        <f t="shared" si="0"/>
        <v>192909.4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10224</v>
      </c>
      <c r="C10" s="5">
        <f>资源数比较!C10*单元面积!C$9</f>
        <v>28396</v>
      </c>
      <c r="D10" s="5">
        <f>资源数比较!D10*单元面积!D$9</f>
        <v>9192</v>
      </c>
      <c r="E10" s="5">
        <f>资源数比较!E10*单元面积!E$9</f>
        <v>77472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77428</v>
      </c>
      <c r="K10" s="23">
        <f t="shared" ref="K10:K15" si="3">SUM(B10:J10)</f>
        <v>407476</v>
      </c>
      <c r="L10" s="5">
        <f t="shared" ref="L10:L15" si="4">K10/K$10</f>
        <v>1</v>
      </c>
      <c r="M10" s="19"/>
      <c r="N10" s="18">
        <f t="shared" ref="N10:V15" si="5">(B10-B2)/($K10-$K2)</f>
        <v>-2.3824770490840606E-2</v>
      </c>
      <c r="O10" s="18">
        <f t="shared" si="5"/>
        <v>-6.6170596914897281E-2</v>
      </c>
      <c r="P10" s="18">
        <f t="shared" si="5"/>
        <v>0</v>
      </c>
      <c r="Q10" s="18">
        <f t="shared" si="5"/>
        <v>0.27079703924096293</v>
      </c>
      <c r="R10" s="18">
        <f t="shared" si="5"/>
        <v>0.71573581349566984</v>
      </c>
      <c r="S10" s="18">
        <f t="shared" si="5"/>
        <v>-0.14913784344814152</v>
      </c>
      <c r="T10" s="18">
        <f t="shared" si="5"/>
        <v>0</v>
      </c>
      <c r="U10" s="18">
        <f t="shared" si="5"/>
        <v>0</v>
      </c>
      <c r="V10" s="18">
        <f t="shared" si="5"/>
        <v>0.25260035811724657</v>
      </c>
      <c r="W10" s="16">
        <f>(K10-K2)/K10</f>
        <v>0.52657481667631956</v>
      </c>
    </row>
    <row r="11" spans="1:23" x14ac:dyDescent="0.15">
      <c r="A11" s="5" t="str">
        <f>算法分析!A$3</f>
        <v>DES</v>
      </c>
      <c r="B11" s="5">
        <f>资源数比较!B11*单元面积!B$9</f>
        <v>20448</v>
      </c>
      <c r="C11" s="5">
        <f>资源数比较!C11*单元面积!C$9</f>
        <v>56792</v>
      </c>
      <c r="D11" s="5">
        <f>资源数比较!D11*单元面积!D$9</f>
        <v>18384</v>
      </c>
      <c r="E11" s="5">
        <f>资源数比较!E11*单元面积!E$9</f>
        <v>154944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154856</v>
      </c>
      <c r="K11" s="23">
        <f t="shared" si="3"/>
        <v>814952</v>
      </c>
      <c r="L11" s="5">
        <f t="shared" si="4"/>
        <v>2</v>
      </c>
      <c r="M11" s="19"/>
      <c r="N11" s="18">
        <f t="shared" si="5"/>
        <v>8.2180866712344147E-3</v>
      </c>
      <c r="O11" s="18">
        <f t="shared" si="5"/>
        <v>2.282480331732907E-2</v>
      </c>
      <c r="P11" s="18">
        <f t="shared" si="5"/>
        <v>1.4777122981609299E-2</v>
      </c>
      <c r="Q11" s="18">
        <f t="shared" si="5"/>
        <v>0.21795291833710426</v>
      </c>
      <c r="R11" s="18">
        <f t="shared" si="5"/>
        <v>0.57606504763500122</v>
      </c>
      <c r="S11" s="18">
        <f t="shared" si="5"/>
        <v>-5.1443422042155955E-2</v>
      </c>
      <c r="T11" s="18">
        <f t="shared" si="5"/>
        <v>0</v>
      </c>
      <c r="U11" s="18">
        <f t="shared" si="5"/>
        <v>0</v>
      </c>
      <c r="V11" s="18">
        <f t="shared" si="5"/>
        <v>0.21160544309987775</v>
      </c>
      <c r="W11" s="16">
        <f t="shared" ref="W11:W15" si="6">(K11-K3)/K11</f>
        <v>0.76328740833815978</v>
      </c>
    </row>
    <row r="12" spans="1:23" x14ac:dyDescent="0.15">
      <c r="A12" s="5" t="str">
        <f>算法分析!A$4</f>
        <v>SM4</v>
      </c>
      <c r="B12" s="5">
        <f>资源数比较!B12*单元面积!B$9</f>
        <v>20448</v>
      </c>
      <c r="C12" s="5">
        <f>资源数比较!C12*单元面积!C$9</f>
        <v>56792</v>
      </c>
      <c r="D12" s="5">
        <f>资源数比较!D12*单元面积!D$9</f>
        <v>18384</v>
      </c>
      <c r="E12" s="5">
        <f>资源数比较!E12*单元面积!E$9</f>
        <v>154944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154856</v>
      </c>
      <c r="K12" s="23">
        <f t="shared" si="3"/>
        <v>814952</v>
      </c>
      <c r="L12" s="5">
        <f t="shared" si="4"/>
        <v>2</v>
      </c>
      <c r="M12" s="19"/>
      <c r="N12" s="18">
        <f t="shared" si="5"/>
        <v>8.2180866712344147E-3</v>
      </c>
      <c r="O12" s="18">
        <f t="shared" si="5"/>
        <v>2.282480331732907E-2</v>
      </c>
      <c r="P12" s="18">
        <f t="shared" si="5"/>
        <v>1.4777122981609299E-2</v>
      </c>
      <c r="Q12" s="18">
        <f t="shared" si="5"/>
        <v>0.21795291833710426</v>
      </c>
      <c r="R12" s="18">
        <f t="shared" si="5"/>
        <v>0.57606504763500122</v>
      </c>
      <c r="S12" s="18">
        <f t="shared" si="5"/>
        <v>-5.1443422042155955E-2</v>
      </c>
      <c r="T12" s="18">
        <f t="shared" si="5"/>
        <v>0</v>
      </c>
      <c r="U12" s="18">
        <f t="shared" si="5"/>
        <v>0</v>
      </c>
      <c r="V12" s="18">
        <f t="shared" si="5"/>
        <v>0.21160544309987775</v>
      </c>
      <c r="W12" s="16">
        <f t="shared" si="6"/>
        <v>0.76328740833815978</v>
      </c>
    </row>
    <row r="13" spans="1:23" x14ac:dyDescent="0.15">
      <c r="A13" s="5" t="str">
        <f>算法分析!A$5</f>
        <v>TWOFISH</v>
      </c>
      <c r="B13" s="5">
        <f>资源数比较!B13*单元面积!B$9</f>
        <v>30672</v>
      </c>
      <c r="C13" s="5">
        <f>资源数比较!C13*单元面积!C$9</f>
        <v>85188</v>
      </c>
      <c r="D13" s="5">
        <f>资源数比较!D13*单元面积!D$9</f>
        <v>27576</v>
      </c>
      <c r="E13" s="5">
        <f>资源数比较!E13*单元面积!E$9</f>
        <v>232416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232284</v>
      </c>
      <c r="K13" s="23">
        <f t="shared" si="3"/>
        <v>1222428</v>
      </c>
      <c r="L13" s="5">
        <f t="shared" si="4"/>
        <v>3</v>
      </c>
      <c r="M13" s="19"/>
      <c r="N13" s="18">
        <f t="shared" si="5"/>
        <v>0</v>
      </c>
      <c r="O13" s="18">
        <f t="shared" si="5"/>
        <v>0</v>
      </c>
      <c r="P13" s="18">
        <f t="shared" si="5"/>
        <v>1.0987208842551577E-2</v>
      </c>
      <c r="Q13" s="18">
        <f t="shared" si="5"/>
        <v>0.23150594088613896</v>
      </c>
      <c r="R13" s="18">
        <f t="shared" si="5"/>
        <v>0.61188664910689483</v>
      </c>
      <c r="S13" s="18">
        <f t="shared" si="5"/>
        <v>-7.649927827712151E-2</v>
      </c>
      <c r="T13" s="18">
        <f t="shared" si="5"/>
        <v>0</v>
      </c>
      <c r="U13" s="18">
        <f t="shared" si="5"/>
        <v>0</v>
      </c>
      <c r="V13" s="18">
        <f t="shared" si="5"/>
        <v>0.22211947944153618</v>
      </c>
      <c r="W13" s="16">
        <f t="shared" si="6"/>
        <v>0.68438321111754641</v>
      </c>
    </row>
    <row r="14" spans="1:23" x14ac:dyDescent="0.15">
      <c r="A14" s="5" t="str">
        <f>算法分析!A$6</f>
        <v>RC5</v>
      </c>
      <c r="B14" s="5">
        <f>资源数比较!B14*单元面积!B$9</f>
        <v>20448</v>
      </c>
      <c r="C14" s="5">
        <f>资源数比较!C14*单元面积!C$9</f>
        <v>56792</v>
      </c>
      <c r="D14" s="5">
        <f>资源数比较!D14*单元面积!D$9</f>
        <v>18384</v>
      </c>
      <c r="E14" s="5">
        <f>资源数比较!E14*单元面积!E$9</f>
        <v>154944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154856</v>
      </c>
      <c r="K14" s="23">
        <f t="shared" si="3"/>
        <v>814952</v>
      </c>
      <c r="L14" s="5">
        <f t="shared" si="4"/>
        <v>2</v>
      </c>
      <c r="M14" s="19"/>
      <c r="N14" s="18">
        <f t="shared" si="5"/>
        <v>6.5227207764838943E-18</v>
      </c>
      <c r="O14" s="18">
        <f t="shared" si="5"/>
        <v>1.3045441552967789E-17</v>
      </c>
      <c r="P14" s="18">
        <f t="shared" si="5"/>
        <v>1.0987208842551575E-2</v>
      </c>
      <c r="Q14" s="18">
        <f t="shared" si="5"/>
        <v>0.23150594088613896</v>
      </c>
      <c r="R14" s="18">
        <f t="shared" si="5"/>
        <v>0.61188664910689494</v>
      </c>
      <c r="S14" s="18">
        <f t="shared" si="5"/>
        <v>-7.6499278277121496E-2</v>
      </c>
      <c r="T14" s="18">
        <f t="shared" si="5"/>
        <v>0</v>
      </c>
      <c r="U14" s="18">
        <f t="shared" si="5"/>
        <v>0</v>
      </c>
      <c r="V14" s="18">
        <f t="shared" si="5"/>
        <v>0.22211947944153615</v>
      </c>
      <c r="W14" s="16">
        <f t="shared" si="6"/>
        <v>0.68438321111754641</v>
      </c>
    </row>
    <row r="15" spans="1:23" x14ac:dyDescent="0.15">
      <c r="A15" s="5" t="str">
        <f>算法分析!A$7</f>
        <v>BLOWFISH</v>
      </c>
      <c r="B15" s="5">
        <f>资源数比较!B15*单元面积!B$9</f>
        <v>20448</v>
      </c>
      <c r="C15" s="5">
        <f>资源数比较!C15*单元面积!C$9</f>
        <v>56792</v>
      </c>
      <c r="D15" s="5">
        <f>资源数比较!D15*单元面积!D$9</f>
        <v>18384</v>
      </c>
      <c r="E15" s="5">
        <f>资源数比较!E15*单元面积!E$9</f>
        <v>154944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154856</v>
      </c>
      <c r="K15" s="23">
        <f t="shared" si="3"/>
        <v>814952</v>
      </c>
      <c r="L15" s="5">
        <f t="shared" si="4"/>
        <v>2</v>
      </c>
      <c r="M15" s="19"/>
      <c r="N15" s="18">
        <f t="shared" si="5"/>
        <v>8.2180866712344147E-3</v>
      </c>
      <c r="O15" s="18">
        <f t="shared" si="5"/>
        <v>2.282480331732907E-2</v>
      </c>
      <c r="P15" s="18">
        <f t="shared" si="5"/>
        <v>1.4777122981609299E-2</v>
      </c>
      <c r="Q15" s="18">
        <f t="shared" si="5"/>
        <v>0.21795291833710426</v>
      </c>
      <c r="R15" s="18">
        <f t="shared" si="5"/>
        <v>0.57606504763500122</v>
      </c>
      <c r="S15" s="18">
        <f t="shared" si="5"/>
        <v>-5.1443422042155955E-2</v>
      </c>
      <c r="T15" s="18">
        <f t="shared" si="5"/>
        <v>0</v>
      </c>
      <c r="U15" s="18">
        <f t="shared" si="5"/>
        <v>0</v>
      </c>
      <c r="V15" s="18">
        <f t="shared" si="5"/>
        <v>0.21160544309987775</v>
      </c>
      <c r="W15" s="16">
        <f t="shared" si="6"/>
        <v>0.76328740833815978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10224</v>
      </c>
      <c r="C18" s="5">
        <f>资源数比较!C18*单元面积!C$9</f>
        <v>28396</v>
      </c>
      <c r="D18" s="5">
        <f>资源数比较!D18*单元面积!D$9</f>
        <v>18384</v>
      </c>
      <c r="E18" s="5">
        <f>资源数比较!E18*单元面积!E$9</f>
        <v>12912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77428</v>
      </c>
      <c r="K18" s="23">
        <f t="shared" ref="K18:K23" si="7">SUM(B18:J18)</f>
        <v>873618</v>
      </c>
      <c r="L18" s="5">
        <f t="shared" ref="L18:L23" si="8">K18/K$18</f>
        <v>1</v>
      </c>
      <c r="M18" s="10"/>
      <c r="N18" s="16">
        <f t="shared" ref="N18:V23" si="9">(B18-B2)/($K18-$K2)</f>
        <v>-7.5098213831880489E-3</v>
      </c>
      <c r="O18" s="18">
        <f t="shared" si="9"/>
        <v>-2.0857676838517979E-2</v>
      </c>
      <c r="P18" s="18">
        <f t="shared" si="9"/>
        <v>1.3503575538784144E-2</v>
      </c>
      <c r="Q18" s="18">
        <f t="shared" si="9"/>
        <v>-9.4842345167961747E-3</v>
      </c>
      <c r="R18" s="18">
        <f t="shared" si="9"/>
        <v>0.97763271978641086</v>
      </c>
      <c r="S18" s="18">
        <f t="shared" si="9"/>
        <v>-4.7009836514479181E-2</v>
      </c>
      <c r="T18" s="18">
        <f t="shared" si="9"/>
        <v>0</v>
      </c>
      <c r="U18" s="18">
        <f t="shared" si="9"/>
        <v>1.4102950954343753E-2</v>
      </c>
      <c r="V18" s="18">
        <f t="shared" si="9"/>
        <v>7.9622322973442669E-2</v>
      </c>
      <c r="W18" s="16">
        <f>(K18-K2)/K18</f>
        <v>0.77918335015990969</v>
      </c>
    </row>
    <row r="19" spans="1:23" x14ac:dyDescent="0.15">
      <c r="A19" s="5" t="str">
        <f>算法分析!A$3</f>
        <v>DES</v>
      </c>
      <c r="B19" s="5">
        <f>资源数比较!B19*单元面积!B$9</f>
        <v>15336</v>
      </c>
      <c r="C19" s="5">
        <f>资源数比较!C19*单元面积!C$9</f>
        <v>42594</v>
      </c>
      <c r="D19" s="5">
        <f>资源数比较!D19*单元面积!D$9</f>
        <v>27576</v>
      </c>
      <c r="E19" s="5">
        <f>资源数比较!E19*单元面积!E$9</f>
        <v>19368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116142</v>
      </c>
      <c r="K19" s="23">
        <f t="shared" si="7"/>
        <v>1310427</v>
      </c>
      <c r="L19" s="5">
        <f t="shared" si="8"/>
        <v>1.5</v>
      </c>
      <c r="M19" s="10"/>
      <c r="N19" s="16">
        <f t="shared" si="9"/>
        <v>0</v>
      </c>
      <c r="O19" s="18">
        <f t="shared" si="9"/>
        <v>0</v>
      </c>
      <c r="P19" s="18">
        <f t="shared" si="9"/>
        <v>1.6450747621334999E-2</v>
      </c>
      <c r="Q19" s="18">
        <f t="shared" si="9"/>
        <v>0</v>
      </c>
      <c r="R19" s="18">
        <f t="shared" si="9"/>
        <v>0.91615559343315922</v>
      </c>
      <c r="S19" s="18">
        <f t="shared" si="9"/>
        <v>-2.8634895772558747E-2</v>
      </c>
      <c r="T19" s="18">
        <f t="shared" si="9"/>
        <v>0</v>
      </c>
      <c r="U19" s="18">
        <f t="shared" si="9"/>
        <v>1.2885703097651436E-2</v>
      </c>
      <c r="V19" s="18">
        <f t="shared" si="9"/>
        <v>8.3142851620412961E-2</v>
      </c>
      <c r="W19" s="16">
        <f t="shared" ref="W19:W23" si="10">(K19-K3)/K19</f>
        <v>0.85278890010660657</v>
      </c>
    </row>
    <row r="20" spans="1:23" x14ac:dyDescent="0.15">
      <c r="A20" s="5" t="str">
        <f>算法分析!A$4</f>
        <v>SM4</v>
      </c>
      <c r="B20" s="5">
        <f>资源数比较!B20*单元面积!B$9</f>
        <v>20448</v>
      </c>
      <c r="C20" s="5">
        <f>资源数比较!C20*单元面积!C$9</f>
        <v>56792</v>
      </c>
      <c r="D20" s="5">
        <f>资源数比较!D20*单元面积!D$9</f>
        <v>36768</v>
      </c>
      <c r="E20" s="5">
        <f>资源数比较!E20*单元面积!E$9</f>
        <v>25824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154856</v>
      </c>
      <c r="K20" s="23">
        <f t="shared" si="7"/>
        <v>1747236</v>
      </c>
      <c r="L20" s="5">
        <f t="shared" si="8"/>
        <v>2</v>
      </c>
      <c r="M20" s="10"/>
      <c r="N20" s="16">
        <f t="shared" si="9"/>
        <v>3.2888840736560771E-3</v>
      </c>
      <c r="O20" s="18">
        <f t="shared" si="9"/>
        <v>9.1345023626308655E-3</v>
      </c>
      <c r="P20" s="18">
        <f t="shared" si="9"/>
        <v>1.7741445073384189E-2</v>
      </c>
      <c r="Q20" s="18">
        <f t="shared" si="9"/>
        <v>4.1535672103919473E-3</v>
      </c>
      <c r="R20" s="18">
        <f t="shared" si="9"/>
        <v>0.88923203141476181</v>
      </c>
      <c r="S20" s="18">
        <f t="shared" si="9"/>
        <v>-2.0587693731806429E-2</v>
      </c>
      <c r="T20" s="18">
        <f t="shared" si="9"/>
        <v>0</v>
      </c>
      <c r="U20" s="18">
        <f t="shared" si="9"/>
        <v>1.2352616239083857E-2</v>
      </c>
      <c r="V20" s="18">
        <f t="shared" si="9"/>
        <v>8.468464735789763E-2</v>
      </c>
      <c r="W20" s="16">
        <f t="shared" si="10"/>
        <v>0.88959167507995496</v>
      </c>
    </row>
    <row r="21" spans="1:23" x14ac:dyDescent="0.15">
      <c r="A21" s="5" t="str">
        <f>算法分析!A$5</f>
        <v>TWOFISH</v>
      </c>
      <c r="B21" s="5">
        <f>资源数比较!B21*单元面积!B$9</f>
        <v>25560</v>
      </c>
      <c r="C21" s="5">
        <f>资源数比较!C21*单元面积!C$9</f>
        <v>70990</v>
      </c>
      <c r="D21" s="5">
        <f>资源数比较!D21*单元面积!D$9</f>
        <v>45960</v>
      </c>
      <c r="E21" s="5">
        <f>资源数比较!E21*单元面积!E$9</f>
        <v>32280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193570</v>
      </c>
      <c r="K21" s="23">
        <f t="shared" si="7"/>
        <v>2184045</v>
      </c>
      <c r="L21" s="5">
        <f t="shared" si="8"/>
        <v>2.5</v>
      </c>
      <c r="M21" s="10"/>
      <c r="N21" s="16">
        <f t="shared" si="9"/>
        <v>-2.8428014228688249E-3</v>
      </c>
      <c r="O21" s="18">
        <f t="shared" si="9"/>
        <v>-7.8955584119506216E-3</v>
      </c>
      <c r="P21" s="18">
        <f t="shared" si="9"/>
        <v>1.5335111900827605E-2</v>
      </c>
      <c r="Q21" s="18">
        <f t="shared" si="9"/>
        <v>-3.5902046138578119E-3</v>
      </c>
      <c r="R21" s="18">
        <f t="shared" si="9"/>
        <v>0.93942742019886039</v>
      </c>
      <c r="S21" s="18">
        <f t="shared" si="9"/>
        <v>-3.5590628142332707E-2</v>
      </c>
      <c r="T21" s="18">
        <f t="shared" si="9"/>
        <v>0</v>
      </c>
      <c r="U21" s="18">
        <f t="shared" si="9"/>
        <v>1.3346485553374764E-2</v>
      </c>
      <c r="V21" s="18">
        <f t="shared" si="9"/>
        <v>8.1810174937947192E-2</v>
      </c>
      <c r="W21" s="16">
        <f t="shared" si="10"/>
        <v>0.82334668012792778</v>
      </c>
    </row>
    <row r="22" spans="1:23" x14ac:dyDescent="0.15">
      <c r="A22" s="5" t="str">
        <f>算法分析!A$6</f>
        <v>RC5</v>
      </c>
      <c r="B22" s="5">
        <f>资源数比较!B22*单元面积!B$9</f>
        <v>20448</v>
      </c>
      <c r="C22" s="5">
        <f>资源数比较!C22*单元面积!C$9</f>
        <v>56792</v>
      </c>
      <c r="D22" s="5">
        <f>资源数比较!D22*单元面积!D$9</f>
        <v>36768</v>
      </c>
      <c r="E22" s="5">
        <f>资源数比较!E22*单元面积!E$9</f>
        <v>25824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154856</v>
      </c>
      <c r="K22" s="23">
        <f t="shared" si="7"/>
        <v>1747236</v>
      </c>
      <c r="L22" s="5">
        <f t="shared" si="8"/>
        <v>2</v>
      </c>
      <c r="M22" s="10"/>
      <c r="N22" s="16">
        <f t="shared" si="9"/>
        <v>2.4415580616527063E-18</v>
      </c>
      <c r="O22" s="18">
        <f t="shared" si="9"/>
        <v>4.8831161233054126E-18</v>
      </c>
      <c r="P22" s="18">
        <f t="shared" si="9"/>
        <v>1.6450747621334999E-2</v>
      </c>
      <c r="Q22" s="18">
        <f t="shared" si="9"/>
        <v>2.4415580616527063E-18</v>
      </c>
      <c r="R22" s="18">
        <f t="shared" si="9"/>
        <v>0.91615559343315922</v>
      </c>
      <c r="S22" s="18">
        <f t="shared" si="9"/>
        <v>-2.8634895772558747E-2</v>
      </c>
      <c r="T22" s="18">
        <f t="shared" si="9"/>
        <v>0</v>
      </c>
      <c r="U22" s="18">
        <f t="shared" si="9"/>
        <v>1.2885703097651436E-2</v>
      </c>
      <c r="V22" s="18">
        <f t="shared" si="9"/>
        <v>8.3142851620412947E-2</v>
      </c>
      <c r="W22" s="16">
        <f t="shared" si="10"/>
        <v>0.85278890010660657</v>
      </c>
    </row>
    <row r="23" spans="1:23" x14ac:dyDescent="0.15">
      <c r="A23" s="5" t="str">
        <f>算法分析!A$7</f>
        <v>BLOWFISH</v>
      </c>
      <c r="B23" s="5">
        <f>资源数比较!B23*单元面积!B$9</f>
        <v>15336</v>
      </c>
      <c r="C23" s="5">
        <f>资源数比较!C23*单元面积!C$9</f>
        <v>42594</v>
      </c>
      <c r="D23" s="5">
        <f>资源数比较!D23*单元面积!D$9</f>
        <v>27576</v>
      </c>
      <c r="E23" s="5">
        <f>资源数比较!E23*单元面积!E$9</f>
        <v>19368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116142</v>
      </c>
      <c r="K23" s="23">
        <f t="shared" si="7"/>
        <v>1310427</v>
      </c>
      <c r="L23" s="5">
        <f t="shared" si="8"/>
        <v>1.5</v>
      </c>
      <c r="M23" s="10"/>
      <c r="N23" s="16">
        <f t="shared" si="9"/>
        <v>0</v>
      </c>
      <c r="O23" s="18">
        <f t="shared" si="9"/>
        <v>0</v>
      </c>
      <c r="P23" s="18">
        <f t="shared" si="9"/>
        <v>1.6450747621334999E-2</v>
      </c>
      <c r="Q23" s="18">
        <f t="shared" si="9"/>
        <v>0</v>
      </c>
      <c r="R23" s="18">
        <f t="shared" si="9"/>
        <v>0.91615559343315922</v>
      </c>
      <c r="S23" s="18">
        <f t="shared" si="9"/>
        <v>-2.8634895772558747E-2</v>
      </c>
      <c r="T23" s="18">
        <f t="shared" si="9"/>
        <v>0</v>
      </c>
      <c r="U23" s="18">
        <f t="shared" si="9"/>
        <v>1.2885703097651436E-2</v>
      </c>
      <c r="V23" s="18">
        <f t="shared" si="9"/>
        <v>8.3142851620412961E-2</v>
      </c>
      <c r="W23" s="16">
        <f t="shared" si="10"/>
        <v>0.85278890010660657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10224</v>
      </c>
      <c r="C26" s="5">
        <f>资源数比较!C26*单元面积!C$9</f>
        <v>28396</v>
      </c>
      <c r="D26" s="5">
        <f>资源数比较!D26*单元面积!D$9</f>
        <v>18384</v>
      </c>
      <c r="E26" s="5">
        <f>资源数比较!E26*单元面积!E$9</f>
        <v>25824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15485.6</v>
      </c>
      <c r="K26" s="23">
        <f t="shared" ref="K26:K31" si="11">SUM(B26:J26)</f>
        <v>367077.6</v>
      </c>
      <c r="L26" s="5">
        <f t="shared" ref="L26:L31" si="12">K26/K$26</f>
        <v>1</v>
      </c>
      <c r="M26" s="10"/>
      <c r="N26" s="16">
        <f t="shared" ref="N26:V31" si="13">(B26-B2)/($K26-$K2)</f>
        <v>-2.9350937771648329E-2</v>
      </c>
      <c r="O26" s="16">
        <f t="shared" si="13"/>
        <v>-8.1518899546530313E-2</v>
      </c>
      <c r="P26" s="16">
        <f t="shared" si="13"/>
        <v>5.2776568857001459E-2</v>
      </c>
      <c r="Q26" s="16">
        <f t="shared" si="13"/>
        <v>3.7067616246823476E-2</v>
      </c>
      <c r="R26" s="16">
        <f t="shared" si="13"/>
        <v>0.88175108888993525</v>
      </c>
      <c r="S26" s="16">
        <f t="shared" si="13"/>
        <v>0.18373043988512255</v>
      </c>
      <c r="T26" s="16">
        <f t="shared" si="13"/>
        <v>0</v>
      </c>
      <c r="U26" s="16">
        <f t="shared" si="13"/>
        <v>0</v>
      </c>
      <c r="V26" s="16">
        <f t="shared" si="13"/>
        <v>-4.4455876560703975E-2</v>
      </c>
      <c r="W26" s="16">
        <f>(K26-K2)/K26</f>
        <v>0.47447242762838154</v>
      </c>
    </row>
    <row r="27" spans="1:23" x14ac:dyDescent="0.15">
      <c r="A27" s="5" t="str">
        <f>算法分析!A$3</f>
        <v>DES</v>
      </c>
      <c r="B27" s="5">
        <f>资源数比较!B27*单元面积!B$9</f>
        <v>15336</v>
      </c>
      <c r="C27" s="5">
        <f>资源数比较!C27*单元面积!C$9</f>
        <v>42594</v>
      </c>
      <c r="D27" s="5">
        <f>资源数比较!D27*单元面积!D$9</f>
        <v>27576</v>
      </c>
      <c r="E27" s="5">
        <f>资源数比较!E27*单元面积!E$9</f>
        <v>38736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23228.400000000001</v>
      </c>
      <c r="K27" s="23">
        <f t="shared" si="11"/>
        <v>550616.4</v>
      </c>
      <c r="L27" s="5">
        <f t="shared" si="12"/>
        <v>1.5000000000000002</v>
      </c>
      <c r="M27" s="10"/>
      <c r="N27" s="16">
        <f t="shared" si="13"/>
        <v>0</v>
      </c>
      <c r="O27" s="16">
        <f t="shared" si="13"/>
        <v>0</v>
      </c>
      <c r="P27" s="16">
        <f t="shared" si="13"/>
        <v>5.1394018009152741E-2</v>
      </c>
      <c r="Q27" s="16">
        <f t="shared" si="13"/>
        <v>5.4144872758989902E-2</v>
      </c>
      <c r="R27" s="16">
        <f t="shared" si="13"/>
        <v>0.71554372712862757</v>
      </c>
      <c r="S27" s="16">
        <f t="shared" si="13"/>
        <v>0.17891738210322974</v>
      </c>
      <c r="T27" s="16">
        <f t="shared" si="13"/>
        <v>0</v>
      </c>
      <c r="U27" s="16">
        <f t="shared" si="13"/>
        <v>0</v>
      </c>
      <c r="V27" s="16">
        <f t="shared" si="13"/>
        <v>0</v>
      </c>
      <c r="W27" s="16">
        <f t="shared" ref="W27:W31" si="14">(K27-K3)/K27</f>
        <v>0.6496482850855877</v>
      </c>
    </row>
    <row r="28" spans="1:23" x14ac:dyDescent="0.15">
      <c r="A28" s="5" t="str">
        <f>算法分析!A$4</f>
        <v>SM4</v>
      </c>
      <c r="B28" s="5">
        <f>资源数比较!B28*单元面积!B$9</f>
        <v>20448</v>
      </c>
      <c r="C28" s="5">
        <f>资源数比较!C28*单元面积!C$9</f>
        <v>56792</v>
      </c>
      <c r="D28" s="5">
        <f>资源数比较!D28*单元面积!D$9</f>
        <v>36768</v>
      </c>
      <c r="E28" s="5">
        <f>资源数比较!E28*单元面积!E$9</f>
        <v>51648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30971.200000000001</v>
      </c>
      <c r="K28" s="23">
        <f t="shared" si="11"/>
        <v>734155.2</v>
      </c>
      <c r="L28" s="5">
        <f t="shared" si="12"/>
        <v>2</v>
      </c>
      <c r="M28" s="10"/>
      <c r="N28" s="16">
        <f t="shared" si="13"/>
        <v>9.444876985650514E-3</v>
      </c>
      <c r="O28" s="16">
        <f t="shared" si="13"/>
        <v>2.623207422579538E-2</v>
      </c>
      <c r="P28" s="16">
        <f t="shared" si="13"/>
        <v>5.094912514794573E-2</v>
      </c>
      <c r="Q28" s="16">
        <f t="shared" si="13"/>
        <v>5.9640185660563103E-2</v>
      </c>
      <c r="R28" s="16">
        <f t="shared" si="13"/>
        <v>0.66205964092469638</v>
      </c>
      <c r="S28" s="16">
        <f t="shared" si="13"/>
        <v>0.17736858189015048</v>
      </c>
      <c r="T28" s="16">
        <f t="shared" si="13"/>
        <v>0</v>
      </c>
      <c r="U28" s="16">
        <f t="shared" si="13"/>
        <v>0</v>
      </c>
      <c r="V28" s="16">
        <f t="shared" si="13"/>
        <v>1.4305515165198511E-2</v>
      </c>
      <c r="W28" s="16">
        <f t="shared" si="14"/>
        <v>0.73723621381419069</v>
      </c>
    </row>
    <row r="29" spans="1:23" x14ac:dyDescent="0.15">
      <c r="A29" s="5" t="str">
        <f>算法分析!A$5</f>
        <v>TWOFISH</v>
      </c>
      <c r="B29" s="5">
        <f>资源数比较!B29*单元面积!B$9</f>
        <v>25560</v>
      </c>
      <c r="C29" s="5">
        <f>资源数比较!C29*单元面积!C$9</f>
        <v>70990</v>
      </c>
      <c r="D29" s="5">
        <f>资源数比较!D29*单元面积!D$9</f>
        <v>45960</v>
      </c>
      <c r="E29" s="5">
        <f>资源数比较!E29*单元面积!E$9</f>
        <v>64560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38714</v>
      </c>
      <c r="K29" s="23">
        <f t="shared" si="11"/>
        <v>917694</v>
      </c>
      <c r="L29" s="5">
        <f t="shared" si="12"/>
        <v>2.5</v>
      </c>
      <c r="M29" s="10"/>
      <c r="N29" s="16">
        <f t="shared" si="13"/>
        <v>-9.6112772319521585E-3</v>
      </c>
      <c r="O29" s="16">
        <f t="shared" si="13"/>
        <v>-2.6694232030371037E-2</v>
      </c>
      <c r="P29" s="16">
        <f t="shared" si="13"/>
        <v>5.1846749011798261E-2</v>
      </c>
      <c r="Q29" s="16">
        <f t="shared" si="13"/>
        <v>4.8552743199908557E-2</v>
      </c>
      <c r="R29" s="16">
        <f t="shared" si="13"/>
        <v>0.76997009824861173</v>
      </c>
      <c r="S29" s="16">
        <f t="shared" si="13"/>
        <v>0.18049346914464146</v>
      </c>
      <c r="T29" s="16">
        <f t="shared" si="13"/>
        <v>0</v>
      </c>
      <c r="U29" s="16">
        <f t="shared" si="13"/>
        <v>0</v>
      </c>
      <c r="V29" s="16">
        <f t="shared" si="13"/>
        <v>-1.4557550342636776E-2</v>
      </c>
      <c r="W29" s="16">
        <f t="shared" si="14"/>
        <v>0.57957794210270519</v>
      </c>
    </row>
    <row r="30" spans="1:23" x14ac:dyDescent="0.15">
      <c r="A30" s="5" t="str">
        <f>算法分析!A$6</f>
        <v>RC5</v>
      </c>
      <c r="B30" s="5">
        <f>资源数比较!B30*单元面积!B$9</f>
        <v>20448</v>
      </c>
      <c r="C30" s="5">
        <f>资源数比较!C30*单元面积!C$9</f>
        <v>56792</v>
      </c>
      <c r="D30" s="5">
        <f>资源数比较!D30*单元面积!D$9</f>
        <v>36768</v>
      </c>
      <c r="E30" s="5">
        <f>资源数比较!E30*单元面积!E$9</f>
        <v>51648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30971.200000000001</v>
      </c>
      <c r="K30" s="23">
        <f t="shared" si="11"/>
        <v>734155.2</v>
      </c>
      <c r="L30" s="5">
        <f t="shared" si="12"/>
        <v>2</v>
      </c>
      <c r="M30" s="10"/>
      <c r="N30" s="16">
        <f t="shared" si="13"/>
        <v>7.627706769279843E-18</v>
      </c>
      <c r="O30" s="16">
        <f t="shared" si="13"/>
        <v>1.5255413538559686E-17</v>
      </c>
      <c r="P30" s="16">
        <f t="shared" si="13"/>
        <v>5.1394018009152748E-2</v>
      </c>
      <c r="Q30" s="16">
        <f t="shared" si="13"/>
        <v>5.4144872758989909E-2</v>
      </c>
      <c r="R30" s="16">
        <f t="shared" si="13"/>
        <v>0.71554372712862779</v>
      </c>
      <c r="S30" s="16">
        <f t="shared" si="13"/>
        <v>0.17891738210322977</v>
      </c>
      <c r="T30" s="16">
        <f t="shared" si="13"/>
        <v>0</v>
      </c>
      <c r="U30" s="16">
        <f t="shared" si="13"/>
        <v>0</v>
      </c>
      <c r="V30" s="16">
        <f t="shared" si="13"/>
        <v>0</v>
      </c>
      <c r="W30" s="16">
        <f t="shared" si="14"/>
        <v>0.6496482850855877</v>
      </c>
    </row>
    <row r="31" spans="1:23" x14ac:dyDescent="0.15">
      <c r="A31" s="5" t="str">
        <f>算法分析!A$7</f>
        <v>BLOWFISH</v>
      </c>
      <c r="B31" s="5">
        <f>资源数比较!B31*单元面积!B$9</f>
        <v>15336</v>
      </c>
      <c r="C31" s="5">
        <f>资源数比较!C31*单元面积!C$9</f>
        <v>42594</v>
      </c>
      <c r="D31" s="5">
        <f>资源数比较!D31*单元面积!D$9</f>
        <v>27576</v>
      </c>
      <c r="E31" s="5">
        <f>资源数比较!E31*单元面积!E$9</f>
        <v>38736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23228.400000000001</v>
      </c>
      <c r="K31" s="23">
        <f t="shared" si="11"/>
        <v>550616.4</v>
      </c>
      <c r="L31" s="5">
        <f t="shared" si="12"/>
        <v>1.5000000000000002</v>
      </c>
      <c r="M31" s="10"/>
      <c r="N31" s="16">
        <f t="shared" si="13"/>
        <v>0</v>
      </c>
      <c r="O31" s="16">
        <f t="shared" si="13"/>
        <v>0</v>
      </c>
      <c r="P31" s="16">
        <f t="shared" si="13"/>
        <v>5.1394018009152741E-2</v>
      </c>
      <c r="Q31" s="16">
        <f t="shared" si="13"/>
        <v>5.4144872758989902E-2</v>
      </c>
      <c r="R31" s="16">
        <f t="shared" si="13"/>
        <v>0.71554372712862757</v>
      </c>
      <c r="S31" s="16">
        <f t="shared" si="13"/>
        <v>0.17891738210322974</v>
      </c>
      <c r="T31" s="16">
        <f t="shared" si="13"/>
        <v>0</v>
      </c>
      <c r="U31" s="16">
        <f t="shared" si="13"/>
        <v>0</v>
      </c>
      <c r="V31" s="16">
        <f t="shared" si="13"/>
        <v>0</v>
      </c>
      <c r="W31" s="16">
        <f t="shared" si="14"/>
        <v>0.6496482850855877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算法分析</vt:lpstr>
      <vt:lpstr>单元面积</vt:lpstr>
      <vt:lpstr>架构比较</vt:lpstr>
      <vt:lpstr>架构面积</vt:lpstr>
      <vt:lpstr>映射分析</vt:lpstr>
      <vt:lpstr>资源数比较</vt:lpstr>
      <vt:lpstr>面积比较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2016-04-21T04:56:52Z</dcterms:modified>
</cp:coreProperties>
</file>