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45621"/>
</workbook>
</file>

<file path=xl/calcChain.xml><?xml version="1.0" encoding="utf-8"?>
<calcChain xmlns="http://schemas.openxmlformats.org/spreadsheetml/2006/main">
  <c r="C9" i="7" l="1"/>
  <c r="D9" i="7"/>
  <c r="E9" i="7"/>
  <c r="F9" i="7"/>
  <c r="G9" i="7"/>
  <c r="H9" i="7"/>
  <c r="I9" i="7"/>
  <c r="J9" i="7"/>
  <c r="B9" i="7"/>
  <c r="K8" i="7"/>
  <c r="J8" i="7"/>
  <c r="J6" i="7"/>
  <c r="J7" i="7" s="1"/>
  <c r="J4" i="7"/>
  <c r="J5" i="7" s="1"/>
  <c r="C8" i="7"/>
  <c r="D8" i="7"/>
  <c r="E8" i="7"/>
  <c r="F8" i="7"/>
  <c r="G8" i="7"/>
  <c r="H8" i="7"/>
  <c r="I8" i="7"/>
  <c r="B8" i="7"/>
  <c r="C7" i="7"/>
  <c r="D7" i="7"/>
  <c r="E7" i="7"/>
  <c r="F7" i="7"/>
  <c r="G7" i="7"/>
  <c r="H7" i="7"/>
  <c r="I7" i="7"/>
  <c r="B7" i="7"/>
  <c r="K6" i="7"/>
  <c r="C6" i="7"/>
  <c r="D6" i="7"/>
  <c r="E6" i="7"/>
  <c r="F6" i="7"/>
  <c r="G6" i="7"/>
  <c r="H6" i="7"/>
  <c r="I6" i="7"/>
  <c r="B6" i="7"/>
  <c r="C5" i="7"/>
  <c r="D5" i="7"/>
  <c r="E5" i="7"/>
  <c r="F5" i="7"/>
  <c r="G5" i="7"/>
  <c r="H5" i="7"/>
  <c r="I5" i="7"/>
  <c r="B5" i="7"/>
  <c r="K4" i="7"/>
  <c r="C4" i="7"/>
  <c r="D4" i="7"/>
  <c r="E4" i="7"/>
  <c r="F4" i="7"/>
  <c r="G4" i="7"/>
  <c r="H4" i="7"/>
  <c r="I4" i="7"/>
  <c r="B4" i="7"/>
  <c r="J3" i="7"/>
  <c r="J2" i="7"/>
  <c r="C2" i="7"/>
  <c r="D2" i="7"/>
  <c r="E2" i="7"/>
  <c r="F2" i="7"/>
  <c r="G2" i="7"/>
  <c r="H2" i="7"/>
  <c r="I2" i="7"/>
  <c r="B2" i="7"/>
  <c r="K2" i="7" s="1"/>
  <c r="A8" i="7"/>
  <c r="A6" i="7"/>
  <c r="A4" i="7"/>
  <c r="A2" i="7"/>
  <c r="C1" i="7"/>
  <c r="D1" i="7"/>
  <c r="E1" i="7"/>
  <c r="F1" i="7"/>
  <c r="G1" i="7"/>
  <c r="H1" i="7"/>
  <c r="I1" i="7"/>
  <c r="B1" i="7"/>
  <c r="J3" i="3"/>
  <c r="L1" i="6"/>
  <c r="M1" i="6"/>
  <c r="N1" i="6"/>
  <c r="O1" i="6"/>
  <c r="P1" i="6"/>
  <c r="Q1" i="6"/>
  <c r="R1" i="6"/>
  <c r="K1" i="6"/>
  <c r="C9" i="3"/>
  <c r="D9" i="3"/>
  <c r="E9" i="3"/>
  <c r="F9" i="3"/>
  <c r="G9" i="3"/>
  <c r="H9" i="3"/>
  <c r="I9" i="3"/>
  <c r="J9" i="3"/>
  <c r="K9" i="3"/>
  <c r="J21" i="4" s="1"/>
  <c r="B9" i="3"/>
  <c r="C5" i="3"/>
  <c r="D5" i="3"/>
  <c r="E5" i="3"/>
  <c r="F5" i="3"/>
  <c r="G5" i="3"/>
  <c r="H5" i="3"/>
  <c r="I5" i="3"/>
  <c r="J5" i="3"/>
  <c r="K5" i="3"/>
  <c r="B5" i="3"/>
  <c r="J4" i="3"/>
  <c r="J19" i="4"/>
  <c r="J20" i="4"/>
  <c r="J22" i="4"/>
  <c r="J23" i="4"/>
  <c r="J18" i="4"/>
  <c r="J12" i="4"/>
  <c r="J13" i="4"/>
  <c r="J14" i="4"/>
  <c r="J10" i="4"/>
  <c r="J2" i="4"/>
  <c r="J26" i="6"/>
  <c r="J27" i="6"/>
  <c r="J28" i="6"/>
  <c r="J29" i="6"/>
  <c r="J30" i="6"/>
  <c r="J31" i="6"/>
  <c r="J18" i="6"/>
  <c r="J19" i="6"/>
  <c r="J20" i="6"/>
  <c r="J21" i="6"/>
  <c r="J22" i="6"/>
  <c r="J23" i="6"/>
  <c r="J10" i="6"/>
  <c r="J11" i="6"/>
  <c r="J12" i="6"/>
  <c r="J13" i="6"/>
  <c r="J14" i="6"/>
  <c r="J15" i="6"/>
  <c r="B12" i="2"/>
  <c r="B10" i="2"/>
  <c r="B7" i="2"/>
  <c r="C3" i="7" l="1"/>
  <c r="G3" i="7"/>
  <c r="F3" i="7"/>
  <c r="I3" i="7"/>
  <c r="E3" i="7"/>
  <c r="H3" i="7"/>
  <c r="D3" i="7"/>
  <c r="B3" i="7"/>
  <c r="J15" i="4"/>
  <c r="J11" i="4"/>
  <c r="S19" i="6" l="1"/>
  <c r="S9" i="6"/>
  <c r="J31" i="4"/>
  <c r="J30" i="4"/>
  <c r="J29" i="4"/>
  <c r="J28" i="4"/>
  <c r="J27" i="4"/>
  <c r="J26" i="4"/>
  <c r="J2" i="3"/>
  <c r="E1" i="4"/>
  <c r="Q9" i="4" s="1"/>
  <c r="J1" i="4"/>
  <c r="V9" i="4" s="1"/>
  <c r="H2" i="6"/>
  <c r="I2" i="6"/>
  <c r="H3" i="6"/>
  <c r="I3" i="6"/>
  <c r="H4" i="6"/>
  <c r="I4" i="6"/>
  <c r="H5" i="6"/>
  <c r="I5" i="6"/>
  <c r="H6" i="6"/>
  <c r="I6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R22" i="6" s="1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S18" i="6" s="1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B2" i="6"/>
  <c r="B3" i="6"/>
  <c r="B4" i="6"/>
  <c r="B5" i="6"/>
  <c r="B6" i="6"/>
  <c r="B7" i="6"/>
  <c r="B12" i="5"/>
  <c r="K3" i="3"/>
  <c r="B10" i="5"/>
  <c r="B7" i="5"/>
  <c r="G6" i="5"/>
  <c r="G5" i="5"/>
  <c r="G4" i="5"/>
  <c r="G3" i="5"/>
  <c r="G2" i="5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C1" i="4" s="1"/>
  <c r="O9" i="4" s="1"/>
  <c r="D1" i="6"/>
  <c r="M9" i="6" s="1"/>
  <c r="E1" i="6"/>
  <c r="N9" i="6" s="1"/>
  <c r="F1" i="6"/>
  <c r="O9" i="6" s="1"/>
  <c r="G1" i="6"/>
  <c r="G1" i="4" s="1"/>
  <c r="S9" i="4" s="1"/>
  <c r="H1" i="6"/>
  <c r="Q9" i="6" s="1"/>
  <c r="I1" i="6"/>
  <c r="R9" i="6" s="1"/>
  <c r="B1" i="6"/>
  <c r="K9" i="6" s="1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B6" i="4" l="1"/>
  <c r="K6" i="6"/>
  <c r="B2" i="4"/>
  <c r="K2" i="4" s="1"/>
  <c r="L2" i="4" s="1"/>
  <c r="K2" i="6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K5" i="6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K4" i="6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K7" i="4" s="1"/>
  <c r="K7" i="6"/>
  <c r="B3" i="4"/>
  <c r="K3" i="6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C3" i="4"/>
  <c r="K3" i="4" s="1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E12" i="4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K4" i="4"/>
  <c r="P12" i="6"/>
  <c r="G12" i="4"/>
  <c r="N27" i="6"/>
  <c r="E10" i="4"/>
  <c r="L15" i="6"/>
  <c r="C15" i="4"/>
  <c r="O18" i="6"/>
  <c r="F18" i="4"/>
  <c r="G30" i="4"/>
  <c r="P30" i="6"/>
  <c r="Q27" i="6"/>
  <c r="H27" i="4"/>
  <c r="C5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J6" i="4"/>
  <c r="K6" i="4" l="1"/>
  <c r="L6" i="4" s="1"/>
  <c r="K5" i="4"/>
  <c r="L5" i="4" s="1"/>
  <c r="K23" i="4"/>
  <c r="T23" i="4" s="1"/>
  <c r="K13" i="4"/>
  <c r="L7" i="4"/>
  <c r="U23" i="4"/>
  <c r="K14" i="4"/>
  <c r="U14" i="4" s="1"/>
  <c r="K15" i="4"/>
  <c r="P15" i="4" s="1"/>
  <c r="L4" i="4"/>
  <c r="K12" i="4"/>
  <c r="R12" i="4" s="1"/>
  <c r="K10" i="4"/>
  <c r="R10" i="4" s="1"/>
  <c r="K21" i="4"/>
  <c r="K11" i="4"/>
  <c r="K27" i="4"/>
  <c r="O27" i="4" s="1"/>
  <c r="K30" i="4"/>
  <c r="S30" i="4" s="1"/>
  <c r="K22" i="4"/>
  <c r="S22" i="4" s="1"/>
  <c r="K26" i="4"/>
  <c r="N26" i="4" s="1"/>
  <c r="K31" i="4"/>
  <c r="R31" i="4" s="1"/>
  <c r="L3" i="4"/>
  <c r="K20" i="4"/>
  <c r="P20" i="4" s="1"/>
  <c r="K28" i="4"/>
  <c r="P28" i="4" s="1"/>
  <c r="K19" i="4"/>
  <c r="S19" i="4" s="1"/>
  <c r="V23" i="4"/>
  <c r="K29" i="4"/>
  <c r="K18" i="4"/>
  <c r="P12" i="4" l="1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<sst xmlns="http://schemas.openxmlformats.org/spreadsheetml/2006/main" count="41" uniqueCount="38">
  <si>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</si>
  <si>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</si>
  <si>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</si>
  <si>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</si>
  <si>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</si>
  <si>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</si>
  <si>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</si>
  <si>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</si>
  <si>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</si>
  <si>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</si>
  <si>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</si>
  <si>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</si>
  <si>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</si>
  <si>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</si>
  <si>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</si>
  <si>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</si>
  <si>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</si>
  <si>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</si>
  <si>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</si>
  <si>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</si>
  <si>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</si>
  <si>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</si>
  <si>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</si>
  <si>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</si>
  <si>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</si>
  <si>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</si>
  <si>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</si>
  <si>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</si>
  <si>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</si>
  <si>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</si>
  <si>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</si>
  <si>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</si>
  <si>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</si>
  <si>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</si>
  <si>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t>LUT256*8</t>
    <phoneticPr fontId="2" type="noConversion"/>
  </si>
  <si>
    <t>TH/GE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</si>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</sst>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"/>
    <numFmt numFmtId="181" formatCode="#,##0.0_ "/>
    <numFmt numFmtId="182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80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81" fontId="6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vertical="center"/>
    </xf>
    <xf numFmtId="181" fontId="3" fillId="0" borderId="0" xfId="0" applyNumberFormat="1" applyFont="1" applyAlignment="1">
      <alignment vertical="center"/>
    </xf>
    <xf numFmtId="180" fontId="3" fillId="0" borderId="1" xfId="0" applyNumberFormat="1" applyFont="1" applyBorder="1"/>
    <xf numFmtId="180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82" fontId="3" fillId="0" borderId="1" xfId="1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" sqref="F2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5</v>
      </c>
      <c r="H1" s="8" t="s">
        <v>23</v>
      </c>
      <c r="I1" s="8" t="s">
        <v>22</v>
      </c>
      <c r="J1" s="13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J3" sqref="J3"/>
    </sheetView>
  </sheetViews>
  <sheetFormatPr defaultRowHeight="15" x14ac:dyDescent="0.15"/>
  <cols>
    <col min="1" max="1" width="14.125" style="2" customWidth="1"/>
    <col min="2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LUT256*8</v>
      </c>
      <c r="G1" s="8" t="str">
        <f>算法分析!G1</f>
        <v>GFM</v>
      </c>
      <c r="H1" s="15" t="str">
        <f>算法分析!H1</f>
        <v>X2</v>
      </c>
      <c r="I1" s="15" t="str">
        <f>算法分析!I1</f>
        <v>BR</v>
      </c>
      <c r="J1" s="8" t="s">
        <v>28</v>
      </c>
      <c r="K1" s="8" t="s">
        <v>29</v>
      </c>
    </row>
    <row r="2" spans="1:11" x14ac:dyDescent="0.15">
      <c r="A2" s="9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v>51191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1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40.055555555555557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9" t="s">
        <v>35</v>
      </c>
      <c r="B4" s="7">
        <v>1682.5</v>
      </c>
      <c r="C4" s="29">
        <v>5390.2777777777783</v>
      </c>
      <c r="D4" s="29">
        <v>2973.3333333333335</v>
      </c>
      <c r="E4" s="29">
        <v>369.16666666666669</v>
      </c>
      <c r="F4" s="29">
        <v>155052.41756944446</v>
      </c>
      <c r="G4" s="30">
        <v>8000</v>
      </c>
      <c r="H4" s="7">
        <v>500</v>
      </c>
      <c r="I4" s="7">
        <v>400</v>
      </c>
      <c r="J4" s="6">
        <f>38714/5</f>
        <v>7742.8</v>
      </c>
      <c r="K4" s="30">
        <v>38714</v>
      </c>
    </row>
    <row r="5" spans="1:11" x14ac:dyDescent="0.15">
      <c r="A5" s="11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 t="shared" si="3"/>
        <v>92.155968837708443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9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1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36</v>
      </c>
      <c r="B9" s="7">
        <f>B4</f>
        <v>1682.5</v>
      </c>
      <c r="C9" s="7">
        <f t="shared" ref="C9:K9" si="6">C4</f>
        <v>5390.2777777777783</v>
      </c>
      <c r="D9" s="7">
        <f t="shared" si="6"/>
        <v>2973.3333333333335</v>
      </c>
      <c r="E9" s="7">
        <f t="shared" si="6"/>
        <v>369.16666666666669</v>
      </c>
      <c r="F9" s="7">
        <f t="shared" si="6"/>
        <v>155052.41756944446</v>
      </c>
      <c r="G9" s="7">
        <f t="shared" si="6"/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2" sqref="K2:K7"/>
    </sheetView>
  </sheetViews>
  <sheetFormatPr defaultRowHeight="15" x14ac:dyDescent="0.15"/>
  <cols>
    <col min="1" max="1" width="10.375" style="2" customWidth="1"/>
    <col min="2" max="2" width="12.375" style="2" customWidth="1"/>
    <col min="3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9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0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0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5">
        <v>1</v>
      </c>
      <c r="H4" s="5">
        <v>0</v>
      </c>
      <c r="I4" s="5"/>
      <c r="J4" s="5"/>
      <c r="K4" s="6">
        <v>4</v>
      </c>
    </row>
    <row r="5" spans="1:11" x14ac:dyDescent="0.25">
      <c r="A5" s="10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0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1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9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5">
        <v>1</v>
      </c>
      <c r="H8" s="5"/>
      <c r="I8" s="5">
        <v>1</v>
      </c>
      <c r="J8" s="5"/>
      <c r="K8" s="5">
        <v>4</v>
      </c>
    </row>
    <row r="9" spans="1:11" x14ac:dyDescent="0.15">
      <c r="A9" s="10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1"/>
      <c r="B10" s="25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9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4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1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2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1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2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J3" sqref="J3"/>
    </sheetView>
  </sheetViews>
  <sheetFormatPr defaultRowHeight="15" x14ac:dyDescent="0.15"/>
  <cols>
    <col min="1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37</v>
      </c>
    </row>
    <row r="2" spans="1:11" x14ac:dyDescent="0.15">
      <c r="A2" s="9" t="str">
        <f>架构比较!A2</f>
        <v>本文</v>
      </c>
      <c r="B2" s="5">
        <f>SUMPRODUCT(架构比较!C2:C6,架构比较!$K2:$K6)*单元面积!B9</f>
        <v>20190</v>
      </c>
      <c r="C2" s="5">
        <f>SUMPRODUCT(架构比较!D2:D6,架构比较!$K2:$K6)*单元面积!C9</f>
        <v>64683.333333333343</v>
      </c>
      <c r="D2" s="5">
        <f>SUMPRODUCT(架构比较!E2:E6,架构比较!$K2:$K6)*单元面积!D9</f>
        <v>11893.333333333334</v>
      </c>
      <c r="E2" s="5">
        <f>SUMPRODUCT(架构比较!F2:F6,架构比较!$K2:$K6)*单元面积!E9</f>
        <v>4430</v>
      </c>
      <c r="F2" s="5">
        <f>SUMPRODUCT(架构比较!G2:G6,架构比较!$K2:$K6)*单元面积!F9</f>
        <v>620209.67027777783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753406.33694444445</v>
      </c>
    </row>
    <row r="3" spans="1:11" x14ac:dyDescent="0.15">
      <c r="A3" s="11"/>
      <c r="B3" s="33">
        <f>B2/$K2</f>
        <v>2.6798288002041048E-2</v>
      </c>
      <c r="C3" s="33">
        <f t="shared" ref="C3:J3" si="0">C2/$K2</f>
        <v>8.5854511916725537E-2</v>
      </c>
      <c r="D3" s="33">
        <f t="shared" si="0"/>
        <v>1.5786080830655847E-2</v>
      </c>
      <c r="E3" s="33">
        <f t="shared" si="0"/>
        <v>5.879961161418615E-3</v>
      </c>
      <c r="F3" s="33">
        <f t="shared" si="0"/>
        <v>0.82320739800667697</v>
      </c>
      <c r="G3" s="33">
        <f t="shared" si="0"/>
        <v>4.2473760082482097E-2</v>
      </c>
      <c r="H3" s="33">
        <f t="shared" si="0"/>
        <v>0</v>
      </c>
      <c r="I3" s="33">
        <f t="shared" si="0"/>
        <v>0</v>
      </c>
      <c r="J3" s="33">
        <f t="shared" si="0"/>
        <v>3.0831171521872723E-2</v>
      </c>
      <c r="K3" s="5"/>
    </row>
    <row r="4" spans="1:11" x14ac:dyDescent="0.15">
      <c r="A4" s="9" t="str">
        <f>架构比较!A8</f>
        <v>TH</v>
      </c>
      <c r="B4" s="5">
        <f>SUMPRODUCT(架构比较!C8:C9,架构比较!$K8:$K9)*单元面积!B9</f>
        <v>13460</v>
      </c>
      <c r="C4" s="5">
        <f>SUMPRODUCT(架构比较!D8:D9,架构比较!$K8:$K9)*单元面积!C9</f>
        <v>43122.222222222226</v>
      </c>
      <c r="D4" s="5">
        <f>SUMPRODUCT(架构比较!E8:E9,架构比较!$K8:$K9)*单元面积!D9</f>
        <v>11893.333333333334</v>
      </c>
      <c r="E4" s="5">
        <f>SUMPRODUCT(架构比较!F8:F9,架构比较!$K8:$K9)*单元面积!E9</f>
        <v>17720</v>
      </c>
      <c r="F4" s="5">
        <f>SUMPRODUCT(架构比较!G8:G9,架构比较!$K8:$K9)*单元面积!F9</f>
        <v>620209.67027777783</v>
      </c>
      <c r="G4" s="5">
        <f>SUMPRODUCT(架构比较!H8:H9,架构比较!$K8:$K9)*单元面积!G9</f>
        <v>0</v>
      </c>
      <c r="H4" s="5">
        <f>SUMPRODUCT(架构比较!I8:I9,架构比较!$K8:$K9)*单元面积!H9</f>
        <v>4000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710405.22583333333</v>
      </c>
    </row>
    <row r="5" spans="1:11" x14ac:dyDescent="0.15">
      <c r="A5" s="11"/>
      <c r="B5" s="33">
        <f>B4/$K4</f>
        <v>1.8946932694943072E-2</v>
      </c>
      <c r="C5" s="33">
        <f t="shared" ref="C5:J5" si="1">C4/$K4</f>
        <v>6.0700879799466791E-2</v>
      </c>
      <c r="D5" s="33">
        <f t="shared" si="1"/>
        <v>1.6741618587309777E-2</v>
      </c>
      <c r="E5" s="33">
        <f t="shared" si="1"/>
        <v>2.4943510204635307E-2</v>
      </c>
      <c r="F5" s="33">
        <f t="shared" si="1"/>
        <v>0.87303646950266656</v>
      </c>
      <c r="G5" s="33">
        <f t="shared" si="1"/>
        <v>0</v>
      </c>
      <c r="H5" s="33">
        <f t="shared" si="1"/>
        <v>5.6305892109786244E-3</v>
      </c>
      <c r="I5" s="33">
        <f t="shared" si="1"/>
        <v>0</v>
      </c>
      <c r="J5" s="33">
        <f t="shared" si="1"/>
        <v>5.449565767845662E-2</v>
      </c>
      <c r="K5" s="5"/>
    </row>
    <row r="6" spans="1:11" x14ac:dyDescent="0.15">
      <c r="A6" s="9" t="str">
        <f>架构比较!A11</f>
        <v>Cyptoraptor</v>
      </c>
      <c r="B6" s="5">
        <f>架构比较!C11*架构比较!$K11*单元面积!B9</f>
        <v>6730</v>
      </c>
      <c r="C6" s="5">
        <f>架构比较!D11*架构比较!$K11*单元面积!C9</f>
        <v>21561.111111111113</v>
      </c>
      <c r="D6" s="5">
        <f>架构比较!E11*架构比较!$K11*单元面积!D9</f>
        <v>11893.333333333334</v>
      </c>
      <c r="E6" s="5">
        <f>架构比较!F11*架构比较!$K11*单元面积!E9</f>
        <v>1476.6666666666667</v>
      </c>
      <c r="F6" s="5">
        <f>架构比较!G11*架构比较!$K11*单元面积!F9</f>
        <v>2480838.6811111113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2527299.7922222223</v>
      </c>
    </row>
    <row r="7" spans="1:11" x14ac:dyDescent="0.15">
      <c r="A7" s="11"/>
      <c r="B7" s="33">
        <f>B6/$K6</f>
        <v>2.6629211226588982E-3</v>
      </c>
      <c r="C7" s="33">
        <f t="shared" ref="C7:J7" si="2">C6/$K6</f>
        <v>8.5312835372619977E-3</v>
      </c>
      <c r="D7" s="33">
        <f t="shared" si="2"/>
        <v>4.7059448071554971E-3</v>
      </c>
      <c r="E7" s="33">
        <f t="shared" si="2"/>
        <v>5.8428630873595439E-4</v>
      </c>
      <c r="F7" s="33">
        <f t="shared" si="2"/>
        <v>0.98161630398811595</v>
      </c>
      <c r="G7" s="33">
        <f t="shared" si="2"/>
        <v>0</v>
      </c>
      <c r="H7" s="33">
        <f t="shared" si="2"/>
        <v>0</v>
      </c>
      <c r="I7" s="33">
        <f t="shared" si="2"/>
        <v>1.8992602360717252E-3</v>
      </c>
      <c r="J7" s="33">
        <f t="shared" si="2"/>
        <v>1.531832516235016E-2</v>
      </c>
      <c r="K7" s="5"/>
    </row>
    <row r="8" spans="1:11" x14ac:dyDescent="0.15">
      <c r="A8" s="12" t="str">
        <f>架构比较!A13</f>
        <v>RCPA</v>
      </c>
      <c r="B8" s="5">
        <f>架构比较!C13*架构比较!$K13*单元面积!B9</f>
        <v>6730</v>
      </c>
      <c r="C8" s="5">
        <f>架构比较!D13*架构比较!$K13*单元面积!C9</f>
        <v>21561.111111111113</v>
      </c>
      <c r="D8" s="5">
        <f>架构比较!E13*架构比较!$K13*单元面积!D9</f>
        <v>11893.333333333334</v>
      </c>
      <c r="E8" s="5">
        <f>架构比较!F13*架构比较!$K13*单元面积!E9</f>
        <v>2953.3333333333335</v>
      </c>
      <c r="F8" s="5">
        <f>架构比较!G13*架构比较!$K13*单元面积!F9</f>
        <v>620209.67027777783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695347.44805555558</v>
      </c>
    </row>
    <row r="9" spans="1:11" x14ac:dyDescent="0.15">
      <c r="A9" s="12"/>
      <c r="B9" s="33">
        <f>B8/$K8</f>
        <v>9.6786146534650098E-3</v>
      </c>
      <c r="C9" s="33">
        <f t="shared" ref="C9:J9" si="3">C8/$K8</f>
        <v>3.100767993239038E-2</v>
      </c>
      <c r="D9" s="33">
        <f t="shared" si="3"/>
        <v>1.71041590309872E-2</v>
      </c>
      <c r="E9" s="33">
        <f t="shared" si="3"/>
        <v>4.2472771584794447E-3</v>
      </c>
      <c r="F9" s="33">
        <f t="shared" si="3"/>
        <v>0.89194211039690974</v>
      </c>
      <c r="G9" s="33">
        <f t="shared" si="3"/>
        <v>4.6020158827768248E-2</v>
      </c>
      <c r="H9" s="33">
        <f t="shared" si="3"/>
        <v>0</v>
      </c>
      <c r="I9" s="33">
        <f t="shared" si="3"/>
        <v>0</v>
      </c>
      <c r="J9" s="33">
        <f t="shared" si="3"/>
        <v>1.1135152680363875E-2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3" sqref="G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2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6">
        <f>C2*4/3</f>
        <v>2.6666666666666665</v>
      </c>
      <c r="H2" s="5">
        <v>2</v>
      </c>
    </row>
    <row r="3" spans="1:8" x14ac:dyDescent="0.15">
      <c r="A3" s="12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6">
        <f>C3*4/3</f>
        <v>2.6666666666666665</v>
      </c>
      <c r="H3" s="5">
        <v>2</v>
      </c>
    </row>
    <row r="4" spans="1:8" x14ac:dyDescent="0.15">
      <c r="A4" s="12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6">
        <f>C4*4/3</f>
        <v>5.333333333333333</v>
      </c>
      <c r="H4" s="5">
        <v>4</v>
      </c>
    </row>
    <row r="5" spans="1:8" x14ac:dyDescent="0.15">
      <c r="A5" s="12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6">
        <f>C5*4/3</f>
        <v>2.6666666666666665</v>
      </c>
      <c r="H5" s="5">
        <v>2</v>
      </c>
    </row>
    <row r="6" spans="1:8" x14ac:dyDescent="0.15">
      <c r="A6" s="12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6">
        <f>C6*4/3</f>
        <v>2.6666666666666665</v>
      </c>
      <c r="H6" s="5">
        <v>2</v>
      </c>
    </row>
    <row r="7" spans="1:8" x14ac:dyDescent="0.15">
      <c r="A7" s="12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2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2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2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9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1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9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1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N18" sqref="N18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7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32" t="str">
        <f>B1</f>
        <v>AU</v>
      </c>
      <c r="L1" s="32" t="str">
        <f t="shared" ref="L1:S1" si="0">C1</f>
        <v>SH</v>
      </c>
      <c r="M1" s="32" t="str">
        <f t="shared" si="0"/>
        <v>PER</v>
      </c>
      <c r="N1" s="32" t="str">
        <f t="shared" si="0"/>
        <v>LOU</v>
      </c>
      <c r="O1" s="32" t="str">
        <f t="shared" si="0"/>
        <v>LUT256*8</v>
      </c>
      <c r="P1" s="32" t="str">
        <f t="shared" si="0"/>
        <v>GFM</v>
      </c>
      <c r="Q1" s="32" t="str">
        <f t="shared" si="0"/>
        <v>X2</v>
      </c>
      <c r="R1" s="32" t="str">
        <f t="shared" si="0"/>
        <v>BR</v>
      </c>
      <c r="S1" s="32"/>
    </row>
    <row r="2" spans="1:19" x14ac:dyDescent="0.25">
      <c r="A2" s="5" t="str">
        <f>算法分析!A$2</f>
        <v>AES</v>
      </c>
      <c r="B2" s="18">
        <f>SUMPRODUCT(架构比较!C$2:C$6,映射分析!$C$2:$C$6)</f>
        <v>12</v>
      </c>
      <c r="C2" s="18">
        <f>SUMPRODUCT(架构比较!D$2:D$6,映射分析!$C$2:$C$6)</f>
        <v>12</v>
      </c>
      <c r="D2" s="18">
        <f>SUMPRODUCT(架构比较!E$2:E$6,映射分析!$C$2:$C$6)</f>
        <v>4</v>
      </c>
      <c r="E2" s="18">
        <f>SUMPRODUCT(架构比较!F$2:F$6,映射分析!$C$2:$C$6)</f>
        <v>12</v>
      </c>
      <c r="F2" s="18">
        <f>SUMPRODUCT(架构比较!G$2:G$6,映射分析!$C$2:$C$6)</f>
        <v>4</v>
      </c>
      <c r="G2" s="18">
        <f>SUMPRODUCT(架构比较!H$2:H$6,映射分析!$C$2:$C$6)</f>
        <v>4</v>
      </c>
      <c r="H2" s="18">
        <f>SUMPRODUCT(架构比较!I$2:I$6,映射分析!$C$2:$C$6)</f>
        <v>0</v>
      </c>
      <c r="I2" s="18">
        <f>SUMPRODUCT(架构比较!J$2:J$6,映射分析!$C$2:$C$6)</f>
        <v>0</v>
      </c>
      <c r="J2" s="19">
        <f>映射分析!C$7</f>
        <v>3</v>
      </c>
      <c r="K2" s="31">
        <f>IF(资源数比较!B2&lt;&gt;0,算法分析!B2/资源数比较!B2,"")</f>
        <v>0</v>
      </c>
      <c r="L2" s="31">
        <f>IF(资源数比较!C2&lt;&gt;0,算法分析!C2/资源数比较!C2,"")</f>
        <v>0</v>
      </c>
      <c r="M2" s="31">
        <f>IF(资源数比较!D2&lt;&gt;0,算法分析!D2/资源数比较!D2,"")</f>
        <v>0</v>
      </c>
      <c r="N2" s="31">
        <f>IF(资源数比较!E2&lt;&gt;0,算法分析!E2/资源数比较!E2,"")</f>
        <v>0.33333333333333331</v>
      </c>
      <c r="O2" s="31">
        <f>IF(资源数比较!F2&lt;&gt;0,算法分析!F2/资源数比较!F2,"")</f>
        <v>1</v>
      </c>
      <c r="P2" s="31">
        <f>IF(资源数比较!G2&lt;&gt;0,算法分析!G2/资源数比较!G2,"")</f>
        <v>1</v>
      </c>
      <c r="Q2" s="31" t="str">
        <f>IF(资源数比较!H2&lt;&gt;0,算法分析!H2/资源数比较!H2,"")</f>
        <v/>
      </c>
      <c r="R2" s="31" t="str">
        <f>IF(资源数比较!I2&lt;&gt;0,算法分析!I2/资源数比较!I2,"")</f>
        <v/>
      </c>
      <c r="S2" s="31"/>
    </row>
    <row r="3" spans="1:19" x14ac:dyDescent="0.25">
      <c r="A3" s="5" t="str">
        <f>算法分析!A$3</f>
        <v>DES</v>
      </c>
      <c r="B3" s="18">
        <f>SUMPRODUCT(架构比较!C$2:C$6,映射分析!$D$2:$D$6)</f>
        <v>12</v>
      </c>
      <c r="C3" s="18">
        <f>SUMPRODUCT(架构比较!D$2:D$6,映射分析!$D$2:$D$6)</f>
        <v>12</v>
      </c>
      <c r="D3" s="18">
        <f>SUMPRODUCT(架构比较!E$2:E$6,映射分析!$D$2:$D$6)</f>
        <v>4</v>
      </c>
      <c r="E3" s="18">
        <f>SUMPRODUCT(架构比较!F$2:F$6,映射分析!$D$2:$D$6)</f>
        <v>12</v>
      </c>
      <c r="F3" s="18">
        <f>SUMPRODUCT(架构比较!G$2:G$6,映射分析!$D$2:$D$6)</f>
        <v>4</v>
      </c>
      <c r="G3" s="18">
        <f>SUMPRODUCT(架构比较!H$2:H$6,映射分析!$D$2:$D$6)</f>
        <v>4</v>
      </c>
      <c r="H3" s="18">
        <f>SUMPRODUCT(架构比较!I$2:I$6,映射分析!$D$2:$D$6)</f>
        <v>0</v>
      </c>
      <c r="I3" s="18">
        <f>SUMPRODUCT(架构比较!J$2:J$6,映射分析!$D$2:$D$6)</f>
        <v>0</v>
      </c>
      <c r="J3" s="19">
        <f>映射分析!D$7</f>
        <v>3</v>
      </c>
      <c r="K3" s="31">
        <f>IF(资源数比较!B3&lt;&gt;0,算法分析!B3/资源数比较!B3,"")</f>
        <v>0</v>
      </c>
      <c r="L3" s="31">
        <f>IF(资源数比较!C3&lt;&gt;0,算法分析!C3/资源数比较!C3,"")</f>
        <v>0</v>
      </c>
      <c r="M3" s="31">
        <f>IF(资源数比较!D3&lt;&gt;0,算法分析!D3/资源数比较!D3,"")</f>
        <v>0.5</v>
      </c>
      <c r="N3" s="31">
        <f>IF(资源数比较!E3&lt;&gt;0,算法分析!E3/资源数比较!E3,"")</f>
        <v>0.16666666666666666</v>
      </c>
      <c r="O3" s="31">
        <f>IF(资源数比较!F3&lt;&gt;0,算法分析!F3/资源数比较!F3,"")</f>
        <v>0.5</v>
      </c>
      <c r="P3" s="31">
        <f>IF(资源数比较!G3&lt;&gt;0,算法分析!G3/资源数比较!G3,"")</f>
        <v>0</v>
      </c>
      <c r="Q3" s="31" t="str">
        <f>IF(资源数比较!H3&lt;&gt;0,算法分析!H3/资源数比较!H3,"")</f>
        <v/>
      </c>
      <c r="R3" s="31" t="str">
        <f>IF(资源数比较!I3&lt;&gt;0,算法分析!I3/资源数比较!I3,"")</f>
        <v/>
      </c>
      <c r="S3" s="31"/>
    </row>
    <row r="4" spans="1:19" x14ac:dyDescent="0.25">
      <c r="A4" s="5" t="str">
        <f>算法分析!A$4</f>
        <v>SM4</v>
      </c>
      <c r="B4" s="18">
        <f>SUMPRODUCT(架构比较!C$2:C$6,映射分析!$E$2:$E$6)</f>
        <v>12</v>
      </c>
      <c r="C4" s="18">
        <f>SUMPRODUCT(架构比较!D$2:D$6,映射分析!$E$2:$E$6)</f>
        <v>12</v>
      </c>
      <c r="D4" s="18">
        <f>SUMPRODUCT(架构比较!E$2:E$6,映射分析!$E$2:$E$6)</f>
        <v>4</v>
      </c>
      <c r="E4" s="18">
        <f>SUMPRODUCT(架构比较!F$2:F$6,映射分析!$E$2:$E$6)</f>
        <v>12</v>
      </c>
      <c r="F4" s="18">
        <f>SUMPRODUCT(架构比较!G$2:G$6,映射分析!$E$2:$E$6)</f>
        <v>4</v>
      </c>
      <c r="G4" s="18">
        <f>SUMPRODUCT(架构比较!H$2:H$6,映射分析!$E$2:$E$6)</f>
        <v>4</v>
      </c>
      <c r="H4" s="18">
        <f>SUMPRODUCT(架构比较!I$2:I$6,映射分析!$E$2:$E$6)</f>
        <v>0</v>
      </c>
      <c r="I4" s="18">
        <f>SUMPRODUCT(架构比较!J$2:J$6,映射分析!$E$2:$E$6)</f>
        <v>0</v>
      </c>
      <c r="J4" s="19">
        <f>映射分析!E$7</f>
        <v>3</v>
      </c>
      <c r="K4" s="31">
        <f>IF(资源数比较!B4&lt;&gt;0,算法分析!B4/资源数比较!B4,"")</f>
        <v>0</v>
      </c>
      <c r="L4" s="31">
        <f>IF(资源数比较!C4&lt;&gt;0,算法分析!C4/资源数比较!C4,"")</f>
        <v>0.33333333333333331</v>
      </c>
      <c r="M4" s="31">
        <f>IF(资源数比较!D4&lt;&gt;0,算法分析!D4/资源数比较!D4,"")</f>
        <v>0</v>
      </c>
      <c r="N4" s="31">
        <f>IF(资源数比较!E4&lt;&gt;0,算法分析!E4/资源数比较!E4,"")</f>
        <v>0.33333333333333331</v>
      </c>
      <c r="O4" s="31">
        <f>IF(资源数比较!F4&lt;&gt;0,算法分析!F4/资源数比较!F4,"")</f>
        <v>0.25</v>
      </c>
      <c r="P4" s="31">
        <f>IF(资源数比较!G4&lt;&gt;0,算法分析!G4/资源数比较!G4,"")</f>
        <v>0</v>
      </c>
      <c r="Q4" s="31" t="str">
        <f>IF(资源数比较!H4&lt;&gt;0,算法分析!H4/资源数比较!H4,"")</f>
        <v/>
      </c>
      <c r="R4" s="31" t="str">
        <f>IF(资源数比较!I4&lt;&gt;0,算法分析!I4/资源数比较!I4,"")</f>
        <v/>
      </c>
      <c r="S4" s="31"/>
    </row>
    <row r="5" spans="1:19" x14ac:dyDescent="0.25">
      <c r="A5" s="5" t="str">
        <f>算法分析!A$5</f>
        <v>TWOFISH</v>
      </c>
      <c r="B5" s="18">
        <f>SUMPRODUCT(架构比较!C$2:C$6,映射分析!$F$2:$F$6)</f>
        <v>24</v>
      </c>
      <c r="C5" s="18">
        <f>SUMPRODUCT(架构比较!D$2:D$6,映射分析!$F$2:$F$6)</f>
        <v>24</v>
      </c>
      <c r="D5" s="18">
        <f>SUMPRODUCT(架构比较!E$2:E$6,映射分析!$F$2:$F$6)</f>
        <v>8</v>
      </c>
      <c r="E5" s="18">
        <f>SUMPRODUCT(架构比较!F$2:F$6,映射分析!$F$2:$F$6)</f>
        <v>24</v>
      </c>
      <c r="F5" s="18">
        <f>SUMPRODUCT(架构比较!G$2:G$6,映射分析!$F$2:$F$6)</f>
        <v>8</v>
      </c>
      <c r="G5" s="18">
        <f>SUMPRODUCT(架构比较!H$2:H$6,映射分析!$F$2:$F$6)</f>
        <v>8</v>
      </c>
      <c r="H5" s="18">
        <f>SUMPRODUCT(架构比较!I$2:I$6,映射分析!$F$2:$F$6)</f>
        <v>0</v>
      </c>
      <c r="I5" s="18">
        <f>SUMPRODUCT(架构比较!J$2:J$6,映射分析!$F$2:$F$6)</f>
        <v>0</v>
      </c>
      <c r="J5" s="19">
        <f>映射分析!F$7</f>
        <v>6</v>
      </c>
      <c r="K5" s="31">
        <f>IF(资源数比较!B5&lt;&gt;0,算法分析!B5/资源数比较!B5,"")</f>
        <v>0.16666666666666666</v>
      </c>
      <c r="L5" s="31">
        <f>IF(资源数比较!C5&lt;&gt;0,算法分析!C5/资源数比较!C5,"")</f>
        <v>4.1666666666666664E-2</v>
      </c>
      <c r="M5" s="31">
        <f>IF(资源数比较!D5&lt;&gt;0,算法分析!D5/资源数比较!D5,"")</f>
        <v>0</v>
      </c>
      <c r="N5" s="31">
        <f>IF(资源数比较!E5&lt;&gt;0,算法分析!E5/资源数比较!E5,"")</f>
        <v>0.25</v>
      </c>
      <c r="O5" s="31">
        <f>IF(资源数比较!F5&lt;&gt;0,算法分析!F5/资源数比较!F5,"")</f>
        <v>0.25</v>
      </c>
      <c r="P5" s="31">
        <f>IF(资源数比较!G5&lt;&gt;0,算法分析!G5/资源数比较!G5,"")</f>
        <v>0.25</v>
      </c>
      <c r="Q5" s="31" t="str">
        <f>IF(资源数比较!H5&lt;&gt;0,算法分析!H5/资源数比较!H5,"")</f>
        <v/>
      </c>
      <c r="R5" s="31" t="str">
        <f>IF(资源数比较!I5&lt;&gt;0,算法分析!I5/资源数比较!I5,"")</f>
        <v/>
      </c>
      <c r="S5" s="31"/>
    </row>
    <row r="6" spans="1:19" x14ac:dyDescent="0.25">
      <c r="A6" s="5" t="str">
        <f>算法分析!A$6</f>
        <v>RC5</v>
      </c>
      <c r="B6" s="18">
        <f>SUMPRODUCT(架构比较!C$2:C$6,映射分析!$G$2:$G$6)</f>
        <v>15.999999999999998</v>
      </c>
      <c r="C6" s="18">
        <f>SUMPRODUCT(架构比较!D$2:D$6,映射分析!$G$2:$G$6)</f>
        <v>15.999999999999998</v>
      </c>
      <c r="D6" s="16">
        <f>SUMPRODUCT(架构比较!E$2:E$6,映射分析!$G$2:$G$6)</f>
        <v>5.333333333333333</v>
      </c>
      <c r="E6" s="18">
        <f>SUMPRODUCT(架构比较!F$2:F$6,映射分析!$G$2:$G$6)</f>
        <v>15.999999999999998</v>
      </c>
      <c r="F6" s="16">
        <f>SUMPRODUCT(架构比较!G$2:G$6,映射分析!$G$2:$G$6)</f>
        <v>5.333333333333333</v>
      </c>
      <c r="G6" s="16">
        <f>SUMPRODUCT(架构比较!H$2:H$6,映射分析!$G$2:$G$6)</f>
        <v>5.333333333333333</v>
      </c>
      <c r="H6" s="18">
        <f>SUMPRODUCT(架构比较!I$2:I$6,映射分析!$G$2:$G$6)</f>
        <v>0</v>
      </c>
      <c r="I6" s="18">
        <f>SUMPRODUCT(架构比较!J$2:J$6,映射分析!$G$2:$G$6)</f>
        <v>0</v>
      </c>
      <c r="J6" s="19">
        <f>映射分析!G$7</f>
        <v>4</v>
      </c>
      <c r="K6" s="31">
        <f>IF(资源数比较!B6&lt;&gt;0,算法分析!B6/资源数比较!B6,"")</f>
        <v>0.125</v>
      </c>
      <c r="L6" s="31">
        <f>IF(资源数比较!C6&lt;&gt;0,算法分析!C6/资源数比较!C6,"")</f>
        <v>0.125</v>
      </c>
      <c r="M6" s="31">
        <f>IF(资源数比较!D6&lt;&gt;0,算法分析!D6/资源数比较!D6,"")</f>
        <v>0</v>
      </c>
      <c r="N6" s="31">
        <f>IF(资源数比较!E6&lt;&gt;0,算法分析!E6/资源数比较!E6,"")</f>
        <v>0.125</v>
      </c>
      <c r="O6" s="31">
        <f>IF(资源数比较!F6&lt;&gt;0,算法分析!F6/资源数比较!F6,"")</f>
        <v>0</v>
      </c>
      <c r="P6" s="31">
        <f>IF(资源数比较!G6&lt;&gt;0,算法分析!G6/资源数比较!G6,"")</f>
        <v>0</v>
      </c>
      <c r="Q6" s="31" t="str">
        <f>IF(资源数比较!H6&lt;&gt;0,算法分析!H6/资源数比较!H6,"")</f>
        <v/>
      </c>
      <c r="R6" s="31" t="str">
        <f>IF(资源数比较!I6&lt;&gt;0,算法分析!I6/资源数比较!I6,"")</f>
        <v/>
      </c>
      <c r="S6" s="31"/>
    </row>
    <row r="7" spans="1:19" x14ac:dyDescent="0.25">
      <c r="A7" s="5" t="str">
        <f>算法分析!A$7</f>
        <v>BLOWFISH</v>
      </c>
      <c r="B7" s="18">
        <f>SUMPRODUCT(架构比较!C$2:C$6,映射分析!$H$2:$H$6)</f>
        <v>12</v>
      </c>
      <c r="C7" s="18">
        <f>SUMPRODUCT(架构比较!D$2:D$6,映射分析!$H$2:$H$6)</f>
        <v>12</v>
      </c>
      <c r="D7" s="18">
        <f>SUMPRODUCT(架构比较!E$2:E$6,映射分析!$H$2:$H$6)</f>
        <v>4</v>
      </c>
      <c r="E7" s="18">
        <f>SUMPRODUCT(架构比较!F$2:F$6,映射分析!$H$2:$H$6)</f>
        <v>12</v>
      </c>
      <c r="F7" s="18">
        <f>SUMPRODUCT(架构比较!G$2:G$6,映射分析!$H$2:$H$6)</f>
        <v>4</v>
      </c>
      <c r="G7" s="18">
        <f>SUMPRODUCT(架构比较!H$2:H$6,映射分析!$H$2:$H$6)</f>
        <v>4</v>
      </c>
      <c r="H7" s="18">
        <f>SUMPRODUCT(架构比较!I$2:I$6,映射分析!$H$2:$H$6)</f>
        <v>0</v>
      </c>
      <c r="I7" s="18">
        <f>SUMPRODUCT(架构比较!J$2:J$6,映射分析!$H$2:$H$6)</f>
        <v>0</v>
      </c>
      <c r="J7" s="19">
        <f>映射分析!H$7</f>
        <v>3</v>
      </c>
      <c r="K7" s="31">
        <f>IF(资源数比较!B7&lt;&gt;0,算法分析!B7/资源数比较!B7,"")</f>
        <v>0.25</v>
      </c>
      <c r="L7" s="31">
        <f>IF(资源数比较!C7&lt;&gt;0,算法分析!C7/资源数比较!C7,"")</f>
        <v>0</v>
      </c>
      <c r="M7" s="31">
        <f>IF(资源数比较!D7&lt;&gt;0,算法分析!D7/资源数比较!D7,"")</f>
        <v>0</v>
      </c>
      <c r="N7" s="31">
        <f>IF(资源数比较!E7&lt;&gt;0,算法分析!E7/资源数比较!E7,"")</f>
        <v>0.25</v>
      </c>
      <c r="O7" s="31">
        <f>IF(资源数比较!F7&lt;&gt;0,算法分析!F7/资源数比较!F7,"")</f>
        <v>0.25</v>
      </c>
      <c r="P7" s="31">
        <f>IF(资源数比较!G7&lt;&gt;0,算法分析!G7/资源数比较!G7,"")</f>
        <v>0</v>
      </c>
      <c r="Q7" s="31" t="str">
        <f>IF(资源数比较!H7&lt;&gt;0,算法分析!H7/资源数比较!H7,"")</f>
        <v/>
      </c>
      <c r="R7" s="31" t="str">
        <f>IF(资源数比较!I7&lt;&gt;0,算法分析!I7/资源数比较!I7,"")</f>
        <v/>
      </c>
      <c r="S7" s="31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4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20">
        <f>IF(B10&lt;&gt;0,(B2-B10)/B10,"")</f>
        <v>0.5</v>
      </c>
      <c r="L10" s="20">
        <f>IF(C10&lt;&gt;0,(C2-C10)/C10,"")</f>
        <v>0.5</v>
      </c>
      <c r="M10" s="20">
        <f>IF(D10&lt;&gt;0,(D2-D10)/D10,"")</f>
        <v>0</v>
      </c>
      <c r="N10" s="20">
        <f>IF(E10&lt;&gt;0,(E2-E10)/E10,"")</f>
        <v>-0.75</v>
      </c>
      <c r="O10" s="20">
        <f>IF(F10&lt;&gt;0,(F2-F10)/F10,"")</f>
        <v>0</v>
      </c>
      <c r="P10" s="20" t="str">
        <f>IF(G10&lt;&gt;0,(G2-G10)/G10,"")</f>
        <v/>
      </c>
      <c r="Q10" s="20">
        <f>IF(H10&lt;&gt;0,(H2-H10)/H10,"")</f>
        <v>-1</v>
      </c>
      <c r="R10" s="20" t="str">
        <f>IF(I10&lt;&gt;0,(I2-I10)/I10,"")</f>
        <v/>
      </c>
      <c r="S10" s="20">
        <f>IF(J10&lt;&gt;0,(J2-J10)/J10,"")</f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8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20">
        <f>IF(B11&lt;&gt;0,(B3-B11)/B11,"")</f>
        <v>-0.25</v>
      </c>
      <c r="L11" s="20">
        <f>IF(C11&lt;&gt;0,(C3-C11)/C11,"")</f>
        <v>-0.25</v>
      </c>
      <c r="M11" s="20">
        <f>IF(D11&lt;&gt;0,(D3-D11)/D11,"")</f>
        <v>-0.5</v>
      </c>
      <c r="N11" s="20">
        <f>IF(E11&lt;&gt;0,(E3-E11)/E11,"")</f>
        <v>-0.875</v>
      </c>
      <c r="O11" s="20">
        <f>IF(F11&lt;&gt;0,(F3-F11)/F11,"")</f>
        <v>-0.5</v>
      </c>
      <c r="P11" s="20" t="str">
        <f>IF(G11&lt;&gt;0,(G3-G11)/G11,"")</f>
        <v/>
      </c>
      <c r="Q11" s="20">
        <f>IF(H11&lt;&gt;0,(H3-H11)/H11,"")</f>
        <v>-1</v>
      </c>
      <c r="R11" s="20" t="str">
        <f>IF(I11&lt;&gt;0,(I3-I11)/I11,"")</f>
        <v/>
      </c>
      <c r="S11" s="20">
        <f>IF(J11&lt;&gt;0,(J3-J11)/J11,"")</f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8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20">
        <f>IF(B12&lt;&gt;0,(B4-B12)/B12,"")</f>
        <v>-0.25</v>
      </c>
      <c r="L12" s="20">
        <f>IF(C12&lt;&gt;0,(C4-C12)/C12,"")</f>
        <v>-0.25</v>
      </c>
      <c r="M12" s="20">
        <f>IF(D12&lt;&gt;0,(D4-D12)/D12,"")</f>
        <v>-0.5</v>
      </c>
      <c r="N12" s="20">
        <f>IF(E12&lt;&gt;0,(E4-E12)/E12,"")</f>
        <v>-0.875</v>
      </c>
      <c r="O12" s="20">
        <f>IF(F12&lt;&gt;0,(F4-F12)/F12,"")</f>
        <v>-0.5</v>
      </c>
      <c r="P12" s="20" t="str">
        <f>IF(G12&lt;&gt;0,(G4-G12)/G12,"")</f>
        <v/>
      </c>
      <c r="Q12" s="20">
        <f>IF(H12&lt;&gt;0,(H4-H12)/H12,"")</f>
        <v>-1</v>
      </c>
      <c r="R12" s="20" t="str">
        <f>IF(I12&lt;&gt;0,(I4-I12)/I12,"")</f>
        <v/>
      </c>
      <c r="S12" s="20">
        <f>IF(J12&lt;&gt;0,(J4-J12)/J12,"")</f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12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20">
        <f>IF(B13&lt;&gt;0,(B5-B13)/B13,"")</f>
        <v>0</v>
      </c>
      <c r="L13" s="20">
        <f>IF(C13&lt;&gt;0,(C5-C13)/C13,"")</f>
        <v>0</v>
      </c>
      <c r="M13" s="20">
        <f>IF(D13&lt;&gt;0,(D5-D13)/D13,"")</f>
        <v>-0.33333333333333331</v>
      </c>
      <c r="N13" s="20">
        <f>IF(E13&lt;&gt;0,(E5-E13)/E13,"")</f>
        <v>-0.83333333333333337</v>
      </c>
      <c r="O13" s="20">
        <f>IF(F13&lt;&gt;0,(F5-F13)/F13,"")</f>
        <v>-0.33333333333333331</v>
      </c>
      <c r="P13" s="20" t="str">
        <f>IF(G13&lt;&gt;0,(G5-G13)/G13,"")</f>
        <v/>
      </c>
      <c r="Q13" s="20">
        <f>IF(H13&lt;&gt;0,(H5-H13)/H13,"")</f>
        <v>-1</v>
      </c>
      <c r="R13" s="20" t="str">
        <f>IF(I13&lt;&gt;0,(I5-I13)/I13,"")</f>
        <v/>
      </c>
      <c r="S13" s="20">
        <f>IF(J13&lt;&gt;0,(J5-J13)/J13,"")</f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8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20">
        <f>IF(B14&lt;&gt;0,(B6-B14)/B14,"")</f>
        <v>-1.1102230246251565E-16</v>
      </c>
      <c r="L14" s="20">
        <f>IF(C14&lt;&gt;0,(C6-C14)/C14,"")</f>
        <v>-1.1102230246251565E-16</v>
      </c>
      <c r="M14" s="20">
        <f>IF(D14&lt;&gt;0,(D6-D14)/D14,"")</f>
        <v>-0.33333333333333337</v>
      </c>
      <c r="N14" s="20">
        <f>IF(E14&lt;&gt;0,(E6-E14)/E14,"")</f>
        <v>-0.83333333333333337</v>
      </c>
      <c r="O14" s="20">
        <f>IF(F14&lt;&gt;0,(F6-F14)/F14,"")</f>
        <v>-0.33333333333333337</v>
      </c>
      <c r="P14" s="20" t="str">
        <f>IF(G14&lt;&gt;0,(G6-G14)/G14,"")</f>
        <v/>
      </c>
      <c r="Q14" s="20">
        <f>IF(H14&lt;&gt;0,(H6-H14)/H14,"")</f>
        <v>-1</v>
      </c>
      <c r="R14" s="20" t="str">
        <f>IF(I14&lt;&gt;0,(I6-I14)/I14,"")</f>
        <v/>
      </c>
      <c r="S14" s="20">
        <f>IF(J14&lt;&gt;0,(J6-J14)/J14,"")</f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8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20">
        <f>IF(B15&lt;&gt;0,(B7-B15)/B15,"")</f>
        <v>-0.25</v>
      </c>
      <c r="L15" s="20">
        <f>IF(C15&lt;&gt;0,(C7-C15)/C15,"")</f>
        <v>-0.25</v>
      </c>
      <c r="M15" s="20">
        <f>IF(D15&lt;&gt;0,(D7-D15)/D15,"")</f>
        <v>-0.5</v>
      </c>
      <c r="N15" s="20">
        <f>IF(E15&lt;&gt;0,(E7-E15)/E15,"")</f>
        <v>-0.875</v>
      </c>
      <c r="O15" s="20">
        <f>IF(F15&lt;&gt;0,(F7-F15)/F15,"")</f>
        <v>-0.5</v>
      </c>
      <c r="P15" s="20" t="str">
        <f>IF(G15&lt;&gt;0,(G7-G15)/G15,"")</f>
        <v/>
      </c>
      <c r="Q15" s="20">
        <f>IF(H15&lt;&gt;0,(H7-H15)/H15,"")</f>
        <v>-1</v>
      </c>
      <c r="R15" s="20" t="str">
        <f>IF(I15&lt;&gt;0,(I7-I15)/I15,"")</f>
        <v/>
      </c>
      <c r="S15" s="20">
        <f>IF(J15&lt;&gt;0,(J7-J15)/J15,"")</f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32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21">
        <f>IF(B18&lt;&gt;0,(B2-B18)/B18,"")</f>
        <v>0.5</v>
      </c>
      <c r="L18" s="21">
        <f>IF(C18&lt;&gt;0,(C2-C18)/C18,"")</f>
        <v>0.5</v>
      </c>
      <c r="M18" s="21">
        <f>IF(D18&lt;&gt;0,(D2-D18)/D18,"")</f>
        <v>-0.5</v>
      </c>
      <c r="N18" s="21">
        <f>IF(E18&lt;&gt;0,(E2-E18)/E18,"")</f>
        <v>0.5</v>
      </c>
      <c r="O18" s="21">
        <f>IF(F18&lt;&gt;0,(F2-F18)/F18,"")</f>
        <v>-0.875</v>
      </c>
      <c r="P18" s="21" t="str">
        <f>IF(G18&lt;&gt;0,(G2-G18)/G18,"")</f>
        <v/>
      </c>
      <c r="Q18" s="21" t="str">
        <f>IF(H18&lt;&gt;0,(H2-H18)/H18,"")</f>
        <v/>
      </c>
      <c r="R18" s="21">
        <f>IF(I18&lt;&gt;0,(I2-I18)/I18,"")</f>
        <v>-1</v>
      </c>
      <c r="S18" s="21">
        <f>IF(J18&lt;&gt;0,(J2-J18)/J18,"")</f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48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21">
        <f>IF(B19&lt;&gt;0,(B3-B19)/B19,"")</f>
        <v>0</v>
      </c>
      <c r="L19" s="21">
        <f>IF(C19&lt;&gt;0,(C3-C19)/C19,"")</f>
        <v>0</v>
      </c>
      <c r="M19" s="21">
        <f>IF(D19&lt;&gt;0,(D3-D19)/D19,"")</f>
        <v>-0.66666666666666663</v>
      </c>
      <c r="N19" s="21">
        <f>IF(E19&lt;&gt;0,(E3-E19)/E19,"")</f>
        <v>0</v>
      </c>
      <c r="O19" s="21">
        <f>IF(F19&lt;&gt;0,(F3-F19)/F19,"")</f>
        <v>-0.91666666666666663</v>
      </c>
      <c r="P19" s="21" t="str">
        <f>IF(G19&lt;&gt;0,(G3-G19)/G19,"")</f>
        <v/>
      </c>
      <c r="Q19" s="21" t="str">
        <f>IF(H19&lt;&gt;0,(H3-H19)/H19,"")</f>
        <v/>
      </c>
      <c r="R19" s="21">
        <f>IF(I19&lt;&gt;0,(I3-I19)/I19,"")</f>
        <v>-1</v>
      </c>
      <c r="S19" s="21">
        <f>IF(J19&lt;&gt;0,(J3-J19)/J19,"")</f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64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21">
        <f>IF(B20&lt;&gt;0,(B4-B20)/B20,"")</f>
        <v>-0.25</v>
      </c>
      <c r="L20" s="21">
        <f>IF(C20&lt;&gt;0,(C4-C20)/C20,"")</f>
        <v>-0.25</v>
      </c>
      <c r="M20" s="21">
        <f>IF(D20&lt;&gt;0,(D4-D20)/D20,"")</f>
        <v>-0.75</v>
      </c>
      <c r="N20" s="21">
        <f>IF(E20&lt;&gt;0,(E4-E20)/E20,"")</f>
        <v>-0.25</v>
      </c>
      <c r="O20" s="21">
        <f>IF(F20&lt;&gt;0,(F4-F20)/F20,"")</f>
        <v>-0.9375</v>
      </c>
      <c r="P20" s="21" t="str">
        <f>IF(G20&lt;&gt;0,(G4-G20)/G20,"")</f>
        <v/>
      </c>
      <c r="Q20" s="21" t="str">
        <f>IF(H20&lt;&gt;0,(H4-H20)/H20,"")</f>
        <v/>
      </c>
      <c r="R20" s="21">
        <f>IF(I20&lt;&gt;0,(I4-I20)/I20,"")</f>
        <v>-1</v>
      </c>
      <c r="S20" s="21">
        <f>IF(J20&lt;&gt;0,(J4-J20)/J20,"")</f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80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21">
        <f>IF(B21&lt;&gt;0,(B5-B21)/B21,"")</f>
        <v>0.2</v>
      </c>
      <c r="L21" s="21">
        <f>IF(C21&lt;&gt;0,(C5-C21)/C21,"")</f>
        <v>0.2</v>
      </c>
      <c r="M21" s="21">
        <f>IF(D21&lt;&gt;0,(D5-D21)/D21,"")</f>
        <v>-0.6</v>
      </c>
      <c r="N21" s="21">
        <f>IF(E21&lt;&gt;0,(E5-E21)/E21,"")</f>
        <v>0.2</v>
      </c>
      <c r="O21" s="21">
        <f>IF(F21&lt;&gt;0,(F5-F21)/F21,"")</f>
        <v>-0.9</v>
      </c>
      <c r="P21" s="21" t="str">
        <f>IF(G21&lt;&gt;0,(G5-G21)/G21,"")</f>
        <v/>
      </c>
      <c r="Q21" s="21" t="str">
        <f>IF(H21&lt;&gt;0,(H5-H21)/H21,"")</f>
        <v/>
      </c>
      <c r="R21" s="21">
        <f>IF(I21&lt;&gt;0,(I5-I21)/I21,"")</f>
        <v>-1</v>
      </c>
      <c r="S21" s="21">
        <f>IF(J21&lt;&gt;0,(J5-J21)/J21,"")</f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64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21">
        <f>IF(B22&lt;&gt;0,(B6-B22)/B22,"")</f>
        <v>-1.1102230246251565E-16</v>
      </c>
      <c r="L22" s="21">
        <f>IF(C22&lt;&gt;0,(C6-C22)/C22,"")</f>
        <v>-1.1102230246251565E-16</v>
      </c>
      <c r="M22" s="21">
        <f>IF(D22&lt;&gt;0,(D6-D22)/D22,"")</f>
        <v>-0.66666666666666674</v>
      </c>
      <c r="N22" s="21">
        <f>IF(E22&lt;&gt;0,(E6-E22)/E22,"")</f>
        <v>-1.1102230246251565E-16</v>
      </c>
      <c r="O22" s="21">
        <f>IF(F22&lt;&gt;0,(F6-F22)/F22,"")</f>
        <v>-0.91666666666666663</v>
      </c>
      <c r="P22" s="21" t="str">
        <f>IF(G22&lt;&gt;0,(G6-G22)/G22,"")</f>
        <v/>
      </c>
      <c r="Q22" s="21" t="str">
        <f>IF(H22&lt;&gt;0,(H6-H22)/H22,"")</f>
        <v/>
      </c>
      <c r="R22" s="21">
        <f>IF(I22&lt;&gt;0,(I6-I22)/I22,"")</f>
        <v>-1</v>
      </c>
      <c r="S22" s="21">
        <f>IF(J22&lt;&gt;0,(J6-J22)/J22,"")</f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48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21">
        <f>IF(B23&lt;&gt;0,(B7-B23)/B23,"")</f>
        <v>0</v>
      </c>
      <c r="L23" s="21">
        <f>IF(C23&lt;&gt;0,(C7-C23)/C23,"")</f>
        <v>0</v>
      </c>
      <c r="M23" s="21">
        <f>IF(D23&lt;&gt;0,(D7-D23)/D23,"")</f>
        <v>-0.66666666666666663</v>
      </c>
      <c r="N23" s="21">
        <f>IF(E23&lt;&gt;0,(E7-E23)/E23,"")</f>
        <v>0</v>
      </c>
      <c r="O23" s="21">
        <f>IF(F23&lt;&gt;0,(F7-F23)/F23,"")</f>
        <v>-0.91666666666666663</v>
      </c>
      <c r="P23" s="21" t="str">
        <f>IF(G23&lt;&gt;0,(G7-G23)/G23,"")</f>
        <v/>
      </c>
      <c r="Q23" s="21" t="str">
        <f>IF(H23&lt;&gt;0,(H7-H23)/H23,"")</f>
        <v/>
      </c>
      <c r="R23" s="21">
        <f>IF(I23&lt;&gt;0,(I7-I23)/I23,"")</f>
        <v>-1</v>
      </c>
      <c r="S23" s="21">
        <f>IF(J23&lt;&gt;0,(J7-J23)/J23,"")</f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8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21">
        <f>IF(B26&lt;&gt;0,(B2-B26)/B26,"")</f>
        <v>0.5</v>
      </c>
      <c r="L26" s="21">
        <f>IF(C26&lt;&gt;0,(C2-C26)/C26,"")</f>
        <v>0.5</v>
      </c>
      <c r="M26" s="21">
        <f>IF(D26&lt;&gt;0,(D2-D26)/D26,"")</f>
        <v>-0.5</v>
      </c>
      <c r="N26" s="21">
        <f>IF(E26&lt;&gt;0,(E2-E26)/E26,"")</f>
        <v>-0.25</v>
      </c>
      <c r="O26" s="21">
        <f>IF(F26&lt;&gt;0,(F2-F26)/F26,"")</f>
        <v>-0.5</v>
      </c>
      <c r="P26" s="21">
        <f>IF(G26&lt;&gt;0,(G2-G26)/G26,"")</f>
        <v>-0.5</v>
      </c>
      <c r="Q26" s="21" t="str">
        <f>IF(H26&lt;&gt;0,(H2-H26)/H26,"")</f>
        <v/>
      </c>
      <c r="R26" s="21" t="str">
        <f>IF(I26&lt;&gt;0,(I2-I26)/I26,"")</f>
        <v/>
      </c>
      <c r="S26" s="21">
        <f>IF(J26&lt;&gt;0,(J2-J26)/J26,"")</f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12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21">
        <f>IF(B27&lt;&gt;0,(B3-B27)/B27,"")</f>
        <v>0</v>
      </c>
      <c r="L27" s="21">
        <f>IF(C27&lt;&gt;0,(C3-C27)/C27,"")</f>
        <v>0</v>
      </c>
      <c r="M27" s="21">
        <f>IF(D27&lt;&gt;0,(D3-D27)/D27,"")</f>
        <v>-0.66666666666666663</v>
      </c>
      <c r="N27" s="21">
        <f>IF(E27&lt;&gt;0,(E3-E27)/E27,"")</f>
        <v>-0.5</v>
      </c>
      <c r="O27" s="21">
        <f>IF(F27&lt;&gt;0,(F3-F27)/F27,"")</f>
        <v>-0.66666666666666663</v>
      </c>
      <c r="P27" s="21">
        <f>IF(G27&lt;&gt;0,(G3-G27)/G27,"")</f>
        <v>-0.66666666666666663</v>
      </c>
      <c r="Q27" s="21" t="str">
        <f>IF(H27&lt;&gt;0,(H3-H27)/H27,"")</f>
        <v/>
      </c>
      <c r="R27" s="21" t="str">
        <f>IF(I27&lt;&gt;0,(I3-I27)/I27,"")</f>
        <v/>
      </c>
      <c r="S27" s="21">
        <f>IF(J27&lt;&gt;0,(J3-J27)/J27,"")</f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16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21">
        <f>IF(B28&lt;&gt;0,(B4-B28)/B28,"")</f>
        <v>-0.25</v>
      </c>
      <c r="L28" s="21">
        <f>IF(C28&lt;&gt;0,(C4-C28)/C28,"")</f>
        <v>-0.25</v>
      </c>
      <c r="M28" s="21">
        <f>IF(D28&lt;&gt;0,(D4-D28)/D28,"")</f>
        <v>-0.75</v>
      </c>
      <c r="N28" s="21">
        <f>IF(E28&lt;&gt;0,(E4-E28)/E28,"")</f>
        <v>-0.625</v>
      </c>
      <c r="O28" s="21">
        <f>IF(F28&lt;&gt;0,(F4-F28)/F28,"")</f>
        <v>-0.75</v>
      </c>
      <c r="P28" s="21">
        <f>IF(G28&lt;&gt;0,(G4-G28)/G28,"")</f>
        <v>-0.75</v>
      </c>
      <c r="Q28" s="21" t="str">
        <f>IF(H28&lt;&gt;0,(H4-H28)/H28,"")</f>
        <v/>
      </c>
      <c r="R28" s="21" t="str">
        <f>IF(I28&lt;&gt;0,(I4-I28)/I28,"")</f>
        <v/>
      </c>
      <c r="S28" s="21">
        <f>IF(J28&lt;&gt;0,(J4-J28)/J28,"")</f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20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21">
        <f>IF(B29&lt;&gt;0,(B5-B29)/B29,"")</f>
        <v>0.2</v>
      </c>
      <c r="L29" s="21">
        <f>IF(C29&lt;&gt;0,(C5-C29)/C29,"")</f>
        <v>0.2</v>
      </c>
      <c r="M29" s="21">
        <f>IF(D29&lt;&gt;0,(D5-D29)/D29,"")</f>
        <v>-0.6</v>
      </c>
      <c r="N29" s="21">
        <f>IF(E29&lt;&gt;0,(E5-E29)/E29,"")</f>
        <v>-0.4</v>
      </c>
      <c r="O29" s="21">
        <f>IF(F29&lt;&gt;0,(F5-F29)/F29,"")</f>
        <v>-0.6</v>
      </c>
      <c r="P29" s="21">
        <f>IF(G29&lt;&gt;0,(G5-G29)/G29,"")</f>
        <v>-0.6</v>
      </c>
      <c r="Q29" s="21" t="str">
        <f>IF(H29&lt;&gt;0,(H5-H29)/H29,"")</f>
        <v/>
      </c>
      <c r="R29" s="21" t="str">
        <f>IF(I29&lt;&gt;0,(I5-I29)/I29,"")</f>
        <v/>
      </c>
      <c r="S29" s="21">
        <f>IF(J29&lt;&gt;0,(J5-J29)/J29,"")</f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16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21">
        <f>IF(B30&lt;&gt;0,(B6-B30)/B30,"")</f>
        <v>-1.1102230246251565E-16</v>
      </c>
      <c r="L30" s="21">
        <f>IF(C30&lt;&gt;0,(C6-C30)/C30,"")</f>
        <v>-1.1102230246251565E-16</v>
      </c>
      <c r="M30" s="21">
        <f>IF(D30&lt;&gt;0,(D6-D30)/D30,"")</f>
        <v>-0.66666666666666674</v>
      </c>
      <c r="N30" s="21">
        <f>IF(E30&lt;&gt;0,(E6-E30)/E30,"")</f>
        <v>-0.5</v>
      </c>
      <c r="O30" s="21">
        <f>IF(F30&lt;&gt;0,(F6-F30)/F30,"")</f>
        <v>-0.66666666666666674</v>
      </c>
      <c r="P30" s="21">
        <f>IF(G30&lt;&gt;0,(G6-G30)/G30,"")</f>
        <v>-0.66666666666666674</v>
      </c>
      <c r="Q30" s="21" t="str">
        <f>IF(H30&lt;&gt;0,(H6-H30)/H30,"")</f>
        <v/>
      </c>
      <c r="R30" s="21" t="str">
        <f>IF(I30&lt;&gt;0,(I6-I30)/I30,"")</f>
        <v/>
      </c>
      <c r="S30" s="21">
        <f>IF(J30&lt;&gt;0,(J6-J30)/J30,"")</f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12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21">
        <f>IF(B31&lt;&gt;0,(B7-B31)/B31,"")</f>
        <v>0</v>
      </c>
      <c r="L31" s="21">
        <f>IF(C31&lt;&gt;0,(C7-C31)/C31,"")</f>
        <v>0</v>
      </c>
      <c r="M31" s="21">
        <f>IF(D31&lt;&gt;0,(D7-D31)/D31,"")</f>
        <v>-0.66666666666666663</v>
      </c>
      <c r="N31" s="21">
        <f>IF(E31&lt;&gt;0,(E7-E31)/E31,"")</f>
        <v>-0.5</v>
      </c>
      <c r="O31" s="21">
        <f>IF(F31&lt;&gt;0,(F7-F31)/F31,"")</f>
        <v>-0.66666666666666663</v>
      </c>
      <c r="P31" s="21">
        <f>IF(G31&lt;&gt;0,(G7-G31)/G31,"")</f>
        <v>-0.66666666666666663</v>
      </c>
      <c r="Q31" s="21" t="str">
        <f>IF(H31&lt;&gt;0,(H7-H31)/H31,"")</f>
        <v/>
      </c>
      <c r="R31" s="21" t="str">
        <f>IF(I31&lt;&gt;0,(I7-I31)/I31,"")</f>
        <v/>
      </c>
      <c r="S31" s="21">
        <f>IF(J31&lt;&gt;0,(J7-J31)/J31,"")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E1" workbookViewId="0">
      <selection activeCell="R10" sqref="R10:R31"/>
    </sheetView>
  </sheetViews>
  <sheetFormatPr defaultRowHeight="15" x14ac:dyDescent="0.15"/>
  <cols>
    <col min="1" max="1" width="11.75" style="2" customWidth="1"/>
    <col min="2" max="9" width="9" style="2"/>
    <col min="10" max="10" width="15" style="2" customWidth="1"/>
    <col min="11" max="11" width="10.25" style="28" bestFit="1" customWidth="1"/>
    <col min="12" max="12" width="10.625" style="2" customWidth="1"/>
    <col min="13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6" t="s">
        <v>30</v>
      </c>
      <c r="L1" s="24" t="s">
        <v>31</v>
      </c>
      <c r="M1" s="13"/>
    </row>
    <row r="2" spans="1:23" x14ac:dyDescent="0.15">
      <c r="A2" s="5" t="str">
        <f>算法分析!A$2</f>
        <v>AES</v>
      </c>
      <c r="B2" s="5">
        <f>资源数比较!B2*单元面积!B$9</f>
        <v>20190</v>
      </c>
      <c r="C2" s="5">
        <f>资源数比较!C2*单元面积!C$9</f>
        <v>64683.333333333343</v>
      </c>
      <c r="D2" s="5">
        <f>资源数比较!D2*单元面积!D$9</f>
        <v>11893.333333333334</v>
      </c>
      <c r="E2" s="5">
        <f>资源数比较!E2*单元面积!E$9</f>
        <v>4430</v>
      </c>
      <c r="F2" s="5">
        <f>资源数比较!F2*单元面积!F$9</f>
        <v>620209.67027777783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7">
        <f>SUM(B2:J2)</f>
        <v>776634.73694444448</v>
      </c>
      <c r="L2" s="5">
        <f>K2/K$2</f>
        <v>1</v>
      </c>
      <c r="M2" s="14"/>
    </row>
    <row r="3" spans="1:23" x14ac:dyDescent="0.15">
      <c r="A3" s="5" t="str">
        <f>算法分析!A$3</f>
        <v>DES</v>
      </c>
      <c r="B3" s="5">
        <f>资源数比较!B3*单元面积!B$9</f>
        <v>20190</v>
      </c>
      <c r="C3" s="5">
        <f>资源数比较!C3*单元面积!C$9</f>
        <v>64683.333333333343</v>
      </c>
      <c r="D3" s="5">
        <f>资源数比较!D3*单元面积!D$9</f>
        <v>11893.333333333334</v>
      </c>
      <c r="E3" s="5">
        <f>资源数比较!E3*单元面积!E$9</f>
        <v>4430</v>
      </c>
      <c r="F3" s="5">
        <f>资源数比较!F3*单元面积!F$9</f>
        <v>620209.67027777783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7">
        <f>SUM(B3:J3)</f>
        <v>776634.73694444448</v>
      </c>
      <c r="L3" s="5">
        <f>K3/K$2</f>
        <v>1</v>
      </c>
      <c r="M3" s="14"/>
    </row>
    <row r="4" spans="1:23" x14ac:dyDescent="0.15">
      <c r="A4" s="5" t="str">
        <f>算法分析!A$4</f>
        <v>SM4</v>
      </c>
      <c r="B4" s="5">
        <f>资源数比较!B4*单元面积!B$9</f>
        <v>20190</v>
      </c>
      <c r="C4" s="5">
        <f>资源数比较!C4*单元面积!C$9</f>
        <v>64683.333333333343</v>
      </c>
      <c r="D4" s="5">
        <f>资源数比较!D4*单元面积!D$9</f>
        <v>11893.333333333334</v>
      </c>
      <c r="E4" s="5">
        <f>资源数比较!E4*单元面积!E$9</f>
        <v>4430</v>
      </c>
      <c r="F4" s="5">
        <f>资源数比较!F4*单元面积!F$9</f>
        <v>620209.67027777783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7">
        <f>SUM(B4:J4)</f>
        <v>776634.73694444448</v>
      </c>
      <c r="L4" s="5">
        <f>K4/K$2</f>
        <v>1</v>
      </c>
      <c r="M4" s="14"/>
    </row>
    <row r="5" spans="1:23" x14ac:dyDescent="0.15">
      <c r="A5" s="5" t="str">
        <f>算法分析!A$5</f>
        <v>TWOFISH</v>
      </c>
      <c r="B5" s="5">
        <f>资源数比较!B5*单元面积!B$9</f>
        <v>40380</v>
      </c>
      <c r="C5" s="5">
        <f>资源数比较!C5*单元面积!C$9</f>
        <v>129366.66666666669</v>
      </c>
      <c r="D5" s="5">
        <f>资源数比较!D5*单元面积!D$9</f>
        <v>23786.666666666668</v>
      </c>
      <c r="E5" s="5">
        <f>资源数比较!E5*单元面积!E$9</f>
        <v>8860</v>
      </c>
      <c r="F5" s="5">
        <f>资源数比较!F5*单元面积!F$9</f>
        <v>1240419.3405555557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7">
        <f>SUM(B5:J5)</f>
        <v>1553269.473888889</v>
      </c>
      <c r="L5" s="5">
        <f>K5/K$2</f>
        <v>2</v>
      </c>
      <c r="M5" s="14"/>
    </row>
    <row r="6" spans="1:23" x14ac:dyDescent="0.15">
      <c r="A6" s="5" t="str">
        <f>算法分析!A$6</f>
        <v>RC5</v>
      </c>
      <c r="B6" s="5">
        <f>资源数比较!B6*单元面积!B$9</f>
        <v>26919.999999999996</v>
      </c>
      <c r="C6" s="5">
        <f>资源数比较!C6*单元面积!C$9</f>
        <v>86244.444444444438</v>
      </c>
      <c r="D6" s="5">
        <f>资源数比较!D6*单元面积!D$9</f>
        <v>15857.777777777777</v>
      </c>
      <c r="E6" s="5">
        <f>资源数比较!E6*单元面积!E$9</f>
        <v>5906.6666666666661</v>
      </c>
      <c r="F6" s="5">
        <f>资源数比较!F6*单元面积!F$9</f>
        <v>826946.22703703702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7">
        <f>SUM(B6:J6)</f>
        <v>1035512.9825925925</v>
      </c>
      <c r="L6" s="16">
        <f>K6/K$2</f>
        <v>1.333333333333333</v>
      </c>
      <c r="M6" s="14"/>
    </row>
    <row r="7" spans="1:23" x14ac:dyDescent="0.15">
      <c r="A7" s="5" t="str">
        <f>算法分析!A$7</f>
        <v>BLOWFISH</v>
      </c>
      <c r="B7" s="5">
        <f>资源数比较!B7*单元面积!B$9</f>
        <v>20190</v>
      </c>
      <c r="C7" s="5">
        <f>资源数比较!C7*单元面积!C$9</f>
        <v>64683.333333333343</v>
      </c>
      <c r="D7" s="5">
        <f>资源数比较!D7*单元面积!D$9</f>
        <v>11893.333333333334</v>
      </c>
      <c r="E7" s="5">
        <f>资源数比较!E7*单元面积!E$9</f>
        <v>4430</v>
      </c>
      <c r="F7" s="5">
        <f>资源数比较!F7*单元面积!F$9</f>
        <v>620209.67027777783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7">
        <f>SUM(B7:J7)</f>
        <v>776634.73694444448</v>
      </c>
      <c r="L7" s="5">
        <f>K7/K$2</f>
        <v>1</v>
      </c>
      <c r="M7" s="14"/>
    </row>
    <row r="9" spans="1:23" x14ac:dyDescent="0.15">
      <c r="A9" s="2" t="str">
        <f>架构比较!A8</f>
        <v>TH</v>
      </c>
      <c r="N9" s="8" t="str">
        <f>B1</f>
        <v>AU</v>
      </c>
      <c r="O9" s="8" t="str">
        <f>C1</f>
        <v>SH</v>
      </c>
      <c r="P9" s="8" t="str">
        <f>D1</f>
        <v>PER</v>
      </c>
      <c r="Q9" s="8" t="str">
        <f>E1</f>
        <v>LOU</v>
      </c>
      <c r="R9" s="8" t="str">
        <f>F1</f>
        <v>LUT256*8</v>
      </c>
      <c r="S9" s="8" t="str">
        <f>G1</f>
        <v>GFM</v>
      </c>
      <c r="T9" s="8" t="str">
        <f>H1</f>
        <v>X2</v>
      </c>
      <c r="U9" s="8" t="str">
        <f>I1</f>
        <v>BR</v>
      </c>
      <c r="V9" s="8" t="str">
        <f>J1</f>
        <v>CR</v>
      </c>
      <c r="W9" s="24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13460</v>
      </c>
      <c r="C10" s="5">
        <f>资源数比较!C10*单元面积!C$9</f>
        <v>43122.222222222226</v>
      </c>
      <c r="D10" s="5">
        <f>资源数比较!D10*单元面积!D$9</f>
        <v>11893.333333333334</v>
      </c>
      <c r="E10" s="5">
        <f>资源数比较!E10*单元面积!E$9</f>
        <v>17720</v>
      </c>
      <c r="F10" s="5">
        <f>资源数比较!F10*单元面积!F$9</f>
        <v>620209.67027777783</v>
      </c>
      <c r="G10" s="5">
        <f>资源数比较!G10*单元面积!G$9</f>
        <v>0</v>
      </c>
      <c r="H10" s="5">
        <f>资源数比较!H10*单元面积!H$9</f>
        <v>4000</v>
      </c>
      <c r="I10" s="5">
        <f>资源数比较!I10*单元面积!I$9</f>
        <v>0</v>
      </c>
      <c r="J10" s="5">
        <f>资源数比较!J10*单元面积!K$9</f>
        <v>77428</v>
      </c>
      <c r="K10" s="27">
        <f>SUM(B10:J10)</f>
        <v>787833.22583333333</v>
      </c>
      <c r="L10" s="5">
        <f>K10/K$10</f>
        <v>1</v>
      </c>
      <c r="M10" s="23"/>
      <c r="N10" s="22">
        <f>(B10-B2)/($K10-$K2)</f>
        <v>-0.60097394092853995</v>
      </c>
      <c r="O10" s="22">
        <f>(C10-C2)/($K10-$K2)</f>
        <v>-1.9253589770048407</v>
      </c>
      <c r="P10" s="22">
        <f>(D10-D2)/($K10-$K2)</f>
        <v>0</v>
      </c>
      <c r="Q10" s="22">
        <f>(E10-E2)/($K10-$K2)</f>
        <v>1.1867672622496725</v>
      </c>
      <c r="R10" s="22">
        <f>(F10-F2)/($K10-$K2)</f>
        <v>0</v>
      </c>
      <c r="S10" s="22">
        <f>(G10-G2)/($K10-$K2)</f>
        <v>-2.8575283966884513</v>
      </c>
      <c r="T10" s="22">
        <f>(H10-H2)/($K10-$K2)</f>
        <v>0.35719104958605641</v>
      </c>
      <c r="U10" s="22">
        <f>(I10-I2)/($K10-$K2)</f>
        <v>0</v>
      </c>
      <c r="V10" s="22">
        <f>(J10-J2)/($K10-$K2)</f>
        <v>4.8399030027861061</v>
      </c>
      <c r="W10" s="20">
        <f>(K10-K2)/K10</f>
        <v>1.4214288661212039E-2</v>
      </c>
    </row>
    <row r="11" spans="1:23" x14ac:dyDescent="0.15">
      <c r="A11" s="5" t="str">
        <f>算法分析!A$3</f>
        <v>DES</v>
      </c>
      <c r="B11" s="5">
        <f>资源数比较!B11*单元面积!B$9</f>
        <v>26920</v>
      </c>
      <c r="C11" s="5">
        <f>资源数比较!C11*单元面积!C$9</f>
        <v>86244.444444444453</v>
      </c>
      <c r="D11" s="5">
        <f>资源数比较!D11*单元面积!D$9</f>
        <v>23786.666666666668</v>
      </c>
      <c r="E11" s="5">
        <f>资源数比较!E11*单元面积!E$9</f>
        <v>35440</v>
      </c>
      <c r="F11" s="5">
        <f>资源数比较!F11*单元面积!F$9</f>
        <v>1240419.3405555557</v>
      </c>
      <c r="G11" s="5">
        <f>资源数比较!G11*单元面积!G$9</f>
        <v>0</v>
      </c>
      <c r="H11" s="5">
        <f>资源数比较!H11*单元面积!H$9</f>
        <v>8000</v>
      </c>
      <c r="I11" s="5">
        <f>资源数比较!I11*单元面积!I$9</f>
        <v>0</v>
      </c>
      <c r="J11" s="5">
        <f>资源数比较!J11*单元面积!K$9</f>
        <v>154856</v>
      </c>
      <c r="K11" s="27">
        <f>SUM(B11:J11)</f>
        <v>1575666.4516666667</v>
      </c>
      <c r="L11" s="5">
        <f>K11/K$10</f>
        <v>2</v>
      </c>
      <c r="M11" s="23"/>
      <c r="N11" s="22">
        <f>(B11-B3)/($K11-$K3)</f>
        <v>8.4226944638106614E-3</v>
      </c>
      <c r="O11" s="22">
        <f>(C11-C3)/($K11-$K3)</f>
        <v>2.6984049210871035E-2</v>
      </c>
      <c r="P11" s="22">
        <f>(D11-D3)/($K11-$K3)</f>
        <v>1.488468244025579E-2</v>
      </c>
      <c r="Q11" s="22">
        <f>(E11-E3)/($K11-$K3)</f>
        <v>3.8809473302045851E-2</v>
      </c>
      <c r="R11" s="22">
        <f>(F11-F3)/($K11-$K3)</f>
        <v>0.77620156853647471</v>
      </c>
      <c r="S11" s="22">
        <f>(G11-G3)/($K11-$K3)</f>
        <v>-4.0048472933423646E-2</v>
      </c>
      <c r="T11" s="22">
        <f>(H11-H3)/($K11-$K3)</f>
        <v>1.0012118233355911E-2</v>
      </c>
      <c r="U11" s="22">
        <f>(I11-I3)/($K11-$K3)</f>
        <v>0</v>
      </c>
      <c r="V11" s="22">
        <f>(J11-J3)/($K11-$K3)</f>
        <v>0.16473388674660983</v>
      </c>
      <c r="W11" s="20">
        <f t="shared" ref="W11:W15" si="0">(K11-K3)/K11</f>
        <v>0.507107144330606</v>
      </c>
    </row>
    <row r="12" spans="1:23" x14ac:dyDescent="0.15">
      <c r="A12" s="5" t="str">
        <f>算法分析!A$4</f>
        <v>SM4</v>
      </c>
      <c r="B12" s="5">
        <f>资源数比较!B12*单元面积!B$9</f>
        <v>26920</v>
      </c>
      <c r="C12" s="5">
        <f>资源数比较!C12*单元面积!C$9</f>
        <v>86244.444444444453</v>
      </c>
      <c r="D12" s="5">
        <f>资源数比较!D12*单元面积!D$9</f>
        <v>23786.666666666668</v>
      </c>
      <c r="E12" s="5">
        <f>资源数比较!E12*单元面积!E$9</f>
        <v>35440</v>
      </c>
      <c r="F12" s="5">
        <f>资源数比较!F12*单元面积!F$9</f>
        <v>1240419.3405555557</v>
      </c>
      <c r="G12" s="5">
        <f>资源数比较!G12*单元面积!G$9</f>
        <v>0</v>
      </c>
      <c r="H12" s="5">
        <f>资源数比较!H12*单元面积!H$9</f>
        <v>8000</v>
      </c>
      <c r="I12" s="5">
        <f>资源数比较!I12*单元面积!I$9</f>
        <v>0</v>
      </c>
      <c r="J12" s="5">
        <f>资源数比较!J12*单元面积!K$9</f>
        <v>154856</v>
      </c>
      <c r="K12" s="27">
        <f>SUM(B12:J12)</f>
        <v>1575666.4516666667</v>
      </c>
      <c r="L12" s="5">
        <f>K12/K$10</f>
        <v>2</v>
      </c>
      <c r="M12" s="23"/>
      <c r="N12" s="22">
        <f>(B12-B4)/($K12-$K4)</f>
        <v>8.4226944638106614E-3</v>
      </c>
      <c r="O12" s="22">
        <f>(C12-C4)/($K12-$K4)</f>
        <v>2.6984049210871035E-2</v>
      </c>
      <c r="P12" s="22">
        <f>(D12-D4)/($K12-$K4)</f>
        <v>1.488468244025579E-2</v>
      </c>
      <c r="Q12" s="22">
        <f>(E12-E4)/($K12-$K4)</f>
        <v>3.8809473302045851E-2</v>
      </c>
      <c r="R12" s="22">
        <f>(F12-F4)/($K12-$K4)</f>
        <v>0.77620156853647471</v>
      </c>
      <c r="S12" s="22">
        <f>(G12-G4)/($K12-$K4)</f>
        <v>-4.0048472933423646E-2</v>
      </c>
      <c r="T12" s="22">
        <f>(H12-H4)/($K12-$K4)</f>
        <v>1.0012118233355911E-2</v>
      </c>
      <c r="U12" s="22">
        <f>(I12-I4)/($K12-$K4)</f>
        <v>0</v>
      </c>
      <c r="V12" s="22">
        <f>(J12-J4)/($K12-$K4)</f>
        <v>0.16473388674660983</v>
      </c>
      <c r="W12" s="20">
        <f t="shared" si="0"/>
        <v>0.507107144330606</v>
      </c>
    </row>
    <row r="13" spans="1:23" x14ac:dyDescent="0.15">
      <c r="A13" s="5" t="str">
        <f>算法分析!A$5</f>
        <v>TWOFISH</v>
      </c>
      <c r="B13" s="5">
        <f>资源数比较!B13*单元面积!B$9</f>
        <v>40380</v>
      </c>
      <c r="C13" s="5">
        <f>资源数比较!C13*单元面积!C$9</f>
        <v>129366.66666666669</v>
      </c>
      <c r="D13" s="5">
        <f>资源数比较!D13*单元面积!D$9</f>
        <v>35680</v>
      </c>
      <c r="E13" s="5">
        <f>资源数比较!E13*单元面积!E$9</f>
        <v>53160</v>
      </c>
      <c r="F13" s="5">
        <f>资源数比较!F13*单元面积!F$9</f>
        <v>1860629.0108333335</v>
      </c>
      <c r="G13" s="5">
        <f>资源数比较!G13*单元面积!G$9</f>
        <v>0</v>
      </c>
      <c r="H13" s="5">
        <f>资源数比较!H13*单元面积!H$9</f>
        <v>12000</v>
      </c>
      <c r="I13" s="5">
        <f>资源数比较!I13*单元面积!I$9</f>
        <v>0</v>
      </c>
      <c r="J13" s="5">
        <f>资源数比较!J13*单元面积!K$9</f>
        <v>232284</v>
      </c>
      <c r="K13" s="27">
        <f>SUM(B13:J13)</f>
        <v>2363499.6775000002</v>
      </c>
      <c r="L13" s="5">
        <f>K13/K$10</f>
        <v>3.0000000000000004</v>
      </c>
      <c r="M13" s="23"/>
      <c r="N13" s="22">
        <f>(B13-B5)/($K13-$K5)</f>
        <v>0</v>
      </c>
      <c r="O13" s="22">
        <f>(C13-C5)/($K13-$K5)</f>
        <v>0</v>
      </c>
      <c r="P13" s="22">
        <f>(D13-D5)/($K13-$K5)</f>
        <v>1.4678955783585936E-2</v>
      </c>
      <c r="Q13" s="22">
        <f>(E13-E5)/($K13-$K5)</f>
        <v>5.4675819048166228E-2</v>
      </c>
      <c r="R13" s="22">
        <f>(F13-F5)/($K13-$K5)</f>
        <v>0.76547340189685376</v>
      </c>
      <c r="S13" s="22">
        <f>(G13-G5)/($K13-$K5)</f>
        <v>-7.8989896593287562E-2</v>
      </c>
      <c r="T13" s="22">
        <f>(H13-H5)/($K13-$K5)</f>
        <v>1.4810605611241416E-2</v>
      </c>
      <c r="U13" s="22">
        <f>(I13-I5)/($K13-$K5)</f>
        <v>0</v>
      </c>
      <c r="V13" s="22">
        <f>(J13-J5)/($K13-$K5)</f>
        <v>0.2293511142534401</v>
      </c>
      <c r="W13" s="20">
        <f t="shared" si="0"/>
        <v>0.34280952577414142</v>
      </c>
    </row>
    <row r="14" spans="1:23" x14ac:dyDescent="0.15">
      <c r="A14" s="5" t="str">
        <f>算法分析!A$6</f>
        <v>RC5</v>
      </c>
      <c r="B14" s="5">
        <f>资源数比较!B14*单元面积!B$9</f>
        <v>26920</v>
      </c>
      <c r="C14" s="5">
        <f>资源数比较!C14*单元面积!C$9</f>
        <v>86244.444444444453</v>
      </c>
      <c r="D14" s="5">
        <f>资源数比较!D14*单元面积!D$9</f>
        <v>23786.666666666668</v>
      </c>
      <c r="E14" s="5">
        <f>资源数比较!E14*单元面积!E$9</f>
        <v>35440</v>
      </c>
      <c r="F14" s="5">
        <f>资源数比较!F14*单元面积!F$9</f>
        <v>1240419.3405555557</v>
      </c>
      <c r="G14" s="5">
        <f>资源数比较!G14*单元面积!G$9</f>
        <v>0</v>
      </c>
      <c r="H14" s="5">
        <f>资源数比较!H14*单元面积!H$9</f>
        <v>8000</v>
      </c>
      <c r="I14" s="5">
        <f>资源数比较!I14*单元面积!I$9</f>
        <v>0</v>
      </c>
      <c r="J14" s="5">
        <f>资源数比较!J14*单元面积!K$9</f>
        <v>154856</v>
      </c>
      <c r="K14" s="27">
        <f>SUM(B14:J14)</f>
        <v>1575666.4516666667</v>
      </c>
      <c r="L14" s="5">
        <f>K14/K$10</f>
        <v>2</v>
      </c>
      <c r="M14" s="23"/>
      <c r="N14" s="22">
        <f>(B14-B6)/($K14-$K6)</f>
        <v>6.7350836667362348E-18</v>
      </c>
      <c r="O14" s="22">
        <f>(C14-C6)/($K14-$K6)</f>
        <v>2.6940334666944939E-17</v>
      </c>
      <c r="P14" s="22">
        <f>(D14-D6)/($K14-$K6)</f>
        <v>1.467895578358594E-2</v>
      </c>
      <c r="Q14" s="22">
        <f>(E14-E6)/($K14-$K6)</f>
        <v>5.4675819048166235E-2</v>
      </c>
      <c r="R14" s="22">
        <f>(F14-F6)/($K14-$K6)</f>
        <v>0.76547340189685387</v>
      </c>
      <c r="S14" s="22">
        <f>(G14-G6)/($K14-$K6)</f>
        <v>-7.8989896593287548E-2</v>
      </c>
      <c r="T14" s="22">
        <f>(H14-H6)/($K14-$K6)</f>
        <v>1.4810605611241416E-2</v>
      </c>
      <c r="U14" s="22">
        <f>(I14-I6)/($K14-$K6)</f>
        <v>0</v>
      </c>
      <c r="V14" s="22">
        <f>(J14-J6)/($K14-$K6)</f>
        <v>0.2293511142534401</v>
      </c>
      <c r="W14" s="20">
        <f t="shared" si="0"/>
        <v>0.34280952577414148</v>
      </c>
    </row>
    <row r="15" spans="1:23" x14ac:dyDescent="0.15">
      <c r="A15" s="5" t="str">
        <f>算法分析!A$7</f>
        <v>BLOWFISH</v>
      </c>
      <c r="B15" s="5">
        <f>资源数比较!B15*单元面积!B$9</f>
        <v>26920</v>
      </c>
      <c r="C15" s="5">
        <f>资源数比较!C15*单元面积!C$9</f>
        <v>86244.444444444453</v>
      </c>
      <c r="D15" s="5">
        <f>资源数比较!D15*单元面积!D$9</f>
        <v>23786.666666666668</v>
      </c>
      <c r="E15" s="5">
        <f>资源数比较!E15*单元面积!E$9</f>
        <v>35440</v>
      </c>
      <c r="F15" s="5">
        <f>资源数比较!F15*单元面积!F$9</f>
        <v>1240419.3405555557</v>
      </c>
      <c r="G15" s="5">
        <f>资源数比较!G15*单元面积!G$9</f>
        <v>0</v>
      </c>
      <c r="H15" s="5">
        <f>资源数比较!H15*单元面积!H$9</f>
        <v>8000</v>
      </c>
      <c r="I15" s="5">
        <f>资源数比较!I15*单元面积!I$9</f>
        <v>0</v>
      </c>
      <c r="J15" s="5">
        <f>资源数比较!J15*单元面积!K$9</f>
        <v>154856</v>
      </c>
      <c r="K15" s="27">
        <f>SUM(B15:J15)</f>
        <v>1575666.4516666667</v>
      </c>
      <c r="L15" s="5">
        <f>K15/K$10</f>
        <v>2</v>
      </c>
      <c r="M15" s="23"/>
      <c r="N15" s="22">
        <f>(B15-B7)/($K15-$K7)</f>
        <v>8.4226944638106614E-3</v>
      </c>
      <c r="O15" s="22">
        <f>(C15-C7)/($K15-$K7)</f>
        <v>2.6984049210871035E-2</v>
      </c>
      <c r="P15" s="22">
        <f>(D15-D7)/($K15-$K7)</f>
        <v>1.488468244025579E-2</v>
      </c>
      <c r="Q15" s="22">
        <f>(E15-E7)/($K15-$K7)</f>
        <v>3.8809473302045851E-2</v>
      </c>
      <c r="R15" s="22">
        <f>(F15-F7)/($K15-$K7)</f>
        <v>0.77620156853647471</v>
      </c>
      <c r="S15" s="22">
        <f>(G15-G7)/($K15-$K7)</f>
        <v>-4.0048472933423646E-2</v>
      </c>
      <c r="T15" s="22">
        <f>(H15-H7)/($K15-$K7)</f>
        <v>1.0012118233355911E-2</v>
      </c>
      <c r="U15" s="22">
        <f>(I15-I7)/($K15-$K7)</f>
        <v>0</v>
      </c>
      <c r="V15" s="22">
        <f>(J15-J7)/($K15-$K7)</f>
        <v>0.16473388674660983</v>
      </c>
      <c r="W15" s="20">
        <f t="shared" si="0"/>
        <v>0.507107144330606</v>
      </c>
    </row>
    <row r="16" spans="1:23" x14ac:dyDescent="0.15">
      <c r="M16" s="14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13460</v>
      </c>
      <c r="C18" s="5">
        <f>资源数比较!C18*单元面积!C$9</f>
        <v>43122.222222222226</v>
      </c>
      <c r="D18" s="5">
        <f>资源数比较!D18*单元面积!D$9</f>
        <v>23786.666666666668</v>
      </c>
      <c r="E18" s="5">
        <f>资源数比较!E18*单元面积!E$9</f>
        <v>2953.3333333333335</v>
      </c>
      <c r="F18" s="5">
        <f>资源数比较!F18*单元面积!F$9</f>
        <v>4961677.3622222226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7">
        <f>SUM(B18:J18)</f>
        <v>5132027.5844444446</v>
      </c>
      <c r="L18" s="5">
        <f>K18/K$18</f>
        <v>1</v>
      </c>
      <c r="M18" s="14"/>
      <c r="N18" s="20">
        <f>(B18-B2)/($K18-$K2)</f>
        <v>-1.5452107848005093E-3</v>
      </c>
      <c r="O18" s="22">
        <f>(C18-C2)/($K18-$K2)</f>
        <v>-4.9504400328634459E-3</v>
      </c>
      <c r="P18" s="22">
        <f>(D18-D2)/($K18-$K2)</f>
        <v>2.7307142546647931E-3</v>
      </c>
      <c r="Q18" s="22">
        <f>(E18-E2)/($K18-$K2)</f>
        <v>-3.3904327769520827E-4</v>
      </c>
      <c r="R18" s="22">
        <f>(F18-F2)/($K18-$K2)</f>
        <v>0.99680277852236709</v>
      </c>
      <c r="S18" s="22">
        <f>(G18-G2)/($K18-$K2)</f>
        <v>-7.3472132412505638E-3</v>
      </c>
      <c r="T18" s="22">
        <f>(H18-H2)/($K18-$K2)</f>
        <v>0</v>
      </c>
      <c r="U18" s="22">
        <f>(I18-I2)/($K18-$K2)</f>
        <v>2.2041639723751694E-3</v>
      </c>
      <c r="V18" s="22">
        <f>(J18-J2)/($K18-$K2)</f>
        <v>1.2444250587202627E-2</v>
      </c>
      <c r="W18" s="20">
        <f>(K18-K2)/K18</f>
        <v>0.84866902522143839</v>
      </c>
    </row>
    <row r="19" spans="1:23" x14ac:dyDescent="0.15">
      <c r="A19" s="5" t="str">
        <f>算法分析!A$3</f>
        <v>DES</v>
      </c>
      <c r="B19" s="5">
        <f>资源数比较!B19*单元面积!B$9</f>
        <v>20190</v>
      </c>
      <c r="C19" s="5">
        <f>资源数比较!C19*单元面积!C$9</f>
        <v>64683.333333333343</v>
      </c>
      <c r="D19" s="5">
        <f>资源数比较!D19*单元面积!D$9</f>
        <v>35680</v>
      </c>
      <c r="E19" s="5">
        <f>资源数比较!E19*单元面积!E$9</f>
        <v>4430</v>
      </c>
      <c r="F19" s="5">
        <f>资源数比较!F19*单元面积!F$9</f>
        <v>7442516.0433333339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7">
        <f>SUM(B19:J19)</f>
        <v>7698041.3766666669</v>
      </c>
      <c r="L19" s="5">
        <f>K19/K$18</f>
        <v>1.5</v>
      </c>
      <c r="M19" s="14"/>
      <c r="N19" s="20">
        <f>(B19-B3)/($K19-$K3)</f>
        <v>0</v>
      </c>
      <c r="O19" s="22">
        <f>(C19-C3)/($K19-$K3)</f>
        <v>0</v>
      </c>
      <c r="P19" s="22">
        <f>(D19-D3)/($K19-$K3)</f>
        <v>3.4366809963388163E-3</v>
      </c>
      <c r="Q19" s="22">
        <f>(E19-E3)/($K19-$K3)</f>
        <v>0</v>
      </c>
      <c r="R19" s="22">
        <f>(F19-F3)/($K19-$K3)</f>
        <v>0.98568206264635194</v>
      </c>
      <c r="S19" s="22">
        <f>(G19-G3)/($K19-$K3)</f>
        <v>-4.6233376632360762E-3</v>
      </c>
      <c r="T19" s="22">
        <f>(H19-H3)/($K19-$K3)</f>
        <v>0</v>
      </c>
      <c r="U19" s="22">
        <f>(I19-I3)/($K19-$K3)</f>
        <v>2.0805019484562343E-3</v>
      </c>
      <c r="V19" s="22">
        <f>(J19-J3)/($K19-$K3)</f>
        <v>1.3424092072089109E-2</v>
      </c>
      <c r="W19" s="20">
        <f t="shared" ref="W19:W23" si="1">(K19-K3)/K19</f>
        <v>0.89911268348095896</v>
      </c>
    </row>
    <row r="20" spans="1:23" x14ac:dyDescent="0.15">
      <c r="A20" s="5" t="str">
        <f>算法分析!A$4</f>
        <v>SM4</v>
      </c>
      <c r="B20" s="5">
        <f>资源数比较!B20*单元面积!B$9</f>
        <v>26920</v>
      </c>
      <c r="C20" s="5">
        <f>资源数比较!C20*单元面积!C$9</f>
        <v>86244.444444444453</v>
      </c>
      <c r="D20" s="5">
        <f>资源数比较!D20*单元面积!D$9</f>
        <v>47573.333333333336</v>
      </c>
      <c r="E20" s="5">
        <f>资源数比较!E20*单元面积!E$9</f>
        <v>5906.666666666667</v>
      </c>
      <c r="F20" s="5">
        <f>资源数比较!F20*单元面积!F$9</f>
        <v>9923354.7244444452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7">
        <f>SUM(B20:J20)</f>
        <v>10264055.168888889</v>
      </c>
      <c r="L20" s="5">
        <f>K20/K$18</f>
        <v>2</v>
      </c>
      <c r="M20" s="14"/>
      <c r="N20" s="20">
        <f>(B20-B4)/($K20-$K4)</f>
        <v>7.0936036283791924E-4</v>
      </c>
      <c r="O20" s="22">
        <f>(C20-C4)/($K20-$K4)</f>
        <v>2.2725999407082419E-3</v>
      </c>
      <c r="P20" s="22">
        <f>(D20-D4)/($K20-$K4)</f>
        <v>3.7607693530545259E-3</v>
      </c>
      <c r="Q20" s="22">
        <f>(E20-E4)/($K20-$K4)</f>
        <v>1.5564469575888969E-4</v>
      </c>
      <c r="R20" s="22">
        <f>(F20-F4)/($K20-$K4)</f>
        <v>0.98057687238595259</v>
      </c>
      <c r="S20" s="22">
        <f>(G20-G4)/($K20-$K4)</f>
        <v>-3.3728873121565256E-3</v>
      </c>
      <c r="T20" s="22">
        <f>(H20-H4)/($K20-$K4)</f>
        <v>0</v>
      </c>
      <c r="U20" s="22">
        <f>(I20-I4)/($K20-$K4)</f>
        <v>2.0237323872939151E-3</v>
      </c>
      <c r="V20" s="22">
        <f>(J20-J4)/($K20-$K4)</f>
        <v>1.3873908186550446E-2</v>
      </c>
      <c r="W20" s="20">
        <f t="shared" si="1"/>
        <v>0.92433451261071919</v>
      </c>
    </row>
    <row r="21" spans="1:23" x14ac:dyDescent="0.15">
      <c r="A21" s="5" t="str">
        <f>算法分析!A$5</f>
        <v>TWOFISH</v>
      </c>
      <c r="B21" s="5">
        <f>资源数比较!B21*单元面积!B$9</f>
        <v>33650</v>
      </c>
      <c r="C21" s="5">
        <f>资源数比较!C21*单元面积!C$9</f>
        <v>107805.55555555556</v>
      </c>
      <c r="D21" s="5">
        <f>资源数比较!D21*单元面积!D$9</f>
        <v>59466.666666666672</v>
      </c>
      <c r="E21" s="5">
        <f>资源数比较!E21*单元面积!E$9</f>
        <v>7383.3333333333339</v>
      </c>
      <c r="F21" s="5">
        <f>资源数比较!F21*单元面积!F$9</f>
        <v>12404193.405555557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7">
        <f>SUM(B21:J21)</f>
        <v>12830068.961111113</v>
      </c>
      <c r="L21" s="5">
        <f>K21/K$18</f>
        <v>2.5000000000000004</v>
      </c>
      <c r="M21" s="14"/>
      <c r="N21" s="20">
        <f>(B21-B5)/($K21-$K5)</f>
        <v>-5.9680053792086874E-4</v>
      </c>
      <c r="O21" s="22">
        <f>(C21-C5)/($K21-$K5)</f>
        <v>-1.9119885154952063E-3</v>
      </c>
      <c r="P21" s="22">
        <f>(D21-D5)/($K21-$K5)</f>
        <v>3.1640183050544719E-3</v>
      </c>
      <c r="Q21" s="22">
        <f>(E21-E5)/($K21-$K5)</f>
        <v>-1.3094731961314746E-4</v>
      </c>
      <c r="R21" s="22">
        <f>(F21-F5)/($K21-$K5)</f>
        <v>0.98997717194933788</v>
      </c>
      <c r="S21" s="22">
        <f>(G21-G5)/($K21-$K5)</f>
        <v>-5.6753691570483799E-3</v>
      </c>
      <c r="T21" s="22">
        <f>(H21-H5)/($K21-$K5)</f>
        <v>0</v>
      </c>
      <c r="U21" s="22">
        <f>(I21-I5)/($K21-$K5)</f>
        <v>2.1282634338931424E-3</v>
      </c>
      <c r="V21" s="22">
        <f>(J21-J5)/($K21-$K5)</f>
        <v>1.3045651841792029E-2</v>
      </c>
      <c r="W21" s="20">
        <f t="shared" si="1"/>
        <v>0.87893522017715076</v>
      </c>
    </row>
    <row r="22" spans="1:23" x14ac:dyDescent="0.15">
      <c r="A22" s="5" t="str">
        <f>算法分析!A$6</f>
        <v>RC5</v>
      </c>
      <c r="B22" s="5">
        <f>资源数比较!B22*单元面积!B$9</f>
        <v>26920</v>
      </c>
      <c r="C22" s="5">
        <f>资源数比较!C22*单元面积!C$9</f>
        <v>86244.444444444453</v>
      </c>
      <c r="D22" s="5">
        <f>资源数比较!D22*单元面积!D$9</f>
        <v>47573.333333333336</v>
      </c>
      <c r="E22" s="5">
        <f>资源数比较!E22*单元面积!E$9</f>
        <v>5906.666666666667</v>
      </c>
      <c r="F22" s="5">
        <f>资源数比较!F22*单元面积!F$9</f>
        <v>9923354.7244444452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7">
        <f>SUM(B22:J22)</f>
        <v>10264055.168888889</v>
      </c>
      <c r="L22" s="5">
        <f>K22/K$18</f>
        <v>2</v>
      </c>
      <c r="M22" s="14"/>
      <c r="N22" s="20">
        <f>(B22-B6)/($K22-$K6)</f>
        <v>3.9420947898941637E-19</v>
      </c>
      <c r="O22" s="22">
        <f>(C22-C6)/($K22-$K6)</f>
        <v>1.5768379159576655E-18</v>
      </c>
      <c r="P22" s="22">
        <f>(D22-D6)/($K22-$K6)</f>
        <v>3.4366809963388163E-3</v>
      </c>
      <c r="Q22" s="22">
        <f>(E22-E6)/($K22-$K6)</f>
        <v>9.8552369747354092E-20</v>
      </c>
      <c r="R22" s="22">
        <f>(F22-F6)/($K22-$K6)</f>
        <v>0.98568206264635194</v>
      </c>
      <c r="S22" s="22">
        <f>(G22-G6)/($K22-$K6)</f>
        <v>-4.6233376632360754E-3</v>
      </c>
      <c r="T22" s="22">
        <f>(H22-H6)/($K22-$K6)</f>
        <v>0</v>
      </c>
      <c r="U22" s="22">
        <f>(I22-I6)/($K22-$K6)</f>
        <v>2.0805019484562339E-3</v>
      </c>
      <c r="V22" s="22">
        <f>(J22-J6)/($K22-$K6)</f>
        <v>1.3424092072089108E-2</v>
      </c>
      <c r="W22" s="20">
        <f t="shared" si="1"/>
        <v>0.89911268348095896</v>
      </c>
    </row>
    <row r="23" spans="1:23" x14ac:dyDescent="0.15">
      <c r="A23" s="5" t="str">
        <f>算法分析!A$7</f>
        <v>BLOWFISH</v>
      </c>
      <c r="B23" s="5">
        <f>资源数比较!B23*单元面积!B$9</f>
        <v>20190</v>
      </c>
      <c r="C23" s="5">
        <f>资源数比较!C23*单元面积!C$9</f>
        <v>64683.333333333343</v>
      </c>
      <c r="D23" s="5">
        <f>资源数比较!D23*单元面积!D$9</f>
        <v>35680</v>
      </c>
      <c r="E23" s="5">
        <f>资源数比较!E23*单元面积!E$9</f>
        <v>4430</v>
      </c>
      <c r="F23" s="5">
        <f>资源数比较!F23*单元面积!F$9</f>
        <v>7442516.0433333339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7">
        <f>SUM(B23:J23)</f>
        <v>7698041.3766666669</v>
      </c>
      <c r="L23" s="5">
        <f>K23/K$18</f>
        <v>1.5</v>
      </c>
      <c r="M23" s="14"/>
      <c r="N23" s="20">
        <f>(B23-B7)/($K23-$K7)</f>
        <v>0</v>
      </c>
      <c r="O23" s="22">
        <f>(C23-C7)/($K23-$K7)</f>
        <v>0</v>
      </c>
      <c r="P23" s="22">
        <f>(D23-D7)/($K23-$K7)</f>
        <v>3.4366809963388163E-3</v>
      </c>
      <c r="Q23" s="22">
        <f>(E23-E7)/($K23-$K7)</f>
        <v>0</v>
      </c>
      <c r="R23" s="22">
        <f>(F23-F7)/($K23-$K7)</f>
        <v>0.98568206264635194</v>
      </c>
      <c r="S23" s="22">
        <f>(G23-G7)/($K23-$K7)</f>
        <v>-4.6233376632360762E-3</v>
      </c>
      <c r="T23" s="22">
        <f>(H23-H7)/($K23-$K7)</f>
        <v>0</v>
      </c>
      <c r="U23" s="22">
        <f>(I23-I7)/($K23-$K7)</f>
        <v>2.0805019484562343E-3</v>
      </c>
      <c r="V23" s="22">
        <f>(J23-J7)/($K23-$K7)</f>
        <v>1.3424092072089109E-2</v>
      </c>
      <c r="W23" s="20">
        <f t="shared" si="1"/>
        <v>0.89911268348095896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13460</v>
      </c>
      <c r="C26" s="5">
        <f>资源数比较!C26*单元面积!C$9</f>
        <v>43122.222222222226</v>
      </c>
      <c r="D26" s="5">
        <f>资源数比较!D26*单元面积!D$9</f>
        <v>23786.666666666668</v>
      </c>
      <c r="E26" s="5">
        <f>资源数比较!E26*单元面积!E$9</f>
        <v>5906.666666666667</v>
      </c>
      <c r="F26" s="5">
        <f>资源数比较!F26*单元面积!F$9</f>
        <v>1240419.3405555557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7">
        <f>SUM(B26:J26)</f>
        <v>1406180.4961111112</v>
      </c>
      <c r="L26" s="5">
        <f>K26/K$26</f>
        <v>1</v>
      </c>
      <c r="M26" s="14"/>
      <c r="N26" s="20">
        <f>(B26-B2)/($K26-$K2)</f>
        <v>-1.0690247534839308E-2</v>
      </c>
      <c r="O26" s="20">
        <f>(C26-C2)/($K26-$K2)</f>
        <v>-3.4248679777704613E-2</v>
      </c>
      <c r="P26" s="20">
        <f>(D26-D2)/($K26-$K2)</f>
        <v>1.8891928283460452E-2</v>
      </c>
      <c r="Q26" s="20">
        <f>(E26-E2)/($K26-$K2)</f>
        <v>2.3456065665843559E-3</v>
      </c>
      <c r="R26" s="20">
        <f>(F26-F2)/($K26-$K2)</f>
        <v>0.98517011868804072</v>
      </c>
      <c r="S26" s="20">
        <f>(G26-G2)/($K26-$K2)</f>
        <v>5.0830300314243362E-2</v>
      </c>
      <c r="T26" s="20">
        <f>(H26-H2)/($K26-$K2)</f>
        <v>0</v>
      </c>
      <c r="U26" s="20">
        <f>(I26-I2)/($K26-$K2)</f>
        <v>0</v>
      </c>
      <c r="V26" s="20">
        <f>(J26-J2)/($K26-$K2)</f>
        <v>-1.2299026539785112E-2</v>
      </c>
      <c r="W26" s="20">
        <f>(K26-K2)/K26</f>
        <v>0.44769911181937083</v>
      </c>
    </row>
    <row r="27" spans="1:23" x14ac:dyDescent="0.15">
      <c r="A27" s="5" t="str">
        <f>算法分析!A$3</f>
        <v>DES</v>
      </c>
      <c r="B27" s="5">
        <f>资源数比较!B27*单元面积!B$9</f>
        <v>20190</v>
      </c>
      <c r="C27" s="5">
        <f>资源数比较!C27*单元面积!C$9</f>
        <v>64683.333333333343</v>
      </c>
      <c r="D27" s="5">
        <f>资源数比较!D27*单元面积!D$9</f>
        <v>35680</v>
      </c>
      <c r="E27" s="5">
        <f>资源数比较!E27*单元面积!E$9</f>
        <v>8860</v>
      </c>
      <c r="F27" s="5">
        <f>资源数比较!F27*单元面积!F$9</f>
        <v>1860629.0108333335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7">
        <f>SUM(B27:J27)</f>
        <v>2109270.7441666666</v>
      </c>
      <c r="L27" s="5">
        <f>K27/K$26</f>
        <v>1.4999999999999998</v>
      </c>
      <c r="M27" s="14"/>
      <c r="N27" s="20">
        <f>(B27-B3)/($K27-$K3)</f>
        <v>0</v>
      </c>
      <c r="O27" s="20">
        <f>(C27-C3)/($K27-$K3)</f>
        <v>0</v>
      </c>
      <c r="P27" s="20">
        <f>(D27-D3)/($K27-$K3)</f>
        <v>1.7849335105576316E-2</v>
      </c>
      <c r="Q27" s="20">
        <f>(E27-E3)/($K27-$K3)</f>
        <v>3.3242385587599396E-3</v>
      </c>
      <c r="R27" s="20">
        <f>(F27-F3)/($K27-$K3)</f>
        <v>0.93080130945967376</v>
      </c>
      <c r="S27" s="20">
        <f>(G27-G3)/($K27-$K3)</f>
        <v>4.8025116875990093E-2</v>
      </c>
      <c r="T27" s="20">
        <f>(H27-H3)/($K27-$K3)</f>
        <v>0</v>
      </c>
      <c r="U27" s="20">
        <f>(I27-I3)/($K27-$K3)</f>
        <v>0</v>
      </c>
      <c r="V27" s="20">
        <f>(J27-J3)/($K27-$K3)</f>
        <v>0</v>
      </c>
      <c r="W27" s="20">
        <f t="shared" ref="W27:W31" si="2">(K27-K3)/K27</f>
        <v>0.63179940787958055</v>
      </c>
    </row>
    <row r="28" spans="1:23" x14ac:dyDescent="0.15">
      <c r="A28" s="5" t="str">
        <f>算法分析!A$4</f>
        <v>SM4</v>
      </c>
      <c r="B28" s="5">
        <f>资源数比较!B28*单元面积!B$9</f>
        <v>26920</v>
      </c>
      <c r="C28" s="5">
        <f>资源数比较!C28*单元面积!C$9</f>
        <v>86244.444444444453</v>
      </c>
      <c r="D28" s="5">
        <f>资源数比较!D28*单元面积!D$9</f>
        <v>47573.333333333336</v>
      </c>
      <c r="E28" s="5">
        <f>资源数比较!E28*单元面积!E$9</f>
        <v>11813.333333333334</v>
      </c>
      <c r="F28" s="5">
        <f>资源数比较!F28*单元面积!F$9</f>
        <v>2480838.6811111113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7">
        <f>SUM(B28:J28)</f>
        <v>2812360.9922222225</v>
      </c>
      <c r="L28" s="5">
        <f>K28/K$26</f>
        <v>2</v>
      </c>
      <c r="M28" s="14"/>
      <c r="N28" s="20">
        <f>(B28-B4)/($K28-$K4)</f>
        <v>3.3059454740301912E-3</v>
      </c>
      <c r="O28" s="20">
        <f>(C28-C4)/($K28-$K4)</f>
        <v>1.0591360727019293E-2</v>
      </c>
      <c r="P28" s="20">
        <f>(D28-D4)/($K28-$K4)</f>
        <v>1.7526914489360657E-2</v>
      </c>
      <c r="Q28" s="20">
        <f>(E28-E4)/($K28-$K4)</f>
        <v>3.626879259522969E-3</v>
      </c>
      <c r="R28" s="20">
        <f>(F28-F4)/($K28-$K4)</f>
        <v>0.91398782425166869</v>
      </c>
      <c r="S28" s="20">
        <f>(G28-G4)/($K28-$K4)</f>
        <v>4.7157617460163205E-2</v>
      </c>
      <c r="T28" s="20">
        <f>(H28-H4)/($K28-$K4)</f>
        <v>0</v>
      </c>
      <c r="U28" s="20">
        <f>(I28-I4)/($K28-$K4)</f>
        <v>0</v>
      </c>
      <c r="V28" s="20">
        <f>(J28-J4)/($K28-$K4)</f>
        <v>3.8034583382349127E-3</v>
      </c>
      <c r="W28" s="20">
        <f t="shared" si="2"/>
        <v>0.72384955590968547</v>
      </c>
    </row>
    <row r="29" spans="1:23" x14ac:dyDescent="0.15">
      <c r="A29" s="5" t="str">
        <f>算法分析!A$5</f>
        <v>TWOFISH</v>
      </c>
      <c r="B29" s="5">
        <f>资源数比较!B29*单元面积!B$9</f>
        <v>33650</v>
      </c>
      <c r="C29" s="5">
        <f>资源数比较!C29*单元面积!C$9</f>
        <v>107805.55555555556</v>
      </c>
      <c r="D29" s="5">
        <f>资源数比较!D29*单元面积!D$9</f>
        <v>59466.666666666672</v>
      </c>
      <c r="E29" s="5">
        <f>资源数比较!E29*单元面积!E$9</f>
        <v>14766.666666666668</v>
      </c>
      <c r="F29" s="5">
        <f>资源数比较!F29*单元面积!F$9</f>
        <v>3101048.3513888894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7">
        <f>SUM(B29:J29)</f>
        <v>3515451.2402777784</v>
      </c>
      <c r="L29" s="5">
        <f>K29/K$26</f>
        <v>2.5</v>
      </c>
      <c r="M29" s="14"/>
      <c r="N29" s="20">
        <f>(B29-B5)/($K29-$K5)</f>
        <v>-3.429855539013385E-3</v>
      </c>
      <c r="O29" s="20">
        <f>(C29-C5)/($K29-$K5)</f>
        <v>-1.0988335270687597E-2</v>
      </c>
      <c r="P29" s="20">
        <f>(D29-D5)/($K29-$K5)</f>
        <v>1.8183840361366652E-2</v>
      </c>
      <c r="Q29" s="20">
        <f>(E29-E5)/($K29-$K5)</f>
        <v>3.0102545889706387E-3</v>
      </c>
      <c r="R29" s="20">
        <f>(F29-F5)/($K29-$K5)</f>
        <v>0.94824498051347772</v>
      </c>
      <c r="S29" s="20">
        <f>(G29-G5)/($K29-$K5)</f>
        <v>4.8925131017130009E-2</v>
      </c>
      <c r="T29" s="20">
        <f>(H29-H5)/($K29-$K5)</f>
        <v>0</v>
      </c>
      <c r="U29" s="20">
        <f>(I29-I5)/($K29-$K5)</f>
        <v>0</v>
      </c>
      <c r="V29" s="20">
        <f>(J29-J5)/($K29-$K5)</f>
        <v>-3.9460156712441078E-3</v>
      </c>
      <c r="W29" s="20">
        <f t="shared" si="2"/>
        <v>0.55815928945549675</v>
      </c>
    </row>
    <row r="30" spans="1:23" x14ac:dyDescent="0.15">
      <c r="A30" s="5" t="str">
        <f>算法分析!A$6</f>
        <v>RC5</v>
      </c>
      <c r="B30" s="5">
        <f>资源数比较!B30*单元面积!B$9</f>
        <v>26920</v>
      </c>
      <c r="C30" s="5">
        <f>资源数比较!C30*单元面积!C$9</f>
        <v>86244.444444444453</v>
      </c>
      <c r="D30" s="5">
        <f>资源数比较!D30*单元面积!D$9</f>
        <v>47573.333333333336</v>
      </c>
      <c r="E30" s="5">
        <f>资源数比较!E30*单元面积!E$9</f>
        <v>11813.333333333334</v>
      </c>
      <c r="F30" s="5">
        <f>资源数比较!F30*单元面积!F$9</f>
        <v>2480838.6811111113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7">
        <f>SUM(B30:J30)</f>
        <v>2812360.9922222225</v>
      </c>
      <c r="L30" s="5">
        <f>K30/K$26</f>
        <v>2</v>
      </c>
      <c r="M30" s="14"/>
      <c r="N30" s="20">
        <f>(B30-B6)/($K30-$K6)</f>
        <v>2.047433875815873E-18</v>
      </c>
      <c r="O30" s="20">
        <f>(C30-C6)/($K30-$K6)</f>
        <v>8.1897355032634922E-18</v>
      </c>
      <c r="P30" s="20">
        <f>(D30-D6)/($K30-$K6)</f>
        <v>1.7849335105576316E-2</v>
      </c>
      <c r="Q30" s="20">
        <f>(E30-E6)/($K30-$K6)</f>
        <v>3.3242385587599391E-3</v>
      </c>
      <c r="R30" s="20">
        <f>(F30-F6)/($K30-$K6)</f>
        <v>0.93080130945967354</v>
      </c>
      <c r="S30" s="20">
        <f>(G30-G6)/($K30-$K6)</f>
        <v>4.8025116875990086E-2</v>
      </c>
      <c r="T30" s="20">
        <f>(H30-H6)/($K30-$K6)</f>
        <v>0</v>
      </c>
      <c r="U30" s="20">
        <f>(I30-I6)/($K30-$K6)</f>
        <v>0</v>
      </c>
      <c r="V30" s="20">
        <f>(J30-J6)/($K30-$K6)</f>
        <v>0</v>
      </c>
      <c r="W30" s="20">
        <f t="shared" si="2"/>
        <v>0.63179940787958067</v>
      </c>
    </row>
    <row r="31" spans="1:23" x14ac:dyDescent="0.15">
      <c r="A31" s="5" t="str">
        <f>算法分析!A$7</f>
        <v>BLOWFISH</v>
      </c>
      <c r="B31" s="5">
        <f>资源数比较!B31*单元面积!B$9</f>
        <v>20190</v>
      </c>
      <c r="C31" s="5">
        <f>资源数比较!C31*单元面积!C$9</f>
        <v>64683.333333333343</v>
      </c>
      <c r="D31" s="5">
        <f>资源数比较!D31*单元面积!D$9</f>
        <v>35680</v>
      </c>
      <c r="E31" s="5">
        <f>资源数比较!E31*单元面积!E$9</f>
        <v>8860</v>
      </c>
      <c r="F31" s="5">
        <f>资源数比较!F31*单元面积!F$9</f>
        <v>1860629.0108333335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7">
        <f>SUM(B31:J31)</f>
        <v>2109270.7441666666</v>
      </c>
      <c r="L31" s="5">
        <f>K31/K$26</f>
        <v>1.4999999999999998</v>
      </c>
      <c r="M31" s="14"/>
      <c r="N31" s="20">
        <f>(B31-B7)/($K31-$K7)</f>
        <v>0</v>
      </c>
      <c r="O31" s="20">
        <f>(C31-C7)/($K31-$K7)</f>
        <v>0</v>
      </c>
      <c r="P31" s="20">
        <f>(D31-D7)/($K31-$K7)</f>
        <v>1.7849335105576316E-2</v>
      </c>
      <c r="Q31" s="20">
        <f>(E31-E7)/($K31-$K7)</f>
        <v>3.3242385587599396E-3</v>
      </c>
      <c r="R31" s="20">
        <f>(F31-F7)/($K31-$K7)</f>
        <v>0.93080130945967376</v>
      </c>
      <c r="S31" s="20">
        <f>(G31-G7)/($K31-$K7)</f>
        <v>4.8025116875990093E-2</v>
      </c>
      <c r="T31" s="20">
        <f>(H31-H7)/($K31-$K7)</f>
        <v>0</v>
      </c>
      <c r="U31" s="20">
        <f>(I31-I7)/($K31-$K7)</f>
        <v>0</v>
      </c>
      <c r="V31" s="20">
        <f>(J31-J7)/($K31-$K7)</f>
        <v>0</v>
      </c>
      <c r="W31" s="20">
        <f t="shared" si="2"/>
        <v>0.63179940787958055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2016-02-20T09:27:19Z</dcterms:modified>
</cp:coreProperties>
</file>