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90" windowWidth="18030" windowHeight="8550" firstSheet="8" activeTab="8"/>
  </bookViews>
  <sheets>
    <sheet name="算子叠加方案" sheetId="16" r:id="rId1"/>
    <sheet name="Algorithm" sheetId="4" r:id="rId2"/>
    <sheet name="AES" sheetId="1" r:id="rId3"/>
    <sheet name="Blowfish" sheetId="5" r:id="rId4"/>
    <sheet name="Camellia" sheetId="6" r:id="rId5"/>
    <sheet name="CAST128" sheetId="7" r:id="rId6"/>
    <sheet name="DES" sheetId="2" r:id="rId7"/>
    <sheet name="GOST" sheetId="8" r:id="rId8"/>
    <sheet name="KASUMI" sheetId="9" r:id="rId9"/>
    <sheet name="RC5" sheetId="10" r:id="rId10"/>
    <sheet name="SEED" sheetId="11" r:id="rId11"/>
    <sheet name="Twofish" sheetId="12" r:id="rId12"/>
    <sheet name="SM4" sheetId="17" r:id="rId13"/>
    <sheet name="RC6" sheetId="18" r:id="rId14"/>
    <sheet name="IDEA" sheetId="19" r:id="rId15"/>
    <sheet name="Serpent" sheetId="20" r:id="rId16"/>
    <sheet name="Sheet1" sheetId="21" r:id="rId17"/>
    <sheet name="Sheet2" sheetId="22" r:id="rId18"/>
    <sheet name="Sheet3" sheetId="23" r:id="rId19"/>
  </sheets>
  <externalReferences>
    <externalReference r:id="rId20"/>
  </externalReferences>
  <calcPr calcId="152511"/>
</workbook>
</file>

<file path=xl/calcChain.xml><?xml version="1.0" encoding="utf-8"?>
<calcChain xmlns="http://schemas.openxmlformats.org/spreadsheetml/2006/main">
  <c r="C52" i="23" l="1"/>
  <c r="C53" i="23"/>
  <c r="C54" i="23"/>
  <c r="C18" i="23"/>
  <c r="C19" i="23"/>
  <c r="C20" i="23"/>
  <c r="C21" i="23"/>
  <c r="C22" i="23"/>
  <c r="C23" i="23"/>
  <c r="C24" i="23"/>
  <c r="C25" i="23"/>
  <c r="C33" i="23"/>
  <c r="C34" i="23"/>
  <c r="C35" i="23"/>
  <c r="C36" i="23"/>
  <c r="C37" i="23"/>
  <c r="C38" i="23"/>
  <c r="C39" i="23"/>
  <c r="C40" i="23"/>
  <c r="C48" i="23"/>
  <c r="C49" i="23"/>
  <c r="C50" i="23"/>
  <c r="C51" i="23"/>
  <c r="C55" i="23"/>
  <c r="C63" i="23"/>
  <c r="C64" i="23"/>
  <c r="C65" i="23"/>
  <c r="C66" i="23"/>
  <c r="C67" i="23"/>
  <c r="C68" i="23"/>
  <c r="C69" i="23"/>
  <c r="C70" i="23"/>
  <c r="C78" i="23"/>
  <c r="C79" i="23"/>
  <c r="C80" i="23"/>
  <c r="C81" i="23"/>
  <c r="C82" i="23"/>
  <c r="C83" i="23"/>
  <c r="C84" i="23"/>
  <c r="C85" i="23"/>
  <c r="C4" i="23"/>
  <c r="C5" i="23"/>
  <c r="C6" i="23"/>
  <c r="C7" i="23"/>
  <c r="C8" i="23"/>
  <c r="C9" i="23"/>
  <c r="C10" i="23"/>
  <c r="C3" i="23"/>
  <c r="H7" i="23"/>
  <c r="F7" i="23"/>
  <c r="Q20" i="22" l="1"/>
  <c r="Q21" i="22"/>
  <c r="Q22" i="22"/>
  <c r="Q23" i="22"/>
  <c r="Q24" i="22"/>
  <c r="Q25" i="22"/>
  <c r="Q26" i="22"/>
  <c r="Q27" i="22"/>
  <c r="Q19" i="22"/>
  <c r="K28" i="22" l="1"/>
  <c r="K27" i="22"/>
  <c r="K21" i="22"/>
  <c r="K16" i="22"/>
  <c r="K10" i="22"/>
  <c r="K15" i="22"/>
  <c r="K9" i="22"/>
  <c r="K4" i="22"/>
  <c r="K3" i="22"/>
  <c r="I28" i="22"/>
  <c r="J28" i="22" s="1"/>
  <c r="I27" i="22"/>
  <c r="J27" i="22" s="1"/>
  <c r="I21" i="22"/>
  <c r="J21" i="22" s="1"/>
  <c r="I16" i="22"/>
  <c r="J16" i="22" s="1"/>
  <c r="I15" i="22"/>
  <c r="J15" i="22" s="1"/>
  <c r="I10" i="22"/>
  <c r="J10" i="22" s="1"/>
  <c r="I9" i="22"/>
  <c r="J9" i="22" s="1"/>
  <c r="I4" i="22"/>
  <c r="J4" i="22" s="1"/>
  <c r="I3" i="22"/>
  <c r="J3" i="22" s="1"/>
  <c r="I121" i="21"/>
  <c r="K146" i="21"/>
  <c r="K136" i="21"/>
  <c r="K130" i="21"/>
  <c r="K122" i="21"/>
  <c r="K120" i="21"/>
  <c r="I146" i="21" l="1"/>
  <c r="I139" i="21"/>
  <c r="I140" i="21"/>
  <c r="I141" i="21"/>
  <c r="I142" i="21"/>
  <c r="J146" i="21"/>
  <c r="I145" i="21"/>
  <c r="J145" i="21"/>
  <c r="J144" i="21"/>
  <c r="I144" i="21"/>
  <c r="J143" i="21"/>
  <c r="I143" i="21"/>
  <c r="J142" i="21"/>
  <c r="J141" i="21"/>
  <c r="J140" i="21"/>
  <c r="J139" i="21"/>
  <c r="J138" i="21"/>
  <c r="I138" i="21"/>
  <c r="J130" i="21"/>
  <c r="I130" i="21"/>
  <c r="J127" i="21"/>
  <c r="I127" i="21"/>
  <c r="J126" i="21"/>
  <c r="I126" i="21"/>
  <c r="J125" i="21"/>
  <c r="I125" i="21"/>
  <c r="I124" i="21"/>
  <c r="J123" i="21"/>
  <c r="I123" i="21"/>
  <c r="I122" i="21"/>
  <c r="H122" i="21"/>
  <c r="H121" i="21"/>
  <c r="I120" i="21"/>
  <c r="D162" i="21" l="1"/>
  <c r="D145" i="21"/>
  <c r="D133" i="21"/>
  <c r="D135" i="21"/>
  <c r="D137" i="21"/>
  <c r="D139" i="21"/>
  <c r="D141" i="21"/>
  <c r="D143" i="21"/>
  <c r="D125" i="21"/>
  <c r="D127" i="21"/>
  <c r="D129" i="21"/>
  <c r="D131" i="21"/>
  <c r="D123" i="21"/>
  <c r="D119" i="21"/>
  <c r="D121" i="21"/>
  <c r="D113" i="21"/>
  <c r="D115" i="21"/>
  <c r="D117" i="21"/>
  <c r="D111" i="21"/>
  <c r="J102" i="21" l="1"/>
  <c r="D104" i="21"/>
  <c r="C104" i="21"/>
  <c r="C103" i="21"/>
  <c r="F99" i="21"/>
  <c r="B99" i="21" l="1"/>
  <c r="B98" i="21"/>
  <c r="H71" i="21"/>
  <c r="H69" i="21"/>
  <c r="H65" i="21"/>
  <c r="H67" i="21"/>
  <c r="H66" i="21"/>
  <c r="H64" i="21"/>
  <c r="D81" i="21" l="1"/>
  <c r="D83" i="21"/>
  <c r="D85" i="21"/>
  <c r="D87" i="21"/>
  <c r="D89" i="21"/>
  <c r="D91" i="21"/>
  <c r="D93" i="21"/>
  <c r="D95" i="21"/>
  <c r="D79" i="21"/>
  <c r="D76" i="21"/>
  <c r="D74" i="21"/>
  <c r="D72" i="21"/>
  <c r="D70" i="21"/>
  <c r="D68" i="21"/>
  <c r="D66" i="21"/>
  <c r="D64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38" i="21"/>
  <c r="E57" i="21" l="1"/>
  <c r="D57" i="21"/>
  <c r="A55" i="21"/>
  <c r="D53" i="21"/>
  <c r="A53" i="21"/>
  <c r="C53" i="21"/>
  <c r="B53" i="21"/>
  <c r="A58" i="21" l="1"/>
  <c r="B57" i="21"/>
  <c r="A57" i="21"/>
  <c r="A56" i="21"/>
  <c r="C54" i="21"/>
  <c r="B54" i="21"/>
  <c r="A54" i="21"/>
  <c r="C52" i="21"/>
  <c r="B52" i="21"/>
  <c r="A52" i="21"/>
  <c r="D45" i="21"/>
  <c r="D43" i="21"/>
  <c r="D44" i="21"/>
  <c r="C45" i="21"/>
  <c r="C39" i="21"/>
  <c r="D39" i="21" s="1"/>
  <c r="C40" i="21"/>
  <c r="D40" i="21" s="1"/>
  <c r="C41" i="21"/>
  <c r="D41" i="21" s="1"/>
  <c r="C42" i="21"/>
  <c r="D42" i="21" s="1"/>
  <c r="C43" i="21"/>
  <c r="C44" i="21"/>
  <c r="J26" i="21" l="1"/>
  <c r="L26" i="21"/>
  <c r="L25" i="21"/>
  <c r="J25" i="21"/>
  <c r="L24" i="21"/>
  <c r="J24" i="21"/>
  <c r="J23" i="21"/>
  <c r="F36" i="21"/>
  <c r="F35" i="21"/>
  <c r="E35" i="21"/>
  <c r="C35" i="21"/>
  <c r="I21" i="21" l="1"/>
  <c r="I20" i="21"/>
  <c r="I16" i="21"/>
  <c r="I13" i="21"/>
  <c r="H13" i="21"/>
  <c r="G13" i="21"/>
  <c r="F13" i="21"/>
  <c r="B23" i="21"/>
  <c r="B21" i="21" l="1"/>
  <c r="C19" i="21"/>
  <c r="B19" i="21"/>
  <c r="D16" i="21"/>
  <c r="D15" i="21"/>
  <c r="B15" i="21"/>
  <c r="C15" i="21"/>
  <c r="R16" i="4" l="1"/>
  <c r="Q16" i="4"/>
  <c r="I16" i="4"/>
  <c r="R15" i="4"/>
  <c r="Q15" i="4"/>
  <c r="R14" i="4"/>
  <c r="Q14" i="4"/>
  <c r="R13" i="4"/>
  <c r="Q13" i="4"/>
  <c r="R12" i="4"/>
  <c r="N12" i="4" s="1"/>
  <c r="Q12" i="4"/>
  <c r="M12" i="4" s="1"/>
  <c r="P12" i="4"/>
  <c r="K12" i="4"/>
  <c r="R11" i="4"/>
  <c r="N11" i="4" s="1"/>
  <c r="Q11" i="4"/>
  <c r="M11" i="4" s="1"/>
  <c r="P11" i="4"/>
  <c r="K11" i="4"/>
  <c r="R10" i="4"/>
  <c r="N10" i="4" s="1"/>
  <c r="Q10" i="4"/>
  <c r="P10" i="4"/>
  <c r="M10" i="4"/>
  <c r="K10" i="4"/>
  <c r="R9" i="4"/>
  <c r="N9" i="4" s="1"/>
  <c r="Q9" i="4"/>
  <c r="P9" i="4"/>
  <c r="M9" i="4"/>
  <c r="K9" i="4"/>
  <c r="R8" i="4"/>
  <c r="N8" i="4" s="1"/>
  <c r="Q8" i="4"/>
  <c r="M8" i="4" s="1"/>
  <c r="P8" i="4"/>
  <c r="K8" i="4"/>
  <c r="R7" i="4"/>
  <c r="N7" i="4" s="1"/>
  <c r="Q7" i="4"/>
  <c r="M7" i="4" s="1"/>
  <c r="P7" i="4"/>
  <c r="K7" i="4"/>
  <c r="I7" i="4"/>
  <c r="R6" i="4"/>
  <c r="Q6" i="4"/>
  <c r="M6" i="4" s="1"/>
  <c r="P6" i="4"/>
  <c r="N6" i="4"/>
  <c r="K6" i="4"/>
  <c r="R5" i="4"/>
  <c r="N5" i="4" s="1"/>
  <c r="Q5" i="4"/>
  <c r="M5" i="4" s="1"/>
  <c r="P5" i="4"/>
  <c r="K5" i="4"/>
  <c r="R4" i="4"/>
  <c r="N4" i="4" s="1"/>
  <c r="Q4" i="4"/>
  <c r="M4" i="4" s="1"/>
  <c r="P4" i="4"/>
  <c r="K4" i="4"/>
  <c r="R3" i="4"/>
  <c r="N3" i="4" s="1"/>
  <c r="Q3" i="4"/>
  <c r="M3" i="4" s="1"/>
  <c r="P3" i="4"/>
  <c r="K3" i="4"/>
  <c r="I3" i="4"/>
  <c r="F260" i="20"/>
  <c r="F262" i="20" s="1"/>
  <c r="F259" i="20"/>
  <c r="F261" i="20" s="1"/>
  <c r="F273" i="20" s="1"/>
  <c r="F258" i="20"/>
  <c r="F257" i="20"/>
  <c r="F256" i="20"/>
  <c r="F79" i="19"/>
  <c r="F66" i="19"/>
  <c r="F65" i="19"/>
  <c r="F77" i="19" s="1"/>
  <c r="F64" i="19"/>
  <c r="F63" i="19"/>
  <c r="F62" i="19"/>
  <c r="F72" i="19" s="1"/>
  <c r="F61" i="19"/>
  <c r="F70" i="19" s="1"/>
  <c r="F60" i="19"/>
  <c r="F78" i="19" s="1"/>
  <c r="F153" i="18"/>
  <c r="F165" i="18" s="1"/>
  <c r="F152" i="18"/>
  <c r="F154" i="18" s="1"/>
  <c r="F167" i="18" s="1"/>
  <c r="F151" i="18"/>
  <c r="F150" i="18"/>
  <c r="F160" i="18" s="1"/>
  <c r="F149" i="18"/>
  <c r="F148" i="18"/>
  <c r="F166" i="18" s="1"/>
  <c r="F263" i="17"/>
  <c r="F265" i="17" s="1"/>
  <c r="F262" i="17"/>
  <c r="F264" i="17" s="1"/>
  <c r="F276" i="17" s="1"/>
  <c r="F261" i="17"/>
  <c r="F260" i="17"/>
  <c r="F259" i="17"/>
  <c r="F268" i="20" l="1"/>
  <c r="F274" i="20"/>
  <c r="F275" i="20"/>
  <c r="F266" i="20"/>
  <c r="F265" i="20"/>
  <c r="F269" i="20"/>
  <c r="F76" i="19"/>
  <c r="F82" i="19" s="1"/>
  <c r="F69" i="19"/>
  <c r="F71" i="19" s="1"/>
  <c r="F73" i="19"/>
  <c r="F74" i="19" s="1"/>
  <c r="F158" i="18"/>
  <c r="F164" i="18"/>
  <c r="F170" i="18" s="1"/>
  <c r="F157" i="18"/>
  <c r="F161" i="18"/>
  <c r="F162" i="18" s="1"/>
  <c r="F277" i="17"/>
  <c r="F278" i="17"/>
  <c r="F268" i="17"/>
  <c r="F270" i="17" s="1"/>
  <c r="F272" i="17"/>
  <c r="F269" i="17"/>
  <c r="F271" i="17"/>
  <c r="F270" i="20" l="1"/>
  <c r="F273" i="17"/>
  <c r="F267" i="17" s="1"/>
  <c r="F280" i="17" s="1"/>
  <c r="F272" i="20"/>
  <c r="F278" i="20" s="1"/>
  <c r="F267" i="20"/>
  <c r="F264" i="20" s="1"/>
  <c r="F277" i="20" s="1"/>
  <c r="F68" i="19"/>
  <c r="F81" i="19" s="1"/>
  <c r="F159" i="18"/>
  <c r="F156" i="18" s="1"/>
  <c r="F169" i="18" s="1"/>
  <c r="F275" i="17"/>
  <c r="F281" i="17" s="1"/>
  <c r="G155" i="12" l="1"/>
  <c r="G157" i="12" s="1"/>
  <c r="G154" i="12"/>
  <c r="G156" i="12" s="1"/>
  <c r="G153" i="12"/>
  <c r="G152" i="12"/>
  <c r="G151" i="12"/>
  <c r="F291" i="11"/>
  <c r="F293" i="11" s="1"/>
  <c r="F306" i="11" s="1"/>
  <c r="F290" i="11"/>
  <c r="F292" i="11" s="1"/>
  <c r="F304" i="11" s="1"/>
  <c r="F289" i="11"/>
  <c r="F288" i="11"/>
  <c r="F287" i="11"/>
  <c r="F80" i="10"/>
  <c r="F82" i="10" s="1"/>
  <c r="F95" i="10" s="1"/>
  <c r="F79" i="10"/>
  <c r="F81" i="10" s="1"/>
  <c r="F93" i="10" s="1"/>
  <c r="F78" i="10"/>
  <c r="F77" i="10"/>
  <c r="F76" i="10"/>
  <c r="G137" i="9"/>
  <c r="G139" i="9" s="1"/>
  <c r="G152" i="9" s="1"/>
  <c r="G136" i="9"/>
  <c r="G138" i="9" s="1"/>
  <c r="G150" i="9" s="1"/>
  <c r="G135" i="9"/>
  <c r="G134" i="9"/>
  <c r="G133" i="9"/>
  <c r="F136" i="8"/>
  <c r="F138" i="8" s="1"/>
  <c r="F135" i="8"/>
  <c r="F137" i="8" s="1"/>
  <c r="F134" i="8"/>
  <c r="F133" i="8"/>
  <c r="F132" i="8"/>
  <c r="F170" i="2"/>
  <c r="F169" i="2"/>
  <c r="F171" i="2" s="1"/>
  <c r="F183" i="2" s="1"/>
  <c r="F168" i="2"/>
  <c r="F167" i="2"/>
  <c r="F166" i="2"/>
  <c r="F118" i="7"/>
  <c r="F117" i="7"/>
  <c r="F119" i="7" s="1"/>
  <c r="F131" i="7" s="1"/>
  <c r="F116" i="7"/>
  <c r="F115" i="7"/>
  <c r="F114" i="7"/>
  <c r="F90" i="6"/>
  <c r="F92" i="6" s="1"/>
  <c r="F89" i="6"/>
  <c r="F91" i="6" s="1"/>
  <c r="F103" i="6" s="1"/>
  <c r="F88" i="6"/>
  <c r="F87" i="6"/>
  <c r="F86" i="6"/>
  <c r="G59" i="5"/>
  <c r="G61" i="5" s="1"/>
  <c r="G58" i="5"/>
  <c r="G60" i="5" s="1"/>
  <c r="G57" i="5"/>
  <c r="G56" i="5"/>
  <c r="G55" i="5"/>
  <c r="F35" i="1"/>
  <c r="F39" i="1"/>
  <c r="F41" i="1" s="1"/>
  <c r="F38" i="1"/>
  <c r="F40" i="1" s="1"/>
  <c r="F37" i="1"/>
  <c r="F36" i="1"/>
  <c r="G169" i="12" l="1"/>
  <c r="F305" i="11"/>
  <c r="F94" i="10"/>
  <c r="G151" i="9"/>
  <c r="G149" i="9" s="1"/>
  <c r="G155" i="9" s="1"/>
  <c r="F150" i="8"/>
  <c r="F184" i="2"/>
  <c r="F104" i="6"/>
  <c r="G64" i="5"/>
  <c r="F54" i="1"/>
  <c r="G160" i="12"/>
  <c r="F132" i="7"/>
  <c r="G73" i="5"/>
  <c r="F296" i="11"/>
  <c r="G170" i="12"/>
  <c r="G164" i="12"/>
  <c r="G168" i="12"/>
  <c r="G163" i="12"/>
  <c r="G161" i="12"/>
  <c r="G162" i="12" s="1"/>
  <c r="F303" i="11"/>
  <c r="F309" i="11" s="1"/>
  <c r="F299" i="11"/>
  <c r="F297" i="11"/>
  <c r="F300" i="11"/>
  <c r="F88" i="10"/>
  <c r="F85" i="10"/>
  <c r="F92" i="10"/>
  <c r="F98" i="10" s="1"/>
  <c r="F86" i="10"/>
  <c r="F89" i="10"/>
  <c r="F90" i="10" s="1"/>
  <c r="G145" i="9"/>
  <c r="G142" i="9"/>
  <c r="G143" i="9"/>
  <c r="G146" i="9"/>
  <c r="F151" i="8"/>
  <c r="F142" i="8"/>
  <c r="F141" i="8"/>
  <c r="F149" i="8"/>
  <c r="F144" i="8"/>
  <c r="F145" i="8"/>
  <c r="F178" i="2"/>
  <c r="F175" i="2"/>
  <c r="F172" i="2"/>
  <c r="F185" i="2" s="1"/>
  <c r="G68" i="5"/>
  <c r="F105" i="6"/>
  <c r="F123" i="7"/>
  <c r="F126" i="7"/>
  <c r="F120" i="7"/>
  <c r="F133" i="7" s="1"/>
  <c r="F95" i="6"/>
  <c r="F98" i="6"/>
  <c r="F96" i="6"/>
  <c r="F99" i="6"/>
  <c r="G74" i="5"/>
  <c r="G72" i="5"/>
  <c r="G67" i="5"/>
  <c r="G65" i="5"/>
  <c r="G66" i="5" s="1"/>
  <c r="F45" i="1"/>
  <c r="F53" i="1"/>
  <c r="F47" i="1"/>
  <c r="F44" i="1"/>
  <c r="F52" i="1"/>
  <c r="F48" i="1"/>
  <c r="F182" i="2" l="1"/>
  <c r="F188" i="2" s="1"/>
  <c r="F102" i="6"/>
  <c r="F108" i="6" s="1"/>
  <c r="F298" i="11"/>
  <c r="G147" i="9"/>
  <c r="G144" i="9"/>
  <c r="G69" i="5"/>
  <c r="G63" i="5" s="1"/>
  <c r="G76" i="5" s="1"/>
  <c r="F130" i="7"/>
  <c r="F136" i="7" s="1"/>
  <c r="F176" i="2"/>
  <c r="F177" i="2" s="1"/>
  <c r="F87" i="10"/>
  <c r="F84" i="10" s="1"/>
  <c r="F97" i="10" s="1"/>
  <c r="F124" i="7"/>
  <c r="F125" i="7" s="1"/>
  <c r="G167" i="12"/>
  <c r="G173" i="12" s="1"/>
  <c r="G165" i="12"/>
  <c r="G159" i="12" s="1"/>
  <c r="G172" i="12" s="1"/>
  <c r="F301" i="11"/>
  <c r="F148" i="8"/>
  <c r="F154" i="8" s="1"/>
  <c r="F143" i="8"/>
  <c r="F146" i="8"/>
  <c r="F179" i="2"/>
  <c r="F180" i="2" s="1"/>
  <c r="F97" i="6"/>
  <c r="F127" i="7"/>
  <c r="F128" i="7" s="1"/>
  <c r="F100" i="6"/>
  <c r="F46" i="1"/>
  <c r="G71" i="5"/>
  <c r="G77" i="5" s="1"/>
  <c r="F51" i="1"/>
  <c r="F49" i="1"/>
  <c r="F174" i="2" l="1"/>
  <c r="F187" i="2" s="1"/>
  <c r="F295" i="11"/>
  <c r="F308" i="11" s="1"/>
  <c r="G141" i="9"/>
  <c r="G154" i="9" s="1"/>
  <c r="F94" i="6"/>
  <c r="F107" i="6" s="1"/>
  <c r="F140" i="8"/>
  <c r="F153" i="8" s="1"/>
  <c r="F56" i="1"/>
  <c r="F57" i="1"/>
  <c r="F122" i="7"/>
  <c r="F135" i="7" s="1"/>
  <c r="F43" i="1"/>
</calcChain>
</file>

<file path=xl/sharedStrings.xml><?xml version="1.0" encoding="utf-8"?>
<sst xmlns="http://schemas.openxmlformats.org/spreadsheetml/2006/main" count="2576" uniqueCount="511">
  <si>
    <t>轮数</t>
    <phoneticPr fontId="1" type="noConversion"/>
  </si>
  <si>
    <t>明文操作</t>
    <phoneticPr fontId="1" type="noConversion"/>
  </si>
  <si>
    <t>密钥操作</t>
    <phoneticPr fontId="1" type="noConversion"/>
  </si>
  <si>
    <t>K0=K</t>
    <phoneticPr fontId="1" type="noConversion"/>
  </si>
  <si>
    <t>（行移位），列混合</t>
    <phoneticPr fontId="1" type="noConversion"/>
  </si>
  <si>
    <t>（行移位),密钥加</t>
    <phoneticPr fontId="1" type="noConversion"/>
  </si>
  <si>
    <t>AES</t>
  </si>
  <si>
    <t>DES</t>
  </si>
  <si>
    <t>GOST</t>
  </si>
  <si>
    <t>SM4</t>
  </si>
  <si>
    <t>扩展交换</t>
    <phoneticPr fontId="1" type="noConversion"/>
  </si>
  <si>
    <t>异或</t>
    <phoneticPr fontId="1" type="noConversion"/>
  </si>
  <si>
    <t>初始置换</t>
    <phoneticPr fontId="1" type="noConversion"/>
  </si>
  <si>
    <t>初始异或</t>
    <phoneticPr fontId="1" type="noConversion"/>
  </si>
  <si>
    <t>与</t>
    <phoneticPr fontId="1" type="noConversion"/>
  </si>
  <si>
    <t>移位</t>
    <phoneticPr fontId="1" type="noConversion"/>
  </si>
  <si>
    <t>结束异或</t>
    <phoneticPr fontId="1" type="noConversion"/>
  </si>
  <si>
    <t>移位</t>
    <phoneticPr fontId="1" type="noConversion"/>
  </si>
  <si>
    <t>字节替换</t>
    <phoneticPr fontId="1" type="noConversion"/>
  </si>
  <si>
    <t>异或</t>
    <phoneticPr fontId="1" type="noConversion"/>
  </si>
  <si>
    <t>模加法</t>
    <phoneticPr fontId="1" type="noConversion"/>
  </si>
  <si>
    <t>模减法</t>
    <phoneticPr fontId="1" type="noConversion"/>
  </si>
  <si>
    <t>模加</t>
    <phoneticPr fontId="1" type="noConversion"/>
  </si>
  <si>
    <t>与操作</t>
    <phoneticPr fontId="1" type="noConversion"/>
  </si>
  <si>
    <t>FL</t>
    <phoneticPr fontId="1" type="noConversion"/>
  </si>
  <si>
    <t>FI</t>
    <phoneticPr fontId="1" type="noConversion"/>
  </si>
  <si>
    <t>替换</t>
    <phoneticPr fontId="1" type="noConversion"/>
  </si>
  <si>
    <t>G</t>
    <phoneticPr fontId="1" type="noConversion"/>
  </si>
  <si>
    <t>F</t>
    <phoneticPr fontId="1" type="noConversion"/>
  </si>
  <si>
    <t>g</t>
    <phoneticPr fontId="1" type="noConversion"/>
  </si>
  <si>
    <t>PHT</t>
    <phoneticPr fontId="1" type="noConversion"/>
  </si>
  <si>
    <t>左移8bit</t>
    <phoneticPr fontId="1" type="noConversion"/>
  </si>
  <si>
    <t>替换</t>
    <phoneticPr fontId="1" type="noConversion"/>
  </si>
  <si>
    <t>列混淆（矩阵相乘）</t>
    <phoneticPr fontId="1" type="noConversion"/>
  </si>
  <si>
    <t>模加</t>
    <phoneticPr fontId="1" type="noConversion"/>
  </si>
  <si>
    <t>初始异或</t>
    <phoneticPr fontId="1" type="noConversion"/>
  </si>
  <si>
    <t>结束异或</t>
    <phoneticPr fontId="1" type="noConversion"/>
  </si>
  <si>
    <t>BPC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</si>
  <si>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</si>
  <si>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</si>
  <si>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</si>
  <si>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</si>
  <si>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</si>
  <si>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</si>
  <si>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</si>
  <si>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</si>
  <si>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</si>
  <si>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</si>
  <si>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</si>
  <si>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</si>
  <si>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</si>
  <si>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</si>
  <si>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</si>
  <si>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</si>
  <si>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</si>
  <si>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</si>
  <si>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</si>
  <si>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</si>
  <si>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</si>
  <si>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</si>
  <si>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</si>
  <si>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</si>
  <si>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循环整数</t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</si>
  <si>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</si>
  <si>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</si>
  <si>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</si>
  <si>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Ideal</t>
    <phoneticPr fontId="1" type="noConversion"/>
  </si>
  <si>
    <t>加</t>
    <phoneticPr fontId="1" type="noConversion"/>
  </si>
  <si>
    <t>x2</t>
    <phoneticPr fontId="1" type="noConversion"/>
  </si>
  <si>
    <t>t or u</t>
    <phoneticPr fontId="1" type="noConversion"/>
  </si>
  <si>
    <t>移位</t>
    <phoneticPr fontId="1" type="noConversion"/>
  </si>
  <si>
    <t>最终置换</t>
    <phoneticPr fontId="1" type="noConversion"/>
  </si>
  <si>
    <t>L</t>
    <phoneticPr fontId="1" type="noConversion"/>
  </si>
  <si>
    <t>查表替换</t>
    <phoneticPr fontId="1" type="noConversion"/>
  </si>
  <si>
    <t>异或+查表替换+异或</t>
    <phoneticPr fontId="1" type="noConversion"/>
  </si>
  <si>
    <t>初始密钥加+字节替换</t>
    <phoneticPr fontId="1" type="noConversion"/>
  </si>
  <si>
    <t>密钥加+字节替换</t>
    <phoneticPr fontId="1" type="noConversion"/>
  </si>
  <si>
    <t>异或+字节替换</t>
    <phoneticPr fontId="1" type="noConversion"/>
  </si>
  <si>
    <t>计算操作</t>
    <phoneticPr fontId="1" type="noConversion"/>
  </si>
  <si>
    <t>计算操作+异或</t>
    <phoneticPr fontId="1" type="noConversion"/>
  </si>
  <si>
    <t>模加+异或</t>
    <phoneticPr fontId="1" type="noConversion"/>
  </si>
  <si>
    <t>模加+异或</t>
    <phoneticPr fontId="1" type="noConversion"/>
  </si>
  <si>
    <t>异或</t>
  </si>
  <si>
    <t>异或</t>
    <phoneticPr fontId="1" type="noConversion"/>
  </si>
  <si>
    <t>F</t>
    <phoneticPr fontId="1" type="noConversion"/>
  </si>
  <si>
    <t>置换操作（相当于AES的列混合）+异或</t>
    <phoneticPr fontId="1" type="noConversion"/>
  </si>
  <si>
    <t>异或+查找替换</t>
    <phoneticPr fontId="1" type="noConversion"/>
  </si>
  <si>
    <t>移位+异或</t>
    <phoneticPr fontId="1" type="noConversion"/>
  </si>
  <si>
    <t>或操作+异或</t>
    <phoneticPr fontId="1" type="noConversion"/>
  </si>
  <si>
    <t>异或+移位</t>
  </si>
  <si>
    <t>异或+移位</t>
    <phoneticPr fontId="1" type="noConversion"/>
  </si>
  <si>
    <t>模减法+异或</t>
  </si>
  <si>
    <t>模减法+异或</t>
    <phoneticPr fontId="1" type="noConversion"/>
  </si>
  <si>
    <t>交换+异或</t>
    <phoneticPr fontId="1" type="noConversion"/>
  </si>
  <si>
    <t>模密钥加+字节替换</t>
  </si>
  <si>
    <t>模密钥加+字节替换</t>
    <phoneticPr fontId="1" type="noConversion"/>
  </si>
  <si>
    <t>左移11bit+异或</t>
  </si>
  <si>
    <t>左移11bit+异或</t>
    <phoneticPr fontId="1" type="noConversion"/>
  </si>
  <si>
    <t>移位</t>
  </si>
  <si>
    <t>与+移位</t>
    <phoneticPr fontId="1" type="noConversion"/>
  </si>
  <si>
    <t>左移+异或</t>
    <phoneticPr fontId="1" type="noConversion"/>
  </si>
  <si>
    <t>或操作+左移</t>
    <phoneticPr fontId="1" type="noConversion"/>
  </si>
  <si>
    <t>异或+异或</t>
  </si>
  <si>
    <t>异或+异或</t>
    <phoneticPr fontId="1" type="noConversion"/>
  </si>
  <si>
    <t>S9替换+异或</t>
    <phoneticPr fontId="1" type="noConversion"/>
  </si>
  <si>
    <t>异或+S9替换</t>
    <phoneticPr fontId="1" type="noConversion"/>
  </si>
  <si>
    <t>与+异或</t>
    <phoneticPr fontId="1" type="noConversion"/>
  </si>
  <si>
    <t>异或+模加</t>
    <phoneticPr fontId="1" type="noConversion"/>
  </si>
  <si>
    <t>异或+右移位</t>
    <phoneticPr fontId="1" type="noConversion"/>
  </si>
  <si>
    <t>模加法</t>
  </si>
  <si>
    <t>模加法</t>
    <phoneticPr fontId="1" type="noConversion"/>
  </si>
  <si>
    <t>字节替换+异或</t>
  </si>
  <si>
    <t>字节替换+异或</t>
    <phoneticPr fontId="1" type="noConversion"/>
  </si>
  <si>
    <t>字节替换</t>
  </si>
  <si>
    <t>模减法</t>
  </si>
  <si>
    <t>轮数</t>
    <phoneticPr fontId="1" type="noConversion"/>
  </si>
  <si>
    <t>明文操作</t>
    <phoneticPr fontId="1" type="noConversion"/>
  </si>
  <si>
    <t>密钥操作</t>
    <phoneticPr fontId="1" type="noConversion"/>
  </si>
  <si>
    <t>异或</t>
    <phoneticPr fontId="1" type="noConversion"/>
  </si>
  <si>
    <t>字节替换</t>
    <phoneticPr fontId="1" type="noConversion"/>
  </si>
  <si>
    <t>r置换</t>
    <phoneticPr fontId="1" type="noConversion"/>
  </si>
  <si>
    <t>L置换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</si>
  <si>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</si>
  <si>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</si>
  <si>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</si>
  <si>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</si>
  <si>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</si>
  <si>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</si>
  <si>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</si>
  <si>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</si>
  <si>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</si>
  <si>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</si>
  <si>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</si>
  <si>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循环整数</t>
    <phoneticPr fontId="1" type="noConversion"/>
  </si>
  <si>
    <t>DNA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</si>
  <si>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</si>
  <si>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</si>
  <si>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</si>
  <si>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</si>
  <si>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</si>
  <si>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</si>
  <si>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</si>
  <si>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</si>
  <si>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</si>
  <si>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</si>
  <si>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</si>
  <si>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</si>
  <si>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</si>
  <si>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配置整数</t>
    <phoneticPr fontId="1" type="noConversion"/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</si>
  <si>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</si>
  <si>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</si>
  <si>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</si>
  <si>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</si>
  <si>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</si>
  <si>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与/或</t>
    <phoneticPr fontId="1" type="noConversion"/>
  </si>
  <si>
    <t>移位</t>
    <phoneticPr fontId="1" type="noConversion"/>
  </si>
  <si>
    <t>异或</t>
    <phoneticPr fontId="1" type="noConversion"/>
  </si>
  <si>
    <t>左移位+异或</t>
  </si>
  <si>
    <t>左移位+异或</t>
    <phoneticPr fontId="1" type="noConversion"/>
  </si>
  <si>
    <t>r置换</t>
  </si>
  <si>
    <t>L置换</t>
  </si>
  <si>
    <t>明文操作</t>
    <phoneticPr fontId="1" type="noConversion"/>
  </si>
  <si>
    <t>密钥操作</t>
    <phoneticPr fontId="1" type="noConversion"/>
  </si>
  <si>
    <t>加</t>
    <phoneticPr fontId="1" type="noConversion"/>
  </si>
  <si>
    <t>乘</t>
    <phoneticPr fontId="1" type="noConversion"/>
  </si>
  <si>
    <t>加</t>
    <phoneticPr fontId="1" type="noConversion"/>
  </si>
  <si>
    <t>移位</t>
    <phoneticPr fontId="1" type="noConversion"/>
  </si>
  <si>
    <t>x2</t>
    <phoneticPr fontId="1" type="noConversion"/>
  </si>
  <si>
    <t>t or u</t>
    <phoneticPr fontId="1" type="noConversion"/>
  </si>
  <si>
    <t>移位</t>
    <phoneticPr fontId="1" type="noConversion"/>
  </si>
  <si>
    <t>x2</t>
    <phoneticPr fontId="1" type="noConversion"/>
  </si>
  <si>
    <t>t or u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</si>
  <si>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</si>
  <si>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</si>
  <si>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</si>
  <si>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</si>
  <si>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</si>
  <si>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</si>
  <si>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</si>
  <si>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</si>
  <si>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</si>
  <si>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</si>
  <si>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</si>
  <si>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</si>
  <si>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</si>
  <si>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</si>
  <si>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</si>
  <si>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</si>
  <si>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</si>
  <si>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</si>
  <si>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</si>
  <si>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</si>
  <si>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</si>
  <si>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</si>
  <si>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</si>
  <si>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</si>
  <si>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循环分数</t>
    <phoneticPr fontId="1" type="noConversion"/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</si>
  <si>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</si>
  <si>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</si>
  <si>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</si>
  <si>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</si>
  <si>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</si>
  <si>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轮数</t>
    <phoneticPr fontId="1" type="noConversion"/>
  </si>
  <si>
    <t>明文操作</t>
    <phoneticPr fontId="1" type="noConversion"/>
  </si>
  <si>
    <t>密钥操作</t>
    <phoneticPr fontId="1" type="noConversion"/>
  </si>
  <si>
    <t>乘/加</t>
    <phoneticPr fontId="1" type="noConversion"/>
  </si>
  <si>
    <t>加</t>
    <phoneticPr fontId="1" type="noConversion"/>
  </si>
  <si>
    <t>乘</t>
    <phoneticPr fontId="1" type="noConversion"/>
  </si>
  <si>
    <t>加</t>
    <phoneticPr fontId="1" type="noConversion"/>
  </si>
  <si>
    <t>乘</t>
    <phoneticPr fontId="1" type="noConversion"/>
  </si>
  <si>
    <t>乘/加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</si>
  <si>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</si>
  <si>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</si>
  <si>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</si>
  <si>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</si>
  <si>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</si>
  <si>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</si>
  <si>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</si>
  <si>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</si>
  <si>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</si>
  <si>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</si>
  <si>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</si>
  <si>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</si>
  <si>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</si>
  <si>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</si>
  <si>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配置切换气泡</t>
    <phoneticPr fontId="1" type="noConversion"/>
  </si>
  <si>
    <t>配置分数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</si>
  <si>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</si>
  <si>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</si>
  <si>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</si>
  <si>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</si>
  <si>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轮数</t>
    <phoneticPr fontId="1" type="noConversion"/>
  </si>
  <si>
    <t>明文操作</t>
    <phoneticPr fontId="1" type="noConversion"/>
  </si>
  <si>
    <t>初始置换</t>
    <phoneticPr fontId="1" type="noConversion"/>
  </si>
  <si>
    <t>移位</t>
    <phoneticPr fontId="1" type="noConversion"/>
  </si>
  <si>
    <t>异或</t>
    <phoneticPr fontId="1" type="noConversion"/>
  </si>
  <si>
    <t>最终置换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</si>
  <si>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</si>
  <si>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</si>
  <si>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</si>
  <si>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</si>
  <si>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</si>
  <si>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</si>
  <si>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</si>
  <si>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</si>
  <si>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</si>
  <si>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</si>
  <si>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配置分数</t>
    <phoneticPr fontId="1" type="noConversion"/>
  </si>
  <si>
    <t>CTP</t>
    <phoneticPr fontId="1" type="noConversion"/>
  </si>
  <si>
    <t>循环分数</t>
    <phoneticPr fontId="1" type="noConversion"/>
  </si>
  <si>
    <t>计算时间</t>
    <phoneticPr fontId="1" type="noConversion"/>
  </si>
  <si>
    <t>Cycle</t>
    <phoneticPr fontId="1" type="noConversion"/>
  </si>
  <si>
    <t>配置整数</t>
    <phoneticPr fontId="1" type="noConversion"/>
  </si>
  <si>
    <t>配置切换气泡</t>
    <phoneticPr fontId="1" type="noConversion"/>
  </si>
  <si>
    <t>配置分数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</si>
  <si>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</si>
  <si>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</si>
  <si>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</si>
  <si>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</si>
  <si>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算法</t>
    <phoneticPr fontId="1" type="noConversion"/>
  </si>
  <si>
    <t>Round</t>
    <phoneticPr fontId="1" type="noConversion"/>
  </si>
  <si>
    <t>BlockSize</t>
    <phoneticPr fontId="1" type="noConversion"/>
  </si>
  <si>
    <t>Cycle</t>
    <phoneticPr fontId="1" type="noConversion"/>
  </si>
  <si>
    <t>CBC（Gbps）</t>
    <phoneticPr fontId="1" type="noConversion"/>
  </si>
  <si>
    <t>CTR（Gbps）</t>
    <phoneticPr fontId="1" type="noConversion"/>
  </si>
  <si>
    <t>Parallel</t>
    <phoneticPr fontId="1" type="noConversion"/>
  </si>
  <si>
    <t>BPC</t>
    <phoneticPr fontId="1" type="noConversion"/>
  </si>
  <si>
    <t>ICCAD'14</t>
    <phoneticPr fontId="1" type="noConversion"/>
  </si>
  <si>
    <t>Proposed</t>
    <phoneticPr fontId="1" type="noConversion"/>
  </si>
  <si>
    <t>ELEX'13</t>
    <phoneticPr fontId="1" type="noConversion"/>
  </si>
  <si>
    <t>Ideal</t>
    <phoneticPr fontId="1" type="noConversion"/>
  </si>
  <si>
    <t>Blowfish</t>
    <phoneticPr fontId="1" type="noConversion"/>
  </si>
  <si>
    <t>Camellia</t>
    <phoneticPr fontId="1" type="noConversion"/>
  </si>
  <si>
    <t>CAST128</t>
    <phoneticPr fontId="1" type="noConversion"/>
  </si>
  <si>
    <t>KASUMI</t>
    <phoneticPr fontId="1" type="noConversion"/>
  </si>
  <si>
    <t>RC5</t>
    <phoneticPr fontId="1" type="noConversion"/>
  </si>
  <si>
    <t>SEED</t>
    <phoneticPr fontId="1" type="noConversion"/>
  </si>
  <si>
    <t>Twofish</t>
    <phoneticPr fontId="1" type="noConversion"/>
  </si>
  <si>
    <t>RC6</t>
    <phoneticPr fontId="1" type="noConversion"/>
  </si>
  <si>
    <t>NA</t>
    <phoneticPr fontId="1" type="noConversion"/>
  </si>
  <si>
    <t>IDEA</t>
    <phoneticPr fontId="1" type="noConversion"/>
  </si>
  <si>
    <t>NA</t>
    <phoneticPr fontId="1" type="noConversion"/>
  </si>
  <si>
    <t>NA</t>
    <phoneticPr fontId="1" type="noConversion"/>
  </si>
  <si>
    <t>Serpent</t>
    <phoneticPr fontId="1" type="noConversion"/>
  </si>
  <si>
    <t>NA</t>
    <phoneticPr fontId="1" type="noConversion"/>
  </si>
  <si>
    <t>cobra</t>
    <phoneticPr fontId="1" type="noConversion"/>
  </si>
  <si>
    <t>aes</t>
    <phoneticPr fontId="1" type="noConversion"/>
  </si>
  <si>
    <t>des</t>
    <phoneticPr fontId="1" type="noConversion"/>
  </si>
  <si>
    <t>cryptoraptor</t>
    <phoneticPr fontId="1" type="noConversion"/>
  </si>
  <si>
    <t>ProDFA</t>
    <phoneticPr fontId="1" type="noConversion"/>
  </si>
  <si>
    <t>RCPA</t>
  </si>
  <si>
    <t>面积</t>
    <phoneticPr fontId="1" type="noConversion"/>
  </si>
  <si>
    <t>面积</t>
    <phoneticPr fontId="1" type="noConversion"/>
  </si>
  <si>
    <t>门数</t>
    <phoneticPr fontId="1" type="noConversion"/>
  </si>
  <si>
    <t>单元</t>
    <phoneticPr fontId="1" type="noConversion"/>
  </si>
  <si>
    <t>LOU</t>
  </si>
  <si>
    <t>TLU</t>
  </si>
  <si>
    <t>SRU</t>
  </si>
  <si>
    <t>PEU</t>
  </si>
  <si>
    <t>Byte rotator</t>
  </si>
  <si>
    <t>Multiplication</t>
  </si>
  <si>
    <t>延时/ns</t>
    <phoneticPr fontId="1" type="noConversion"/>
  </si>
  <si>
    <t>GFM</t>
    <phoneticPr fontId="1" type="noConversion"/>
  </si>
  <si>
    <t xml:space="preserve">MAS            </t>
    <phoneticPr fontId="1" type="noConversion"/>
  </si>
  <si>
    <t>2-1MUX</t>
    <phoneticPr fontId="1" type="noConversion"/>
  </si>
  <si>
    <t>4-1MUX</t>
    <phoneticPr fontId="1" type="noConversion"/>
  </si>
  <si>
    <t>32REG</t>
    <phoneticPr fontId="1" type="noConversion"/>
  </si>
  <si>
    <t xml:space="preserve"> </t>
    <phoneticPr fontId="1" type="noConversion"/>
  </si>
  <si>
    <t>编号</t>
  </si>
  <si>
    <t>单元</t>
  </si>
  <si>
    <t>面积</t>
  </si>
  <si>
    <t>门数</t>
  </si>
  <si>
    <t>组成单元</t>
  </si>
  <si>
    <t>延时/ns</t>
  </si>
  <si>
    <t>and32</t>
  </si>
  <si>
    <t>32个与门</t>
  </si>
  <si>
    <t>or32</t>
  </si>
  <si>
    <t>32个或门</t>
  </si>
  <si>
    <t>not32</t>
  </si>
  <si>
    <t>32个非门</t>
  </si>
  <si>
    <t>xor32       </t>
  </si>
  <si>
    <t>32个异或门</t>
  </si>
  <si>
    <t>not_and32</t>
  </si>
  <si>
    <t>32个INR2D1BWP</t>
  </si>
  <si>
    <t>not_or32</t>
  </si>
  <si>
    <t>32个IND2D0BWP</t>
  </si>
  <si>
    <t>not_xor32</t>
  </si>
  <si>
    <t>32个XNR2D1BWP</t>
  </si>
  <si>
    <t>bypass</t>
  </si>
  <si>
    <t>add32</t>
  </si>
  <si>
    <t>sub32</t>
  </si>
  <si>
    <t>mul32</t>
  </si>
  <si>
    <t>mod28</t>
  </si>
  <si>
    <t>mod216</t>
  </si>
  <si>
    <t>xorxor32</t>
  </si>
  <si>
    <t>mux32_2_1</t>
  </si>
  <si>
    <t>mux32_4_1</t>
  </si>
  <si>
    <t>au</t>
    <phoneticPr fontId="1" type="noConversion"/>
  </si>
  <si>
    <t>lou</t>
    <phoneticPr fontId="1" type="noConversion"/>
  </si>
  <si>
    <t>cro</t>
    <phoneticPr fontId="1" type="noConversion"/>
  </si>
  <si>
    <t>COBRA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</si>
  <si>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</si>
  <si>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</si>
  <si>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</si>
  <si>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and</t>
    <phoneticPr fontId="1" type="noConversion"/>
  </si>
  <si>
    <t>xor</t>
    <phoneticPr fontId="1" type="noConversion"/>
  </si>
  <si>
    <t>and</t>
    <phoneticPr fontId="1" type="noConversion"/>
  </si>
  <si>
    <t>xor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</si>
  <si>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</si>
  <si>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</si>
  <si>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</si>
  <si>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</si>
  <si>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</si>
  <si>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</t>
    <phoneticPr fontId="1" type="noConversion"/>
  </si>
  <si>
    <t>mux32_8_1</t>
  </si>
  <si>
    <t>移位/循环移位</t>
  </si>
  <si>
    <t>cryptoraptor：未知，只能实现32的操作</t>
  </si>
  <si>
    <t>RCPA：桶形移位器（8、16、32的移位/循环移位）</t>
  </si>
  <si>
    <t>有限域乘法GF2^8</t>
  </si>
  <si>
    <t>查找表（）</t>
  </si>
  <si>
    <t>置换</t>
  </si>
  <si>
    <t>cryptoraptor：(64bit)Bit Selector (BS)</t>
  </si>
  <si>
    <t>RCPA：benes128</t>
  </si>
  <si>
    <t>7209.115（benes128）</t>
  </si>
  <si>
    <t>行间互连</t>
  </si>
  <si>
    <t>cryptoraptor：crossbar</t>
  </si>
  <si>
    <t>RCPA：benes(同时实现置换功能)</t>
  </si>
  <si>
    <t>mod2^16-1</t>
  </si>
  <si>
    <t>mod2^32-1</t>
  </si>
  <si>
    <t>celator</t>
    <phoneticPr fontId="1" type="noConversion"/>
  </si>
  <si>
    <t>cobra</t>
    <phoneticPr fontId="1" type="noConversion"/>
  </si>
  <si>
    <t>cryptoraptor</t>
  </si>
  <si>
    <t>AU</t>
    <phoneticPr fontId="1" type="noConversion"/>
  </si>
  <si>
    <t>BR</t>
    <phoneticPr fontId="1" type="noConversion"/>
  </si>
  <si>
    <t>TLU</t>
    <phoneticPr fontId="1" type="noConversion"/>
  </si>
  <si>
    <t>LOU</t>
    <phoneticPr fontId="1" type="noConversion"/>
  </si>
  <si>
    <t>SRU</t>
    <phoneticPr fontId="1" type="noConversion"/>
  </si>
  <si>
    <t>PEU</t>
    <phoneticPr fontId="1" type="noConversion"/>
  </si>
  <si>
    <t>crossbar</t>
    <phoneticPr fontId="1" type="noConversion"/>
  </si>
  <si>
    <t>ProDFA</t>
    <phoneticPr fontId="1" type="noConversion"/>
  </si>
  <si>
    <t>LSU</t>
    <phoneticPr fontId="1" type="noConversion"/>
  </si>
  <si>
    <t>CDP</t>
    <phoneticPr fontId="1" type="noConversion"/>
  </si>
  <si>
    <t>CCU</t>
    <phoneticPr fontId="1" type="noConversion"/>
  </si>
  <si>
    <t>MMACU</t>
    <phoneticPr fontId="1" type="noConversion"/>
  </si>
  <si>
    <t>interconnection bus</t>
    <phoneticPr fontId="1" type="noConversion"/>
  </si>
  <si>
    <t>RCPA</t>
    <phoneticPr fontId="1" type="noConversion"/>
  </si>
  <si>
    <t>移位单元</t>
    <phoneticPr fontId="1" type="noConversion"/>
  </si>
  <si>
    <t>有限域乘法</t>
    <phoneticPr fontId="1" type="noConversion"/>
  </si>
  <si>
    <t>模运算</t>
    <phoneticPr fontId="1" type="noConversion"/>
  </si>
  <si>
    <t>模乘法</t>
    <phoneticPr fontId="1" type="noConversion"/>
  </si>
  <si>
    <t>S盒</t>
    <phoneticPr fontId="1" type="noConversion"/>
  </si>
  <si>
    <t>置换单元</t>
    <phoneticPr fontId="1" type="noConversion"/>
  </si>
  <si>
    <t>逻辑运算单元</t>
    <phoneticPr fontId="1" type="noConversion"/>
  </si>
  <si>
    <t>ICM</t>
    <phoneticPr fontId="1" type="noConversion"/>
  </si>
  <si>
    <t xml:space="preserve"> </t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</si>
  <si>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</si>
  <si>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</si>
  <si>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</si>
  <si>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</si>
  <si>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</si>
  <si>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</si>
  <si>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架构</t>
  </si>
  <si>
    <r>
      <t>PE</t>
    </r>
    <r>
      <rPr>
        <sz val="14"/>
        <color rgb="FF000000"/>
        <rFont val="宋体"/>
        <family val="3"/>
        <charset val="134"/>
      </rPr>
      <t>类型</t>
    </r>
  </si>
  <si>
    <r>
      <t>主频</t>
    </r>
    <r>
      <rPr>
        <sz val="14"/>
        <color rgb="FF000000"/>
        <rFont val="Calibri"/>
        <family val="2"/>
      </rPr>
      <t>(MHz)</t>
    </r>
  </si>
  <si>
    <r>
      <t>面积</t>
    </r>
    <r>
      <rPr>
        <sz val="14"/>
        <color rgb="FF000000"/>
        <rFont val="Calibri"/>
        <family val="2"/>
      </rPr>
      <t>(gates)</t>
    </r>
  </si>
  <si>
    <t>算法映射评估</t>
  </si>
  <si>
    <t>算法</t>
  </si>
  <si>
    <r>
      <t>算法轮周期数</t>
    </r>
    <r>
      <rPr>
        <sz val="14"/>
        <color rgb="FF000000"/>
        <rFont val="Calibri"/>
        <family val="2"/>
      </rPr>
      <t>(cycles)</t>
    </r>
  </si>
  <si>
    <r>
      <t>算法轮面积</t>
    </r>
    <r>
      <rPr>
        <sz val="14"/>
        <color rgb="FF000000"/>
        <rFont val="Calibri"/>
        <family val="2"/>
      </rPr>
      <t>(gates)</t>
    </r>
  </si>
  <si>
    <r>
      <t>算法映射性能</t>
    </r>
    <r>
      <rPr>
        <sz val="14"/>
        <color rgb="FF000000"/>
        <rFont val="Calibri"/>
        <family val="2"/>
      </rPr>
      <t>(Gbps)</t>
    </r>
  </si>
  <si>
    <t>Celator</t>
  </si>
  <si>
    <t>功能并行</t>
  </si>
  <si>
    <r>
      <t>方案</t>
    </r>
    <r>
      <rPr>
        <sz val="14"/>
        <color rgb="FF000000"/>
        <rFont val="Calibri"/>
        <family val="2"/>
      </rPr>
      <t>1</t>
    </r>
  </si>
  <si>
    <t xml:space="preserve">  </t>
  </si>
  <si>
    <t>ProDFA</t>
  </si>
  <si>
    <r>
      <t>方案</t>
    </r>
    <r>
      <rPr>
        <sz val="14"/>
        <color rgb="FF000000"/>
        <rFont val="Calibri"/>
        <family val="2"/>
      </rPr>
      <t>2</t>
    </r>
  </si>
  <si>
    <t xml:space="preserve">  </t>
    <phoneticPr fontId="1" type="noConversion"/>
  </si>
  <si>
    <t>Cryptoraptor</t>
  </si>
  <si>
    <t>功能串并组合</t>
  </si>
  <si>
    <r>
      <t>方案</t>
    </r>
    <r>
      <rPr>
        <sz val="14"/>
        <color rgb="FF000000"/>
        <rFont val="Calibri"/>
        <family val="2"/>
      </rPr>
      <t>3</t>
    </r>
  </si>
  <si>
    <t>COBRA</t>
  </si>
  <si>
    <t>功能串行</t>
  </si>
  <si>
    <r>
      <t>方案</t>
    </r>
    <r>
      <rPr>
        <sz val="14"/>
        <color rgb="FF000000"/>
        <rFont val="Calibri"/>
        <family val="2"/>
      </rPr>
      <t>4</t>
    </r>
  </si>
  <si>
    <t>功能连接可不配置</t>
  </si>
  <si>
    <r>
      <t>方案</t>
    </r>
    <r>
      <rPr>
        <sz val="14"/>
        <color rgb="FF000000"/>
        <rFont val="Calibri"/>
        <family val="2"/>
      </rPr>
      <t>5</t>
    </r>
  </si>
  <si>
    <t>AES</t>
    <phoneticPr fontId="1" type="noConversion"/>
  </si>
  <si>
    <t>DES</t>
    <phoneticPr fontId="1" type="noConversion"/>
  </si>
  <si>
    <t>算法3</t>
    <phoneticPr fontId="1" type="noConversion"/>
  </si>
  <si>
    <r>
      <t>性能</t>
    </r>
    <r>
      <rPr>
        <sz val="14"/>
        <color rgb="FF000000"/>
        <rFont val="Calibri"/>
        <family val="2"/>
      </rPr>
      <t>/</t>
    </r>
    <r>
      <rPr>
        <sz val="14"/>
        <color rgb="FF000000"/>
        <rFont val="宋体"/>
        <family val="3"/>
        <charset val="134"/>
      </rPr>
      <t>面积</t>
    </r>
    <r>
      <rPr>
        <sz val="14"/>
        <color rgb="FF000000"/>
        <rFont val="Calibri"/>
        <family val="2"/>
      </rPr>
      <t>(0.01Mbps/gate)</t>
    </r>
    <phoneticPr fontId="1" type="noConversion"/>
  </si>
  <si>
    <t xml:space="preserve">  </t>
  </si>
  <si>
    <r>
      <t>算法映射面积</t>
    </r>
    <r>
      <rPr>
        <sz val="14"/>
        <color rgb="FF000000"/>
        <rFont val="Calibri"/>
        <family val="2"/>
      </rPr>
      <t>(gates)</t>
    </r>
    <phoneticPr fontId="1" type="noConversion"/>
  </si>
  <si>
    <t>CAST128</t>
  </si>
  <si>
    <t xml:space="preserve"> 5 </t>
  </si>
  <si>
    <t>4</t>
  </si>
  <si>
    <t>SERPENT</t>
  </si>
  <si>
    <t xml:space="preserve"> 7 </t>
  </si>
  <si>
    <t>5</t>
  </si>
  <si>
    <t xml:space="preserve">M6     </t>
  </si>
  <si>
    <t xml:space="preserve"> 9 </t>
  </si>
  <si>
    <t>6</t>
  </si>
  <si>
    <t xml:space="preserve">NUSH   </t>
  </si>
  <si>
    <t xml:space="preserve"> 3 </t>
  </si>
  <si>
    <t>2</t>
  </si>
  <si>
    <t xml:space="preserve">RC5    </t>
  </si>
  <si>
    <t xml:space="preserve"> 2 </t>
  </si>
  <si>
    <t>1</t>
  </si>
  <si>
    <t xml:space="preserve">RC6    </t>
  </si>
  <si>
    <t xml:space="preserve">TEA    </t>
  </si>
  <si>
    <t xml:space="preserve">XTEA   </t>
  </si>
  <si>
    <t xml:space="preserve">GOST   </t>
  </si>
  <si>
    <t>算法</t>
    <phoneticPr fontId="1" type="noConversion"/>
  </si>
  <si>
    <t>原结构映射周期</t>
    <phoneticPr fontId="1" type="noConversion"/>
  </si>
  <si>
    <t>新结构映射周期</t>
    <phoneticPr fontId="1" type="noConversion"/>
  </si>
  <si>
    <t>面积消耗减少比例</t>
    <phoneticPr fontId="1" type="noConversion"/>
  </si>
  <si>
    <t>算子</t>
    <phoneticPr fontId="1" type="noConversion"/>
  </si>
  <si>
    <t>算子总出现次数</t>
    <phoneticPr fontId="1" type="noConversion"/>
  </si>
  <si>
    <t>与其它算子的组合</t>
    <phoneticPr fontId="1" type="noConversion"/>
  </si>
  <si>
    <t>算子组合</t>
    <phoneticPr fontId="1" type="noConversion"/>
  </si>
  <si>
    <t>频率</t>
    <phoneticPr fontId="1" type="noConversion"/>
  </si>
  <si>
    <t>7:15</t>
  </si>
  <si>
    <t>10:15</t>
  </si>
  <si>
    <t>12:16</t>
  </si>
  <si>
    <t>27:36</t>
  </si>
  <si>
    <t>21:27</t>
  </si>
  <si>
    <t>5:6</t>
  </si>
  <si>
    <t>4:6</t>
  </si>
  <si>
    <t>6:36</t>
  </si>
  <si>
    <r>
      <rPr>
        <sz val="14"/>
        <color rgb="FF000000"/>
        <rFont val="宋体"/>
        <family val="3"/>
        <charset val="134"/>
      </rPr>
      <t>移位</t>
    </r>
    <r>
      <rPr>
        <sz val="14"/>
        <color rgb="FF000000"/>
        <rFont val="Calibri"/>
        <family val="2"/>
      </rPr>
      <t>(SH)</t>
    </r>
    <phoneticPr fontId="1" type="noConversion"/>
  </si>
  <si>
    <r>
      <t>PER(</t>
    </r>
    <r>
      <rPr>
        <sz val="14"/>
        <color rgb="FF000000"/>
        <rFont val="宋体"/>
        <family val="3"/>
        <charset val="134"/>
      </rPr>
      <t>置换</t>
    </r>
    <r>
      <rPr>
        <sz val="14"/>
        <color rgb="FF000000"/>
        <rFont val="Calibri"/>
        <family val="2"/>
      </rPr>
      <t>)</t>
    </r>
    <phoneticPr fontId="1" type="noConversion"/>
  </si>
  <si>
    <t>ALU(算术运算)</t>
  </si>
  <si>
    <t>TLU(查找表)</t>
  </si>
  <si>
    <t>TLU SH</t>
  </si>
  <si>
    <r>
      <t>LOU(</t>
    </r>
    <r>
      <rPr>
        <sz val="14"/>
        <color rgb="FF000000"/>
        <rFont val="宋体"/>
        <family val="3"/>
        <charset val="134"/>
      </rPr>
      <t>逻辑</t>
    </r>
    <r>
      <rPr>
        <sz val="14"/>
        <color rgb="FF000000"/>
        <rFont val="Calibri"/>
        <family val="2"/>
      </rPr>
      <t>)</t>
    </r>
    <phoneticPr fontId="1" type="noConversion"/>
  </si>
  <si>
    <t>36:36</t>
  </si>
  <si>
    <t>11:36</t>
  </si>
  <si>
    <t>SH LOU</t>
  </si>
  <si>
    <t>SH (LOU) ALU</t>
  </si>
  <si>
    <t>LOU SH</t>
  </si>
  <si>
    <t>ALU (LOU) SH</t>
  </si>
  <si>
    <t>ALU LOU</t>
  </si>
  <si>
    <t>LOU ALU</t>
  </si>
  <si>
    <t>TLU LOU</t>
  </si>
  <si>
    <t>LOU TLU</t>
  </si>
  <si>
    <t>PER LOU</t>
  </si>
  <si>
    <t>LOU PER</t>
  </si>
  <si>
    <t>LOU LOU</t>
  </si>
  <si>
    <t>LOU LOU LOU</t>
  </si>
  <si>
    <t>算子延迟(ns)</t>
    <phoneticPr fontId="1" type="noConversion"/>
  </si>
  <si>
    <t>组合延迟（ns）</t>
    <phoneticPr fontId="1" type="noConversion"/>
  </si>
  <si>
    <t>列混淆（矩阵相乘）</t>
    <phoneticPr fontId="1" type="noConversion"/>
  </si>
  <si>
    <t>功能单元使用</t>
  </si>
  <si>
    <t>AU</t>
  </si>
  <si>
    <t>SH</t>
  </si>
  <si>
    <t>PER</t>
  </si>
  <si>
    <t>LUT</t>
  </si>
  <si>
    <t>GFM</t>
  </si>
  <si>
    <t>本文</t>
  </si>
  <si>
    <t>TWOFISH</t>
  </si>
  <si>
    <t>RC5</t>
  </si>
  <si>
    <t>RC6</t>
  </si>
  <si>
    <t>SEED</t>
  </si>
  <si>
    <t>BLOWFISH</t>
  </si>
  <si>
    <t>IDEA</t>
  </si>
  <si>
    <t>CAMELLIA</t>
  </si>
  <si>
    <t>TEA</t>
  </si>
  <si>
    <t>更多算法</t>
  </si>
  <si>
    <t>项目中的架构</t>
  </si>
  <si>
    <t>Cyptoraptor</t>
  </si>
  <si>
    <t>更多架构</t>
  </si>
  <si>
    <t>0</t>
    <phoneticPr fontId="1" type="noConversion"/>
  </si>
  <si>
    <t>映射行数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</si>
</sst>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_ "/>
    <numFmt numFmtId="177" formatCode="0_);[Red]\(0\)"/>
    <numFmt numFmtId="178" formatCode="0_ "/>
    <numFmt numFmtId="179" formatCode="0.0_ "/>
    <numFmt numFmtId="180" formatCode="0.00_);[Red]\(0.00\)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6" tint="0.59999389629810485"/>
      <name val="宋体"/>
      <family val="2"/>
      <charset val="134"/>
      <scheme val="minor"/>
    </font>
    <font>
      <sz val="7"/>
      <color rgb="FF000000"/>
      <name val="Times-Roman"/>
      <family val="1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000000"/>
      <name val="LMRoman12-Regular"/>
      <family val="2"/>
    </font>
    <font>
      <sz val="18"/>
      <name val="Arial"/>
      <family val="2"/>
    </font>
    <font>
      <sz val="14"/>
      <color rgb="FF000000"/>
      <name val="宋体"/>
      <family val="3"/>
      <charset val="134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thin">
        <color rgb="FF000000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thin">
        <color rgb="FF000000"/>
      </top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 style="thin">
        <color rgb="FF000000"/>
      </top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/>
      <diagonal/>
    </border>
    <border>
      <left style="thin">
        <color rgb="FF000000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/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/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/>
      <bottom style="thin">
        <color rgb="FF000000"/>
      </bottom>
      <diagonal/>
    </border>
    <border>
      <left style="medium">
        <color rgb="FF999999"/>
      </left>
      <right style="thin">
        <color rgb="FF000000"/>
      </right>
      <top/>
      <bottom style="thin">
        <color rgb="FF000000"/>
      </bottom>
      <diagonal/>
    </border>
    <border>
      <left style="medium">
        <color rgb="FF999999"/>
      </left>
      <right/>
      <top/>
      <bottom/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 style="thin">
        <color rgb="FF000000"/>
      </left>
      <right style="medium">
        <color rgb="FF999999"/>
      </right>
      <top style="thin">
        <color rgb="FF000000"/>
      </top>
      <bottom/>
      <diagonal/>
    </border>
    <border>
      <left style="medium">
        <color rgb="FF999999"/>
      </left>
      <right style="medium">
        <color rgb="FF999999"/>
      </right>
      <top style="thin">
        <color rgb="FF000000"/>
      </top>
      <bottom/>
      <diagonal/>
    </border>
    <border>
      <left style="medium">
        <color rgb="FF999999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999999"/>
      </right>
      <top/>
      <bottom/>
      <diagonal/>
    </border>
    <border>
      <left style="medium">
        <color rgb="FF999999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n">
        <color rgb="FF000000"/>
      </bottom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0" fillId="11" borderId="0" xfId="0" applyFill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11" borderId="0" xfId="0" applyFill="1">
      <alignment vertical="center"/>
    </xf>
    <xf numFmtId="0" fontId="4" fillId="0" borderId="0" xfId="0" applyFont="1">
      <alignment vertical="center"/>
    </xf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3" fillId="4" borderId="2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0" borderId="4" xfId="0" applyFill="1" applyBorder="1">
      <alignment vertical="center"/>
    </xf>
    <xf numFmtId="0" fontId="0" fillId="3" borderId="1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0" fontId="7" fillId="12" borderId="12" xfId="0" applyFont="1" applyFill="1" applyBorder="1" applyAlignment="1">
      <alignment vertical="center" wrapText="1"/>
    </xf>
    <xf numFmtId="0" fontId="7" fillId="12" borderId="15" xfId="0" applyFont="1" applyFill="1" applyBorder="1" applyAlignment="1">
      <alignment vertical="center" wrapText="1"/>
    </xf>
    <xf numFmtId="0" fontId="8" fillId="12" borderId="16" xfId="0" applyFont="1" applyFill="1" applyBorder="1" applyAlignment="1">
      <alignment vertical="center" wrapText="1"/>
    </xf>
    <xf numFmtId="0" fontId="7" fillId="12" borderId="16" xfId="0" applyFont="1" applyFill="1" applyBorder="1" applyAlignment="1">
      <alignment vertical="center" wrapText="1"/>
    </xf>
    <xf numFmtId="0" fontId="8" fillId="12" borderId="17" xfId="0" applyFont="1" applyFill="1" applyBorder="1" applyAlignment="1">
      <alignment vertical="center" wrapText="1"/>
    </xf>
    <xf numFmtId="0" fontId="7" fillId="12" borderId="22" xfId="0" applyFont="1" applyFill="1" applyBorder="1" applyAlignment="1">
      <alignment vertical="center" wrapText="1"/>
    </xf>
    <xf numFmtId="0" fontId="7" fillId="12" borderId="23" xfId="0" applyFont="1" applyFill="1" applyBorder="1" applyAlignment="1">
      <alignment vertical="center" wrapText="1"/>
    </xf>
    <xf numFmtId="178" fontId="0" fillId="0" borderId="0" xfId="0" applyNumberFormat="1">
      <alignment vertical="center"/>
    </xf>
    <xf numFmtId="178" fontId="7" fillId="12" borderId="16" xfId="0" applyNumberFormat="1" applyFont="1" applyFill="1" applyBorder="1" applyAlignment="1">
      <alignment vertical="center" wrapText="1"/>
    </xf>
    <xf numFmtId="178" fontId="7" fillId="12" borderId="12" xfId="0" applyNumberFormat="1" applyFont="1" applyFill="1" applyBorder="1" applyAlignment="1">
      <alignment vertical="center" wrapText="1"/>
    </xf>
    <xf numFmtId="0" fontId="8" fillId="12" borderId="27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center" wrapText="1"/>
    </xf>
    <xf numFmtId="0" fontId="7" fillId="12" borderId="17" xfId="0" applyFont="1" applyFill="1" applyBorder="1" applyAlignment="1">
      <alignment vertical="center" wrapText="1"/>
    </xf>
    <xf numFmtId="0" fontId="9" fillId="12" borderId="28" xfId="0" applyFont="1" applyFill="1" applyBorder="1" applyAlignment="1">
      <alignment vertical="center" wrapText="1"/>
    </xf>
    <xf numFmtId="0" fontId="9" fillId="12" borderId="14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top" wrapText="1"/>
    </xf>
    <xf numFmtId="0" fontId="7" fillId="12" borderId="30" xfId="0" applyFont="1" applyFill="1" applyBorder="1" applyAlignment="1">
      <alignment vertical="center" wrapText="1"/>
    </xf>
    <xf numFmtId="0" fontId="7" fillId="12" borderId="34" xfId="0" applyFont="1" applyFill="1" applyBorder="1" applyAlignment="1">
      <alignment vertical="center" wrapText="1"/>
    </xf>
    <xf numFmtId="0" fontId="7" fillId="12" borderId="35" xfId="0" applyFont="1" applyFill="1" applyBorder="1" applyAlignment="1">
      <alignment vertical="center" wrapText="1"/>
    </xf>
    <xf numFmtId="0" fontId="7" fillId="12" borderId="35" xfId="0" applyFont="1" applyFill="1" applyBorder="1" applyAlignment="1">
      <alignment vertical="top" wrapText="1"/>
    </xf>
    <xf numFmtId="0" fontId="7" fillId="12" borderId="36" xfId="0" applyFont="1" applyFill="1" applyBorder="1" applyAlignment="1">
      <alignment vertical="center" wrapText="1"/>
    </xf>
    <xf numFmtId="178" fontId="7" fillId="12" borderId="35" xfId="0" applyNumberFormat="1" applyFont="1" applyFill="1" applyBorder="1" applyAlignment="1">
      <alignment vertical="top" wrapText="1"/>
    </xf>
    <xf numFmtId="179" fontId="0" fillId="0" borderId="0" xfId="0" applyNumberFormat="1">
      <alignment vertical="center"/>
    </xf>
    <xf numFmtId="0" fontId="11" fillId="0" borderId="37" xfId="0" applyFont="1" applyBorder="1" applyAlignment="1">
      <alignment horizontal="center" vertical="center" wrapText="1" readingOrder="1"/>
    </xf>
    <xf numFmtId="0" fontId="12" fillId="0" borderId="37" xfId="0" applyFont="1" applyBorder="1" applyAlignment="1">
      <alignment horizontal="center" vertical="center" wrapText="1" readingOrder="1"/>
    </xf>
    <xf numFmtId="180" fontId="11" fillId="0" borderId="37" xfId="0" applyNumberFormat="1" applyFont="1" applyBorder="1" applyAlignment="1">
      <alignment horizontal="center" vertical="center" wrapText="1" readingOrder="1"/>
    </xf>
    <xf numFmtId="180" fontId="0" fillId="0" borderId="0" xfId="0" applyNumberFormat="1">
      <alignment vertical="center"/>
    </xf>
    <xf numFmtId="0" fontId="12" fillId="0" borderId="38" xfId="0" applyFont="1" applyBorder="1" applyAlignment="1">
      <alignment horizontal="center" vertical="center" wrapText="1" readingOrder="1"/>
    </xf>
    <xf numFmtId="0" fontId="12" fillId="0" borderId="43" xfId="0" applyFont="1" applyBorder="1" applyAlignment="1">
      <alignment horizontal="center" vertical="center" wrapText="1" readingOrder="1"/>
    </xf>
    <xf numFmtId="0" fontId="12" fillId="0" borderId="39" xfId="0" applyFont="1" applyBorder="1" applyAlignment="1">
      <alignment horizontal="center" vertical="center" wrapText="1" readingOrder="1"/>
    </xf>
    <xf numFmtId="0" fontId="11" fillId="0" borderId="38" xfId="0" applyFont="1" applyBorder="1" applyAlignment="1">
      <alignment horizontal="center" vertical="center" wrapText="1" readingOrder="1"/>
    </xf>
    <xf numFmtId="0" fontId="11" fillId="0" borderId="43" xfId="0" applyFont="1" applyBorder="1" applyAlignment="1">
      <alignment horizontal="center" vertical="center" wrapText="1" readingOrder="1"/>
    </xf>
    <xf numFmtId="0" fontId="11" fillId="0" borderId="39" xfId="0" applyFont="1" applyBorder="1" applyAlignment="1">
      <alignment horizontal="center" vertical="center" wrapText="1" readingOrder="1"/>
    </xf>
    <xf numFmtId="10" fontId="12" fillId="0" borderId="37" xfId="0" applyNumberFormat="1" applyFont="1" applyBorder="1" applyAlignment="1">
      <alignment horizontal="center" vertical="center" wrapText="1" readingOrder="1"/>
    </xf>
    <xf numFmtId="20" fontId="12" fillId="0" borderId="37" xfId="0" applyNumberFormat="1" applyFont="1" applyBorder="1" applyAlignment="1">
      <alignment horizontal="center" vertical="center" wrapText="1" readingOrder="1"/>
    </xf>
    <xf numFmtId="0" fontId="12" fillId="0" borderId="37" xfId="0" applyNumberFormat="1" applyFont="1" applyBorder="1" applyAlignment="1">
      <alignment horizontal="center" vertical="center" wrapText="1" readingOrder="1"/>
    </xf>
    <xf numFmtId="180" fontId="12" fillId="0" borderId="37" xfId="0" applyNumberFormat="1" applyFont="1" applyBorder="1" applyAlignment="1">
      <alignment horizontal="center" vertical="center" wrapText="1" readingOrder="1"/>
    </xf>
    <xf numFmtId="180" fontId="11" fillId="0" borderId="44" xfId="0" applyNumberFormat="1" applyFont="1" applyBorder="1" applyAlignment="1">
      <alignment horizontal="center" vertical="center" wrapText="1" readingOrder="1"/>
    </xf>
    <xf numFmtId="180" fontId="11" fillId="0" borderId="39" xfId="0" applyNumberFormat="1" applyFont="1" applyBorder="1" applyAlignment="1">
      <alignment horizontal="center" vertical="center" wrapText="1" readingOrder="1"/>
    </xf>
    <xf numFmtId="180" fontId="12" fillId="0" borderId="38" xfId="0" applyNumberFormat="1" applyFont="1" applyBorder="1" applyAlignment="1">
      <alignment horizontal="center" vertical="center" wrapText="1" readingOrder="1"/>
    </xf>
    <xf numFmtId="180" fontId="12" fillId="0" borderId="43" xfId="0" applyNumberFormat="1" applyFont="1" applyBorder="1" applyAlignment="1">
      <alignment horizontal="center" vertical="center" wrapText="1" readingOrder="1"/>
    </xf>
    <xf numFmtId="180" fontId="12" fillId="0" borderId="39" xfId="0" applyNumberFormat="1" applyFont="1" applyBorder="1" applyAlignment="1">
      <alignment horizontal="center" vertical="center" wrapText="1" readingOrder="1"/>
    </xf>
    <xf numFmtId="180" fontId="12" fillId="0" borderId="38" xfId="0" applyNumberFormat="1" applyFont="1" applyBorder="1" applyAlignment="1">
      <alignment horizontal="left" vertical="center" wrapText="1" readingOrder="1"/>
    </xf>
    <xf numFmtId="180" fontId="12" fillId="0" borderId="43" xfId="0" applyNumberFormat="1" applyFont="1" applyBorder="1" applyAlignment="1">
      <alignment horizontal="left" vertical="center" wrapText="1" readingOrder="1"/>
    </xf>
    <xf numFmtId="180" fontId="12" fillId="0" borderId="39" xfId="0" applyNumberFormat="1" applyFont="1" applyBorder="1" applyAlignment="1">
      <alignment horizontal="left" vertical="center" wrapText="1" readingOrder="1"/>
    </xf>
    <xf numFmtId="0" fontId="14" fillId="0" borderId="48" xfId="0" applyFont="1" applyBorder="1" applyAlignment="1">
      <alignment horizontal="justify" vertical="center" wrapText="1"/>
    </xf>
    <xf numFmtId="0" fontId="14" fillId="0" borderId="48" xfId="0" applyFont="1" applyBorder="1" applyAlignment="1">
      <alignment horizontal="justify" vertical="center"/>
    </xf>
    <xf numFmtId="0" fontId="15" fillId="0" borderId="48" xfId="0" applyFont="1" applyBorder="1" applyAlignment="1">
      <alignment horizontal="justify" vertical="center" wrapText="1"/>
    </xf>
    <xf numFmtId="0" fontId="15" fillId="0" borderId="48" xfId="0" applyFont="1" applyBorder="1" applyAlignment="1">
      <alignment horizontal="justify" vertical="center"/>
    </xf>
    <xf numFmtId="180" fontId="15" fillId="0" borderId="48" xfId="0" applyNumberFormat="1" applyFont="1" applyBorder="1" applyAlignment="1">
      <alignment horizontal="justify" vertical="center" wrapText="1"/>
    </xf>
    <xf numFmtId="49" fontId="15" fillId="0" borderId="48" xfId="0" applyNumberFormat="1" applyFont="1" applyBorder="1" applyAlignment="1">
      <alignment horizontal="justify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12" borderId="19" xfId="0" applyFont="1" applyFill="1" applyBorder="1" applyAlignment="1">
      <alignment vertical="center" wrapText="1"/>
    </xf>
    <xf numFmtId="0" fontId="7" fillId="12" borderId="26" xfId="0" applyFont="1" applyFill="1" applyBorder="1" applyAlignment="1">
      <alignment vertical="center" wrapText="1"/>
    </xf>
    <xf numFmtId="0" fontId="7" fillId="12" borderId="18" xfId="0" applyFont="1" applyFill="1" applyBorder="1" applyAlignment="1">
      <alignment vertical="center" wrapText="1"/>
    </xf>
    <xf numFmtId="0" fontId="7" fillId="12" borderId="20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center" wrapText="1"/>
    </xf>
    <xf numFmtId="0" fontId="7" fillId="12" borderId="14" xfId="0" applyFont="1" applyFill="1" applyBorder="1" applyAlignment="1">
      <alignment vertical="center" wrapText="1"/>
    </xf>
    <xf numFmtId="178" fontId="7" fillId="12" borderId="13" xfId="0" applyNumberFormat="1" applyFont="1" applyFill="1" applyBorder="1" applyAlignment="1">
      <alignment vertical="center" wrapText="1"/>
    </xf>
    <xf numFmtId="178" fontId="7" fillId="12" borderId="14" xfId="0" applyNumberFormat="1" applyFont="1" applyFill="1" applyBorder="1" applyAlignment="1">
      <alignment vertical="center" wrapText="1"/>
    </xf>
    <xf numFmtId="0" fontId="7" fillId="12" borderId="21" xfId="0" applyFont="1" applyFill="1" applyBorder="1" applyAlignment="1">
      <alignment vertical="center" wrapText="1"/>
    </xf>
    <xf numFmtId="0" fontId="7" fillId="12" borderId="24" xfId="0" applyFont="1" applyFill="1" applyBorder="1" applyAlignment="1">
      <alignment vertical="center" wrapText="1"/>
    </xf>
    <xf numFmtId="0" fontId="6" fillId="12" borderId="13" xfId="0" applyFont="1" applyFill="1" applyBorder="1" applyAlignment="1">
      <alignment vertical="center" wrapText="1"/>
    </xf>
    <xf numFmtId="0" fontId="6" fillId="12" borderId="25" xfId="0" applyFont="1" applyFill="1" applyBorder="1" applyAlignment="1">
      <alignment vertical="center" wrapText="1"/>
    </xf>
    <xf numFmtId="0" fontId="7" fillId="12" borderId="25" xfId="0" applyFont="1" applyFill="1" applyBorder="1" applyAlignment="1">
      <alignment vertical="center" wrapText="1"/>
    </xf>
    <xf numFmtId="0" fontId="6" fillId="12" borderId="14" xfId="0" applyFont="1" applyFill="1" applyBorder="1" applyAlignment="1">
      <alignment vertical="center" wrapText="1"/>
    </xf>
    <xf numFmtId="0" fontId="7" fillId="12" borderId="29" xfId="0" applyFont="1" applyFill="1" applyBorder="1" applyAlignment="1">
      <alignment vertical="center" wrapText="1"/>
    </xf>
    <xf numFmtId="0" fontId="7" fillId="12" borderId="32" xfId="0" applyFont="1" applyFill="1" applyBorder="1" applyAlignment="1">
      <alignment vertical="center" wrapText="1"/>
    </xf>
    <xf numFmtId="0" fontId="7" fillId="12" borderId="30" xfId="0" applyFont="1" applyFill="1" applyBorder="1" applyAlignment="1">
      <alignment vertical="top" wrapText="1"/>
    </xf>
    <xf numFmtId="0" fontId="7" fillId="12" borderId="28" xfId="0" applyFont="1" applyFill="1" applyBorder="1" applyAlignment="1">
      <alignment vertical="top" wrapText="1"/>
    </xf>
    <xf numFmtId="0" fontId="7" fillId="12" borderId="14" xfId="0" applyFont="1" applyFill="1" applyBorder="1" applyAlignment="1">
      <alignment vertical="top" wrapText="1"/>
    </xf>
    <xf numFmtId="178" fontId="7" fillId="12" borderId="28" xfId="0" applyNumberFormat="1" applyFont="1" applyFill="1" applyBorder="1" applyAlignment="1">
      <alignment vertical="center" wrapText="1"/>
    </xf>
    <xf numFmtId="0" fontId="7" fillId="12" borderId="31" xfId="0" applyFont="1" applyFill="1" applyBorder="1" applyAlignment="1">
      <alignment vertical="center" wrapText="1"/>
    </xf>
    <xf numFmtId="0" fontId="7" fillId="12" borderId="33" xfId="0" applyFont="1" applyFill="1" applyBorder="1" applyAlignment="1">
      <alignment vertical="center" wrapText="1"/>
    </xf>
    <xf numFmtId="0" fontId="7" fillId="12" borderId="19" xfId="0" applyFont="1" applyFill="1" applyBorder="1" applyAlignment="1">
      <alignment vertical="top" wrapText="1"/>
    </xf>
    <xf numFmtId="0" fontId="7" fillId="12" borderId="21" xfId="0" applyFont="1" applyFill="1" applyBorder="1" applyAlignment="1">
      <alignment vertical="top" wrapText="1"/>
    </xf>
    <xf numFmtId="0" fontId="7" fillId="12" borderId="13" xfId="0" applyFont="1" applyFill="1" applyBorder="1" applyAlignment="1">
      <alignment vertical="top" wrapText="1"/>
    </xf>
    <xf numFmtId="178" fontId="7" fillId="12" borderId="13" xfId="0" applyNumberFormat="1" applyFont="1" applyFill="1" applyBorder="1" applyAlignment="1">
      <alignment vertical="top" wrapText="1"/>
    </xf>
    <xf numFmtId="178" fontId="7" fillId="12" borderId="28" xfId="0" applyNumberFormat="1" applyFont="1" applyFill="1" applyBorder="1" applyAlignment="1">
      <alignment vertical="top" wrapText="1"/>
    </xf>
    <xf numFmtId="178" fontId="7" fillId="12" borderId="14" xfId="0" applyNumberFormat="1" applyFont="1" applyFill="1" applyBorder="1" applyAlignment="1">
      <alignment vertical="top" wrapText="1"/>
    </xf>
    <xf numFmtId="0" fontId="7" fillId="12" borderId="33" xfId="0" applyFont="1" applyFill="1" applyBorder="1" applyAlignment="1">
      <alignment vertical="top" wrapText="1"/>
    </xf>
    <xf numFmtId="0" fontId="7" fillId="12" borderId="28" xfId="0" applyFont="1" applyFill="1" applyBorder="1" applyAlignment="1">
      <alignment vertical="center" wrapText="1"/>
    </xf>
    <xf numFmtId="0" fontId="11" fillId="0" borderId="40" xfId="0" applyFont="1" applyBorder="1" applyAlignment="1">
      <alignment horizontal="center" vertical="center" wrapText="1" readingOrder="1"/>
    </xf>
    <xf numFmtId="0" fontId="11" fillId="0" borderId="41" xfId="0" applyFont="1" applyBorder="1" applyAlignment="1">
      <alignment horizontal="center" vertical="center" wrapText="1" readingOrder="1"/>
    </xf>
    <xf numFmtId="0" fontId="11" fillId="0" borderId="42" xfId="0" applyFont="1" applyBorder="1" applyAlignment="1">
      <alignment horizontal="center" vertical="center" wrapText="1" readingOrder="1"/>
    </xf>
    <xf numFmtId="0" fontId="11" fillId="0" borderId="38" xfId="0" applyFont="1" applyBorder="1" applyAlignment="1">
      <alignment horizontal="center" vertical="center" wrapText="1" readingOrder="1"/>
    </xf>
    <xf numFmtId="0" fontId="11" fillId="0" borderId="43" xfId="0" applyFont="1" applyBorder="1" applyAlignment="1">
      <alignment horizontal="center" vertical="center" wrapText="1" readingOrder="1"/>
    </xf>
    <xf numFmtId="0" fontId="11" fillId="0" borderId="39" xfId="0" applyFont="1" applyBorder="1" applyAlignment="1">
      <alignment horizontal="center" vertical="center" wrapText="1" readingOrder="1"/>
    </xf>
    <xf numFmtId="0" fontId="12" fillId="0" borderId="38" xfId="0" applyFont="1" applyBorder="1" applyAlignment="1">
      <alignment horizontal="center" vertical="center" wrapText="1" readingOrder="1"/>
    </xf>
    <xf numFmtId="0" fontId="12" fillId="0" borderId="43" xfId="0" applyFont="1" applyBorder="1" applyAlignment="1">
      <alignment horizontal="center" vertical="center" wrapText="1" readingOrder="1"/>
    </xf>
    <xf numFmtId="0" fontId="12" fillId="0" borderId="39" xfId="0" applyFont="1" applyBorder="1" applyAlignment="1">
      <alignment horizontal="center" vertical="center" wrapText="1" readingOrder="1"/>
    </xf>
    <xf numFmtId="0" fontId="10" fillId="0" borderId="38" xfId="0" applyFont="1" applyBorder="1" applyAlignment="1">
      <alignment horizontal="center" vertical="top" wrapText="1"/>
    </xf>
    <xf numFmtId="0" fontId="10" fillId="0" borderId="43" xfId="0" applyFont="1" applyBorder="1" applyAlignment="1">
      <alignment horizontal="center" vertical="top" wrapText="1"/>
    </xf>
    <xf numFmtId="0" fontId="10" fillId="0" borderId="39" xfId="0" applyFont="1" applyBorder="1" applyAlignment="1">
      <alignment horizontal="center" vertical="top" wrapText="1"/>
    </xf>
    <xf numFmtId="0" fontId="13" fillId="0" borderId="38" xfId="0" applyFont="1" applyBorder="1" applyAlignment="1">
      <alignment horizontal="left" vertical="center" wrapText="1" readingOrder="1"/>
    </xf>
    <xf numFmtId="0" fontId="13" fillId="0" borderId="43" xfId="0" applyFont="1" applyBorder="1" applyAlignment="1">
      <alignment horizontal="left" vertical="center" wrapText="1" readingOrder="1"/>
    </xf>
    <xf numFmtId="0" fontId="13" fillId="0" borderId="39" xfId="0" applyFont="1" applyBorder="1" applyAlignment="1">
      <alignment horizontal="left" vertical="center" wrapText="1" readingOrder="1"/>
    </xf>
    <xf numFmtId="0" fontId="12" fillId="0" borderId="38" xfId="0" applyFont="1" applyBorder="1" applyAlignment="1">
      <alignment horizontal="left" vertical="center" wrapText="1" readingOrder="1"/>
    </xf>
    <xf numFmtId="0" fontId="12" fillId="0" borderId="43" xfId="0" applyFont="1" applyBorder="1" applyAlignment="1">
      <alignment horizontal="left" vertical="center" wrapText="1" readingOrder="1"/>
    </xf>
    <xf numFmtId="0" fontId="12" fillId="0" borderId="39" xfId="0" applyFont="1" applyBorder="1" applyAlignment="1">
      <alignment horizontal="left" vertical="center" wrapText="1" readingOrder="1"/>
    </xf>
    <xf numFmtId="20" fontId="12" fillId="0" borderId="38" xfId="0" applyNumberFormat="1" applyFont="1" applyBorder="1" applyAlignment="1">
      <alignment horizontal="center" vertical="center" wrapText="1" readingOrder="1"/>
    </xf>
    <xf numFmtId="46" fontId="12" fillId="0" borderId="38" xfId="0" applyNumberFormat="1" applyFont="1" applyBorder="1" applyAlignment="1">
      <alignment horizontal="center" vertical="center" wrapText="1" readingOrder="1"/>
    </xf>
    <xf numFmtId="46" fontId="12" fillId="0" borderId="43" xfId="0" applyNumberFormat="1" applyFont="1" applyBorder="1" applyAlignment="1">
      <alignment horizontal="center" vertical="center" wrapText="1" readingOrder="1"/>
    </xf>
    <xf numFmtId="46" fontId="12" fillId="0" borderId="39" xfId="0" applyNumberFormat="1" applyFont="1" applyBorder="1" applyAlignment="1">
      <alignment horizontal="center" vertical="center" wrapText="1" readingOrder="1"/>
    </xf>
    <xf numFmtId="0" fontId="14" fillId="0" borderId="45" xfId="0" applyFont="1" applyBorder="1" applyAlignment="1">
      <alignment horizontal="justify" vertical="center" wrapText="1"/>
    </xf>
    <xf numFmtId="0" fontId="14" fillId="0" borderId="50" xfId="0" applyFont="1" applyBorder="1" applyAlignment="1">
      <alignment horizontal="justify" vertical="center" wrapText="1"/>
    </xf>
    <xf numFmtId="0" fontId="14" fillId="0" borderId="46" xfId="0" applyFont="1" applyBorder="1" applyAlignment="1">
      <alignment horizontal="justify" vertical="center" wrapText="1"/>
    </xf>
    <xf numFmtId="0" fontId="15" fillId="0" borderId="45" xfId="0" applyFont="1" applyBorder="1" applyAlignment="1">
      <alignment horizontal="justify" vertical="center" wrapText="1"/>
    </xf>
    <xf numFmtId="0" fontId="15" fillId="0" borderId="50" xfId="0" applyFont="1" applyBorder="1" applyAlignment="1">
      <alignment horizontal="justify" vertical="center" wrapText="1"/>
    </xf>
    <xf numFmtId="0" fontId="15" fillId="0" borderId="46" xfId="0" applyFont="1" applyBorder="1" applyAlignment="1">
      <alignment horizontal="justify" vertical="center" wrapText="1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5" xfId="0" applyFont="1" applyBorder="1" applyAlignment="1">
      <alignment horizontal="justify" vertical="center"/>
    </xf>
    <xf numFmtId="0" fontId="15" fillId="0" borderId="46" xfId="0" applyFont="1" applyBorder="1" applyAlignment="1">
      <alignment horizontal="justify" vertical="center"/>
    </xf>
    <xf numFmtId="0" fontId="15" fillId="0" borderId="51" xfId="0" applyFont="1" applyBorder="1" applyAlignment="1">
      <alignment horizontal="justify" vertical="center" wrapText="1"/>
    </xf>
    <xf numFmtId="0" fontId="15" fillId="0" borderId="49" xfId="0" applyFont="1" applyBorder="1" applyAlignment="1">
      <alignment horizontal="justify" vertical="center" wrapText="1"/>
    </xf>
    <xf numFmtId="0" fontId="15" fillId="0" borderId="47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30</xdr:row>
          <xdr:rowOff>152400</xdr:rowOff>
        </xdr:from>
        <xdr:to>
          <xdr:col>2</xdr:col>
          <xdr:colOff>533400</xdr:colOff>
          <xdr:row>52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172200</xdr:colOff>
      <xdr:row>0</xdr:row>
      <xdr:rowOff>0</xdr:rowOff>
    </xdr:from>
    <xdr:to>
      <xdr:col>13</xdr:col>
      <xdr:colOff>466631</xdr:colOff>
      <xdr:row>31</xdr:row>
      <xdr:rowOff>57150</xdr:rowOff>
    </xdr:to>
    <xdr:pic>
      <xdr:nvPicPr>
        <xdr:cNvPr id="11265" name="Picture 1" descr="https://ilmukripto.files.wordpress.com/2009/12/twofish-skema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800" y="0"/>
          <a:ext cx="4409231" cy="537210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2</xdr:row>
      <xdr:rowOff>0</xdr:rowOff>
    </xdr:from>
    <xdr:to>
      <xdr:col>14</xdr:col>
      <xdr:colOff>342289</xdr:colOff>
      <xdr:row>4</xdr:row>
      <xdr:rowOff>57100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342900"/>
          <a:ext cx="4885714" cy="40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638175</xdr:colOff>
          <xdr:row>4</xdr:row>
          <xdr:rowOff>95250</xdr:rowOff>
        </xdr:from>
        <xdr:to>
          <xdr:col>13</xdr:col>
          <xdr:colOff>333375</xdr:colOff>
          <xdr:row>22</xdr:row>
          <xdr:rowOff>85725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463641</xdr:colOff>
      <xdr:row>7</xdr:row>
      <xdr:rowOff>124239</xdr:rowOff>
    </xdr:from>
    <xdr:to>
      <xdr:col>7</xdr:col>
      <xdr:colOff>470367</xdr:colOff>
      <xdr:row>19</xdr:row>
      <xdr:rowOff>109369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0945" y="1341782"/>
          <a:ext cx="2756552" cy="2072348"/>
        </a:xfrm>
        <a:prstGeom prst="rect">
          <a:avLst/>
        </a:prstGeom>
      </xdr:spPr>
    </xdr:pic>
    <xdr:clientData/>
  </xdr:twoCellAnchor>
  <xdr:twoCellAnchor>
    <xdr:from>
      <xdr:col>4</xdr:col>
      <xdr:colOff>381000</xdr:colOff>
      <xdr:row>22</xdr:row>
      <xdr:rowOff>132522</xdr:rowOff>
    </xdr:from>
    <xdr:to>
      <xdr:col>8</xdr:col>
      <xdr:colOff>621196</xdr:colOff>
      <xdr:row>29</xdr:row>
      <xdr:rowOff>149087</xdr:rowOff>
    </xdr:to>
    <xdr:sp macro="" textlink="">
      <xdr:nvSpPr>
        <xdr:cNvPr id="4" name="文本框 3"/>
        <xdr:cNvSpPr txBox="1"/>
      </xdr:nvSpPr>
      <xdr:spPr>
        <a:xfrm>
          <a:off x="3685761" y="3959087"/>
          <a:ext cx="2990022" cy="12341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新架构中的三行映射方案</a:t>
          </a:r>
          <a:endParaRPr lang="en-US" altLang="zh-CN" sz="1100"/>
        </a:p>
        <a:p>
          <a:r>
            <a:rPr lang="zh-CN" altLang="en-US" sz="1100"/>
            <a:t>抑或</a:t>
          </a:r>
          <a:r>
            <a:rPr lang="en-US" altLang="zh-CN" sz="1100"/>
            <a:t>+T</a:t>
          </a:r>
          <a:r>
            <a:rPr lang="zh-CN" altLang="en-US" sz="1100"/>
            <a:t>中的末尾抑或</a:t>
          </a:r>
          <a:endParaRPr lang="en-US" altLang="zh-CN" sz="1100"/>
        </a:p>
        <a:p>
          <a:r>
            <a:rPr lang="zh-CN" altLang="en-US" sz="1100"/>
            <a:t>查表</a:t>
          </a:r>
          <a:endParaRPr lang="en-US" altLang="zh-CN" sz="1100"/>
        </a:p>
        <a:p>
          <a:r>
            <a:rPr lang="zh-CN" altLang="en-US" sz="1100"/>
            <a:t>移位</a:t>
          </a:r>
          <a:endParaRPr lang="en-US" altLang="zh-CN" sz="1100"/>
        </a:p>
        <a:p>
          <a:r>
            <a:rPr lang="zh-CN" altLang="en-US" sz="1100"/>
            <a:t>怎么在映射算法中实现（打包方案）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0</xdr:row>
      <xdr:rowOff>156400</xdr:rowOff>
    </xdr:from>
    <xdr:to>
      <xdr:col>14</xdr:col>
      <xdr:colOff>504825</xdr:colOff>
      <xdr:row>24</xdr:row>
      <xdr:rowOff>104775</xdr:rowOff>
    </xdr:to>
    <xdr:pic>
      <xdr:nvPicPr>
        <xdr:cNvPr id="2" name="图片 1" descr="RC6 Cryptography Algorith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156400"/>
          <a:ext cx="4400550" cy="406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523874</xdr:colOff>
      <xdr:row>8</xdr:row>
      <xdr:rowOff>66675</xdr:rowOff>
    </xdr:from>
    <xdr:to>
      <xdr:col>7</xdr:col>
      <xdr:colOff>495299</xdr:colOff>
      <xdr:row>17</xdr:row>
      <xdr:rowOff>85725</xdr:rowOff>
    </xdr:to>
    <xdr:sp macro="" textlink="">
      <xdr:nvSpPr>
        <xdr:cNvPr id="3" name="文本框 2"/>
        <xdr:cNvSpPr txBox="1"/>
      </xdr:nvSpPr>
      <xdr:spPr>
        <a:xfrm>
          <a:off x="2581274" y="1438275"/>
          <a:ext cx="271462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根据</a:t>
          </a:r>
          <a:r>
            <a:rPr lang="en-US" altLang="zh-CN" sz="1100"/>
            <a:t>AES</a:t>
          </a:r>
          <a:r>
            <a:rPr lang="zh-CN" altLang="en-US" sz="1100"/>
            <a:t>的要求，一个分组密码必须处理</a:t>
          </a:r>
          <a:r>
            <a:rPr lang="en-US" altLang="zh-CN" sz="1100"/>
            <a:t>128</a:t>
          </a:r>
          <a:r>
            <a:rPr lang="zh-CN" altLang="en-US" sz="1100"/>
            <a:t>位输入</a:t>
          </a:r>
          <a:r>
            <a:rPr lang="en-US" altLang="zh-CN" sz="1100"/>
            <a:t>/</a:t>
          </a:r>
          <a:r>
            <a:rPr lang="zh-CN" altLang="en-US" sz="1100"/>
            <a:t>输出数据。尽管</a:t>
          </a:r>
          <a:r>
            <a:rPr lang="en-US" altLang="zh-CN" sz="1100"/>
            <a:t>RC5</a:t>
          </a:r>
          <a:r>
            <a:rPr lang="zh-CN" altLang="en-US" sz="1100"/>
            <a:t>是一个非常快的分组密码，但它处理</a:t>
          </a:r>
          <a:r>
            <a:rPr lang="en-US" altLang="zh-CN" sz="1100"/>
            <a:t>128</a:t>
          </a:r>
          <a:r>
            <a:rPr lang="zh-CN" altLang="en-US" sz="1100"/>
            <a:t>位分组块时用了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64</a:t>
          </a:r>
          <a:r>
            <a:rPr lang="zh-CN" altLang="en-US" sz="1100"/>
            <a:t>位工作寄存器；而</a:t>
          </a:r>
          <a:r>
            <a:rPr lang="en-US" altLang="zh-CN" sz="1100"/>
            <a:t>AES</a:t>
          </a:r>
          <a:r>
            <a:rPr lang="zh-CN" altLang="en-US" sz="1100"/>
            <a:t>目前在讲究效率和简洁方面不支持</a:t>
          </a:r>
          <a:r>
            <a:rPr lang="en-US" altLang="zh-CN" sz="1100"/>
            <a:t>64</a:t>
          </a:r>
          <a:r>
            <a:rPr lang="zh-CN" altLang="en-US" sz="1100"/>
            <a:t>位操作，于是</a:t>
          </a:r>
          <a:r>
            <a:rPr lang="en-US" altLang="zh-CN" sz="1100"/>
            <a:t>RC6</a:t>
          </a:r>
          <a:r>
            <a:rPr lang="zh-CN" altLang="en-US" sz="1100"/>
            <a:t>修正这个错误，使用</a:t>
          </a:r>
          <a:r>
            <a:rPr lang="en-US" altLang="zh-CN" sz="1100"/>
            <a:t>4</a:t>
          </a:r>
          <a:r>
            <a:rPr lang="zh-CN" altLang="en-US" sz="1100"/>
            <a:t>个</a:t>
          </a:r>
          <a:r>
            <a:rPr lang="en-US" altLang="zh-CN" sz="1100"/>
            <a:t>32</a:t>
          </a:r>
          <a:r>
            <a:rPr lang="zh-CN" altLang="en-US" sz="1100"/>
            <a:t>位寄存器而不是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64</a:t>
          </a:r>
          <a:r>
            <a:rPr lang="zh-CN" altLang="en-US" sz="1100"/>
            <a:t>位寄存器，以更好地实现加解密。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55</xdr:row>
          <xdr:rowOff>28575</xdr:rowOff>
        </xdr:from>
        <xdr:to>
          <xdr:col>13</xdr:col>
          <xdr:colOff>409575</xdr:colOff>
          <xdr:row>88</xdr:row>
          <xdr:rowOff>95250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666750</xdr:colOff>
      <xdr:row>7</xdr:row>
      <xdr:rowOff>19050</xdr:rowOff>
    </xdr:from>
    <xdr:to>
      <xdr:col>10</xdr:col>
      <xdr:colOff>514350</xdr:colOff>
      <xdr:row>29</xdr:row>
      <xdr:rowOff>38100</xdr:rowOff>
    </xdr:to>
    <xdr:pic>
      <xdr:nvPicPr>
        <xdr:cNvPr id="2" name="图片 1" descr="Serpent-linearfunction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390650"/>
          <a:ext cx="19050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676275</xdr:colOff>
      <xdr:row>0</xdr:row>
      <xdr:rowOff>38100</xdr:rowOff>
    </xdr:from>
    <xdr:to>
      <xdr:col>11</xdr:col>
      <xdr:colOff>371475</xdr:colOff>
      <xdr:row>6</xdr:row>
      <xdr:rowOff>92892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38100"/>
          <a:ext cx="5181600" cy="1083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28575</xdr:rowOff>
    </xdr:from>
    <xdr:to>
      <xdr:col>12</xdr:col>
      <xdr:colOff>0</xdr:colOff>
      <xdr:row>32</xdr:row>
      <xdr:rowOff>57150</xdr:rowOff>
    </xdr:to>
    <xdr:pic>
      <xdr:nvPicPr>
        <xdr:cNvPr id="4097" name="Picture 1" descr="http://i.cmpnet.com/embedded/gifs/2003/0308/0308feat2fig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8575"/>
          <a:ext cx="3810000" cy="55149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180975</xdr:colOff>
      <xdr:row>1</xdr:row>
      <xdr:rowOff>57150</xdr:rowOff>
    </xdr:from>
    <xdr:to>
      <xdr:col>17</xdr:col>
      <xdr:colOff>561975</xdr:colOff>
      <xdr:row>16</xdr:row>
      <xdr:rowOff>47625</xdr:rowOff>
    </xdr:to>
    <xdr:pic>
      <xdr:nvPicPr>
        <xdr:cNvPr id="4098" name="Picture 2" descr="http://i.cmpnet.com/embedded/gifs/2003/0308/0308feat2fig2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"/>
          <a:ext cx="3810000" cy="25622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133350</xdr:rowOff>
    </xdr:from>
    <xdr:to>
      <xdr:col>13</xdr:col>
      <xdr:colOff>542925</xdr:colOff>
      <xdr:row>28</xdr:row>
      <xdr:rowOff>66675</xdr:rowOff>
    </xdr:to>
    <xdr:pic>
      <xdr:nvPicPr>
        <xdr:cNvPr id="5121" name="Picture 1" descr="http://bilgisayarkavramlari.com/wp-content/uploads/2008/06/image003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86200" y="133350"/>
          <a:ext cx="4886325" cy="47339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122363</xdr:colOff>
      <xdr:row>29</xdr:row>
      <xdr:rowOff>28575</xdr:rowOff>
    </xdr:from>
    <xdr:to>
      <xdr:col>13</xdr:col>
      <xdr:colOff>360859</xdr:colOff>
      <xdr:row>44</xdr:row>
      <xdr:rowOff>27931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3538" y="5000625"/>
          <a:ext cx="4353296" cy="2571106"/>
        </a:xfrm>
        <a:prstGeom prst="rect">
          <a:avLst/>
        </a:prstGeom>
      </xdr:spPr>
    </xdr:pic>
    <xdr:clientData/>
  </xdr:twoCellAnchor>
  <xdr:twoCellAnchor editAs="oneCell">
    <xdr:from>
      <xdr:col>7</xdr:col>
      <xdr:colOff>156641</xdr:colOff>
      <xdr:row>45</xdr:row>
      <xdr:rowOff>66675</xdr:rowOff>
    </xdr:from>
    <xdr:to>
      <xdr:col>13</xdr:col>
      <xdr:colOff>304800</xdr:colOff>
      <xdr:row>60</xdr:row>
      <xdr:rowOff>121345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7816" y="7781925"/>
          <a:ext cx="4262959" cy="26264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102476</xdr:colOff>
      <xdr:row>7</xdr:row>
      <xdr:rowOff>4926</xdr:rowOff>
    </xdr:from>
    <xdr:to>
      <xdr:col>11</xdr:col>
      <xdr:colOff>150101</xdr:colOff>
      <xdr:row>34</xdr:row>
      <xdr:rowOff>70944</xdr:rowOff>
    </xdr:to>
    <xdr:pic>
      <xdr:nvPicPr>
        <xdr:cNvPr id="6145" name="Picture 1" descr="https://nzircui.files.wordpress.com/2010/05/23.jpg?w=221&amp;h=4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4252" y="1200478"/>
          <a:ext cx="2097142" cy="46774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28574</xdr:colOff>
      <xdr:row>1</xdr:row>
      <xdr:rowOff>25809</xdr:rowOff>
    </xdr:from>
    <xdr:to>
      <xdr:col>14</xdr:col>
      <xdr:colOff>613681</xdr:colOff>
      <xdr:row>23</xdr:row>
      <xdr:rowOff>6751</xdr:rowOff>
    </xdr:to>
    <xdr:pic>
      <xdr:nvPicPr>
        <xdr:cNvPr id="2050" name="Picture 2" descr="Figs/w2s4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14974" y="197259"/>
          <a:ext cx="4699907" cy="375284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1</xdr:row>
      <xdr:rowOff>85725</xdr:rowOff>
    </xdr:from>
    <xdr:to>
      <xdr:col>9</xdr:col>
      <xdr:colOff>542925</xdr:colOff>
      <xdr:row>18</xdr:row>
      <xdr:rowOff>38100</xdr:rowOff>
    </xdr:to>
    <xdr:pic>
      <xdr:nvPicPr>
        <xdr:cNvPr id="4" name="图片 3" descr="下载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57175"/>
          <a:ext cx="1590675" cy="2867025"/>
        </a:xfrm>
        <a:prstGeom prst="rect">
          <a:avLst/>
        </a:prstGeom>
      </xdr:spPr>
    </xdr:pic>
    <xdr:clientData/>
  </xdr:twoCellAnchor>
  <xdr:twoCellAnchor>
    <xdr:from>
      <xdr:col>4</xdr:col>
      <xdr:colOff>180974</xdr:colOff>
      <xdr:row>6</xdr:row>
      <xdr:rowOff>28575</xdr:rowOff>
    </xdr:from>
    <xdr:to>
      <xdr:col>6</xdr:col>
      <xdr:colOff>685799</xdr:colOff>
      <xdr:row>11</xdr:row>
      <xdr:rowOff>95250</xdr:rowOff>
    </xdr:to>
    <xdr:sp macro="" textlink="">
      <xdr:nvSpPr>
        <xdr:cNvPr id="2" name="文本框 1"/>
        <xdr:cNvSpPr txBox="1"/>
      </xdr:nvSpPr>
      <xdr:spPr>
        <a:xfrm>
          <a:off x="3486149" y="1057275"/>
          <a:ext cx="1876425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Gost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算法对加密数据采用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位分组，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256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位密钥，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轮简单迭代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12753</xdr:colOff>
      <xdr:row>1</xdr:row>
      <xdr:rowOff>66675</xdr:rowOff>
    </xdr:from>
    <xdr:to>
      <xdr:col>12</xdr:col>
      <xdr:colOff>571498</xdr:colOff>
      <xdr:row>35</xdr:row>
      <xdr:rowOff>152399</xdr:rowOff>
    </xdr:to>
    <xdr:pic>
      <xdr:nvPicPr>
        <xdr:cNvPr id="8193" name="Picture 1" descr="http://patentimages.storage.googleapis.com/US7212631B2/US07212631-20070501-D00002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13353" y="238125"/>
          <a:ext cx="3987745" cy="5915024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0</xdr:row>
      <xdr:rowOff>66675</xdr:rowOff>
    </xdr:from>
    <xdr:to>
      <xdr:col>12</xdr:col>
      <xdr:colOff>600075</xdr:colOff>
      <xdr:row>19</xdr:row>
      <xdr:rowOff>55776</xdr:rowOff>
    </xdr:to>
    <xdr:pic>
      <xdr:nvPicPr>
        <xdr:cNvPr id="9217" name="Picture 1" descr="http://image.slidesharecdn.com/presentation1-141119103935-conversion-gate01/95/overview-on-cryptography-and-network-security-29-638.jpg?cb=14163940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05325" y="66675"/>
          <a:ext cx="4324350" cy="3246651"/>
        </a:xfrm>
        <a:prstGeom prst="rect">
          <a:avLst/>
        </a:prstGeom>
        <a:noFill/>
      </xdr:spPr>
    </xdr:pic>
    <xdr:clientData/>
  </xdr:twoCellAnchor>
  <xdr:twoCellAnchor>
    <xdr:from>
      <xdr:col>13</xdr:col>
      <xdr:colOff>533400</xdr:colOff>
      <xdr:row>2</xdr:row>
      <xdr:rowOff>19050</xdr:rowOff>
    </xdr:from>
    <xdr:to>
      <xdr:col>17</xdr:col>
      <xdr:colOff>38100</xdr:colOff>
      <xdr:row>15</xdr:row>
      <xdr:rowOff>38100</xdr:rowOff>
    </xdr:to>
    <xdr:sp macro="" textlink="">
      <xdr:nvSpPr>
        <xdr:cNvPr id="2" name="文本框 1"/>
        <xdr:cNvSpPr txBox="1"/>
      </xdr:nvSpPr>
      <xdr:spPr>
        <a:xfrm>
          <a:off x="9763125" y="361950"/>
          <a:ext cx="224790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RC5</a:t>
          </a:r>
          <a:r>
            <a:rPr lang="zh-CN" altLang="en-US" sz="1100"/>
            <a:t>是种比较新的算法，</a:t>
          </a:r>
          <a:r>
            <a:rPr lang="en-US" altLang="zh-CN" sz="1100"/>
            <a:t>Rivest</a:t>
          </a:r>
          <a:r>
            <a:rPr lang="zh-CN" altLang="en-US" sz="1100"/>
            <a:t>设计了</a:t>
          </a:r>
          <a:r>
            <a:rPr lang="en-US" altLang="zh-CN" sz="1100"/>
            <a:t>RC5</a:t>
          </a:r>
          <a:r>
            <a:rPr lang="zh-CN" altLang="en-US" sz="1100"/>
            <a:t>的一种特殊的实现方式，因此</a:t>
          </a:r>
          <a:r>
            <a:rPr lang="en-US" altLang="zh-CN" sz="1100"/>
            <a:t>RC5</a:t>
          </a:r>
          <a:r>
            <a:rPr lang="zh-CN" altLang="en-US" sz="1100"/>
            <a:t>算法有一个面向字的结构：</a:t>
          </a:r>
          <a:r>
            <a:rPr lang="en-US" altLang="zh-CN" sz="1100"/>
            <a:t>RC5-w/r/b</a:t>
          </a:r>
          <a:r>
            <a:rPr lang="zh-CN" altLang="en-US" sz="1100"/>
            <a:t>，这里</a:t>
          </a:r>
          <a:r>
            <a:rPr lang="en-US" altLang="zh-CN" sz="1100"/>
            <a:t>w</a:t>
          </a:r>
          <a:r>
            <a:rPr lang="zh-CN" altLang="en-US" sz="1100"/>
            <a:t>是字长其值可以是</a:t>
          </a:r>
          <a:r>
            <a:rPr lang="en-US" altLang="zh-CN" sz="1100"/>
            <a:t>16</a:t>
          </a:r>
          <a:r>
            <a:rPr lang="zh-CN" altLang="en-US" sz="1100"/>
            <a:t>、</a:t>
          </a:r>
          <a:r>
            <a:rPr lang="en-US" altLang="zh-CN" sz="1100"/>
            <a:t>32</a:t>
          </a:r>
          <a:r>
            <a:rPr lang="zh-CN" altLang="en-US" sz="1100"/>
            <a:t>或</a:t>
          </a:r>
          <a:r>
            <a:rPr lang="en-US" altLang="zh-CN" sz="1100"/>
            <a:t>64</a:t>
          </a:r>
          <a:r>
            <a:rPr lang="zh-CN" altLang="en-US" sz="1100"/>
            <a:t>对于不同的字长明文和密文块的分组长度为</a:t>
          </a:r>
          <a:r>
            <a:rPr lang="en-US" altLang="zh-CN" sz="1100"/>
            <a:t>2w</a:t>
          </a:r>
          <a:r>
            <a:rPr lang="zh-CN" altLang="en-US" sz="1100"/>
            <a:t>位，</a:t>
          </a:r>
          <a:r>
            <a:rPr lang="en-US" altLang="zh-CN" sz="1100"/>
            <a:t>r</a:t>
          </a:r>
          <a:r>
            <a:rPr lang="zh-CN" altLang="en-US" sz="1100"/>
            <a:t>是加密轮数，</a:t>
          </a:r>
          <a:r>
            <a:rPr lang="en-US" altLang="zh-CN" sz="1100"/>
            <a:t>b</a:t>
          </a:r>
          <a:r>
            <a:rPr lang="zh-CN" altLang="en-US" sz="1100"/>
            <a:t>是密钥字节长度。由于</a:t>
          </a:r>
          <a:r>
            <a:rPr lang="en-US" altLang="zh-CN" sz="1100"/>
            <a:t>RC5</a:t>
          </a:r>
          <a:r>
            <a:rPr lang="zh-CN" altLang="en-US" sz="1100"/>
            <a:t>一个分组长度可变的密码算法，为了便于说明在本文中主要是针对</a:t>
          </a:r>
          <a:r>
            <a:rPr lang="en-US" altLang="zh-CN" sz="1100"/>
            <a:t>64</a:t>
          </a:r>
          <a:r>
            <a:rPr lang="zh-CN" altLang="en-US" sz="1100"/>
            <a:t>位的分组</a:t>
          </a:r>
          <a:r>
            <a:rPr lang="en-US" altLang="zh-CN" sz="1100"/>
            <a:t>w=32</a:t>
          </a:r>
          <a:r>
            <a:rPr lang="zh-CN" altLang="en-US" sz="1100"/>
            <a:t>进行处理的，下面详细说明了</a:t>
          </a:r>
          <a:r>
            <a:rPr lang="en-US" altLang="zh-CN" sz="1100"/>
            <a:t>RC5</a:t>
          </a:r>
          <a:r>
            <a:rPr lang="zh-CN" altLang="en-US" sz="1100"/>
            <a:t>加密解密的处理过程：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0</xdr:rowOff>
    </xdr:from>
    <xdr:to>
      <xdr:col>8</xdr:col>
      <xdr:colOff>428625</xdr:colOff>
      <xdr:row>19</xdr:row>
      <xdr:rowOff>9525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0"/>
          <a:ext cx="2466975" cy="32670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657225</xdr:colOff>
      <xdr:row>0</xdr:row>
      <xdr:rowOff>9525</xdr:rowOff>
    </xdr:from>
    <xdr:to>
      <xdr:col>12</xdr:col>
      <xdr:colOff>647700</xdr:colOff>
      <xdr:row>24</xdr:row>
      <xdr:rowOff>19050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43625" y="9525"/>
          <a:ext cx="2733675" cy="41243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257175</xdr:colOff>
      <xdr:row>264</xdr:row>
      <xdr:rowOff>85725</xdr:rowOff>
    </xdr:from>
    <xdr:to>
      <xdr:col>13</xdr:col>
      <xdr:colOff>619125</xdr:colOff>
      <xdr:row>285</xdr:row>
      <xdr:rowOff>40124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57775" y="3343275"/>
          <a:ext cx="4476750" cy="3554849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Here\&#22242;&#38431;&#21512;&#20316;\&#33883;&#20255;\&#23494;&#30721;&#31639;&#27861;&#24615;&#33021;&#35745;&#31639;_duiker_201506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"/>
      <sheetName val="AES"/>
      <sheetName val="Blowfish"/>
      <sheetName val="Camellia"/>
      <sheetName val="CAST128"/>
      <sheetName val="DES"/>
      <sheetName val="GOST"/>
      <sheetName val="KASUMI"/>
      <sheetName val="RC5"/>
      <sheetName val="SEED"/>
      <sheetName val="Twofish"/>
      <sheetName val="RC6"/>
      <sheetName val="IDEA"/>
      <sheetName val="SM4"/>
      <sheetName val="Serpent"/>
    </sheetNames>
    <sheetDataSet>
      <sheetData sheetId="0"/>
      <sheetData sheetId="1">
        <row r="66">
          <cell r="F66">
            <v>0.9952110146662676</v>
          </cell>
        </row>
        <row r="67">
          <cell r="F67">
            <v>0.9952110146662676</v>
          </cell>
        </row>
      </sheetData>
      <sheetData sheetId="2">
        <row r="124">
          <cell r="G124">
            <v>0.2534105632192668</v>
          </cell>
        </row>
        <row r="125">
          <cell r="G125">
            <v>0.33199094721427147</v>
          </cell>
        </row>
      </sheetData>
      <sheetData sheetId="3">
        <row r="147">
          <cell r="F147">
            <v>0.19273127753303965</v>
          </cell>
        </row>
        <row r="148">
          <cell r="F148">
            <v>0.24905123339658444</v>
          </cell>
        </row>
      </sheetData>
      <sheetData sheetId="4">
        <row r="139">
          <cell r="F139">
            <v>0.19508331377610891</v>
          </cell>
        </row>
        <row r="140">
          <cell r="F140">
            <v>0.24910098891219659</v>
          </cell>
        </row>
      </sheetData>
      <sheetData sheetId="5">
        <row r="189">
          <cell r="F189">
            <v>0.15198610412762262</v>
          </cell>
        </row>
        <row r="190">
          <cell r="F190">
            <v>0.1991932424066937</v>
          </cell>
        </row>
      </sheetData>
      <sheetData sheetId="6">
        <row r="155">
          <cell r="F155">
            <v>0.18930767478934182</v>
          </cell>
        </row>
        <row r="156">
          <cell r="F156">
            <v>0.24897663738019168</v>
          </cell>
        </row>
      </sheetData>
      <sheetData sheetId="7">
        <row r="165">
          <cell r="G165">
            <v>0.1367299942429476</v>
          </cell>
        </row>
        <row r="166">
          <cell r="G166">
            <v>0.16620013995801258</v>
          </cell>
        </row>
      </sheetData>
      <sheetData sheetId="8">
        <row r="99">
          <cell r="F99">
            <v>0.37200716043857684</v>
          </cell>
        </row>
        <row r="100">
          <cell r="F100">
            <v>0.49780417207306116</v>
          </cell>
        </row>
      </sheetData>
      <sheetData sheetId="9">
        <row r="315">
          <cell r="F315">
            <v>9.3001790109644211E-2</v>
          </cell>
        </row>
        <row r="316">
          <cell r="F316">
            <v>0.12445104301826529</v>
          </cell>
        </row>
      </sheetData>
      <sheetData sheetId="10">
        <row r="173">
          <cell r="G173">
            <v>0.18439440993788819</v>
          </cell>
        </row>
        <row r="174">
          <cell r="G174">
            <v>0.24886482710443592</v>
          </cell>
        </row>
      </sheetData>
      <sheetData sheetId="11">
        <row r="169">
          <cell r="F169">
            <v>0.15568666011143886</v>
          </cell>
        </row>
        <row r="170">
          <cell r="F170">
            <v>0.19927282897496854</v>
          </cell>
        </row>
      </sheetData>
      <sheetData sheetId="12">
        <row r="81">
          <cell r="F81">
            <v>0.3925619834710744</v>
          </cell>
        </row>
        <row r="82">
          <cell r="F82">
            <v>0.49825174825174823</v>
          </cell>
        </row>
      </sheetData>
      <sheetData sheetId="13">
        <row r="283">
          <cell r="F283">
            <v>0.10532484399252431</v>
          </cell>
        </row>
        <row r="284">
          <cell r="F284">
            <v>0.14220745894160583</v>
          </cell>
        </row>
      </sheetData>
      <sheetData sheetId="14">
        <row r="280">
          <cell r="F280">
            <v>0.10558572290495698</v>
          </cell>
        </row>
        <row r="281">
          <cell r="F281">
            <v>0.14221354129539071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6.emf"/><Relationship Id="rId4" Type="http://schemas.openxmlformats.org/officeDocument/2006/relationships/oleObject" Target="../embeddings/Microsoft_Visio_2003-2010___2.vsd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3.xml"/><Relationship Id="rId4" Type="http://schemas.openxmlformats.org/officeDocument/2006/relationships/image" Target="../media/image20.emf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__1.vsd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9" sqref="D19"/>
    </sheetView>
  </sheetViews>
  <sheetFormatPr defaultRowHeight="13.5"/>
  <cols>
    <col min="2" max="2" width="25.375" customWidth="1"/>
    <col min="4" max="4" width="21.625" customWidth="1"/>
  </cols>
  <sheetData>
    <row r="1" spans="1:4">
      <c r="A1" s="352">
        <v>1</v>
      </c>
      <c r="B1" s="21" t="s">
        <v>11</v>
      </c>
      <c r="D1" s="351" t="s">
        <v>74</v>
      </c>
    </row>
    <row r="2" spans="1:4">
      <c r="A2" s="352"/>
      <c r="B2" s="21" t="s">
        <v>73</v>
      </c>
      <c r="D2" s="351"/>
    </row>
    <row r="3" spans="1:4">
      <c r="A3" s="352"/>
      <c r="B3" s="21" t="s">
        <v>11</v>
      </c>
      <c r="D3" s="351"/>
    </row>
    <row r="5" spans="1:4">
      <c r="A5" s="350">
        <v>2</v>
      </c>
      <c r="B5" s="21" t="s">
        <v>78</v>
      </c>
      <c r="D5" s="351" t="s">
        <v>79</v>
      </c>
    </row>
    <row r="6" spans="1:4">
      <c r="A6" s="350"/>
      <c r="B6" s="21" t="s">
        <v>11</v>
      </c>
      <c r="D6" s="351"/>
    </row>
    <row r="8" spans="1:4">
      <c r="A8" s="350">
        <v>3</v>
      </c>
      <c r="B8" s="103" t="s">
        <v>154</v>
      </c>
      <c r="D8" s="351" t="s">
        <v>99</v>
      </c>
    </row>
    <row r="9" spans="1:4">
      <c r="A9" s="350"/>
      <c r="B9" s="103" t="s">
        <v>155</v>
      </c>
      <c r="D9" s="351"/>
    </row>
    <row r="11" spans="1:4">
      <c r="A11" s="350">
        <v>4</v>
      </c>
      <c r="B11" s="103" t="s">
        <v>156</v>
      </c>
      <c r="D11" s="351" t="s">
        <v>103</v>
      </c>
    </row>
    <row r="12" spans="1:4">
      <c r="A12" s="350"/>
      <c r="B12" s="103" t="s">
        <v>156</v>
      </c>
      <c r="D12" s="351"/>
    </row>
  </sheetData>
  <mergeCells count="8">
    <mergeCell ref="A11:A12"/>
    <mergeCell ref="D11:D12"/>
    <mergeCell ref="D1:D3"/>
    <mergeCell ref="A1:A3"/>
    <mergeCell ref="D5:D6"/>
    <mergeCell ref="A5:A6"/>
    <mergeCell ref="A8:A9"/>
    <mergeCell ref="D8:D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B5" sqref="B5"/>
    </sheetView>
  </sheetViews>
  <sheetFormatPr defaultRowHeight="13.5" outlineLevelRow="1"/>
  <cols>
    <col min="2" max="2" width="13.12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373">
        <v>1</v>
      </c>
      <c r="B2" s="10" t="s">
        <v>90</v>
      </c>
      <c r="C2" s="364"/>
    </row>
    <row r="3" spans="1:3">
      <c r="A3" s="374"/>
      <c r="B3" s="6" t="s">
        <v>80</v>
      </c>
      <c r="C3" s="364"/>
    </row>
    <row r="4" spans="1:3">
      <c r="A4" s="374"/>
      <c r="B4" s="6" t="s">
        <v>15</v>
      </c>
      <c r="C4" s="364"/>
    </row>
    <row r="5" spans="1:3">
      <c r="A5" s="374"/>
      <c r="B5" s="6" t="s">
        <v>22</v>
      </c>
      <c r="C5" s="364"/>
    </row>
    <row r="6" spans="1:3" outlineLevel="1">
      <c r="A6" s="373">
        <v>2</v>
      </c>
      <c r="B6" s="71" t="s">
        <v>90</v>
      </c>
      <c r="C6" s="364"/>
    </row>
    <row r="7" spans="1:3" outlineLevel="1">
      <c r="A7" s="374"/>
      <c r="B7" s="70" t="s">
        <v>80</v>
      </c>
      <c r="C7" s="364"/>
    </row>
    <row r="8" spans="1:3" outlineLevel="1">
      <c r="A8" s="374"/>
      <c r="B8" s="70" t="s">
        <v>15</v>
      </c>
      <c r="C8" s="364"/>
    </row>
    <row r="9" spans="1:3" outlineLevel="1">
      <c r="A9" s="374"/>
      <c r="B9" s="70" t="s">
        <v>22</v>
      </c>
      <c r="C9" s="364"/>
    </row>
    <row r="10" spans="1:3" outlineLevel="1">
      <c r="A10" s="373">
        <v>3</v>
      </c>
      <c r="B10" s="71" t="s">
        <v>90</v>
      </c>
      <c r="C10" s="364"/>
    </row>
    <row r="11" spans="1:3" outlineLevel="1">
      <c r="A11" s="374"/>
      <c r="B11" s="70" t="s">
        <v>80</v>
      </c>
      <c r="C11" s="364"/>
    </row>
    <row r="12" spans="1:3" outlineLevel="1">
      <c r="A12" s="374"/>
      <c r="B12" s="70" t="s">
        <v>15</v>
      </c>
      <c r="C12" s="364"/>
    </row>
    <row r="13" spans="1:3" outlineLevel="1">
      <c r="A13" s="374"/>
      <c r="B13" s="70" t="s">
        <v>22</v>
      </c>
      <c r="C13" s="364"/>
    </row>
    <row r="14" spans="1:3" outlineLevel="1">
      <c r="A14" s="373">
        <v>4</v>
      </c>
      <c r="B14" s="71" t="s">
        <v>90</v>
      </c>
      <c r="C14" s="364"/>
    </row>
    <row r="15" spans="1:3" outlineLevel="1">
      <c r="A15" s="374"/>
      <c r="B15" s="70" t="s">
        <v>80</v>
      </c>
      <c r="C15" s="364"/>
    </row>
    <row r="16" spans="1:3" outlineLevel="1">
      <c r="A16" s="374"/>
      <c r="B16" s="70" t="s">
        <v>15</v>
      </c>
      <c r="C16" s="364"/>
    </row>
    <row r="17" spans="1:3" outlineLevel="1">
      <c r="A17" s="374"/>
      <c r="B17" s="70" t="s">
        <v>22</v>
      </c>
      <c r="C17" s="364"/>
    </row>
    <row r="18" spans="1:3" outlineLevel="1">
      <c r="A18" s="373">
        <v>5</v>
      </c>
      <c r="B18" s="71" t="s">
        <v>90</v>
      </c>
      <c r="C18" s="364"/>
    </row>
    <row r="19" spans="1:3" outlineLevel="1">
      <c r="A19" s="374"/>
      <c r="B19" s="70" t="s">
        <v>80</v>
      </c>
      <c r="C19" s="364"/>
    </row>
    <row r="20" spans="1:3" outlineLevel="1">
      <c r="A20" s="374"/>
      <c r="B20" s="70" t="s">
        <v>15</v>
      </c>
      <c r="C20" s="364"/>
    </row>
    <row r="21" spans="1:3" outlineLevel="1">
      <c r="A21" s="374"/>
      <c r="B21" s="70" t="s">
        <v>22</v>
      </c>
      <c r="C21" s="364"/>
    </row>
    <row r="22" spans="1:3" outlineLevel="1">
      <c r="A22" s="373">
        <v>6</v>
      </c>
      <c r="B22" s="71" t="s">
        <v>90</v>
      </c>
      <c r="C22" s="364"/>
    </row>
    <row r="23" spans="1:3" outlineLevel="1">
      <c r="A23" s="374"/>
      <c r="B23" s="70" t="s">
        <v>80</v>
      </c>
      <c r="C23" s="364"/>
    </row>
    <row r="24" spans="1:3" outlineLevel="1">
      <c r="A24" s="374"/>
      <c r="B24" s="70" t="s">
        <v>15</v>
      </c>
      <c r="C24" s="364"/>
    </row>
    <row r="25" spans="1:3" outlineLevel="1">
      <c r="A25" s="374"/>
      <c r="B25" s="70" t="s">
        <v>22</v>
      </c>
      <c r="C25" s="364"/>
    </row>
    <row r="26" spans="1:3" outlineLevel="1">
      <c r="A26" s="373">
        <v>7</v>
      </c>
      <c r="B26" s="71" t="s">
        <v>90</v>
      </c>
      <c r="C26" s="364"/>
    </row>
    <row r="27" spans="1:3" outlineLevel="1">
      <c r="A27" s="374"/>
      <c r="B27" s="70" t="s">
        <v>80</v>
      </c>
      <c r="C27" s="364"/>
    </row>
    <row r="28" spans="1:3" outlineLevel="1">
      <c r="A28" s="374"/>
      <c r="B28" s="70" t="s">
        <v>15</v>
      </c>
      <c r="C28" s="364"/>
    </row>
    <row r="29" spans="1:3" outlineLevel="1">
      <c r="A29" s="374"/>
      <c r="B29" s="70" t="s">
        <v>22</v>
      </c>
      <c r="C29" s="364"/>
    </row>
    <row r="30" spans="1:3" outlineLevel="1">
      <c r="A30" s="373">
        <v>8</v>
      </c>
      <c r="B30" s="71" t="s">
        <v>90</v>
      </c>
      <c r="C30" s="364"/>
    </row>
    <row r="31" spans="1:3" outlineLevel="1">
      <c r="A31" s="374"/>
      <c r="B31" s="70" t="s">
        <v>80</v>
      </c>
      <c r="C31" s="364"/>
    </row>
    <row r="32" spans="1:3" outlineLevel="1">
      <c r="A32" s="374"/>
      <c r="B32" s="70" t="s">
        <v>15</v>
      </c>
      <c r="C32" s="364"/>
    </row>
    <row r="33" spans="1:3" outlineLevel="1">
      <c r="A33" s="374"/>
      <c r="B33" s="70" t="s">
        <v>22</v>
      </c>
      <c r="C33" s="364"/>
    </row>
    <row r="34" spans="1:3" outlineLevel="1">
      <c r="A34" s="373">
        <v>9</v>
      </c>
      <c r="B34" s="71" t="s">
        <v>90</v>
      </c>
      <c r="C34" s="364"/>
    </row>
    <row r="35" spans="1:3" outlineLevel="1">
      <c r="A35" s="374"/>
      <c r="B35" s="70" t="s">
        <v>80</v>
      </c>
      <c r="C35" s="364"/>
    </row>
    <row r="36" spans="1:3" outlineLevel="1">
      <c r="A36" s="374"/>
      <c r="B36" s="70" t="s">
        <v>15</v>
      </c>
      <c r="C36" s="364"/>
    </row>
    <row r="37" spans="1:3" outlineLevel="1">
      <c r="A37" s="374"/>
      <c r="B37" s="70" t="s">
        <v>22</v>
      </c>
      <c r="C37" s="364"/>
    </row>
    <row r="38" spans="1:3" outlineLevel="1">
      <c r="A38" s="373">
        <v>10</v>
      </c>
      <c r="B38" s="71" t="s">
        <v>90</v>
      </c>
      <c r="C38" s="364"/>
    </row>
    <row r="39" spans="1:3" outlineLevel="1">
      <c r="A39" s="374"/>
      <c r="B39" s="70" t="s">
        <v>80</v>
      </c>
      <c r="C39" s="364"/>
    </row>
    <row r="40" spans="1:3" outlineLevel="1">
      <c r="A40" s="374"/>
      <c r="B40" s="70" t="s">
        <v>15</v>
      </c>
      <c r="C40" s="364"/>
    </row>
    <row r="41" spans="1:3" outlineLevel="1">
      <c r="A41" s="374"/>
      <c r="B41" s="70" t="s">
        <v>22</v>
      </c>
      <c r="C41" s="364"/>
    </row>
    <row r="42" spans="1:3" outlineLevel="1">
      <c r="A42" s="373">
        <v>11</v>
      </c>
      <c r="B42" s="71" t="s">
        <v>90</v>
      </c>
      <c r="C42" s="364"/>
    </row>
    <row r="43" spans="1:3" outlineLevel="1">
      <c r="A43" s="374"/>
      <c r="B43" s="70" t="s">
        <v>80</v>
      </c>
      <c r="C43" s="364"/>
    </row>
    <row r="44" spans="1:3" outlineLevel="1">
      <c r="A44" s="374"/>
      <c r="B44" s="70" t="s">
        <v>15</v>
      </c>
      <c r="C44" s="364"/>
    </row>
    <row r="45" spans="1:3" outlineLevel="1">
      <c r="A45" s="374"/>
      <c r="B45" s="70" t="s">
        <v>22</v>
      </c>
      <c r="C45" s="364"/>
    </row>
    <row r="46" spans="1:3" outlineLevel="1">
      <c r="A46" s="373">
        <v>12</v>
      </c>
      <c r="B46" s="71" t="s">
        <v>90</v>
      </c>
      <c r="C46" s="364"/>
    </row>
    <row r="47" spans="1:3" outlineLevel="1">
      <c r="A47" s="374"/>
      <c r="B47" s="70" t="s">
        <v>80</v>
      </c>
      <c r="C47" s="364"/>
    </row>
    <row r="48" spans="1:3" outlineLevel="1">
      <c r="A48" s="374"/>
      <c r="B48" s="70" t="s">
        <v>15</v>
      </c>
      <c r="C48" s="364"/>
    </row>
    <row r="49" spans="1:3" outlineLevel="1">
      <c r="A49" s="374"/>
      <c r="B49" s="70" t="s">
        <v>22</v>
      </c>
      <c r="C49" s="364"/>
    </row>
    <row r="50" spans="1:3" outlineLevel="1">
      <c r="A50" s="69"/>
      <c r="B50" s="69"/>
      <c r="C50" s="69"/>
    </row>
    <row r="51" spans="1:3" outlineLevel="1">
      <c r="A51" s="69"/>
      <c r="B51" s="69"/>
      <c r="C51" s="69"/>
    </row>
    <row r="52" spans="1:3" outlineLevel="1">
      <c r="A52" s="69"/>
      <c r="B52" s="69"/>
      <c r="C52" s="69"/>
    </row>
    <row r="53" spans="1:3" outlineLevel="1">
      <c r="A53" s="69"/>
      <c r="B53" s="69"/>
      <c r="C53" s="69"/>
    </row>
    <row r="54" spans="1:3" outlineLevel="1">
      <c r="A54" s="69"/>
      <c r="B54" s="69"/>
      <c r="C54" s="69"/>
    </row>
    <row r="55" spans="1:3" outlineLevel="1">
      <c r="A55" s="69"/>
      <c r="B55" s="69"/>
      <c r="C55" s="69"/>
    </row>
    <row r="56" spans="1:3" outlineLevel="1">
      <c r="A56" s="69"/>
      <c r="B56" s="69"/>
      <c r="C56" s="69"/>
    </row>
    <row r="57" spans="1:3" outlineLevel="1">
      <c r="A57" s="69"/>
      <c r="B57" s="69"/>
      <c r="C57" s="69"/>
    </row>
    <row r="58" spans="1:3" outlineLevel="1">
      <c r="A58" s="69"/>
      <c r="B58" s="69"/>
      <c r="C58" s="69"/>
    </row>
    <row r="59" spans="1:3" outlineLevel="1">
      <c r="A59" s="69"/>
      <c r="B59" s="69"/>
      <c r="C59" s="69"/>
    </row>
    <row r="60" spans="1:3" outlineLevel="1">
      <c r="A60" s="69"/>
      <c r="B60" s="69"/>
      <c r="C60" s="69"/>
    </row>
    <row r="61" spans="1:3" outlineLevel="1">
      <c r="A61" s="69"/>
      <c r="B61" s="69"/>
      <c r="C61" s="69"/>
    </row>
    <row r="62" spans="1:3" outlineLevel="1">
      <c r="A62" s="69"/>
      <c r="B62" s="69"/>
      <c r="C62" s="69"/>
    </row>
    <row r="63" spans="1:3" outlineLevel="1">
      <c r="A63" s="69"/>
      <c r="B63" s="69"/>
      <c r="C63" s="69"/>
    </row>
    <row r="64" spans="1:3" outlineLevel="1">
      <c r="A64" s="69"/>
      <c r="B64" s="69"/>
      <c r="C64" s="69"/>
    </row>
    <row r="65" spans="1:6" outlineLevel="1">
      <c r="A65" s="69"/>
      <c r="B65" s="69"/>
      <c r="C65" s="69"/>
    </row>
    <row r="66" spans="1:6">
      <c r="A66" s="69"/>
      <c r="B66" s="69"/>
      <c r="C66" s="69"/>
    </row>
    <row r="67" spans="1:6">
      <c r="A67" s="69"/>
      <c r="B67" s="69"/>
      <c r="C67" s="69"/>
    </row>
    <row r="68" spans="1:6">
      <c r="A68" s="69"/>
      <c r="B68" s="69"/>
      <c r="C68" s="69"/>
    </row>
    <row r="69" spans="1:6">
      <c r="A69" s="69"/>
      <c r="B69" s="69"/>
      <c r="C69" s="69"/>
    </row>
    <row r="70" spans="1:6">
      <c r="A70" s="69"/>
      <c r="B70" s="69"/>
      <c r="C70" s="69"/>
    </row>
    <row r="71" spans="1:6">
      <c r="A71" s="69"/>
      <c r="B71" s="69"/>
      <c r="C71" s="69"/>
    </row>
    <row r="72" spans="1:6">
      <c r="D72" s="27" t="s">
        <v>38</v>
      </c>
      <c r="E72" s="27" t="s">
        <v>39</v>
      </c>
      <c r="F72" s="27">
        <v>9975</v>
      </c>
    </row>
    <row r="73" spans="1:6">
      <c r="D73" s="27" t="s">
        <v>40</v>
      </c>
      <c r="E73" s="27" t="s">
        <v>41</v>
      </c>
      <c r="F73" s="27">
        <v>48</v>
      </c>
    </row>
    <row r="74" spans="1:6">
      <c r="D74" s="27" t="s">
        <v>42</v>
      </c>
      <c r="E74" s="27" t="s">
        <v>43</v>
      </c>
      <c r="F74" s="27">
        <v>36</v>
      </c>
    </row>
    <row r="75" spans="1:6">
      <c r="D75" s="27" t="s">
        <v>44</v>
      </c>
      <c r="E75" s="27" t="s">
        <v>45</v>
      </c>
      <c r="F75" s="27">
        <v>128</v>
      </c>
    </row>
    <row r="76" spans="1:6">
      <c r="D76" s="27" t="s">
        <v>46</v>
      </c>
      <c r="E76" s="27" t="s">
        <v>47</v>
      </c>
      <c r="F76" s="27">
        <f>CEILING(F74/4,1)</f>
        <v>9</v>
      </c>
    </row>
    <row r="77" spans="1:6">
      <c r="D77" s="28" t="s">
        <v>48</v>
      </c>
      <c r="E77" s="28" t="s">
        <v>49</v>
      </c>
      <c r="F77" s="28">
        <f>FLOOR(F72/F75,1)</f>
        <v>77</v>
      </c>
    </row>
    <row r="78" spans="1:6">
      <c r="D78" s="28" t="s">
        <v>50</v>
      </c>
      <c r="E78" s="28" t="s">
        <v>51</v>
      </c>
      <c r="F78" s="28">
        <f>MOD(F72,F75)</f>
        <v>119</v>
      </c>
    </row>
    <row r="79" spans="1:6">
      <c r="D79" s="28" t="s">
        <v>52</v>
      </c>
      <c r="E79" s="28" t="s">
        <v>53</v>
      </c>
      <c r="F79" s="28">
        <f>FLOOR(F73/F74,1)</f>
        <v>1</v>
      </c>
    </row>
    <row r="80" spans="1:6">
      <c r="D80" s="28" t="s">
        <v>54</v>
      </c>
      <c r="E80" s="28" t="s">
        <v>55</v>
      </c>
      <c r="F80" s="28">
        <f>MOD(F73,F74)</f>
        <v>12</v>
      </c>
    </row>
    <row r="81" spans="4:6">
      <c r="D81" s="28" t="s">
        <v>56</v>
      </c>
      <c r="E81" s="28" t="s">
        <v>57</v>
      </c>
      <c r="F81" s="28">
        <f>IF(F79=0,0,F74)</f>
        <v>36</v>
      </c>
    </row>
    <row r="82" spans="4:6">
      <c r="D82" s="28" t="s">
        <v>58</v>
      </c>
      <c r="E82" s="28" t="s">
        <v>59</v>
      </c>
      <c r="F82" s="28">
        <f>F80</f>
        <v>12</v>
      </c>
    </row>
    <row r="83" spans="4:6">
      <c r="D83" s="28"/>
      <c r="E83" s="28"/>
      <c r="F83" s="29"/>
    </row>
    <row r="84" spans="4:6">
      <c r="D84" s="12" t="s">
        <v>60</v>
      </c>
      <c r="E84" s="30" t="s">
        <v>61</v>
      </c>
      <c r="F84" s="31">
        <f>(F87+F90)</f>
        <v>24942</v>
      </c>
    </row>
    <row r="85" spans="4:6">
      <c r="D85" s="12"/>
      <c r="E85" s="12" t="s">
        <v>62</v>
      </c>
      <c r="F85" s="29">
        <f>IF(F77=0,0,((F81+(MIN(F72,F75)-1)+F76)*F79))</f>
        <v>172</v>
      </c>
    </row>
    <row r="86" spans="4:6">
      <c r="D86" s="12"/>
      <c r="E86" s="12"/>
      <c r="F86" s="29">
        <f>IF(F77=0,0,IF(F80=0,0,(F82+(MIN(F72,F75)-1)+F76)))</f>
        <v>148</v>
      </c>
    </row>
    <row r="87" spans="4:6">
      <c r="D87" s="12"/>
      <c r="E87" s="12"/>
      <c r="F87" s="29">
        <f>(F85+F86)*F77</f>
        <v>24640</v>
      </c>
    </row>
    <row r="88" spans="4:6">
      <c r="D88" s="12"/>
      <c r="E88" s="12" t="s">
        <v>50</v>
      </c>
      <c r="F88" s="29">
        <f>IF(F78=0,0,(F81+(F78-1)+F76)*F79)</f>
        <v>163</v>
      </c>
    </row>
    <row r="89" spans="4:6">
      <c r="D89" s="12"/>
      <c r="E89" s="12"/>
      <c r="F89" s="29">
        <f>IF(F78=0,0,IF(F80=0,0,(F82+(F78-1)+F76)))</f>
        <v>139</v>
      </c>
    </row>
    <row r="90" spans="4:6">
      <c r="D90" s="12"/>
      <c r="E90" s="12"/>
      <c r="F90" s="29">
        <f>F88+F89</f>
        <v>302</v>
      </c>
    </row>
    <row r="91" spans="4:6">
      <c r="D91" s="28"/>
      <c r="E91" s="28"/>
      <c r="F91" s="29"/>
    </row>
    <row r="92" spans="4:6">
      <c r="D92" s="12" t="s">
        <v>60</v>
      </c>
      <c r="E92" s="30" t="s">
        <v>61</v>
      </c>
      <c r="F92" s="32">
        <f>(F93+F94+F95)</f>
        <v>20014</v>
      </c>
    </row>
    <row r="93" spans="4:6">
      <c r="D93" s="12"/>
      <c r="E93" s="33" t="s">
        <v>52</v>
      </c>
      <c r="F93" s="29">
        <f>((F81+(F72-1))*F79)</f>
        <v>10010</v>
      </c>
    </row>
    <row r="94" spans="4:6">
      <c r="D94" s="12"/>
      <c r="E94" s="33" t="s">
        <v>63</v>
      </c>
      <c r="F94" s="29">
        <f>F76*F79</f>
        <v>9</v>
      </c>
    </row>
    <row r="95" spans="4:6">
      <c r="D95" s="12"/>
      <c r="E95" s="33" t="s">
        <v>54</v>
      </c>
      <c r="F95" s="29">
        <f>IF(F82=0,0,F82+(F72-1)+F76)</f>
        <v>9995</v>
      </c>
    </row>
    <row r="96" spans="4:6">
      <c r="D96" s="28"/>
      <c r="E96" s="28"/>
      <c r="F96" s="29"/>
    </row>
    <row r="97" spans="4:6">
      <c r="D97" s="34" t="s">
        <v>64</v>
      </c>
      <c r="E97" s="34" t="s">
        <v>65</v>
      </c>
      <c r="F97" s="10">
        <f>IF(F74&gt;=F73,F72/F92,F72/F84)</f>
        <v>0.39992783257156606</v>
      </c>
    </row>
    <row r="98" spans="4:6">
      <c r="D98" s="34" t="s">
        <v>37</v>
      </c>
      <c r="E98" s="34" t="s">
        <v>66</v>
      </c>
      <c r="F98" s="10">
        <f>F72/F92</f>
        <v>0.49840111921654839</v>
      </c>
    </row>
  </sheetData>
  <mergeCells count="24">
    <mergeCell ref="A2:A5"/>
    <mergeCell ref="C2:C5"/>
    <mergeCell ref="A6:A9"/>
    <mergeCell ref="C6:C9"/>
    <mergeCell ref="A46:A49"/>
    <mergeCell ref="C46:C49"/>
    <mergeCell ref="A10:A13"/>
    <mergeCell ref="C10:C13"/>
    <mergeCell ref="A14:A17"/>
    <mergeCell ref="C14:C17"/>
    <mergeCell ref="A18:A21"/>
    <mergeCell ref="C18:C21"/>
    <mergeCell ref="A22:A25"/>
    <mergeCell ref="C22:C25"/>
    <mergeCell ref="A26:A29"/>
    <mergeCell ref="C26:C29"/>
    <mergeCell ref="A42:A45"/>
    <mergeCell ref="C42:C45"/>
    <mergeCell ref="A30:A33"/>
    <mergeCell ref="C30:C33"/>
    <mergeCell ref="A34:A37"/>
    <mergeCell ref="C34:C37"/>
    <mergeCell ref="A38:A41"/>
    <mergeCell ref="C38:C4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topLeftCell="E1" workbookViewId="0">
      <selection activeCell="B34" sqref="B24:B34"/>
    </sheetView>
  </sheetViews>
  <sheetFormatPr defaultRowHeight="13.5" outlineLevelRow="1"/>
  <sheetData>
    <row r="1" spans="1:5">
      <c r="A1" s="2" t="s">
        <v>0</v>
      </c>
      <c r="B1" s="4" t="s">
        <v>1</v>
      </c>
      <c r="E1" s="24" t="s">
        <v>2</v>
      </c>
    </row>
    <row r="2" spans="1:5">
      <c r="A2" s="378">
        <v>1</v>
      </c>
      <c r="B2" s="9" t="s">
        <v>103</v>
      </c>
      <c r="C2" s="351" t="s">
        <v>28</v>
      </c>
      <c r="E2" s="5"/>
    </row>
    <row r="3" spans="1:5">
      <c r="A3" s="379"/>
      <c r="B3" s="9" t="s">
        <v>26</v>
      </c>
      <c r="C3" s="351"/>
      <c r="D3" s="380" t="s">
        <v>27</v>
      </c>
    </row>
    <row r="4" spans="1:5">
      <c r="A4" s="379"/>
      <c r="B4" s="9" t="s">
        <v>106</v>
      </c>
      <c r="C4" s="351"/>
      <c r="D4" s="381"/>
    </row>
    <row r="5" spans="1:5">
      <c r="A5" s="379"/>
      <c r="B5" s="9" t="s">
        <v>107</v>
      </c>
      <c r="C5" s="351"/>
      <c r="D5" s="382"/>
    </row>
    <row r="6" spans="1:5">
      <c r="A6" s="379"/>
      <c r="B6" s="9" t="s">
        <v>26</v>
      </c>
      <c r="C6" s="351"/>
      <c r="D6" s="377" t="s">
        <v>27</v>
      </c>
    </row>
    <row r="7" spans="1:5">
      <c r="A7" s="379"/>
      <c r="B7" s="9" t="s">
        <v>106</v>
      </c>
      <c r="C7" s="351"/>
      <c r="D7" s="377"/>
    </row>
    <row r="8" spans="1:5">
      <c r="A8" s="379"/>
      <c r="B8" s="9" t="s">
        <v>107</v>
      </c>
      <c r="C8" s="351"/>
      <c r="D8" s="377"/>
    </row>
    <row r="9" spans="1:5">
      <c r="A9" s="379"/>
      <c r="B9" s="9" t="s">
        <v>26</v>
      </c>
      <c r="C9" s="351"/>
      <c r="D9" s="377" t="s">
        <v>27</v>
      </c>
    </row>
    <row r="10" spans="1:5">
      <c r="A10" s="379"/>
      <c r="B10" s="9" t="s">
        <v>106</v>
      </c>
      <c r="C10" s="351"/>
      <c r="D10" s="377"/>
    </row>
    <row r="11" spans="1:5">
      <c r="A11" s="379"/>
      <c r="B11" s="9" t="s">
        <v>107</v>
      </c>
      <c r="C11" s="351"/>
      <c r="D11" s="377"/>
    </row>
    <row r="12" spans="1:5">
      <c r="A12" s="379"/>
      <c r="B12" s="9" t="s">
        <v>19</v>
      </c>
      <c r="C12" s="21"/>
    </row>
    <row r="13" spans="1:5" outlineLevel="1">
      <c r="A13" s="378">
        <v>2</v>
      </c>
      <c r="B13" s="72" t="s">
        <v>103</v>
      </c>
      <c r="C13" s="351" t="s">
        <v>28</v>
      </c>
      <c r="D13" s="69"/>
      <c r="E13" s="69"/>
    </row>
    <row r="14" spans="1:5" outlineLevel="1">
      <c r="A14" s="379"/>
      <c r="B14" s="72" t="s">
        <v>26</v>
      </c>
      <c r="C14" s="351"/>
      <c r="D14" s="380" t="s">
        <v>27</v>
      </c>
      <c r="E14" s="69"/>
    </row>
    <row r="15" spans="1:5" outlineLevel="1">
      <c r="A15" s="379"/>
      <c r="B15" s="72" t="s">
        <v>106</v>
      </c>
      <c r="C15" s="351"/>
      <c r="D15" s="381"/>
      <c r="E15" s="69"/>
    </row>
    <row r="16" spans="1:5" outlineLevel="1">
      <c r="A16" s="379"/>
      <c r="B16" s="72" t="s">
        <v>107</v>
      </c>
      <c r="C16" s="351"/>
      <c r="D16" s="382"/>
      <c r="E16" s="69"/>
    </row>
    <row r="17" spans="1:5" outlineLevel="1">
      <c r="A17" s="379"/>
      <c r="B17" s="72" t="s">
        <v>26</v>
      </c>
      <c r="C17" s="351"/>
      <c r="D17" s="377" t="s">
        <v>27</v>
      </c>
      <c r="E17" s="69"/>
    </row>
    <row r="18" spans="1:5" outlineLevel="1">
      <c r="A18" s="379"/>
      <c r="B18" s="72" t="s">
        <v>106</v>
      </c>
      <c r="C18" s="351"/>
      <c r="D18" s="377"/>
      <c r="E18" s="69"/>
    </row>
    <row r="19" spans="1:5" outlineLevel="1">
      <c r="A19" s="379"/>
      <c r="B19" s="72" t="s">
        <v>107</v>
      </c>
      <c r="C19" s="351"/>
      <c r="D19" s="377"/>
      <c r="E19" s="69"/>
    </row>
    <row r="20" spans="1:5" outlineLevel="1">
      <c r="A20" s="379"/>
      <c r="B20" s="72" t="s">
        <v>26</v>
      </c>
      <c r="C20" s="351"/>
      <c r="D20" s="377" t="s">
        <v>27</v>
      </c>
      <c r="E20" s="69"/>
    </row>
    <row r="21" spans="1:5" outlineLevel="1">
      <c r="A21" s="379"/>
      <c r="B21" s="72" t="s">
        <v>106</v>
      </c>
      <c r="C21" s="351"/>
      <c r="D21" s="377"/>
      <c r="E21" s="69"/>
    </row>
    <row r="22" spans="1:5" outlineLevel="1">
      <c r="A22" s="379"/>
      <c r="B22" s="72" t="s">
        <v>107</v>
      </c>
      <c r="C22" s="351"/>
      <c r="D22" s="377"/>
      <c r="E22" s="69"/>
    </row>
    <row r="23" spans="1:5" outlineLevel="1">
      <c r="A23" s="379"/>
      <c r="B23" s="72" t="s">
        <v>19</v>
      </c>
      <c r="C23" s="78"/>
      <c r="D23" s="69"/>
      <c r="E23" s="69"/>
    </row>
    <row r="24" spans="1:5" outlineLevel="1">
      <c r="A24" s="378">
        <v>3</v>
      </c>
      <c r="B24" s="72" t="s">
        <v>103</v>
      </c>
      <c r="C24" s="351" t="s">
        <v>28</v>
      </c>
      <c r="D24" s="69"/>
      <c r="E24" s="69"/>
    </row>
    <row r="25" spans="1:5" outlineLevel="1">
      <c r="A25" s="379"/>
      <c r="B25" s="72" t="s">
        <v>26</v>
      </c>
      <c r="C25" s="351"/>
      <c r="D25" s="380" t="s">
        <v>27</v>
      </c>
      <c r="E25" s="69"/>
    </row>
    <row r="26" spans="1:5" outlineLevel="1">
      <c r="A26" s="379"/>
      <c r="B26" s="72" t="s">
        <v>106</v>
      </c>
      <c r="C26" s="351"/>
      <c r="D26" s="381"/>
      <c r="E26" s="69"/>
    </row>
    <row r="27" spans="1:5" outlineLevel="1">
      <c r="A27" s="379"/>
      <c r="B27" s="72" t="s">
        <v>107</v>
      </c>
      <c r="C27" s="351"/>
      <c r="D27" s="382"/>
      <c r="E27" s="69"/>
    </row>
    <row r="28" spans="1:5" outlineLevel="1">
      <c r="A28" s="379"/>
      <c r="B28" s="72" t="s">
        <v>26</v>
      </c>
      <c r="C28" s="351"/>
      <c r="D28" s="377" t="s">
        <v>27</v>
      </c>
      <c r="E28" s="69"/>
    </row>
    <row r="29" spans="1:5" outlineLevel="1">
      <c r="A29" s="379"/>
      <c r="B29" s="72" t="s">
        <v>106</v>
      </c>
      <c r="C29" s="351"/>
      <c r="D29" s="377"/>
      <c r="E29" s="69"/>
    </row>
    <row r="30" spans="1:5" outlineLevel="1">
      <c r="A30" s="379"/>
      <c r="B30" s="72" t="s">
        <v>107</v>
      </c>
      <c r="C30" s="351"/>
      <c r="D30" s="377"/>
      <c r="E30" s="69"/>
    </row>
    <row r="31" spans="1:5" outlineLevel="1">
      <c r="A31" s="379"/>
      <c r="B31" s="72" t="s">
        <v>26</v>
      </c>
      <c r="C31" s="351"/>
      <c r="D31" s="377" t="s">
        <v>27</v>
      </c>
      <c r="E31" s="69"/>
    </row>
    <row r="32" spans="1:5" outlineLevel="1">
      <c r="A32" s="379"/>
      <c r="B32" s="72" t="s">
        <v>106</v>
      </c>
      <c r="C32" s="351"/>
      <c r="D32" s="377"/>
      <c r="E32" s="69"/>
    </row>
    <row r="33" spans="1:5" outlineLevel="1">
      <c r="A33" s="379"/>
      <c r="B33" s="72" t="s">
        <v>107</v>
      </c>
      <c r="C33" s="351"/>
      <c r="D33" s="377"/>
      <c r="E33" s="69"/>
    </row>
    <row r="34" spans="1:5" outlineLevel="1">
      <c r="A34" s="379"/>
      <c r="B34" s="72" t="s">
        <v>19</v>
      </c>
      <c r="C34" s="78"/>
      <c r="D34" s="69"/>
      <c r="E34" s="69"/>
    </row>
    <row r="35" spans="1:5" outlineLevel="1">
      <c r="A35" s="378">
        <v>4</v>
      </c>
      <c r="B35" s="72" t="s">
        <v>103</v>
      </c>
      <c r="C35" s="351" t="s">
        <v>28</v>
      </c>
      <c r="D35" s="69"/>
      <c r="E35" s="69"/>
    </row>
    <row r="36" spans="1:5" outlineLevel="1">
      <c r="A36" s="379"/>
      <c r="B36" s="72" t="s">
        <v>26</v>
      </c>
      <c r="C36" s="351"/>
      <c r="D36" s="380" t="s">
        <v>27</v>
      </c>
      <c r="E36" s="69"/>
    </row>
    <row r="37" spans="1:5" outlineLevel="1">
      <c r="A37" s="379"/>
      <c r="B37" s="72" t="s">
        <v>106</v>
      </c>
      <c r="C37" s="351"/>
      <c r="D37" s="381"/>
      <c r="E37" s="69"/>
    </row>
    <row r="38" spans="1:5" outlineLevel="1">
      <c r="A38" s="379"/>
      <c r="B38" s="72" t="s">
        <v>107</v>
      </c>
      <c r="C38" s="351"/>
      <c r="D38" s="382"/>
      <c r="E38" s="69"/>
    </row>
    <row r="39" spans="1:5" outlineLevel="1">
      <c r="A39" s="379"/>
      <c r="B39" s="72" t="s">
        <v>26</v>
      </c>
      <c r="C39" s="351"/>
      <c r="D39" s="377" t="s">
        <v>27</v>
      </c>
      <c r="E39" s="69"/>
    </row>
    <row r="40" spans="1:5" outlineLevel="1">
      <c r="A40" s="379"/>
      <c r="B40" s="72" t="s">
        <v>106</v>
      </c>
      <c r="C40" s="351"/>
      <c r="D40" s="377"/>
      <c r="E40" s="69"/>
    </row>
    <row r="41" spans="1:5" outlineLevel="1">
      <c r="A41" s="379"/>
      <c r="B41" s="72" t="s">
        <v>107</v>
      </c>
      <c r="C41" s="351"/>
      <c r="D41" s="377"/>
      <c r="E41" s="69"/>
    </row>
    <row r="42" spans="1:5" outlineLevel="1">
      <c r="A42" s="379"/>
      <c r="B42" s="72" t="s">
        <v>26</v>
      </c>
      <c r="C42" s="351"/>
      <c r="D42" s="377" t="s">
        <v>27</v>
      </c>
      <c r="E42" s="69"/>
    </row>
    <row r="43" spans="1:5" outlineLevel="1">
      <c r="A43" s="379"/>
      <c r="B43" s="72" t="s">
        <v>106</v>
      </c>
      <c r="C43" s="351"/>
      <c r="D43" s="377"/>
      <c r="E43" s="69"/>
    </row>
    <row r="44" spans="1:5" outlineLevel="1">
      <c r="A44" s="379"/>
      <c r="B44" s="72" t="s">
        <v>107</v>
      </c>
      <c r="C44" s="351"/>
      <c r="D44" s="377"/>
      <c r="E44" s="69"/>
    </row>
    <row r="45" spans="1:5" outlineLevel="1">
      <c r="A45" s="379"/>
      <c r="B45" s="72" t="s">
        <v>19</v>
      </c>
      <c r="C45" s="78"/>
      <c r="D45" s="69"/>
      <c r="E45" s="69"/>
    </row>
    <row r="46" spans="1:5" outlineLevel="1">
      <c r="A46" s="378">
        <v>5</v>
      </c>
      <c r="B46" s="72" t="s">
        <v>103</v>
      </c>
      <c r="C46" s="351" t="s">
        <v>28</v>
      </c>
      <c r="D46" s="69"/>
      <c r="E46" s="69"/>
    </row>
    <row r="47" spans="1:5" outlineLevel="1">
      <c r="A47" s="379"/>
      <c r="B47" s="72" t="s">
        <v>26</v>
      </c>
      <c r="C47" s="351"/>
      <c r="D47" s="380" t="s">
        <v>27</v>
      </c>
      <c r="E47" s="69"/>
    </row>
    <row r="48" spans="1:5" outlineLevel="1">
      <c r="A48" s="379"/>
      <c r="B48" s="72" t="s">
        <v>106</v>
      </c>
      <c r="C48" s="351"/>
      <c r="D48" s="381"/>
      <c r="E48" s="69"/>
    </row>
    <row r="49" spans="1:5" outlineLevel="1">
      <c r="A49" s="379"/>
      <c r="B49" s="72" t="s">
        <v>107</v>
      </c>
      <c r="C49" s="351"/>
      <c r="D49" s="382"/>
      <c r="E49" s="69"/>
    </row>
    <row r="50" spans="1:5" outlineLevel="1">
      <c r="A50" s="379"/>
      <c r="B50" s="72" t="s">
        <v>26</v>
      </c>
      <c r="C50" s="351"/>
      <c r="D50" s="377" t="s">
        <v>27</v>
      </c>
      <c r="E50" s="69"/>
    </row>
    <row r="51" spans="1:5" outlineLevel="1">
      <c r="A51" s="379"/>
      <c r="B51" s="72" t="s">
        <v>106</v>
      </c>
      <c r="C51" s="351"/>
      <c r="D51" s="377"/>
      <c r="E51" s="69"/>
    </row>
    <row r="52" spans="1:5" outlineLevel="1">
      <c r="A52" s="379"/>
      <c r="B52" s="72" t="s">
        <v>107</v>
      </c>
      <c r="C52" s="351"/>
      <c r="D52" s="377"/>
      <c r="E52" s="69"/>
    </row>
    <row r="53" spans="1:5" outlineLevel="1">
      <c r="A53" s="379"/>
      <c r="B53" s="72" t="s">
        <v>26</v>
      </c>
      <c r="C53" s="351"/>
      <c r="D53" s="377" t="s">
        <v>27</v>
      </c>
      <c r="E53" s="69"/>
    </row>
    <row r="54" spans="1:5" outlineLevel="1">
      <c r="A54" s="379"/>
      <c r="B54" s="72" t="s">
        <v>106</v>
      </c>
      <c r="C54" s="351"/>
      <c r="D54" s="377"/>
      <c r="E54" s="69"/>
    </row>
    <row r="55" spans="1:5" outlineLevel="1">
      <c r="A55" s="379"/>
      <c r="B55" s="72" t="s">
        <v>107</v>
      </c>
      <c r="C55" s="351"/>
      <c r="D55" s="377"/>
      <c r="E55" s="69"/>
    </row>
    <row r="56" spans="1:5" outlineLevel="1">
      <c r="A56" s="379"/>
      <c r="B56" s="72" t="s">
        <v>19</v>
      </c>
      <c r="C56" s="78"/>
      <c r="D56" s="69"/>
      <c r="E56" s="69"/>
    </row>
    <row r="57" spans="1:5" outlineLevel="1">
      <c r="A57" s="378">
        <v>6</v>
      </c>
      <c r="B57" s="72" t="s">
        <v>103</v>
      </c>
      <c r="C57" s="351" t="s">
        <v>28</v>
      </c>
      <c r="D57" s="69"/>
      <c r="E57" s="69"/>
    </row>
    <row r="58" spans="1:5" outlineLevel="1">
      <c r="A58" s="379"/>
      <c r="B58" s="72" t="s">
        <v>26</v>
      </c>
      <c r="C58" s="351"/>
      <c r="D58" s="380" t="s">
        <v>27</v>
      </c>
      <c r="E58" s="69"/>
    </row>
    <row r="59" spans="1:5" outlineLevel="1">
      <c r="A59" s="379"/>
      <c r="B59" s="72" t="s">
        <v>106</v>
      </c>
      <c r="C59" s="351"/>
      <c r="D59" s="381"/>
      <c r="E59" s="69"/>
    </row>
    <row r="60" spans="1:5" outlineLevel="1">
      <c r="A60" s="379"/>
      <c r="B60" s="72" t="s">
        <v>107</v>
      </c>
      <c r="C60" s="351"/>
      <c r="D60" s="382"/>
      <c r="E60" s="69"/>
    </row>
    <row r="61" spans="1:5" outlineLevel="1">
      <c r="A61" s="379"/>
      <c r="B61" s="72" t="s">
        <v>26</v>
      </c>
      <c r="C61" s="351"/>
      <c r="D61" s="377" t="s">
        <v>27</v>
      </c>
      <c r="E61" s="69"/>
    </row>
    <row r="62" spans="1:5" outlineLevel="1">
      <c r="A62" s="379"/>
      <c r="B62" s="72" t="s">
        <v>106</v>
      </c>
      <c r="C62" s="351"/>
      <c r="D62" s="377"/>
      <c r="E62" s="69"/>
    </row>
    <row r="63" spans="1:5" outlineLevel="1">
      <c r="A63" s="379"/>
      <c r="B63" s="72" t="s">
        <v>107</v>
      </c>
      <c r="C63" s="351"/>
      <c r="D63" s="377"/>
      <c r="E63" s="69"/>
    </row>
    <row r="64" spans="1:5" outlineLevel="1">
      <c r="A64" s="379"/>
      <c r="B64" s="72" t="s">
        <v>26</v>
      </c>
      <c r="C64" s="351"/>
      <c r="D64" s="377" t="s">
        <v>27</v>
      </c>
      <c r="E64" s="69"/>
    </row>
    <row r="65" spans="1:5" outlineLevel="1">
      <c r="A65" s="379"/>
      <c r="B65" s="72" t="s">
        <v>106</v>
      </c>
      <c r="C65" s="351"/>
      <c r="D65" s="377"/>
      <c r="E65" s="69"/>
    </row>
    <row r="66" spans="1:5" outlineLevel="1">
      <c r="A66" s="379"/>
      <c r="B66" s="72" t="s">
        <v>107</v>
      </c>
      <c r="C66" s="351"/>
      <c r="D66" s="377"/>
      <c r="E66" s="69"/>
    </row>
    <row r="67" spans="1:5" outlineLevel="1">
      <c r="A67" s="379"/>
      <c r="B67" s="72" t="s">
        <v>19</v>
      </c>
      <c r="C67" s="78"/>
      <c r="D67" s="69"/>
      <c r="E67" s="69"/>
    </row>
    <row r="68" spans="1:5" outlineLevel="1">
      <c r="A68" s="378">
        <v>7</v>
      </c>
      <c r="B68" s="72" t="s">
        <v>103</v>
      </c>
      <c r="C68" s="351" t="s">
        <v>28</v>
      </c>
      <c r="D68" s="69"/>
      <c r="E68" s="69"/>
    </row>
    <row r="69" spans="1:5" outlineLevel="1">
      <c r="A69" s="379"/>
      <c r="B69" s="72" t="s">
        <v>26</v>
      </c>
      <c r="C69" s="351"/>
      <c r="D69" s="380" t="s">
        <v>27</v>
      </c>
      <c r="E69" s="69"/>
    </row>
    <row r="70" spans="1:5" outlineLevel="1">
      <c r="A70" s="379"/>
      <c r="B70" s="72" t="s">
        <v>106</v>
      </c>
      <c r="C70" s="351"/>
      <c r="D70" s="381"/>
      <c r="E70" s="69"/>
    </row>
    <row r="71" spans="1:5" outlineLevel="1">
      <c r="A71" s="379"/>
      <c r="B71" s="72" t="s">
        <v>107</v>
      </c>
      <c r="C71" s="351"/>
      <c r="D71" s="382"/>
      <c r="E71" s="69"/>
    </row>
    <row r="72" spans="1:5" outlineLevel="1">
      <c r="A72" s="379"/>
      <c r="B72" s="72" t="s">
        <v>26</v>
      </c>
      <c r="C72" s="351"/>
      <c r="D72" s="377" t="s">
        <v>27</v>
      </c>
      <c r="E72" s="69"/>
    </row>
    <row r="73" spans="1:5" outlineLevel="1">
      <c r="A73" s="379"/>
      <c r="B73" s="72" t="s">
        <v>106</v>
      </c>
      <c r="C73" s="351"/>
      <c r="D73" s="377"/>
      <c r="E73" s="69"/>
    </row>
    <row r="74" spans="1:5" outlineLevel="1">
      <c r="A74" s="379"/>
      <c r="B74" s="72" t="s">
        <v>107</v>
      </c>
      <c r="C74" s="351"/>
      <c r="D74" s="377"/>
      <c r="E74" s="69"/>
    </row>
    <row r="75" spans="1:5" outlineLevel="1">
      <c r="A75" s="379"/>
      <c r="B75" s="72" t="s">
        <v>26</v>
      </c>
      <c r="C75" s="351"/>
      <c r="D75" s="377" t="s">
        <v>27</v>
      </c>
      <c r="E75" s="69"/>
    </row>
    <row r="76" spans="1:5" outlineLevel="1">
      <c r="A76" s="379"/>
      <c r="B76" s="72" t="s">
        <v>106</v>
      </c>
      <c r="C76" s="351"/>
      <c r="D76" s="377"/>
      <c r="E76" s="69"/>
    </row>
    <row r="77" spans="1:5" outlineLevel="1">
      <c r="A77" s="379"/>
      <c r="B77" s="72" t="s">
        <v>107</v>
      </c>
      <c r="C77" s="351"/>
      <c r="D77" s="377"/>
      <c r="E77" s="69"/>
    </row>
    <row r="78" spans="1:5" outlineLevel="1">
      <c r="A78" s="379"/>
      <c r="B78" s="72" t="s">
        <v>19</v>
      </c>
      <c r="C78" s="78"/>
      <c r="D78" s="69"/>
      <c r="E78" s="69"/>
    </row>
    <row r="79" spans="1:5" outlineLevel="1">
      <c r="A79" s="378">
        <v>8</v>
      </c>
      <c r="B79" s="72" t="s">
        <v>103</v>
      </c>
      <c r="C79" s="351" t="s">
        <v>28</v>
      </c>
      <c r="D79" s="69"/>
      <c r="E79" s="69"/>
    </row>
    <row r="80" spans="1:5" outlineLevel="1">
      <c r="A80" s="379"/>
      <c r="B80" s="72" t="s">
        <v>26</v>
      </c>
      <c r="C80" s="351"/>
      <c r="D80" s="380" t="s">
        <v>27</v>
      </c>
      <c r="E80" s="69"/>
    </row>
    <row r="81" spans="1:5" outlineLevel="1">
      <c r="A81" s="379"/>
      <c r="B81" s="72" t="s">
        <v>106</v>
      </c>
      <c r="C81" s="351"/>
      <c r="D81" s="381"/>
      <c r="E81" s="69"/>
    </row>
    <row r="82" spans="1:5" outlineLevel="1">
      <c r="A82" s="379"/>
      <c r="B82" s="72" t="s">
        <v>107</v>
      </c>
      <c r="C82" s="351"/>
      <c r="D82" s="382"/>
      <c r="E82" s="69"/>
    </row>
    <row r="83" spans="1:5" outlineLevel="1">
      <c r="A83" s="379"/>
      <c r="B83" s="72" t="s">
        <v>26</v>
      </c>
      <c r="C83" s="351"/>
      <c r="D83" s="377" t="s">
        <v>27</v>
      </c>
      <c r="E83" s="69"/>
    </row>
    <row r="84" spans="1:5" outlineLevel="1">
      <c r="A84" s="379"/>
      <c r="B84" s="72" t="s">
        <v>106</v>
      </c>
      <c r="C84" s="351"/>
      <c r="D84" s="377"/>
      <c r="E84" s="69"/>
    </row>
    <row r="85" spans="1:5" outlineLevel="1">
      <c r="A85" s="379"/>
      <c r="B85" s="72" t="s">
        <v>107</v>
      </c>
      <c r="C85" s="351"/>
      <c r="D85" s="377"/>
      <c r="E85" s="69"/>
    </row>
    <row r="86" spans="1:5" outlineLevel="1">
      <c r="A86" s="379"/>
      <c r="B86" s="72" t="s">
        <v>26</v>
      </c>
      <c r="C86" s="351"/>
      <c r="D86" s="377" t="s">
        <v>27</v>
      </c>
      <c r="E86" s="69"/>
    </row>
    <row r="87" spans="1:5" outlineLevel="1">
      <c r="A87" s="379"/>
      <c r="B87" s="72" t="s">
        <v>106</v>
      </c>
      <c r="C87" s="351"/>
      <c r="D87" s="377"/>
      <c r="E87" s="69"/>
    </row>
    <row r="88" spans="1:5" outlineLevel="1">
      <c r="A88" s="379"/>
      <c r="B88" s="72" t="s">
        <v>107</v>
      </c>
      <c r="C88" s="351"/>
      <c r="D88" s="377"/>
      <c r="E88" s="69"/>
    </row>
    <row r="89" spans="1:5" outlineLevel="1">
      <c r="A89" s="379"/>
      <c r="B89" s="72" t="s">
        <v>19</v>
      </c>
      <c r="C89" s="78"/>
      <c r="D89" s="69"/>
      <c r="E89" s="69"/>
    </row>
    <row r="90" spans="1:5" outlineLevel="1">
      <c r="A90" s="378">
        <v>9</v>
      </c>
      <c r="B90" s="72" t="s">
        <v>103</v>
      </c>
      <c r="C90" s="351" t="s">
        <v>28</v>
      </c>
      <c r="D90" s="69"/>
      <c r="E90" s="69"/>
    </row>
    <row r="91" spans="1:5" outlineLevel="1">
      <c r="A91" s="379"/>
      <c r="B91" s="72" t="s">
        <v>26</v>
      </c>
      <c r="C91" s="351"/>
      <c r="D91" s="380" t="s">
        <v>27</v>
      </c>
      <c r="E91" s="69"/>
    </row>
    <row r="92" spans="1:5" outlineLevel="1">
      <c r="A92" s="379"/>
      <c r="B92" s="72" t="s">
        <v>106</v>
      </c>
      <c r="C92" s="351"/>
      <c r="D92" s="381"/>
      <c r="E92" s="69"/>
    </row>
    <row r="93" spans="1:5" outlineLevel="1">
      <c r="A93" s="379"/>
      <c r="B93" s="72" t="s">
        <v>107</v>
      </c>
      <c r="C93" s="351"/>
      <c r="D93" s="382"/>
      <c r="E93" s="69"/>
    </row>
    <row r="94" spans="1:5" outlineLevel="1">
      <c r="A94" s="379"/>
      <c r="B94" s="72" t="s">
        <v>26</v>
      </c>
      <c r="C94" s="351"/>
      <c r="D94" s="377" t="s">
        <v>27</v>
      </c>
      <c r="E94" s="69"/>
    </row>
    <row r="95" spans="1:5" outlineLevel="1">
      <c r="A95" s="379"/>
      <c r="B95" s="72" t="s">
        <v>106</v>
      </c>
      <c r="C95" s="351"/>
      <c r="D95" s="377"/>
      <c r="E95" s="69"/>
    </row>
    <row r="96" spans="1:5" outlineLevel="1">
      <c r="A96" s="379"/>
      <c r="B96" s="72" t="s">
        <v>107</v>
      </c>
      <c r="C96" s="351"/>
      <c r="D96" s="377"/>
      <c r="E96" s="69"/>
    </row>
    <row r="97" spans="1:5" outlineLevel="1">
      <c r="A97" s="379"/>
      <c r="B97" s="72" t="s">
        <v>26</v>
      </c>
      <c r="C97" s="351"/>
      <c r="D97" s="377" t="s">
        <v>27</v>
      </c>
      <c r="E97" s="69"/>
    </row>
    <row r="98" spans="1:5" outlineLevel="1">
      <c r="A98" s="379"/>
      <c r="B98" s="72" t="s">
        <v>106</v>
      </c>
      <c r="C98" s="351"/>
      <c r="D98" s="377"/>
      <c r="E98" s="69"/>
    </row>
    <row r="99" spans="1:5" outlineLevel="1">
      <c r="A99" s="379"/>
      <c r="B99" s="72" t="s">
        <v>107</v>
      </c>
      <c r="C99" s="351"/>
      <c r="D99" s="377"/>
      <c r="E99" s="69"/>
    </row>
    <row r="100" spans="1:5" outlineLevel="1">
      <c r="A100" s="379"/>
      <c r="B100" s="72" t="s">
        <v>19</v>
      </c>
      <c r="C100" s="78"/>
      <c r="D100" s="69"/>
      <c r="E100" s="69"/>
    </row>
    <row r="101" spans="1:5" outlineLevel="1">
      <c r="A101" s="378">
        <v>10</v>
      </c>
      <c r="B101" s="72" t="s">
        <v>103</v>
      </c>
      <c r="C101" s="351" t="s">
        <v>28</v>
      </c>
      <c r="D101" s="69"/>
      <c r="E101" s="69"/>
    </row>
    <row r="102" spans="1:5" outlineLevel="1">
      <c r="A102" s="379"/>
      <c r="B102" s="72" t="s">
        <v>26</v>
      </c>
      <c r="C102" s="351"/>
      <c r="D102" s="380" t="s">
        <v>27</v>
      </c>
      <c r="E102" s="69"/>
    </row>
    <row r="103" spans="1:5" outlineLevel="1">
      <c r="A103" s="379"/>
      <c r="B103" s="72" t="s">
        <v>106</v>
      </c>
      <c r="C103" s="351"/>
      <c r="D103" s="381"/>
      <c r="E103" s="69"/>
    </row>
    <row r="104" spans="1:5" outlineLevel="1">
      <c r="A104" s="379"/>
      <c r="B104" s="72" t="s">
        <v>107</v>
      </c>
      <c r="C104" s="351"/>
      <c r="D104" s="382"/>
      <c r="E104" s="69"/>
    </row>
    <row r="105" spans="1:5" outlineLevel="1">
      <c r="A105" s="379"/>
      <c r="B105" s="72" t="s">
        <v>26</v>
      </c>
      <c r="C105" s="351"/>
      <c r="D105" s="377" t="s">
        <v>27</v>
      </c>
      <c r="E105" s="69"/>
    </row>
    <row r="106" spans="1:5" outlineLevel="1">
      <c r="A106" s="379"/>
      <c r="B106" s="72" t="s">
        <v>106</v>
      </c>
      <c r="C106" s="351"/>
      <c r="D106" s="377"/>
      <c r="E106" s="69"/>
    </row>
    <row r="107" spans="1:5" outlineLevel="1">
      <c r="A107" s="379"/>
      <c r="B107" s="72" t="s">
        <v>107</v>
      </c>
      <c r="C107" s="351"/>
      <c r="D107" s="377"/>
      <c r="E107" s="69"/>
    </row>
    <row r="108" spans="1:5" outlineLevel="1">
      <c r="A108" s="379"/>
      <c r="B108" s="72" t="s">
        <v>26</v>
      </c>
      <c r="C108" s="351"/>
      <c r="D108" s="377" t="s">
        <v>27</v>
      </c>
      <c r="E108" s="69"/>
    </row>
    <row r="109" spans="1:5" outlineLevel="1">
      <c r="A109" s="379"/>
      <c r="B109" s="72" t="s">
        <v>106</v>
      </c>
      <c r="C109" s="351"/>
      <c r="D109" s="377"/>
      <c r="E109" s="69"/>
    </row>
    <row r="110" spans="1:5" outlineLevel="1">
      <c r="A110" s="379"/>
      <c r="B110" s="72" t="s">
        <v>107</v>
      </c>
      <c r="C110" s="351"/>
      <c r="D110" s="377"/>
      <c r="E110" s="69"/>
    </row>
    <row r="111" spans="1:5" outlineLevel="1">
      <c r="A111" s="379"/>
      <c r="B111" s="72" t="s">
        <v>19</v>
      </c>
      <c r="C111" s="78"/>
      <c r="D111" s="69"/>
      <c r="E111" s="69"/>
    </row>
    <row r="112" spans="1:5" outlineLevel="1">
      <c r="A112" s="378">
        <v>11</v>
      </c>
      <c r="B112" s="72" t="s">
        <v>103</v>
      </c>
      <c r="C112" s="351" t="s">
        <v>28</v>
      </c>
      <c r="D112" s="69"/>
      <c r="E112" s="69"/>
    </row>
    <row r="113" spans="1:5" outlineLevel="1">
      <c r="A113" s="379"/>
      <c r="B113" s="72" t="s">
        <v>26</v>
      </c>
      <c r="C113" s="351"/>
      <c r="D113" s="380" t="s">
        <v>27</v>
      </c>
      <c r="E113" s="69"/>
    </row>
    <row r="114" spans="1:5" outlineLevel="1">
      <c r="A114" s="379"/>
      <c r="B114" s="72" t="s">
        <v>106</v>
      </c>
      <c r="C114" s="351"/>
      <c r="D114" s="381"/>
      <c r="E114" s="69"/>
    </row>
    <row r="115" spans="1:5" outlineLevel="1">
      <c r="A115" s="379"/>
      <c r="B115" s="72" t="s">
        <v>107</v>
      </c>
      <c r="C115" s="351"/>
      <c r="D115" s="382"/>
      <c r="E115" s="69"/>
    </row>
    <row r="116" spans="1:5" outlineLevel="1">
      <c r="A116" s="379"/>
      <c r="B116" s="72" t="s">
        <v>26</v>
      </c>
      <c r="C116" s="351"/>
      <c r="D116" s="377" t="s">
        <v>27</v>
      </c>
      <c r="E116" s="69"/>
    </row>
    <row r="117" spans="1:5" outlineLevel="1">
      <c r="A117" s="379"/>
      <c r="B117" s="72" t="s">
        <v>106</v>
      </c>
      <c r="C117" s="351"/>
      <c r="D117" s="377"/>
      <c r="E117" s="69"/>
    </row>
    <row r="118" spans="1:5" outlineLevel="1">
      <c r="A118" s="379"/>
      <c r="B118" s="72" t="s">
        <v>107</v>
      </c>
      <c r="C118" s="351"/>
      <c r="D118" s="377"/>
      <c r="E118" s="69"/>
    </row>
    <row r="119" spans="1:5" outlineLevel="1">
      <c r="A119" s="379"/>
      <c r="B119" s="72" t="s">
        <v>26</v>
      </c>
      <c r="C119" s="351"/>
      <c r="D119" s="377" t="s">
        <v>27</v>
      </c>
      <c r="E119" s="69"/>
    </row>
    <row r="120" spans="1:5" outlineLevel="1">
      <c r="A120" s="379"/>
      <c r="B120" s="72" t="s">
        <v>106</v>
      </c>
      <c r="C120" s="351"/>
      <c r="D120" s="377"/>
      <c r="E120" s="69"/>
    </row>
    <row r="121" spans="1:5" outlineLevel="1">
      <c r="A121" s="379"/>
      <c r="B121" s="72" t="s">
        <v>107</v>
      </c>
      <c r="C121" s="351"/>
      <c r="D121" s="377"/>
      <c r="E121" s="69"/>
    </row>
    <row r="122" spans="1:5" outlineLevel="1">
      <c r="A122" s="379"/>
      <c r="B122" s="72" t="s">
        <v>19</v>
      </c>
      <c r="C122" s="78"/>
      <c r="D122" s="69"/>
      <c r="E122" s="69"/>
    </row>
    <row r="123" spans="1:5" outlineLevel="1">
      <c r="A123" s="378">
        <v>12</v>
      </c>
      <c r="B123" s="72" t="s">
        <v>103</v>
      </c>
      <c r="C123" s="351" t="s">
        <v>28</v>
      </c>
      <c r="D123" s="69"/>
      <c r="E123" s="69"/>
    </row>
    <row r="124" spans="1:5" outlineLevel="1">
      <c r="A124" s="379"/>
      <c r="B124" s="72" t="s">
        <v>26</v>
      </c>
      <c r="C124" s="351"/>
      <c r="D124" s="380" t="s">
        <v>27</v>
      </c>
      <c r="E124" s="69"/>
    </row>
    <row r="125" spans="1:5" outlineLevel="1">
      <c r="A125" s="379"/>
      <c r="B125" s="72" t="s">
        <v>106</v>
      </c>
      <c r="C125" s="351"/>
      <c r="D125" s="381"/>
      <c r="E125" s="69"/>
    </row>
    <row r="126" spans="1:5" outlineLevel="1">
      <c r="A126" s="379"/>
      <c r="B126" s="72" t="s">
        <v>107</v>
      </c>
      <c r="C126" s="351"/>
      <c r="D126" s="382"/>
      <c r="E126" s="69"/>
    </row>
    <row r="127" spans="1:5" outlineLevel="1">
      <c r="A127" s="379"/>
      <c r="B127" s="72" t="s">
        <v>26</v>
      </c>
      <c r="C127" s="351"/>
      <c r="D127" s="377" t="s">
        <v>27</v>
      </c>
      <c r="E127" s="69"/>
    </row>
    <row r="128" spans="1:5" outlineLevel="1">
      <c r="A128" s="379"/>
      <c r="B128" s="72" t="s">
        <v>106</v>
      </c>
      <c r="C128" s="351"/>
      <c r="D128" s="377"/>
      <c r="E128" s="69"/>
    </row>
    <row r="129" spans="1:5" outlineLevel="1">
      <c r="A129" s="379"/>
      <c r="B129" s="72" t="s">
        <v>107</v>
      </c>
      <c r="C129" s="351"/>
      <c r="D129" s="377"/>
      <c r="E129" s="69"/>
    </row>
    <row r="130" spans="1:5" outlineLevel="1">
      <c r="A130" s="379"/>
      <c r="B130" s="72" t="s">
        <v>26</v>
      </c>
      <c r="C130" s="351"/>
      <c r="D130" s="377" t="s">
        <v>27</v>
      </c>
      <c r="E130" s="69"/>
    </row>
    <row r="131" spans="1:5" outlineLevel="1">
      <c r="A131" s="379"/>
      <c r="B131" s="72" t="s">
        <v>106</v>
      </c>
      <c r="C131" s="351"/>
      <c r="D131" s="377"/>
      <c r="E131" s="69"/>
    </row>
    <row r="132" spans="1:5" outlineLevel="1">
      <c r="A132" s="379"/>
      <c r="B132" s="72" t="s">
        <v>107</v>
      </c>
      <c r="C132" s="351"/>
      <c r="D132" s="377"/>
      <c r="E132" s="69"/>
    </row>
    <row r="133" spans="1:5" outlineLevel="1">
      <c r="A133" s="379"/>
      <c r="B133" s="72" t="s">
        <v>19</v>
      </c>
      <c r="C133" s="78"/>
      <c r="D133" s="69"/>
      <c r="E133" s="69"/>
    </row>
    <row r="134" spans="1:5" outlineLevel="1">
      <c r="A134" s="378">
        <v>13</v>
      </c>
      <c r="B134" s="72" t="s">
        <v>103</v>
      </c>
      <c r="C134" s="351" t="s">
        <v>28</v>
      </c>
      <c r="D134" s="69"/>
      <c r="E134" s="69"/>
    </row>
    <row r="135" spans="1:5" outlineLevel="1">
      <c r="A135" s="379"/>
      <c r="B135" s="72" t="s">
        <v>26</v>
      </c>
      <c r="C135" s="351"/>
      <c r="D135" s="380" t="s">
        <v>27</v>
      </c>
      <c r="E135" s="69"/>
    </row>
    <row r="136" spans="1:5" outlineLevel="1">
      <c r="A136" s="379"/>
      <c r="B136" s="72" t="s">
        <v>106</v>
      </c>
      <c r="C136" s="351"/>
      <c r="D136" s="381"/>
      <c r="E136" s="69"/>
    </row>
    <row r="137" spans="1:5" outlineLevel="1">
      <c r="A137" s="379"/>
      <c r="B137" s="72" t="s">
        <v>107</v>
      </c>
      <c r="C137" s="351"/>
      <c r="D137" s="382"/>
      <c r="E137" s="69"/>
    </row>
    <row r="138" spans="1:5" outlineLevel="1">
      <c r="A138" s="379"/>
      <c r="B138" s="72" t="s">
        <v>26</v>
      </c>
      <c r="C138" s="351"/>
      <c r="D138" s="377" t="s">
        <v>27</v>
      </c>
      <c r="E138" s="69"/>
    </row>
    <row r="139" spans="1:5" outlineLevel="1">
      <c r="A139" s="379"/>
      <c r="B139" s="72" t="s">
        <v>106</v>
      </c>
      <c r="C139" s="351"/>
      <c r="D139" s="377"/>
      <c r="E139" s="69"/>
    </row>
    <row r="140" spans="1:5" outlineLevel="1">
      <c r="A140" s="379"/>
      <c r="B140" s="72" t="s">
        <v>107</v>
      </c>
      <c r="C140" s="351"/>
      <c r="D140" s="377"/>
      <c r="E140" s="69"/>
    </row>
    <row r="141" spans="1:5" outlineLevel="1">
      <c r="A141" s="379"/>
      <c r="B141" s="72" t="s">
        <v>26</v>
      </c>
      <c r="C141" s="351"/>
      <c r="D141" s="377" t="s">
        <v>27</v>
      </c>
      <c r="E141" s="69"/>
    </row>
    <row r="142" spans="1:5" outlineLevel="1">
      <c r="A142" s="379"/>
      <c r="B142" s="72" t="s">
        <v>106</v>
      </c>
      <c r="C142" s="351"/>
      <c r="D142" s="377"/>
      <c r="E142" s="69"/>
    </row>
    <row r="143" spans="1:5" outlineLevel="1">
      <c r="A143" s="379"/>
      <c r="B143" s="72" t="s">
        <v>107</v>
      </c>
      <c r="C143" s="351"/>
      <c r="D143" s="377"/>
      <c r="E143" s="69"/>
    </row>
    <row r="144" spans="1:5" outlineLevel="1">
      <c r="A144" s="379"/>
      <c r="B144" s="72" t="s">
        <v>19</v>
      </c>
      <c r="C144" s="78"/>
      <c r="D144" s="69"/>
      <c r="E144" s="69"/>
    </row>
    <row r="145" spans="1:5" outlineLevel="1">
      <c r="A145" s="378">
        <v>14</v>
      </c>
      <c r="B145" s="72" t="s">
        <v>103</v>
      </c>
      <c r="C145" s="351" t="s">
        <v>28</v>
      </c>
      <c r="D145" s="69"/>
      <c r="E145" s="69"/>
    </row>
    <row r="146" spans="1:5" outlineLevel="1">
      <c r="A146" s="379"/>
      <c r="B146" s="72" t="s">
        <v>26</v>
      </c>
      <c r="C146" s="351"/>
      <c r="D146" s="380" t="s">
        <v>27</v>
      </c>
      <c r="E146" s="69"/>
    </row>
    <row r="147" spans="1:5" outlineLevel="1">
      <c r="A147" s="379"/>
      <c r="B147" s="72" t="s">
        <v>106</v>
      </c>
      <c r="C147" s="351"/>
      <c r="D147" s="381"/>
      <c r="E147" s="69"/>
    </row>
    <row r="148" spans="1:5" outlineLevel="1">
      <c r="A148" s="379"/>
      <c r="B148" s="72" t="s">
        <v>107</v>
      </c>
      <c r="C148" s="351"/>
      <c r="D148" s="382"/>
      <c r="E148" s="69"/>
    </row>
    <row r="149" spans="1:5" outlineLevel="1">
      <c r="A149" s="379"/>
      <c r="B149" s="72" t="s">
        <v>26</v>
      </c>
      <c r="C149" s="351"/>
      <c r="D149" s="377" t="s">
        <v>27</v>
      </c>
      <c r="E149" s="69"/>
    </row>
    <row r="150" spans="1:5" outlineLevel="1">
      <c r="A150" s="379"/>
      <c r="B150" s="72" t="s">
        <v>106</v>
      </c>
      <c r="C150" s="351"/>
      <c r="D150" s="377"/>
      <c r="E150" s="69"/>
    </row>
    <row r="151" spans="1:5" outlineLevel="1">
      <c r="A151" s="379"/>
      <c r="B151" s="72" t="s">
        <v>107</v>
      </c>
      <c r="C151" s="351"/>
      <c r="D151" s="377"/>
      <c r="E151" s="69"/>
    </row>
    <row r="152" spans="1:5" outlineLevel="1">
      <c r="A152" s="379"/>
      <c r="B152" s="72" t="s">
        <v>26</v>
      </c>
      <c r="C152" s="351"/>
      <c r="D152" s="377" t="s">
        <v>27</v>
      </c>
      <c r="E152" s="69"/>
    </row>
    <row r="153" spans="1:5" outlineLevel="1">
      <c r="A153" s="379"/>
      <c r="B153" s="72" t="s">
        <v>106</v>
      </c>
      <c r="C153" s="351"/>
      <c r="D153" s="377"/>
      <c r="E153" s="69"/>
    </row>
    <row r="154" spans="1:5" outlineLevel="1">
      <c r="A154" s="379"/>
      <c r="B154" s="72" t="s">
        <v>107</v>
      </c>
      <c r="C154" s="351"/>
      <c r="D154" s="377"/>
      <c r="E154" s="69"/>
    </row>
    <row r="155" spans="1:5" outlineLevel="1">
      <c r="A155" s="379"/>
      <c r="B155" s="72" t="s">
        <v>19</v>
      </c>
      <c r="C155" s="78"/>
      <c r="D155" s="69"/>
      <c r="E155" s="69"/>
    </row>
    <row r="156" spans="1:5" outlineLevel="1">
      <c r="A156" s="378">
        <v>15</v>
      </c>
      <c r="B156" s="72" t="s">
        <v>103</v>
      </c>
      <c r="C156" s="351" t="s">
        <v>28</v>
      </c>
      <c r="D156" s="69"/>
      <c r="E156" s="69"/>
    </row>
    <row r="157" spans="1:5" outlineLevel="1">
      <c r="A157" s="379"/>
      <c r="B157" s="72" t="s">
        <v>26</v>
      </c>
      <c r="C157" s="351"/>
      <c r="D157" s="380" t="s">
        <v>27</v>
      </c>
      <c r="E157" s="69"/>
    </row>
    <row r="158" spans="1:5" outlineLevel="1">
      <c r="A158" s="379"/>
      <c r="B158" s="72" t="s">
        <v>106</v>
      </c>
      <c r="C158" s="351"/>
      <c r="D158" s="381"/>
      <c r="E158" s="69"/>
    </row>
    <row r="159" spans="1:5" outlineLevel="1">
      <c r="A159" s="379"/>
      <c r="B159" s="72" t="s">
        <v>107</v>
      </c>
      <c r="C159" s="351"/>
      <c r="D159" s="382"/>
      <c r="E159" s="69"/>
    </row>
    <row r="160" spans="1:5" outlineLevel="1">
      <c r="A160" s="379"/>
      <c r="B160" s="72" t="s">
        <v>26</v>
      </c>
      <c r="C160" s="351"/>
      <c r="D160" s="377" t="s">
        <v>27</v>
      </c>
      <c r="E160" s="69"/>
    </row>
    <row r="161" spans="1:5" outlineLevel="1">
      <c r="A161" s="379"/>
      <c r="B161" s="72" t="s">
        <v>106</v>
      </c>
      <c r="C161" s="351"/>
      <c r="D161" s="377"/>
      <c r="E161" s="69"/>
    </row>
    <row r="162" spans="1:5" outlineLevel="1">
      <c r="A162" s="379"/>
      <c r="B162" s="72" t="s">
        <v>107</v>
      </c>
      <c r="C162" s="351"/>
      <c r="D162" s="377"/>
      <c r="E162" s="69"/>
    </row>
    <row r="163" spans="1:5" outlineLevel="1">
      <c r="A163" s="379"/>
      <c r="B163" s="72" t="s">
        <v>26</v>
      </c>
      <c r="C163" s="351"/>
      <c r="D163" s="377" t="s">
        <v>27</v>
      </c>
      <c r="E163" s="69"/>
    </row>
    <row r="164" spans="1:5" outlineLevel="1">
      <c r="A164" s="379"/>
      <c r="B164" s="72" t="s">
        <v>106</v>
      </c>
      <c r="C164" s="351"/>
      <c r="D164" s="377"/>
      <c r="E164" s="69"/>
    </row>
    <row r="165" spans="1:5" outlineLevel="1">
      <c r="A165" s="379"/>
      <c r="B165" s="72" t="s">
        <v>107</v>
      </c>
      <c r="C165" s="351"/>
      <c r="D165" s="377"/>
      <c r="E165" s="69"/>
    </row>
    <row r="166" spans="1:5" outlineLevel="1">
      <c r="A166" s="379"/>
      <c r="B166" s="72" t="s">
        <v>19</v>
      </c>
      <c r="C166" s="78"/>
      <c r="D166" s="69"/>
      <c r="E166" s="69"/>
    </row>
    <row r="167" spans="1:5" outlineLevel="1">
      <c r="A167" s="378">
        <v>16</v>
      </c>
      <c r="B167" s="72" t="s">
        <v>103</v>
      </c>
      <c r="C167" s="351" t="s">
        <v>28</v>
      </c>
      <c r="D167" s="69"/>
      <c r="E167" s="69"/>
    </row>
    <row r="168" spans="1:5" outlineLevel="1">
      <c r="A168" s="379"/>
      <c r="B168" s="72" t="s">
        <v>26</v>
      </c>
      <c r="C168" s="351"/>
      <c r="D168" s="380" t="s">
        <v>27</v>
      </c>
      <c r="E168" s="69"/>
    </row>
    <row r="169" spans="1:5" outlineLevel="1">
      <c r="A169" s="379"/>
      <c r="B169" s="72" t="s">
        <v>106</v>
      </c>
      <c r="C169" s="351"/>
      <c r="D169" s="381"/>
      <c r="E169" s="69"/>
    </row>
    <row r="170" spans="1:5" outlineLevel="1">
      <c r="A170" s="379"/>
      <c r="B170" s="72" t="s">
        <v>107</v>
      </c>
      <c r="C170" s="351"/>
      <c r="D170" s="382"/>
      <c r="E170" s="69"/>
    </row>
    <row r="171" spans="1:5" outlineLevel="1">
      <c r="A171" s="379"/>
      <c r="B171" s="72" t="s">
        <v>26</v>
      </c>
      <c r="C171" s="351"/>
      <c r="D171" s="377" t="s">
        <v>27</v>
      </c>
      <c r="E171" s="69"/>
    </row>
    <row r="172" spans="1:5" outlineLevel="1">
      <c r="A172" s="379"/>
      <c r="B172" s="72" t="s">
        <v>106</v>
      </c>
      <c r="C172" s="351"/>
      <c r="D172" s="377"/>
      <c r="E172" s="69"/>
    </row>
    <row r="173" spans="1:5" outlineLevel="1">
      <c r="A173" s="379"/>
      <c r="B173" s="72" t="s">
        <v>107</v>
      </c>
      <c r="C173" s="351"/>
      <c r="D173" s="377"/>
      <c r="E173" s="69"/>
    </row>
    <row r="174" spans="1:5" outlineLevel="1">
      <c r="A174" s="379"/>
      <c r="B174" s="72" t="s">
        <v>26</v>
      </c>
      <c r="C174" s="351"/>
      <c r="D174" s="377" t="s">
        <v>27</v>
      </c>
      <c r="E174" s="69"/>
    </row>
    <row r="175" spans="1:5" outlineLevel="1">
      <c r="A175" s="379"/>
      <c r="B175" s="72" t="s">
        <v>106</v>
      </c>
      <c r="C175" s="351"/>
      <c r="D175" s="377"/>
      <c r="E175" s="69"/>
    </row>
    <row r="176" spans="1:5" outlineLevel="1">
      <c r="A176" s="379"/>
      <c r="B176" s="72" t="s">
        <v>107</v>
      </c>
      <c r="C176" s="351"/>
      <c r="D176" s="377"/>
      <c r="E176" s="69"/>
    </row>
    <row r="177" spans="1:5" outlineLevel="1">
      <c r="A177" s="379"/>
      <c r="B177" s="72" t="s">
        <v>19</v>
      </c>
      <c r="C177" s="78"/>
      <c r="D177" s="69"/>
      <c r="E177" s="69"/>
    </row>
    <row r="178" spans="1:5" outlineLevel="1">
      <c r="A178" s="69"/>
      <c r="B178" s="69"/>
      <c r="C178" s="69"/>
      <c r="D178" s="69"/>
      <c r="E178" s="69"/>
    </row>
    <row r="179" spans="1:5" outlineLevel="1">
      <c r="A179" s="69"/>
      <c r="B179" s="69"/>
      <c r="C179" s="69"/>
      <c r="D179" s="69"/>
      <c r="E179" s="69"/>
    </row>
    <row r="180" spans="1:5" outlineLevel="1">
      <c r="A180" s="69"/>
      <c r="B180" s="69"/>
      <c r="C180" s="69"/>
      <c r="D180" s="69"/>
      <c r="E180" s="69"/>
    </row>
    <row r="181" spans="1:5" outlineLevel="1">
      <c r="A181" s="69"/>
      <c r="B181" s="69"/>
      <c r="C181" s="69"/>
      <c r="D181" s="69"/>
      <c r="E181" s="69"/>
    </row>
    <row r="182" spans="1:5" outlineLevel="1">
      <c r="A182" s="69"/>
      <c r="B182" s="69"/>
      <c r="C182" s="69"/>
      <c r="D182" s="69"/>
      <c r="E182" s="69"/>
    </row>
    <row r="183" spans="1:5" outlineLevel="1">
      <c r="A183" s="69"/>
      <c r="B183" s="69"/>
      <c r="C183" s="69"/>
      <c r="D183" s="69"/>
      <c r="E183" s="69"/>
    </row>
    <row r="184" spans="1:5" outlineLevel="1">
      <c r="A184" s="69"/>
      <c r="B184" s="69"/>
      <c r="C184" s="69"/>
      <c r="D184" s="69"/>
      <c r="E184" s="69"/>
    </row>
    <row r="185" spans="1:5" outlineLevel="1">
      <c r="A185" s="69"/>
      <c r="B185" s="69"/>
      <c r="C185" s="69"/>
      <c r="D185" s="69"/>
      <c r="E185" s="69"/>
    </row>
    <row r="186" spans="1:5" outlineLevel="1">
      <c r="A186" s="69"/>
      <c r="B186" s="69"/>
      <c r="C186" s="69"/>
      <c r="D186" s="69"/>
      <c r="E186" s="69"/>
    </row>
    <row r="187" spans="1:5" outlineLevel="1">
      <c r="A187" s="69"/>
      <c r="B187" s="69"/>
      <c r="C187" s="69"/>
      <c r="D187" s="69"/>
      <c r="E187" s="69"/>
    </row>
    <row r="188" spans="1:5" outlineLevel="1">
      <c r="A188" s="69"/>
      <c r="B188" s="69"/>
      <c r="C188" s="69"/>
      <c r="D188" s="69"/>
      <c r="E188" s="69"/>
    </row>
    <row r="189" spans="1:5" outlineLevel="1">
      <c r="A189" s="69"/>
      <c r="B189" s="69"/>
      <c r="C189" s="69"/>
      <c r="D189" s="69"/>
      <c r="E189" s="69"/>
    </row>
    <row r="190" spans="1:5" outlineLevel="1">
      <c r="A190" s="69"/>
      <c r="B190" s="69"/>
      <c r="C190" s="69"/>
      <c r="D190" s="69"/>
      <c r="E190" s="69"/>
    </row>
    <row r="191" spans="1:5" outlineLevel="1">
      <c r="A191" s="69"/>
      <c r="B191" s="69"/>
      <c r="C191" s="69"/>
      <c r="D191" s="69"/>
      <c r="E191" s="69"/>
    </row>
    <row r="192" spans="1:5" outlineLevel="1">
      <c r="A192" s="69"/>
      <c r="B192" s="69"/>
      <c r="C192" s="69"/>
      <c r="D192" s="69"/>
      <c r="E192" s="69"/>
    </row>
    <row r="193" spans="1:5" outlineLevel="1">
      <c r="A193" s="69"/>
      <c r="B193" s="69"/>
      <c r="C193" s="69"/>
      <c r="D193" s="69"/>
      <c r="E193" s="69"/>
    </row>
    <row r="194" spans="1:5" outlineLevel="1">
      <c r="A194" s="69"/>
      <c r="B194" s="69"/>
      <c r="C194" s="69"/>
      <c r="D194" s="69"/>
      <c r="E194" s="69"/>
    </row>
    <row r="195" spans="1:5" outlineLevel="1">
      <c r="A195" s="69"/>
      <c r="B195" s="69"/>
      <c r="C195" s="69"/>
      <c r="D195" s="69"/>
      <c r="E195" s="69"/>
    </row>
    <row r="196" spans="1:5" outlineLevel="1">
      <c r="A196" s="69"/>
      <c r="B196" s="69"/>
      <c r="C196" s="69"/>
      <c r="D196" s="69"/>
      <c r="E196" s="69"/>
    </row>
    <row r="197" spans="1:5" outlineLevel="1">
      <c r="A197" s="69"/>
      <c r="B197" s="69"/>
      <c r="C197" s="69"/>
      <c r="D197" s="69"/>
      <c r="E197" s="69"/>
    </row>
    <row r="198" spans="1:5" outlineLevel="1">
      <c r="A198" s="69"/>
      <c r="B198" s="69"/>
      <c r="C198" s="69"/>
      <c r="D198" s="69"/>
      <c r="E198" s="69"/>
    </row>
    <row r="199" spans="1:5" outlineLevel="1">
      <c r="A199" s="69"/>
      <c r="B199" s="69"/>
      <c r="C199" s="69"/>
      <c r="D199" s="69"/>
      <c r="E199" s="69"/>
    </row>
    <row r="200" spans="1:5" outlineLevel="1">
      <c r="A200" s="69"/>
      <c r="B200" s="69"/>
      <c r="C200" s="69"/>
      <c r="D200" s="69"/>
      <c r="E200" s="69"/>
    </row>
    <row r="201" spans="1:5" outlineLevel="1">
      <c r="A201" s="69"/>
      <c r="B201" s="69"/>
      <c r="C201" s="69"/>
      <c r="D201" s="69"/>
      <c r="E201" s="69"/>
    </row>
    <row r="202" spans="1:5" outlineLevel="1">
      <c r="A202" s="69"/>
      <c r="B202" s="69"/>
      <c r="C202" s="69"/>
      <c r="D202" s="69"/>
      <c r="E202" s="69"/>
    </row>
    <row r="203" spans="1:5" outlineLevel="1">
      <c r="A203" s="69"/>
      <c r="B203" s="69"/>
      <c r="C203" s="69"/>
      <c r="D203" s="69"/>
      <c r="E203" s="69"/>
    </row>
    <row r="204" spans="1:5" outlineLevel="1">
      <c r="A204" s="69"/>
      <c r="B204" s="69"/>
      <c r="C204" s="69"/>
      <c r="D204" s="69"/>
      <c r="E204" s="69"/>
    </row>
    <row r="205" spans="1:5" outlineLevel="1">
      <c r="A205" s="69"/>
      <c r="B205" s="69"/>
      <c r="C205" s="69"/>
      <c r="D205" s="69"/>
      <c r="E205" s="69"/>
    </row>
    <row r="206" spans="1:5" outlineLevel="1">
      <c r="A206" s="69"/>
      <c r="B206" s="69"/>
      <c r="C206" s="69"/>
      <c r="D206" s="69"/>
      <c r="E206" s="69"/>
    </row>
    <row r="207" spans="1:5" outlineLevel="1">
      <c r="A207" s="69"/>
      <c r="B207" s="69"/>
      <c r="C207" s="69"/>
      <c r="D207" s="69"/>
      <c r="E207" s="69"/>
    </row>
    <row r="208" spans="1:5" outlineLevel="1">
      <c r="A208" s="69"/>
      <c r="B208" s="69"/>
      <c r="C208" s="69"/>
      <c r="D208" s="69"/>
      <c r="E208" s="69"/>
    </row>
    <row r="209" spans="1:5" outlineLevel="1">
      <c r="A209" s="69"/>
      <c r="B209" s="69"/>
      <c r="C209" s="69"/>
      <c r="D209" s="69"/>
      <c r="E209" s="69"/>
    </row>
    <row r="210" spans="1:5" outlineLevel="1">
      <c r="A210" s="69"/>
      <c r="B210" s="69"/>
      <c r="C210" s="69"/>
      <c r="D210" s="69"/>
      <c r="E210" s="69"/>
    </row>
    <row r="211" spans="1:5" outlineLevel="1">
      <c r="A211" s="69"/>
      <c r="B211" s="69"/>
      <c r="C211" s="69"/>
      <c r="D211" s="69"/>
      <c r="E211" s="69"/>
    </row>
    <row r="212" spans="1:5" outlineLevel="1">
      <c r="A212" s="69"/>
      <c r="B212" s="69"/>
      <c r="C212" s="69"/>
      <c r="D212" s="69"/>
      <c r="E212" s="69"/>
    </row>
    <row r="213" spans="1:5" outlineLevel="1">
      <c r="A213" s="69"/>
      <c r="B213" s="69"/>
      <c r="C213" s="69"/>
      <c r="D213" s="69"/>
      <c r="E213" s="69"/>
    </row>
    <row r="214" spans="1:5" outlineLevel="1">
      <c r="A214" s="69"/>
      <c r="B214" s="69"/>
      <c r="C214" s="69"/>
      <c r="D214" s="69"/>
      <c r="E214" s="69"/>
    </row>
    <row r="215" spans="1:5" outlineLevel="1">
      <c r="A215" s="69"/>
      <c r="B215" s="69"/>
      <c r="C215" s="69"/>
      <c r="D215" s="69"/>
      <c r="E215" s="69"/>
    </row>
    <row r="216" spans="1:5" outlineLevel="1">
      <c r="A216" s="69"/>
      <c r="B216" s="69"/>
      <c r="C216" s="69"/>
      <c r="D216" s="69"/>
      <c r="E216" s="69"/>
    </row>
    <row r="217" spans="1:5" outlineLevel="1">
      <c r="A217" s="69"/>
      <c r="B217" s="69"/>
      <c r="C217" s="69"/>
      <c r="D217" s="69"/>
      <c r="E217" s="69"/>
    </row>
    <row r="218" spans="1:5" outlineLevel="1">
      <c r="A218" s="69"/>
      <c r="B218" s="69"/>
      <c r="C218" s="69"/>
      <c r="D218" s="69"/>
      <c r="E218" s="69"/>
    </row>
    <row r="219" spans="1:5" outlineLevel="1">
      <c r="A219" s="69"/>
      <c r="B219" s="69"/>
      <c r="C219" s="69"/>
      <c r="D219" s="69"/>
      <c r="E219" s="69"/>
    </row>
    <row r="220" spans="1:5" outlineLevel="1">
      <c r="A220" s="69"/>
      <c r="B220" s="69"/>
      <c r="C220" s="69"/>
      <c r="D220" s="69"/>
      <c r="E220" s="69"/>
    </row>
    <row r="221" spans="1:5" outlineLevel="1">
      <c r="A221" s="69"/>
      <c r="B221" s="69"/>
      <c r="C221" s="69"/>
      <c r="D221" s="69"/>
      <c r="E221" s="69"/>
    </row>
    <row r="222" spans="1:5" outlineLevel="1">
      <c r="A222" s="69"/>
      <c r="B222" s="69"/>
      <c r="C222" s="69"/>
      <c r="D222" s="69"/>
      <c r="E222" s="69"/>
    </row>
    <row r="223" spans="1:5" outlineLevel="1">
      <c r="A223" s="69"/>
      <c r="B223" s="69"/>
      <c r="C223" s="69"/>
      <c r="D223" s="69"/>
      <c r="E223" s="69"/>
    </row>
    <row r="224" spans="1:5" outlineLevel="1">
      <c r="A224" s="69"/>
      <c r="B224" s="69"/>
      <c r="C224" s="69"/>
      <c r="D224" s="69"/>
      <c r="E224" s="69"/>
    </row>
    <row r="225" spans="1:5" outlineLevel="1">
      <c r="A225" s="69"/>
      <c r="B225" s="69"/>
      <c r="C225" s="69"/>
      <c r="D225" s="69"/>
      <c r="E225" s="69"/>
    </row>
    <row r="226" spans="1:5" outlineLevel="1">
      <c r="A226" s="69"/>
      <c r="B226" s="69"/>
      <c r="C226" s="69"/>
      <c r="D226" s="69"/>
      <c r="E226" s="69"/>
    </row>
    <row r="227" spans="1:5" outlineLevel="1">
      <c r="A227" s="69"/>
      <c r="B227" s="69"/>
      <c r="C227" s="69"/>
      <c r="D227" s="69"/>
      <c r="E227" s="69"/>
    </row>
    <row r="228" spans="1:5" outlineLevel="1">
      <c r="A228" s="69"/>
      <c r="B228" s="69"/>
      <c r="C228" s="69"/>
      <c r="D228" s="69"/>
      <c r="E228" s="69"/>
    </row>
    <row r="229" spans="1:5" outlineLevel="1">
      <c r="A229" s="69"/>
      <c r="B229" s="69"/>
      <c r="C229" s="69"/>
      <c r="D229" s="69"/>
      <c r="E229" s="69"/>
    </row>
    <row r="230" spans="1:5" outlineLevel="1">
      <c r="A230" s="69"/>
      <c r="B230" s="69"/>
      <c r="C230" s="69"/>
      <c r="D230" s="69"/>
      <c r="E230" s="69"/>
    </row>
    <row r="231" spans="1:5" outlineLevel="1">
      <c r="A231" s="69"/>
      <c r="B231" s="69"/>
      <c r="C231" s="69"/>
      <c r="D231" s="69"/>
      <c r="E231" s="69"/>
    </row>
    <row r="232" spans="1:5" outlineLevel="1">
      <c r="A232" s="69"/>
      <c r="B232" s="69"/>
      <c r="C232" s="69"/>
      <c r="D232" s="69"/>
      <c r="E232" s="69"/>
    </row>
    <row r="233" spans="1:5" outlineLevel="1">
      <c r="A233" s="69"/>
      <c r="B233" s="69"/>
      <c r="C233" s="69"/>
      <c r="D233" s="69"/>
      <c r="E233" s="69"/>
    </row>
    <row r="234" spans="1:5" outlineLevel="1">
      <c r="A234" s="69"/>
      <c r="B234" s="69"/>
      <c r="C234" s="69"/>
      <c r="D234" s="69"/>
      <c r="E234" s="69"/>
    </row>
    <row r="235" spans="1:5" outlineLevel="1">
      <c r="A235" s="69"/>
      <c r="B235" s="69"/>
      <c r="C235" s="69"/>
      <c r="D235" s="69"/>
      <c r="E235" s="69"/>
    </row>
    <row r="236" spans="1:5" outlineLevel="1">
      <c r="A236" s="69"/>
      <c r="B236" s="69"/>
      <c r="C236" s="69"/>
      <c r="D236" s="69"/>
      <c r="E236" s="69"/>
    </row>
    <row r="237" spans="1:5" outlineLevel="1">
      <c r="A237" s="69"/>
      <c r="B237" s="69"/>
      <c r="C237" s="69"/>
      <c r="D237" s="69"/>
      <c r="E237" s="69"/>
    </row>
    <row r="238" spans="1:5" outlineLevel="1">
      <c r="A238" s="69"/>
      <c r="B238" s="69"/>
      <c r="C238" s="69"/>
      <c r="D238" s="69"/>
      <c r="E238" s="69"/>
    </row>
    <row r="239" spans="1:5" outlineLevel="1">
      <c r="A239" s="69"/>
      <c r="B239" s="69"/>
      <c r="C239" s="69"/>
      <c r="D239" s="69"/>
      <c r="E239" s="69"/>
    </row>
    <row r="240" spans="1:5" outlineLevel="1">
      <c r="A240" s="69"/>
      <c r="B240" s="69"/>
      <c r="C240" s="69"/>
      <c r="D240" s="69"/>
      <c r="E240" s="69"/>
    </row>
    <row r="241" spans="1:5" outlineLevel="1">
      <c r="A241" s="69"/>
      <c r="B241" s="69"/>
      <c r="C241" s="69"/>
      <c r="D241" s="69"/>
      <c r="E241" s="69"/>
    </row>
    <row r="242" spans="1:5" outlineLevel="1">
      <c r="A242" s="69"/>
      <c r="B242" s="69"/>
      <c r="C242" s="69"/>
      <c r="D242" s="69"/>
      <c r="E242" s="69"/>
    </row>
    <row r="243" spans="1:5" outlineLevel="1">
      <c r="A243" s="69"/>
      <c r="B243" s="69"/>
      <c r="C243" s="69"/>
      <c r="D243" s="69"/>
      <c r="E243" s="69"/>
    </row>
    <row r="244" spans="1:5" outlineLevel="1">
      <c r="A244" s="69"/>
      <c r="B244" s="69"/>
      <c r="C244" s="69"/>
      <c r="D244" s="69"/>
      <c r="E244" s="69"/>
    </row>
    <row r="245" spans="1:5" outlineLevel="1">
      <c r="A245" s="69"/>
      <c r="B245" s="69"/>
      <c r="C245" s="69"/>
      <c r="D245" s="69"/>
      <c r="E245" s="69"/>
    </row>
    <row r="246" spans="1:5" outlineLevel="1">
      <c r="A246" s="69"/>
      <c r="B246" s="69"/>
      <c r="C246" s="69"/>
      <c r="D246" s="69"/>
      <c r="E246" s="69"/>
    </row>
    <row r="247" spans="1:5" outlineLevel="1">
      <c r="A247" s="69"/>
      <c r="B247" s="69"/>
      <c r="C247" s="69"/>
      <c r="D247" s="69"/>
      <c r="E247" s="69"/>
    </row>
    <row r="248" spans="1:5" outlineLevel="1">
      <c r="A248" s="69"/>
      <c r="B248" s="69"/>
      <c r="C248" s="69"/>
      <c r="D248" s="69"/>
      <c r="E248" s="69"/>
    </row>
    <row r="249" spans="1:5" outlineLevel="1">
      <c r="A249" s="69"/>
      <c r="B249" s="69"/>
      <c r="C249" s="69"/>
      <c r="D249" s="69"/>
      <c r="E249" s="69"/>
    </row>
    <row r="250" spans="1:5" outlineLevel="1">
      <c r="A250" s="69"/>
      <c r="B250" s="69"/>
      <c r="C250" s="69"/>
      <c r="D250" s="69"/>
      <c r="E250" s="69"/>
    </row>
    <row r="251" spans="1:5" outlineLevel="1">
      <c r="A251" s="69"/>
      <c r="B251" s="69"/>
      <c r="C251" s="69"/>
      <c r="D251" s="69"/>
      <c r="E251" s="69"/>
    </row>
    <row r="252" spans="1:5" outlineLevel="1">
      <c r="A252" s="69"/>
      <c r="B252" s="69"/>
      <c r="C252" s="69"/>
      <c r="D252" s="69"/>
      <c r="E252" s="69"/>
    </row>
    <row r="253" spans="1:5" outlineLevel="1">
      <c r="A253" s="69"/>
      <c r="B253" s="69"/>
      <c r="C253" s="69"/>
      <c r="D253" s="69"/>
      <c r="E253" s="69"/>
    </row>
    <row r="254" spans="1:5" outlineLevel="1">
      <c r="A254" s="69"/>
      <c r="B254" s="69"/>
      <c r="C254" s="69"/>
      <c r="D254" s="69"/>
      <c r="E254" s="69"/>
    </row>
    <row r="255" spans="1:5" outlineLevel="1">
      <c r="A255" s="69"/>
      <c r="B255" s="69"/>
      <c r="C255" s="69"/>
      <c r="D255" s="69"/>
      <c r="E255" s="69"/>
    </row>
    <row r="256" spans="1:5" outlineLevel="1">
      <c r="A256" s="69"/>
      <c r="B256" s="69"/>
      <c r="C256" s="69"/>
      <c r="D256" s="69"/>
      <c r="E256" s="69"/>
    </row>
    <row r="257" spans="1:5" outlineLevel="1">
      <c r="A257" s="69"/>
      <c r="B257" s="69"/>
      <c r="C257" s="69"/>
      <c r="D257" s="69"/>
      <c r="E257" s="69"/>
    </row>
    <row r="258" spans="1:5" outlineLevel="1">
      <c r="A258" s="69"/>
      <c r="B258" s="69"/>
      <c r="C258" s="69"/>
      <c r="D258" s="69"/>
      <c r="E258" s="69"/>
    </row>
    <row r="259" spans="1:5" outlineLevel="1">
      <c r="A259" s="69"/>
      <c r="B259" s="69"/>
      <c r="C259" s="69"/>
      <c r="D259" s="69"/>
      <c r="E259" s="69"/>
    </row>
    <row r="260" spans="1:5" outlineLevel="1">
      <c r="A260" s="69"/>
      <c r="B260" s="69"/>
      <c r="C260" s="69"/>
      <c r="D260" s="69"/>
      <c r="E260" s="69"/>
    </row>
    <row r="261" spans="1:5" outlineLevel="1">
      <c r="A261" s="69"/>
      <c r="B261" s="69"/>
      <c r="C261" s="69"/>
      <c r="D261" s="69"/>
      <c r="E261" s="69"/>
    </row>
    <row r="262" spans="1:5" outlineLevel="1">
      <c r="A262" s="69"/>
      <c r="B262" s="69"/>
      <c r="C262" s="69"/>
      <c r="D262" s="69"/>
      <c r="E262" s="69"/>
    </row>
    <row r="263" spans="1:5" outlineLevel="1">
      <c r="A263" s="69"/>
      <c r="B263" s="69"/>
      <c r="C263" s="69"/>
      <c r="D263" s="69"/>
      <c r="E263" s="69"/>
    </row>
    <row r="264" spans="1:5" outlineLevel="1">
      <c r="A264" s="69"/>
      <c r="B264" s="69"/>
      <c r="C264" s="69"/>
      <c r="D264" s="69"/>
      <c r="E264" s="69"/>
    </row>
    <row r="265" spans="1:5">
      <c r="A265" s="69"/>
      <c r="B265" s="69"/>
      <c r="C265" s="69"/>
      <c r="D265" s="69"/>
      <c r="E265" s="69"/>
    </row>
    <row r="266" spans="1:5">
      <c r="A266" s="69"/>
      <c r="B266" s="69"/>
      <c r="C266" s="69"/>
      <c r="D266" s="69"/>
      <c r="E266" s="69"/>
    </row>
    <row r="267" spans="1:5">
      <c r="A267" s="69"/>
      <c r="B267" s="69"/>
      <c r="C267" s="69"/>
      <c r="D267" s="69"/>
      <c r="E267" s="69"/>
    </row>
    <row r="268" spans="1:5">
      <c r="A268" s="69"/>
      <c r="B268" s="69"/>
      <c r="C268" s="69"/>
      <c r="D268" s="69"/>
      <c r="E268" s="69"/>
    </row>
    <row r="269" spans="1:5">
      <c r="A269" s="69"/>
      <c r="B269" s="69"/>
      <c r="C269" s="69"/>
      <c r="D269" s="69"/>
      <c r="E269" s="69"/>
    </row>
    <row r="270" spans="1:5">
      <c r="A270" s="69"/>
      <c r="B270" s="69"/>
      <c r="C270" s="69"/>
      <c r="D270" s="69"/>
      <c r="E270" s="69"/>
    </row>
    <row r="271" spans="1:5">
      <c r="A271" s="69"/>
      <c r="B271" s="69"/>
      <c r="C271" s="69"/>
      <c r="D271" s="69"/>
      <c r="E271" s="69"/>
    </row>
    <row r="272" spans="1:5">
      <c r="A272" s="69"/>
      <c r="B272" s="69"/>
      <c r="C272" s="69"/>
      <c r="D272" s="69"/>
      <c r="E272" s="69"/>
    </row>
    <row r="273" spans="1:6">
      <c r="A273" s="69"/>
      <c r="B273" s="69"/>
      <c r="C273" s="69"/>
      <c r="D273" s="69"/>
      <c r="E273" s="69"/>
    </row>
    <row r="274" spans="1:6">
      <c r="A274" s="69"/>
      <c r="B274" s="69"/>
      <c r="C274" s="69"/>
      <c r="D274" s="69"/>
      <c r="E274" s="69"/>
    </row>
    <row r="275" spans="1:6">
      <c r="A275" s="69"/>
      <c r="B275" s="69"/>
      <c r="C275" s="69"/>
      <c r="D275" s="69"/>
      <c r="E275" s="69"/>
    </row>
    <row r="276" spans="1:6">
      <c r="A276" s="69"/>
      <c r="B276" s="69"/>
      <c r="C276" s="69"/>
      <c r="D276" s="69"/>
      <c r="E276" s="69"/>
    </row>
    <row r="277" spans="1:6">
      <c r="A277" s="69"/>
      <c r="B277" s="69"/>
      <c r="C277" s="69"/>
      <c r="D277" s="69"/>
      <c r="E277" s="69"/>
    </row>
    <row r="278" spans="1:6">
      <c r="A278" s="69"/>
      <c r="B278" s="69"/>
      <c r="C278" s="69"/>
      <c r="D278" s="69"/>
      <c r="E278" s="69"/>
    </row>
    <row r="279" spans="1:6">
      <c r="A279" s="69"/>
      <c r="B279" s="69"/>
      <c r="C279" s="69"/>
      <c r="D279" s="69"/>
      <c r="E279" s="69"/>
    </row>
    <row r="280" spans="1:6">
      <c r="A280" s="69"/>
      <c r="B280" s="69"/>
      <c r="C280" s="69"/>
      <c r="D280" s="69"/>
      <c r="E280" s="69"/>
    </row>
    <row r="281" spans="1:6">
      <c r="A281" s="69"/>
      <c r="B281" s="69"/>
      <c r="C281" s="69"/>
      <c r="D281" s="69"/>
      <c r="E281" s="69"/>
    </row>
    <row r="282" spans="1:6">
      <c r="A282" s="69"/>
      <c r="B282" s="69"/>
      <c r="C282" s="69"/>
      <c r="D282" s="69"/>
      <c r="E282" s="69"/>
    </row>
    <row r="283" spans="1:6">
      <c r="D283" s="27" t="s">
        <v>38</v>
      </c>
      <c r="E283" s="27" t="s">
        <v>39</v>
      </c>
      <c r="F283" s="27">
        <v>9975</v>
      </c>
    </row>
    <row r="284" spans="1:6">
      <c r="D284" s="27" t="s">
        <v>40</v>
      </c>
      <c r="E284" s="27" t="s">
        <v>41</v>
      </c>
      <c r="F284" s="27">
        <v>176</v>
      </c>
    </row>
    <row r="285" spans="1:6">
      <c r="D285" s="27" t="s">
        <v>42</v>
      </c>
      <c r="E285" s="27" t="s">
        <v>43</v>
      </c>
      <c r="F285" s="27">
        <v>36</v>
      </c>
    </row>
    <row r="286" spans="1:6">
      <c r="D286" s="27" t="s">
        <v>44</v>
      </c>
      <c r="E286" s="27" t="s">
        <v>45</v>
      </c>
      <c r="F286" s="27">
        <v>128</v>
      </c>
    </row>
    <row r="287" spans="1:6">
      <c r="D287" s="27" t="s">
        <v>46</v>
      </c>
      <c r="E287" s="27" t="s">
        <v>47</v>
      </c>
      <c r="F287" s="27">
        <f>CEILING(F285/4,1)</f>
        <v>9</v>
      </c>
    </row>
    <row r="288" spans="1:6">
      <c r="D288" s="28" t="s">
        <v>48</v>
      </c>
      <c r="E288" s="28" t="s">
        <v>49</v>
      </c>
      <c r="F288" s="28">
        <f>FLOOR(F283/F286,1)</f>
        <v>77</v>
      </c>
    </row>
    <row r="289" spans="4:6">
      <c r="D289" s="28" t="s">
        <v>50</v>
      </c>
      <c r="E289" s="28" t="s">
        <v>51</v>
      </c>
      <c r="F289" s="28">
        <f>MOD(F283,F286)</f>
        <v>119</v>
      </c>
    </row>
    <row r="290" spans="4:6">
      <c r="D290" s="28" t="s">
        <v>52</v>
      </c>
      <c r="E290" s="28" t="s">
        <v>53</v>
      </c>
      <c r="F290" s="28">
        <f>FLOOR(F284/F285,1)</f>
        <v>4</v>
      </c>
    </row>
    <row r="291" spans="4:6">
      <c r="D291" s="28" t="s">
        <v>54</v>
      </c>
      <c r="E291" s="28" t="s">
        <v>55</v>
      </c>
      <c r="F291" s="28">
        <f>MOD(F284,F285)</f>
        <v>32</v>
      </c>
    </row>
    <row r="292" spans="4:6">
      <c r="D292" s="28" t="s">
        <v>56</v>
      </c>
      <c r="E292" s="28" t="s">
        <v>57</v>
      </c>
      <c r="F292" s="28">
        <f>IF(F290=0,0,F285)</f>
        <v>36</v>
      </c>
    </row>
    <row r="293" spans="4:6">
      <c r="D293" s="28" t="s">
        <v>58</v>
      </c>
      <c r="E293" s="28" t="s">
        <v>59</v>
      </c>
      <c r="F293" s="28">
        <f>F291</f>
        <v>32</v>
      </c>
    </row>
    <row r="294" spans="4:6">
      <c r="D294" s="28"/>
      <c r="E294" s="28"/>
      <c r="F294" s="29"/>
    </row>
    <row r="295" spans="4:6">
      <c r="D295" s="12" t="s">
        <v>60</v>
      </c>
      <c r="E295" s="30" t="s">
        <v>61</v>
      </c>
      <c r="F295" s="31">
        <f>(F298+F301)</f>
        <v>66723</v>
      </c>
    </row>
    <row r="296" spans="4:6">
      <c r="D296" s="12"/>
      <c r="E296" s="12" t="s">
        <v>62</v>
      </c>
      <c r="F296" s="29">
        <f>IF(F288=0,0,((F292+(MIN(F283,F286)-1)+F287)*F290))</f>
        <v>688</v>
      </c>
    </row>
    <row r="297" spans="4:6">
      <c r="D297" s="12"/>
      <c r="E297" s="12"/>
      <c r="F297" s="29">
        <f>IF(F288=0,0,IF(F291=0,0,(F293+(MIN(F283,F286)-1)+F287)))</f>
        <v>168</v>
      </c>
    </row>
    <row r="298" spans="4:6">
      <c r="D298" s="12"/>
      <c r="E298" s="12"/>
      <c r="F298" s="29">
        <f>(F296+F297)*F288</f>
        <v>65912</v>
      </c>
    </row>
    <row r="299" spans="4:6">
      <c r="D299" s="12"/>
      <c r="E299" s="12" t="s">
        <v>50</v>
      </c>
      <c r="F299" s="29">
        <f>IF(F289=0,0,(F292+(F289-1)+F287)*F290)</f>
        <v>652</v>
      </c>
    </row>
    <row r="300" spans="4:6">
      <c r="D300" s="12"/>
      <c r="E300" s="12"/>
      <c r="F300" s="29">
        <f>IF(F289=0,0,IF(F291=0,0,(F293+(F289-1)+F287)))</f>
        <v>159</v>
      </c>
    </row>
    <row r="301" spans="4:6">
      <c r="D301" s="12"/>
      <c r="E301" s="12"/>
      <c r="F301" s="29">
        <f>F299+F300</f>
        <v>811</v>
      </c>
    </row>
    <row r="302" spans="4:6">
      <c r="D302" s="28"/>
      <c r="E302" s="28"/>
      <c r="F302" s="29"/>
    </row>
    <row r="303" spans="4:6">
      <c r="D303" s="12" t="s">
        <v>60</v>
      </c>
      <c r="E303" s="30" t="s">
        <v>61</v>
      </c>
      <c r="F303" s="32">
        <f>(F304+F305+F306)</f>
        <v>50091</v>
      </c>
    </row>
    <row r="304" spans="4:6">
      <c r="D304" s="12"/>
      <c r="E304" s="33" t="s">
        <v>52</v>
      </c>
      <c r="F304" s="29">
        <f>((F292+(F283-1))*F290)</f>
        <v>40040</v>
      </c>
    </row>
    <row r="305" spans="4:6">
      <c r="D305" s="12"/>
      <c r="E305" s="33" t="s">
        <v>63</v>
      </c>
      <c r="F305" s="29">
        <f>F287*F290</f>
        <v>36</v>
      </c>
    </row>
    <row r="306" spans="4:6">
      <c r="D306" s="12"/>
      <c r="E306" s="33" t="s">
        <v>54</v>
      </c>
      <c r="F306" s="29">
        <f>IF(F293=0,0,F293+(F283-1)+F287)</f>
        <v>10015</v>
      </c>
    </row>
    <row r="307" spans="4:6">
      <c r="D307" s="28"/>
      <c r="E307" s="28"/>
      <c r="F307" s="29"/>
    </row>
    <row r="308" spans="4:6">
      <c r="D308" s="34" t="s">
        <v>64</v>
      </c>
      <c r="E308" s="34" t="s">
        <v>65</v>
      </c>
      <c r="F308" s="10">
        <f>IF(F285&gt;=F284,F283/F303,F283/F295)</f>
        <v>0.14949867362079045</v>
      </c>
    </row>
    <row r="309" spans="4:6">
      <c r="D309" s="34" t="s">
        <v>37</v>
      </c>
      <c r="E309" s="34" t="s">
        <v>66</v>
      </c>
      <c r="F309" s="10">
        <f>F283/F303</f>
        <v>0.19913756962328563</v>
      </c>
    </row>
  </sheetData>
  <mergeCells count="80">
    <mergeCell ref="A167:A177"/>
    <mergeCell ref="C167:C176"/>
    <mergeCell ref="D168:D170"/>
    <mergeCell ref="D171:D173"/>
    <mergeCell ref="D174:D176"/>
    <mergeCell ref="A156:A166"/>
    <mergeCell ref="A123:A133"/>
    <mergeCell ref="C123:C132"/>
    <mergeCell ref="D124:D126"/>
    <mergeCell ref="D127:D129"/>
    <mergeCell ref="D130:D132"/>
    <mergeCell ref="C156:C165"/>
    <mergeCell ref="D157:D159"/>
    <mergeCell ref="D160:D162"/>
    <mergeCell ref="D163:D165"/>
    <mergeCell ref="A145:A155"/>
    <mergeCell ref="C145:C154"/>
    <mergeCell ref="D146:D148"/>
    <mergeCell ref="D149:D151"/>
    <mergeCell ref="D152:D154"/>
    <mergeCell ref="A134:A144"/>
    <mergeCell ref="C134:C143"/>
    <mergeCell ref="D135:D137"/>
    <mergeCell ref="D138:D140"/>
    <mergeCell ref="D141:D143"/>
    <mergeCell ref="A90:A100"/>
    <mergeCell ref="C90:C99"/>
    <mergeCell ref="D91:D93"/>
    <mergeCell ref="D94:D96"/>
    <mergeCell ref="D97:D99"/>
    <mergeCell ref="A112:A122"/>
    <mergeCell ref="C112:C121"/>
    <mergeCell ref="D113:D115"/>
    <mergeCell ref="D116:D118"/>
    <mergeCell ref="D119:D121"/>
    <mergeCell ref="A101:A111"/>
    <mergeCell ref="C101:C110"/>
    <mergeCell ref="D102:D104"/>
    <mergeCell ref="D105:D107"/>
    <mergeCell ref="D108:D110"/>
    <mergeCell ref="A79:A89"/>
    <mergeCell ref="C46:C55"/>
    <mergeCell ref="D47:D49"/>
    <mergeCell ref="D50:D52"/>
    <mergeCell ref="D53:D55"/>
    <mergeCell ref="C79:C88"/>
    <mergeCell ref="D80:D82"/>
    <mergeCell ref="D83:D85"/>
    <mergeCell ref="D86:D88"/>
    <mergeCell ref="A68:A78"/>
    <mergeCell ref="C68:C77"/>
    <mergeCell ref="D69:D71"/>
    <mergeCell ref="D72:D74"/>
    <mergeCell ref="D75:D77"/>
    <mergeCell ref="A57:A67"/>
    <mergeCell ref="C57:C66"/>
    <mergeCell ref="D58:D60"/>
    <mergeCell ref="D61:D63"/>
    <mergeCell ref="D64:D66"/>
    <mergeCell ref="A46:A56"/>
    <mergeCell ref="A13:A23"/>
    <mergeCell ref="C13:C22"/>
    <mergeCell ref="D14:D16"/>
    <mergeCell ref="D17:D19"/>
    <mergeCell ref="D20:D22"/>
    <mergeCell ref="A35:A45"/>
    <mergeCell ref="C35:C44"/>
    <mergeCell ref="D36:D38"/>
    <mergeCell ref="D39:D41"/>
    <mergeCell ref="D42:D44"/>
    <mergeCell ref="A24:A34"/>
    <mergeCell ref="C24:C33"/>
    <mergeCell ref="D25:D27"/>
    <mergeCell ref="D28:D30"/>
    <mergeCell ref="D31:D33"/>
    <mergeCell ref="D6:D8"/>
    <mergeCell ref="D9:D11"/>
    <mergeCell ref="C2:C11"/>
    <mergeCell ref="A2:A12"/>
    <mergeCell ref="D3:D5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Normal="100" workbookViewId="0">
      <selection activeCell="G12" sqref="G12"/>
    </sheetView>
  </sheetViews>
  <sheetFormatPr defaultRowHeight="13.5" outlineLevelRow="1"/>
  <cols>
    <col min="2" max="2" width="17.875" customWidth="1"/>
  </cols>
  <sheetData>
    <row r="1" spans="1:5">
      <c r="A1" s="2" t="s">
        <v>0</v>
      </c>
      <c r="B1" s="4" t="s">
        <v>1</v>
      </c>
      <c r="E1" s="1" t="s">
        <v>2</v>
      </c>
    </row>
    <row r="2" spans="1:5">
      <c r="A2" s="25"/>
      <c r="B2" s="13" t="s">
        <v>35</v>
      </c>
      <c r="E2" s="5"/>
    </row>
    <row r="3" spans="1:5">
      <c r="A3" s="385">
        <v>1</v>
      </c>
      <c r="B3" s="13" t="s">
        <v>31</v>
      </c>
      <c r="C3" s="351" t="s">
        <v>28</v>
      </c>
    </row>
    <row r="4" spans="1:5">
      <c r="A4" s="385"/>
      <c r="B4" s="13" t="s">
        <v>32</v>
      </c>
      <c r="C4" s="351"/>
      <c r="D4" s="351" t="s">
        <v>29</v>
      </c>
    </row>
    <row r="5" spans="1:5" ht="13.5" customHeight="1">
      <c r="A5" s="385"/>
      <c r="B5" s="383" t="s">
        <v>33</v>
      </c>
      <c r="C5" s="351"/>
      <c r="D5" s="351"/>
    </row>
    <row r="6" spans="1:5">
      <c r="A6" s="385"/>
      <c r="B6" s="384"/>
      <c r="C6" s="351"/>
      <c r="D6" s="351"/>
    </row>
    <row r="7" spans="1:5">
      <c r="A7" s="385"/>
      <c r="B7" s="13" t="s">
        <v>34</v>
      </c>
      <c r="C7" s="351"/>
      <c r="D7" s="351" t="s">
        <v>30</v>
      </c>
    </row>
    <row r="8" spans="1:5">
      <c r="A8" s="385"/>
      <c r="B8" s="13" t="s">
        <v>34</v>
      </c>
      <c r="C8" s="351"/>
      <c r="D8" s="351"/>
    </row>
    <row r="9" spans="1:5">
      <c r="A9" s="385"/>
      <c r="B9" s="13" t="s">
        <v>34</v>
      </c>
      <c r="C9" s="351"/>
    </row>
    <row r="10" spans="1:5">
      <c r="A10" s="385"/>
      <c r="B10" s="13" t="s">
        <v>108</v>
      </c>
    </row>
    <row r="11" spans="1:5" outlineLevel="1">
      <c r="A11" s="385">
        <v>2</v>
      </c>
      <c r="B11" s="74" t="s">
        <v>31</v>
      </c>
      <c r="C11" s="351" t="s">
        <v>28</v>
      </c>
      <c r="D11" s="69"/>
      <c r="E11" s="69"/>
    </row>
    <row r="12" spans="1:5" outlineLevel="1">
      <c r="A12" s="385"/>
      <c r="B12" s="74" t="s">
        <v>32</v>
      </c>
      <c r="C12" s="351"/>
      <c r="D12" s="351" t="s">
        <v>29</v>
      </c>
      <c r="E12" s="69"/>
    </row>
    <row r="13" spans="1:5" outlineLevel="1">
      <c r="A13" s="385"/>
      <c r="B13" s="383" t="s">
        <v>33</v>
      </c>
      <c r="C13" s="351"/>
      <c r="D13" s="351"/>
      <c r="E13" s="69"/>
    </row>
    <row r="14" spans="1:5" outlineLevel="1">
      <c r="A14" s="385"/>
      <c r="B14" s="384"/>
      <c r="C14" s="351"/>
      <c r="D14" s="351"/>
      <c r="E14" s="69"/>
    </row>
    <row r="15" spans="1:5" outlineLevel="1">
      <c r="A15" s="385"/>
      <c r="B15" s="74" t="s">
        <v>34</v>
      </c>
      <c r="C15" s="351"/>
      <c r="D15" s="351" t="s">
        <v>30</v>
      </c>
      <c r="E15" s="69"/>
    </row>
    <row r="16" spans="1:5" outlineLevel="1">
      <c r="A16" s="385"/>
      <c r="B16" s="74" t="s">
        <v>34</v>
      </c>
      <c r="C16" s="351"/>
      <c r="D16" s="351"/>
      <c r="E16" s="69"/>
    </row>
    <row r="17" spans="1:5" outlineLevel="1">
      <c r="A17" s="385"/>
      <c r="B17" s="74" t="s">
        <v>34</v>
      </c>
      <c r="C17" s="351"/>
      <c r="D17" s="69"/>
      <c r="E17" s="69"/>
    </row>
    <row r="18" spans="1:5" outlineLevel="1">
      <c r="A18" s="385"/>
      <c r="B18" s="74" t="s">
        <v>108</v>
      </c>
      <c r="C18" s="69"/>
      <c r="D18" s="69"/>
      <c r="E18" s="69"/>
    </row>
    <row r="19" spans="1:5" outlineLevel="1">
      <c r="A19" s="385">
        <v>3</v>
      </c>
      <c r="B19" s="74" t="s">
        <v>31</v>
      </c>
      <c r="C19" s="351" t="s">
        <v>28</v>
      </c>
      <c r="D19" s="69"/>
      <c r="E19" s="69"/>
    </row>
    <row r="20" spans="1:5" outlineLevel="1">
      <c r="A20" s="385"/>
      <c r="B20" s="74" t="s">
        <v>32</v>
      </c>
      <c r="C20" s="351"/>
      <c r="D20" s="351" t="s">
        <v>29</v>
      </c>
      <c r="E20" s="69"/>
    </row>
    <row r="21" spans="1:5" outlineLevel="1">
      <c r="A21" s="385"/>
      <c r="B21" s="383" t="s">
        <v>489</v>
      </c>
      <c r="C21" s="351"/>
      <c r="D21" s="351"/>
      <c r="E21" s="69"/>
    </row>
    <row r="22" spans="1:5" outlineLevel="1">
      <c r="A22" s="385"/>
      <c r="B22" s="384"/>
      <c r="C22" s="351"/>
      <c r="D22" s="351"/>
      <c r="E22" s="69"/>
    </row>
    <row r="23" spans="1:5" outlineLevel="1">
      <c r="A23" s="385"/>
      <c r="B23" s="74" t="s">
        <v>34</v>
      </c>
      <c r="C23" s="351"/>
      <c r="D23" s="351" t="s">
        <v>30</v>
      </c>
      <c r="E23" s="69"/>
    </row>
    <row r="24" spans="1:5" outlineLevel="1">
      <c r="A24" s="385"/>
      <c r="B24" s="74" t="s">
        <v>34</v>
      </c>
      <c r="C24" s="351"/>
      <c r="D24" s="351"/>
      <c r="E24" s="69"/>
    </row>
    <row r="25" spans="1:5" outlineLevel="1">
      <c r="A25" s="385"/>
      <c r="B25" s="74" t="s">
        <v>34</v>
      </c>
      <c r="C25" s="351"/>
      <c r="D25" s="69"/>
      <c r="E25" s="69"/>
    </row>
    <row r="26" spans="1:5" outlineLevel="1">
      <c r="A26" s="385"/>
      <c r="B26" s="74" t="s">
        <v>108</v>
      </c>
      <c r="C26" s="69"/>
      <c r="D26" s="69"/>
      <c r="E26" s="69"/>
    </row>
    <row r="27" spans="1:5" outlineLevel="1">
      <c r="A27" s="385">
        <v>4</v>
      </c>
      <c r="B27" s="74" t="s">
        <v>31</v>
      </c>
      <c r="C27" s="351" t="s">
        <v>28</v>
      </c>
      <c r="D27" s="69"/>
      <c r="E27" s="69"/>
    </row>
    <row r="28" spans="1:5" outlineLevel="1">
      <c r="A28" s="385"/>
      <c r="B28" s="74" t="s">
        <v>32</v>
      </c>
      <c r="C28" s="351"/>
      <c r="D28" s="351" t="s">
        <v>29</v>
      </c>
      <c r="E28" s="69"/>
    </row>
    <row r="29" spans="1:5" outlineLevel="1">
      <c r="A29" s="385"/>
      <c r="B29" s="383" t="s">
        <v>33</v>
      </c>
      <c r="C29" s="351"/>
      <c r="D29" s="351"/>
      <c r="E29" s="69"/>
    </row>
    <row r="30" spans="1:5" outlineLevel="1">
      <c r="A30" s="385"/>
      <c r="B30" s="384"/>
      <c r="C30" s="351"/>
      <c r="D30" s="351"/>
      <c r="E30" s="69"/>
    </row>
    <row r="31" spans="1:5" outlineLevel="1">
      <c r="A31" s="385"/>
      <c r="B31" s="74" t="s">
        <v>34</v>
      </c>
      <c r="C31" s="351"/>
      <c r="D31" s="351" t="s">
        <v>30</v>
      </c>
      <c r="E31" s="69"/>
    </row>
    <row r="32" spans="1:5" outlineLevel="1">
      <c r="A32" s="385"/>
      <c r="B32" s="74" t="s">
        <v>34</v>
      </c>
      <c r="C32" s="351"/>
      <c r="D32" s="351"/>
      <c r="E32" s="69"/>
    </row>
    <row r="33" spans="1:5" outlineLevel="1">
      <c r="A33" s="385"/>
      <c r="B33" s="74" t="s">
        <v>34</v>
      </c>
      <c r="C33" s="351"/>
      <c r="D33" s="69"/>
      <c r="E33" s="69"/>
    </row>
    <row r="34" spans="1:5" outlineLevel="1">
      <c r="A34" s="385"/>
      <c r="B34" s="74" t="s">
        <v>108</v>
      </c>
      <c r="C34" s="69"/>
      <c r="D34" s="69"/>
      <c r="E34" s="69"/>
    </row>
    <row r="35" spans="1:5" outlineLevel="1">
      <c r="A35" s="385">
        <v>5</v>
      </c>
      <c r="B35" s="74" t="s">
        <v>31</v>
      </c>
      <c r="C35" s="351" t="s">
        <v>28</v>
      </c>
      <c r="D35" s="69"/>
      <c r="E35" s="69"/>
    </row>
    <row r="36" spans="1:5" outlineLevel="1">
      <c r="A36" s="385"/>
      <c r="B36" s="74" t="s">
        <v>32</v>
      </c>
      <c r="C36" s="351"/>
      <c r="D36" s="351" t="s">
        <v>29</v>
      </c>
      <c r="E36" s="69"/>
    </row>
    <row r="37" spans="1:5" outlineLevel="1">
      <c r="A37" s="385"/>
      <c r="B37" s="383" t="s">
        <v>33</v>
      </c>
      <c r="C37" s="351"/>
      <c r="D37" s="351"/>
      <c r="E37" s="69"/>
    </row>
    <row r="38" spans="1:5" outlineLevel="1">
      <c r="A38" s="385"/>
      <c r="B38" s="384"/>
      <c r="C38" s="351"/>
      <c r="D38" s="351"/>
      <c r="E38" s="69"/>
    </row>
    <row r="39" spans="1:5" outlineLevel="1">
      <c r="A39" s="385"/>
      <c r="B39" s="74" t="s">
        <v>34</v>
      </c>
      <c r="C39" s="351"/>
      <c r="D39" s="351" t="s">
        <v>30</v>
      </c>
      <c r="E39" s="69"/>
    </row>
    <row r="40" spans="1:5" outlineLevel="1">
      <c r="A40" s="385"/>
      <c r="B40" s="74" t="s">
        <v>34</v>
      </c>
      <c r="C40" s="351"/>
      <c r="D40" s="351"/>
      <c r="E40" s="69"/>
    </row>
    <row r="41" spans="1:5" outlineLevel="1">
      <c r="A41" s="385"/>
      <c r="B41" s="74" t="s">
        <v>34</v>
      </c>
      <c r="C41" s="351"/>
      <c r="D41" s="69"/>
      <c r="E41" s="69"/>
    </row>
    <row r="42" spans="1:5" outlineLevel="1">
      <c r="A42" s="385"/>
      <c r="B42" s="74" t="s">
        <v>108</v>
      </c>
      <c r="C42" s="69"/>
      <c r="D42" s="69"/>
      <c r="E42" s="69"/>
    </row>
    <row r="43" spans="1:5" outlineLevel="1">
      <c r="A43" s="385">
        <v>6</v>
      </c>
      <c r="B43" s="74" t="s">
        <v>31</v>
      </c>
      <c r="C43" s="351" t="s">
        <v>28</v>
      </c>
      <c r="D43" s="69"/>
      <c r="E43" s="69"/>
    </row>
    <row r="44" spans="1:5" outlineLevel="1">
      <c r="A44" s="385"/>
      <c r="B44" s="74" t="s">
        <v>32</v>
      </c>
      <c r="C44" s="351"/>
      <c r="D44" s="351" t="s">
        <v>29</v>
      </c>
      <c r="E44" s="69"/>
    </row>
    <row r="45" spans="1:5" outlineLevel="1">
      <c r="A45" s="385"/>
      <c r="B45" s="383" t="s">
        <v>33</v>
      </c>
      <c r="C45" s="351"/>
      <c r="D45" s="351"/>
      <c r="E45" s="69"/>
    </row>
    <row r="46" spans="1:5" outlineLevel="1">
      <c r="A46" s="385"/>
      <c r="B46" s="384"/>
      <c r="C46" s="351"/>
      <c r="D46" s="351"/>
      <c r="E46" s="69"/>
    </row>
    <row r="47" spans="1:5" outlineLevel="1">
      <c r="A47" s="385"/>
      <c r="B47" s="74" t="s">
        <v>34</v>
      </c>
      <c r="C47" s="351"/>
      <c r="D47" s="351" t="s">
        <v>30</v>
      </c>
      <c r="E47" s="69"/>
    </row>
    <row r="48" spans="1:5" outlineLevel="1">
      <c r="A48" s="385"/>
      <c r="B48" s="74" t="s">
        <v>34</v>
      </c>
      <c r="C48" s="351"/>
      <c r="D48" s="351"/>
      <c r="E48" s="69"/>
    </row>
    <row r="49" spans="1:5" outlineLevel="1">
      <c r="A49" s="385"/>
      <c r="B49" s="74" t="s">
        <v>34</v>
      </c>
      <c r="C49" s="351"/>
      <c r="D49" s="69"/>
      <c r="E49" s="69"/>
    </row>
    <row r="50" spans="1:5" outlineLevel="1">
      <c r="A50" s="385"/>
      <c r="B50" s="74" t="s">
        <v>108</v>
      </c>
      <c r="C50" s="69"/>
      <c r="D50" s="69"/>
      <c r="E50" s="69"/>
    </row>
    <row r="51" spans="1:5" outlineLevel="1">
      <c r="A51" s="385">
        <v>7</v>
      </c>
      <c r="B51" s="74" t="s">
        <v>31</v>
      </c>
      <c r="C51" s="351" t="s">
        <v>28</v>
      </c>
      <c r="D51" s="69"/>
      <c r="E51" s="69"/>
    </row>
    <row r="52" spans="1:5" outlineLevel="1">
      <c r="A52" s="385"/>
      <c r="B52" s="74" t="s">
        <v>32</v>
      </c>
      <c r="C52" s="351"/>
      <c r="D52" s="351" t="s">
        <v>29</v>
      </c>
      <c r="E52" s="69"/>
    </row>
    <row r="53" spans="1:5" outlineLevel="1">
      <c r="A53" s="385"/>
      <c r="B53" s="383" t="s">
        <v>33</v>
      </c>
      <c r="C53" s="351"/>
      <c r="D53" s="351"/>
      <c r="E53" s="69"/>
    </row>
    <row r="54" spans="1:5" outlineLevel="1">
      <c r="A54" s="385"/>
      <c r="B54" s="384"/>
      <c r="C54" s="351"/>
      <c r="D54" s="351"/>
      <c r="E54" s="69"/>
    </row>
    <row r="55" spans="1:5" outlineLevel="1">
      <c r="A55" s="385"/>
      <c r="B55" s="74" t="s">
        <v>34</v>
      </c>
      <c r="C55" s="351"/>
      <c r="D55" s="351" t="s">
        <v>30</v>
      </c>
      <c r="E55" s="69"/>
    </row>
    <row r="56" spans="1:5" outlineLevel="1">
      <c r="A56" s="385"/>
      <c r="B56" s="74" t="s">
        <v>34</v>
      </c>
      <c r="C56" s="351"/>
      <c r="D56" s="351"/>
      <c r="E56" s="69"/>
    </row>
    <row r="57" spans="1:5" outlineLevel="1">
      <c r="A57" s="385"/>
      <c r="B57" s="74" t="s">
        <v>34</v>
      </c>
      <c r="C57" s="351"/>
      <c r="D57" s="69"/>
      <c r="E57" s="69"/>
    </row>
    <row r="58" spans="1:5" outlineLevel="1">
      <c r="A58" s="385"/>
      <c r="B58" s="74" t="s">
        <v>108</v>
      </c>
      <c r="C58" s="69"/>
      <c r="D58" s="69"/>
      <c r="E58" s="69"/>
    </row>
    <row r="59" spans="1:5" outlineLevel="1">
      <c r="A59" s="385">
        <v>8</v>
      </c>
      <c r="B59" s="74" t="s">
        <v>31</v>
      </c>
      <c r="C59" s="351" t="s">
        <v>28</v>
      </c>
      <c r="D59" s="69"/>
      <c r="E59" s="69"/>
    </row>
    <row r="60" spans="1:5" outlineLevel="1">
      <c r="A60" s="385"/>
      <c r="B60" s="74" t="s">
        <v>32</v>
      </c>
      <c r="C60" s="351"/>
      <c r="D60" s="351" t="s">
        <v>29</v>
      </c>
      <c r="E60" s="69"/>
    </row>
    <row r="61" spans="1:5" outlineLevel="1">
      <c r="A61" s="385"/>
      <c r="B61" s="383" t="s">
        <v>33</v>
      </c>
      <c r="C61" s="351"/>
      <c r="D61" s="351"/>
      <c r="E61" s="69"/>
    </row>
    <row r="62" spans="1:5" outlineLevel="1">
      <c r="A62" s="385"/>
      <c r="B62" s="384"/>
      <c r="C62" s="351"/>
      <c r="D62" s="351"/>
      <c r="E62" s="69"/>
    </row>
    <row r="63" spans="1:5" outlineLevel="1">
      <c r="A63" s="385"/>
      <c r="B63" s="74" t="s">
        <v>34</v>
      </c>
      <c r="C63" s="351"/>
      <c r="D63" s="351" t="s">
        <v>30</v>
      </c>
      <c r="E63" s="69"/>
    </row>
    <row r="64" spans="1:5" outlineLevel="1">
      <c r="A64" s="385"/>
      <c r="B64" s="74" t="s">
        <v>34</v>
      </c>
      <c r="C64" s="351"/>
      <c r="D64" s="351"/>
      <c r="E64" s="69"/>
    </row>
    <row r="65" spans="1:5" outlineLevel="1">
      <c r="A65" s="385"/>
      <c r="B65" s="74" t="s">
        <v>34</v>
      </c>
      <c r="C65" s="351"/>
      <c r="D65" s="69"/>
      <c r="E65" s="69"/>
    </row>
    <row r="66" spans="1:5" outlineLevel="1">
      <c r="A66" s="385"/>
      <c r="B66" s="74" t="s">
        <v>108</v>
      </c>
      <c r="C66" s="69"/>
      <c r="D66" s="69"/>
      <c r="E66" s="69"/>
    </row>
    <row r="67" spans="1:5" outlineLevel="1">
      <c r="A67" s="385">
        <v>9</v>
      </c>
      <c r="B67" s="74" t="s">
        <v>31</v>
      </c>
      <c r="C67" s="351" t="s">
        <v>28</v>
      </c>
      <c r="D67" s="69"/>
      <c r="E67" s="69"/>
    </row>
    <row r="68" spans="1:5" outlineLevel="1">
      <c r="A68" s="385"/>
      <c r="B68" s="74" t="s">
        <v>32</v>
      </c>
      <c r="C68" s="351"/>
      <c r="D68" s="351" t="s">
        <v>29</v>
      </c>
      <c r="E68" s="69"/>
    </row>
    <row r="69" spans="1:5" outlineLevel="1">
      <c r="A69" s="385"/>
      <c r="B69" s="383" t="s">
        <v>33</v>
      </c>
      <c r="C69" s="351"/>
      <c r="D69" s="351"/>
      <c r="E69" s="69"/>
    </row>
    <row r="70" spans="1:5" outlineLevel="1">
      <c r="A70" s="385"/>
      <c r="B70" s="384"/>
      <c r="C70" s="351"/>
      <c r="D70" s="351"/>
      <c r="E70" s="69"/>
    </row>
    <row r="71" spans="1:5" outlineLevel="1">
      <c r="A71" s="385"/>
      <c r="B71" s="74" t="s">
        <v>34</v>
      </c>
      <c r="C71" s="351"/>
      <c r="D71" s="351" t="s">
        <v>30</v>
      </c>
      <c r="E71" s="69"/>
    </row>
    <row r="72" spans="1:5" outlineLevel="1">
      <c r="A72" s="385"/>
      <c r="B72" s="74" t="s">
        <v>34</v>
      </c>
      <c r="C72" s="351"/>
      <c r="D72" s="351"/>
      <c r="E72" s="69"/>
    </row>
    <row r="73" spans="1:5" outlineLevel="1">
      <c r="A73" s="385"/>
      <c r="B73" s="74" t="s">
        <v>34</v>
      </c>
      <c r="C73" s="351"/>
      <c r="D73" s="69"/>
      <c r="E73" s="69"/>
    </row>
    <row r="74" spans="1:5" outlineLevel="1">
      <c r="A74" s="385"/>
      <c r="B74" s="74" t="s">
        <v>108</v>
      </c>
      <c r="C74" s="69"/>
      <c r="D74" s="69"/>
      <c r="E74" s="69"/>
    </row>
    <row r="75" spans="1:5" outlineLevel="1">
      <c r="A75" s="385">
        <v>10</v>
      </c>
      <c r="B75" s="74" t="s">
        <v>31</v>
      </c>
      <c r="C75" s="351" t="s">
        <v>28</v>
      </c>
      <c r="D75" s="69"/>
      <c r="E75" s="69"/>
    </row>
    <row r="76" spans="1:5" outlineLevel="1">
      <c r="A76" s="385"/>
      <c r="B76" s="74" t="s">
        <v>32</v>
      </c>
      <c r="C76" s="351"/>
      <c r="D76" s="351" t="s">
        <v>29</v>
      </c>
      <c r="E76" s="69"/>
    </row>
    <row r="77" spans="1:5" outlineLevel="1">
      <c r="A77" s="385"/>
      <c r="B77" s="383" t="s">
        <v>33</v>
      </c>
      <c r="C77" s="351"/>
      <c r="D77" s="351"/>
      <c r="E77" s="69"/>
    </row>
    <row r="78" spans="1:5" outlineLevel="1">
      <c r="A78" s="385"/>
      <c r="B78" s="384"/>
      <c r="C78" s="351"/>
      <c r="D78" s="351"/>
      <c r="E78" s="69"/>
    </row>
    <row r="79" spans="1:5" outlineLevel="1">
      <c r="A79" s="385"/>
      <c r="B79" s="74" t="s">
        <v>34</v>
      </c>
      <c r="C79" s="351"/>
      <c r="D79" s="351" t="s">
        <v>30</v>
      </c>
      <c r="E79" s="69"/>
    </row>
    <row r="80" spans="1:5" outlineLevel="1">
      <c r="A80" s="385"/>
      <c r="B80" s="74" t="s">
        <v>34</v>
      </c>
      <c r="C80" s="351"/>
      <c r="D80" s="351"/>
      <c r="E80" s="69"/>
    </row>
    <row r="81" spans="1:5" outlineLevel="1">
      <c r="A81" s="385"/>
      <c r="B81" s="74" t="s">
        <v>34</v>
      </c>
      <c r="C81" s="351"/>
      <c r="D81" s="69"/>
      <c r="E81" s="69"/>
    </row>
    <row r="82" spans="1:5" outlineLevel="1">
      <c r="A82" s="385"/>
      <c r="B82" s="74" t="s">
        <v>108</v>
      </c>
      <c r="C82" s="69"/>
      <c r="D82" s="69"/>
      <c r="E82" s="69"/>
    </row>
    <row r="83" spans="1:5" outlineLevel="1">
      <c r="A83" s="385">
        <v>11</v>
      </c>
      <c r="B83" s="74" t="s">
        <v>31</v>
      </c>
      <c r="C83" s="351" t="s">
        <v>28</v>
      </c>
      <c r="D83" s="69"/>
      <c r="E83" s="69"/>
    </row>
    <row r="84" spans="1:5" outlineLevel="1">
      <c r="A84" s="385"/>
      <c r="B84" s="74" t="s">
        <v>32</v>
      </c>
      <c r="C84" s="351"/>
      <c r="D84" s="351" t="s">
        <v>29</v>
      </c>
      <c r="E84" s="69"/>
    </row>
    <row r="85" spans="1:5" outlineLevel="1">
      <c r="A85" s="385"/>
      <c r="B85" s="383" t="s">
        <v>33</v>
      </c>
      <c r="C85" s="351"/>
      <c r="D85" s="351"/>
      <c r="E85" s="69"/>
    </row>
    <row r="86" spans="1:5" outlineLevel="1">
      <c r="A86" s="385"/>
      <c r="B86" s="384"/>
      <c r="C86" s="351"/>
      <c r="D86" s="351"/>
      <c r="E86" s="69"/>
    </row>
    <row r="87" spans="1:5" outlineLevel="1">
      <c r="A87" s="385"/>
      <c r="B87" s="74" t="s">
        <v>34</v>
      </c>
      <c r="C87" s="351"/>
      <c r="D87" s="351" t="s">
        <v>30</v>
      </c>
      <c r="E87" s="69"/>
    </row>
    <row r="88" spans="1:5" outlineLevel="1">
      <c r="A88" s="385"/>
      <c r="B88" s="74" t="s">
        <v>34</v>
      </c>
      <c r="C88" s="351"/>
      <c r="D88" s="351"/>
      <c r="E88" s="69"/>
    </row>
    <row r="89" spans="1:5" outlineLevel="1">
      <c r="A89" s="385"/>
      <c r="B89" s="74" t="s">
        <v>34</v>
      </c>
      <c r="C89" s="351"/>
      <c r="D89" s="69"/>
      <c r="E89" s="69"/>
    </row>
    <row r="90" spans="1:5" outlineLevel="1">
      <c r="A90" s="385"/>
      <c r="B90" s="74" t="s">
        <v>108</v>
      </c>
      <c r="C90" s="69"/>
      <c r="D90" s="69"/>
      <c r="E90" s="69"/>
    </row>
    <row r="91" spans="1:5" outlineLevel="1">
      <c r="A91" s="385">
        <v>12</v>
      </c>
      <c r="B91" s="74" t="s">
        <v>31</v>
      </c>
      <c r="C91" s="351" t="s">
        <v>28</v>
      </c>
      <c r="D91" s="69"/>
      <c r="E91" s="69"/>
    </row>
    <row r="92" spans="1:5" outlineLevel="1">
      <c r="A92" s="385"/>
      <c r="B92" s="74" t="s">
        <v>32</v>
      </c>
      <c r="C92" s="351"/>
      <c r="D92" s="351" t="s">
        <v>29</v>
      </c>
      <c r="E92" s="69"/>
    </row>
    <row r="93" spans="1:5" outlineLevel="1">
      <c r="A93" s="385"/>
      <c r="B93" s="383" t="s">
        <v>33</v>
      </c>
      <c r="C93" s="351"/>
      <c r="D93" s="351"/>
      <c r="E93" s="69"/>
    </row>
    <row r="94" spans="1:5" outlineLevel="1">
      <c r="A94" s="385"/>
      <c r="B94" s="384"/>
      <c r="C94" s="351"/>
      <c r="D94" s="351"/>
      <c r="E94" s="69"/>
    </row>
    <row r="95" spans="1:5" outlineLevel="1">
      <c r="A95" s="385"/>
      <c r="B95" s="74" t="s">
        <v>34</v>
      </c>
      <c r="C95" s="351"/>
      <c r="D95" s="351" t="s">
        <v>30</v>
      </c>
      <c r="E95" s="69"/>
    </row>
    <row r="96" spans="1:5" outlineLevel="1">
      <c r="A96" s="385"/>
      <c r="B96" s="74" t="s">
        <v>34</v>
      </c>
      <c r="C96" s="351"/>
      <c r="D96" s="351"/>
      <c r="E96" s="69"/>
    </row>
    <row r="97" spans="1:5" outlineLevel="1">
      <c r="A97" s="385"/>
      <c r="B97" s="74" t="s">
        <v>34</v>
      </c>
      <c r="C97" s="351"/>
      <c r="D97" s="69"/>
      <c r="E97" s="69"/>
    </row>
    <row r="98" spans="1:5" outlineLevel="1">
      <c r="A98" s="385"/>
      <c r="B98" s="74" t="s">
        <v>108</v>
      </c>
      <c r="C98" s="69"/>
      <c r="D98" s="69"/>
      <c r="E98" s="69"/>
    </row>
    <row r="99" spans="1:5" outlineLevel="1">
      <c r="A99" s="385">
        <v>13</v>
      </c>
      <c r="B99" s="74" t="s">
        <v>31</v>
      </c>
      <c r="C99" s="351" t="s">
        <v>28</v>
      </c>
      <c r="D99" s="69"/>
      <c r="E99" s="69"/>
    </row>
    <row r="100" spans="1:5" outlineLevel="1">
      <c r="A100" s="385"/>
      <c r="B100" s="74" t="s">
        <v>32</v>
      </c>
      <c r="C100" s="351"/>
      <c r="D100" s="351" t="s">
        <v>29</v>
      </c>
      <c r="E100" s="69"/>
    </row>
    <row r="101" spans="1:5" outlineLevel="1">
      <c r="A101" s="385"/>
      <c r="B101" s="383" t="s">
        <v>33</v>
      </c>
      <c r="C101" s="351"/>
      <c r="D101" s="351"/>
      <c r="E101" s="69"/>
    </row>
    <row r="102" spans="1:5" outlineLevel="1">
      <c r="A102" s="385"/>
      <c r="B102" s="384"/>
      <c r="C102" s="351"/>
      <c r="D102" s="351"/>
      <c r="E102" s="69"/>
    </row>
    <row r="103" spans="1:5" outlineLevel="1">
      <c r="A103" s="385"/>
      <c r="B103" s="74" t="s">
        <v>34</v>
      </c>
      <c r="C103" s="351"/>
      <c r="D103" s="351" t="s">
        <v>30</v>
      </c>
      <c r="E103" s="69"/>
    </row>
    <row r="104" spans="1:5" outlineLevel="1">
      <c r="A104" s="385"/>
      <c r="B104" s="74" t="s">
        <v>34</v>
      </c>
      <c r="C104" s="351"/>
      <c r="D104" s="351"/>
      <c r="E104" s="69"/>
    </row>
    <row r="105" spans="1:5" outlineLevel="1">
      <c r="A105" s="385"/>
      <c r="B105" s="74" t="s">
        <v>34</v>
      </c>
      <c r="C105" s="351"/>
      <c r="D105" s="69"/>
      <c r="E105" s="69"/>
    </row>
    <row r="106" spans="1:5" outlineLevel="1">
      <c r="A106" s="385"/>
      <c r="B106" s="74" t="s">
        <v>108</v>
      </c>
      <c r="C106" s="69"/>
      <c r="D106" s="69"/>
      <c r="E106" s="69"/>
    </row>
    <row r="107" spans="1:5" outlineLevel="1">
      <c r="A107" s="385">
        <v>14</v>
      </c>
      <c r="B107" s="74" t="s">
        <v>31</v>
      </c>
      <c r="C107" s="351" t="s">
        <v>28</v>
      </c>
      <c r="D107" s="69"/>
      <c r="E107" s="69"/>
    </row>
    <row r="108" spans="1:5" outlineLevel="1">
      <c r="A108" s="385"/>
      <c r="B108" s="74" t="s">
        <v>32</v>
      </c>
      <c r="C108" s="351"/>
      <c r="D108" s="351" t="s">
        <v>29</v>
      </c>
      <c r="E108" s="69"/>
    </row>
    <row r="109" spans="1:5" outlineLevel="1">
      <c r="A109" s="385"/>
      <c r="B109" s="383" t="s">
        <v>33</v>
      </c>
      <c r="C109" s="351"/>
      <c r="D109" s="351"/>
      <c r="E109" s="69"/>
    </row>
    <row r="110" spans="1:5" outlineLevel="1">
      <c r="A110" s="385"/>
      <c r="B110" s="384"/>
      <c r="C110" s="351"/>
      <c r="D110" s="351"/>
      <c r="E110" s="69"/>
    </row>
    <row r="111" spans="1:5" outlineLevel="1">
      <c r="A111" s="385"/>
      <c r="B111" s="74" t="s">
        <v>34</v>
      </c>
      <c r="C111" s="351"/>
      <c r="D111" s="351" t="s">
        <v>30</v>
      </c>
      <c r="E111" s="69"/>
    </row>
    <row r="112" spans="1:5" outlineLevel="1">
      <c r="A112" s="385"/>
      <c r="B112" s="74" t="s">
        <v>34</v>
      </c>
      <c r="C112" s="351"/>
      <c r="D112" s="351"/>
      <c r="E112" s="69"/>
    </row>
    <row r="113" spans="1:5" outlineLevel="1">
      <c r="A113" s="385"/>
      <c r="B113" s="74" t="s">
        <v>34</v>
      </c>
      <c r="C113" s="351"/>
      <c r="D113" s="69"/>
      <c r="E113" s="69"/>
    </row>
    <row r="114" spans="1:5" outlineLevel="1">
      <c r="A114" s="385"/>
      <c r="B114" s="74" t="s">
        <v>108</v>
      </c>
      <c r="C114" s="69"/>
      <c r="D114" s="69"/>
      <c r="E114" s="69"/>
    </row>
    <row r="115" spans="1:5" outlineLevel="1">
      <c r="A115" s="385">
        <v>15</v>
      </c>
      <c r="B115" s="74" t="s">
        <v>31</v>
      </c>
      <c r="C115" s="351" t="s">
        <v>28</v>
      </c>
      <c r="D115" s="69"/>
      <c r="E115" s="69"/>
    </row>
    <row r="116" spans="1:5" outlineLevel="1">
      <c r="A116" s="385"/>
      <c r="B116" s="74" t="s">
        <v>32</v>
      </c>
      <c r="C116" s="351"/>
      <c r="D116" s="351" t="s">
        <v>29</v>
      </c>
      <c r="E116" s="69"/>
    </row>
    <row r="117" spans="1:5" outlineLevel="1">
      <c r="A117" s="385"/>
      <c r="B117" s="383" t="s">
        <v>33</v>
      </c>
      <c r="C117" s="351"/>
      <c r="D117" s="351"/>
      <c r="E117" s="69"/>
    </row>
    <row r="118" spans="1:5" outlineLevel="1">
      <c r="A118" s="385"/>
      <c r="B118" s="384"/>
      <c r="C118" s="351"/>
      <c r="D118" s="351"/>
      <c r="E118" s="69"/>
    </row>
    <row r="119" spans="1:5" outlineLevel="1">
      <c r="A119" s="385"/>
      <c r="B119" s="74" t="s">
        <v>34</v>
      </c>
      <c r="C119" s="351"/>
      <c r="D119" s="351" t="s">
        <v>30</v>
      </c>
      <c r="E119" s="69"/>
    </row>
    <row r="120" spans="1:5" outlineLevel="1">
      <c r="A120" s="385"/>
      <c r="B120" s="74" t="s">
        <v>34</v>
      </c>
      <c r="C120" s="351"/>
      <c r="D120" s="351"/>
      <c r="E120" s="69"/>
    </row>
    <row r="121" spans="1:5" outlineLevel="1">
      <c r="A121" s="385"/>
      <c r="B121" s="74" t="s">
        <v>34</v>
      </c>
      <c r="C121" s="351"/>
      <c r="D121" s="69"/>
      <c r="E121" s="69"/>
    </row>
    <row r="122" spans="1:5" outlineLevel="1">
      <c r="A122" s="385"/>
      <c r="B122" s="74" t="s">
        <v>108</v>
      </c>
      <c r="C122" s="69"/>
      <c r="D122" s="69"/>
      <c r="E122" s="69"/>
    </row>
    <row r="123" spans="1:5" outlineLevel="1">
      <c r="A123" s="385">
        <v>16</v>
      </c>
      <c r="B123" s="74" t="s">
        <v>31</v>
      </c>
      <c r="C123" s="351" t="s">
        <v>28</v>
      </c>
      <c r="D123" s="69"/>
      <c r="E123" s="69"/>
    </row>
    <row r="124" spans="1:5" outlineLevel="1">
      <c r="A124" s="385"/>
      <c r="B124" s="74" t="s">
        <v>32</v>
      </c>
      <c r="C124" s="351"/>
      <c r="D124" s="351" t="s">
        <v>29</v>
      </c>
      <c r="E124" s="69"/>
    </row>
    <row r="125" spans="1:5" outlineLevel="1">
      <c r="A125" s="385"/>
      <c r="B125" s="383" t="s">
        <v>33</v>
      </c>
      <c r="C125" s="351"/>
      <c r="D125" s="351"/>
      <c r="E125" s="69"/>
    </row>
    <row r="126" spans="1:5" outlineLevel="1">
      <c r="A126" s="385"/>
      <c r="B126" s="384"/>
      <c r="C126" s="351"/>
      <c r="D126" s="351"/>
      <c r="E126" s="69"/>
    </row>
    <row r="127" spans="1:5" outlineLevel="1">
      <c r="A127" s="385"/>
      <c r="B127" s="74" t="s">
        <v>34</v>
      </c>
      <c r="C127" s="351"/>
      <c r="D127" s="351" t="s">
        <v>30</v>
      </c>
      <c r="E127" s="69"/>
    </row>
    <row r="128" spans="1:5" outlineLevel="1">
      <c r="A128" s="385"/>
      <c r="B128" s="74" t="s">
        <v>34</v>
      </c>
      <c r="C128" s="351"/>
      <c r="D128" s="351"/>
      <c r="E128" s="69"/>
    </row>
    <row r="129" spans="1:5" outlineLevel="1">
      <c r="A129" s="385"/>
      <c r="B129" s="74" t="s">
        <v>34</v>
      </c>
      <c r="C129" s="351"/>
      <c r="D129" s="69"/>
      <c r="E129" s="69"/>
    </row>
    <row r="130" spans="1:5" outlineLevel="1">
      <c r="A130" s="385"/>
      <c r="B130" s="74" t="s">
        <v>108</v>
      </c>
      <c r="C130" s="69"/>
      <c r="D130" s="69"/>
      <c r="E130" s="69"/>
    </row>
    <row r="131" spans="1:5" outlineLevel="1">
      <c r="A131" s="26"/>
      <c r="B131" s="13" t="s">
        <v>36</v>
      </c>
      <c r="C131" s="69"/>
      <c r="D131" s="69"/>
      <c r="E131" s="69"/>
    </row>
    <row r="132" spans="1:5" outlineLevel="1">
      <c r="A132" s="69"/>
      <c r="B132" s="69"/>
      <c r="C132" s="69"/>
      <c r="D132" s="69"/>
      <c r="E132" s="69"/>
    </row>
    <row r="133" spans="1:5" outlineLevel="1">
      <c r="A133" s="69"/>
      <c r="B133" s="69"/>
      <c r="C133" s="69"/>
      <c r="D133" s="69"/>
      <c r="E133" s="69"/>
    </row>
    <row r="134" spans="1:5" outlineLevel="1">
      <c r="A134" s="69"/>
      <c r="B134" s="69"/>
      <c r="C134" s="69"/>
      <c r="D134" s="69"/>
      <c r="E134" s="69"/>
    </row>
    <row r="135" spans="1:5" outlineLevel="1">
      <c r="A135" s="69"/>
      <c r="B135" s="69"/>
      <c r="C135" s="69"/>
      <c r="D135" s="69"/>
      <c r="E135" s="69"/>
    </row>
    <row r="136" spans="1:5" outlineLevel="1">
      <c r="A136" s="69"/>
      <c r="B136" s="69"/>
      <c r="C136" s="69"/>
      <c r="D136" s="69"/>
      <c r="E136" s="69"/>
    </row>
    <row r="137" spans="1:5">
      <c r="A137" s="69"/>
      <c r="B137" s="69"/>
      <c r="C137" s="69"/>
      <c r="D137" s="69"/>
      <c r="E137" s="69"/>
    </row>
    <row r="138" spans="1:5">
      <c r="A138" s="69"/>
      <c r="B138" s="69"/>
      <c r="C138" s="69"/>
      <c r="D138" s="69"/>
      <c r="E138" s="69"/>
    </row>
    <row r="139" spans="1:5">
      <c r="A139" s="69"/>
      <c r="B139" s="69"/>
      <c r="C139" s="69"/>
      <c r="D139" s="69"/>
      <c r="E139" s="69"/>
    </row>
    <row r="140" spans="1:5">
      <c r="A140" s="69"/>
      <c r="B140" s="69"/>
      <c r="C140" s="69"/>
      <c r="D140" s="69"/>
      <c r="E140" s="69"/>
    </row>
    <row r="141" spans="1:5">
      <c r="A141" s="69"/>
      <c r="B141" s="69"/>
      <c r="C141" s="69"/>
      <c r="D141" s="69"/>
      <c r="E141" s="69"/>
    </row>
    <row r="142" spans="1:5">
      <c r="A142" s="69"/>
      <c r="B142" s="69"/>
      <c r="C142" s="69"/>
      <c r="D142" s="69"/>
      <c r="E142" s="69"/>
    </row>
    <row r="143" spans="1:5">
      <c r="A143" s="69"/>
      <c r="B143" s="69"/>
      <c r="C143" s="69"/>
      <c r="D143" s="69"/>
      <c r="E143" s="69"/>
    </row>
    <row r="144" spans="1:5">
      <c r="A144" s="69"/>
      <c r="B144" s="69"/>
      <c r="C144" s="69"/>
      <c r="D144" s="69"/>
      <c r="E144" s="69"/>
    </row>
    <row r="145" spans="1:7">
      <c r="A145" s="69"/>
      <c r="B145" s="69"/>
      <c r="C145" s="69"/>
      <c r="D145" s="69"/>
      <c r="E145" s="69"/>
    </row>
    <row r="147" spans="1:7">
      <c r="E147" s="27" t="s">
        <v>38</v>
      </c>
      <c r="F147" s="27" t="s">
        <v>39</v>
      </c>
      <c r="G147" s="27">
        <v>9975</v>
      </c>
    </row>
    <row r="148" spans="1:7">
      <c r="E148" s="27" t="s">
        <v>40</v>
      </c>
      <c r="F148" s="27" t="s">
        <v>41</v>
      </c>
      <c r="G148" s="27">
        <v>130</v>
      </c>
    </row>
    <row r="149" spans="1:7">
      <c r="E149" s="27" t="s">
        <v>42</v>
      </c>
      <c r="F149" s="27" t="s">
        <v>43</v>
      </c>
      <c r="G149" s="27">
        <v>37</v>
      </c>
    </row>
    <row r="150" spans="1:7">
      <c r="E150" s="27" t="s">
        <v>44</v>
      </c>
      <c r="F150" s="27" t="s">
        <v>45</v>
      </c>
      <c r="G150" s="27">
        <v>128</v>
      </c>
    </row>
    <row r="151" spans="1:7">
      <c r="E151" s="27" t="s">
        <v>46</v>
      </c>
      <c r="F151" s="27" t="s">
        <v>47</v>
      </c>
      <c r="G151" s="27">
        <f>CEILING(G149/4,1)</f>
        <v>10</v>
      </c>
    </row>
    <row r="152" spans="1:7">
      <c r="E152" s="28" t="s">
        <v>48</v>
      </c>
      <c r="F152" s="28" t="s">
        <v>49</v>
      </c>
      <c r="G152" s="28">
        <f>FLOOR(G147/G150,1)</f>
        <v>77</v>
      </c>
    </row>
    <row r="153" spans="1:7">
      <c r="E153" s="28" t="s">
        <v>50</v>
      </c>
      <c r="F153" s="28" t="s">
        <v>51</v>
      </c>
      <c r="G153" s="28">
        <f>MOD(G147,G150)</f>
        <v>119</v>
      </c>
    </row>
    <row r="154" spans="1:7">
      <c r="E154" s="28" t="s">
        <v>52</v>
      </c>
      <c r="F154" s="28" t="s">
        <v>53</v>
      </c>
      <c r="G154" s="28">
        <f>FLOOR(G148/G149,1)</f>
        <v>3</v>
      </c>
    </row>
    <row r="155" spans="1:7">
      <c r="E155" s="28" t="s">
        <v>54</v>
      </c>
      <c r="F155" s="28" t="s">
        <v>55</v>
      </c>
      <c r="G155" s="28">
        <f>MOD(G148,G149)</f>
        <v>19</v>
      </c>
    </row>
    <row r="156" spans="1:7">
      <c r="E156" s="28" t="s">
        <v>56</v>
      </c>
      <c r="F156" s="28" t="s">
        <v>57</v>
      </c>
      <c r="G156" s="28">
        <f>IF(G154=0,0,G149)</f>
        <v>37</v>
      </c>
    </row>
    <row r="157" spans="1:7">
      <c r="E157" s="28" t="s">
        <v>58</v>
      </c>
      <c r="F157" s="28" t="s">
        <v>59</v>
      </c>
      <c r="G157" s="28">
        <f>G155</f>
        <v>19</v>
      </c>
    </row>
    <row r="158" spans="1:7">
      <c r="E158" s="28"/>
      <c r="F158" s="28"/>
      <c r="G158" s="29"/>
    </row>
    <row r="159" spans="1:7">
      <c r="E159" s="12" t="s">
        <v>60</v>
      </c>
      <c r="F159" s="30" t="s">
        <v>61</v>
      </c>
      <c r="G159" s="31">
        <f>(G162+G165)</f>
        <v>52848</v>
      </c>
    </row>
    <row r="160" spans="1:7">
      <c r="E160" s="12"/>
      <c r="F160" s="12" t="s">
        <v>62</v>
      </c>
      <c r="G160" s="29">
        <f>IF(G152=0,0,((G156+(MIN(G147,G150)-1)+G151)*G154))</f>
        <v>522</v>
      </c>
    </row>
    <row r="161" spans="5:7">
      <c r="E161" s="12"/>
      <c r="F161" s="12"/>
      <c r="G161" s="29">
        <f>IF(G152=0,0,IF(G155=0,0,(G157+(MIN(G147,G150)-1)+G151)))</f>
        <v>156</v>
      </c>
    </row>
    <row r="162" spans="5:7">
      <c r="E162" s="12"/>
      <c r="F162" s="12"/>
      <c r="G162" s="29">
        <f>(G160+G161)*G152</f>
        <v>52206</v>
      </c>
    </row>
    <row r="163" spans="5:7">
      <c r="E163" s="12"/>
      <c r="F163" s="12" t="s">
        <v>50</v>
      </c>
      <c r="G163" s="29">
        <f>IF(G153=0,0,(G156+(G153-1)+G151)*G154)</f>
        <v>495</v>
      </c>
    </row>
    <row r="164" spans="5:7">
      <c r="E164" s="12"/>
      <c r="F164" s="12"/>
      <c r="G164" s="29">
        <f>IF(G153=0,0,IF(G155=0,0,(G157+(G153-1)+G151)))</f>
        <v>147</v>
      </c>
    </row>
    <row r="165" spans="5:7">
      <c r="E165" s="12"/>
      <c r="F165" s="12"/>
      <c r="G165" s="29">
        <f>G163+G164</f>
        <v>642</v>
      </c>
    </row>
    <row r="166" spans="5:7">
      <c r="E166" s="28"/>
      <c r="F166" s="28"/>
      <c r="G166" s="29"/>
    </row>
    <row r="167" spans="5:7">
      <c r="E167" s="12" t="s">
        <v>60</v>
      </c>
      <c r="F167" s="30" t="s">
        <v>61</v>
      </c>
      <c r="G167" s="32">
        <f>(G168+G169+G170)</f>
        <v>40066</v>
      </c>
    </row>
    <row r="168" spans="5:7">
      <c r="E168" s="12"/>
      <c r="F168" s="33" t="s">
        <v>52</v>
      </c>
      <c r="G168" s="29">
        <f>((G156+(G147-1))*G154)</f>
        <v>30033</v>
      </c>
    </row>
    <row r="169" spans="5:7">
      <c r="E169" s="12"/>
      <c r="F169" s="33" t="s">
        <v>63</v>
      </c>
      <c r="G169" s="29">
        <f>G151*G154</f>
        <v>30</v>
      </c>
    </row>
    <row r="170" spans="5:7">
      <c r="E170" s="12"/>
      <c r="F170" s="33" t="s">
        <v>54</v>
      </c>
      <c r="G170" s="29">
        <f>IF(G157=0,0,G157+(G147-1)+G151)</f>
        <v>10003</v>
      </c>
    </row>
    <row r="171" spans="5:7">
      <c r="E171" s="28"/>
      <c r="F171" s="28"/>
      <c r="G171" s="29"/>
    </row>
    <row r="172" spans="5:7">
      <c r="E172" s="34" t="s">
        <v>64</v>
      </c>
      <c r="F172" s="34" t="s">
        <v>65</v>
      </c>
      <c r="G172" s="10">
        <f>IF(G149&gt;=G148,G147/G167,G147/G159)</f>
        <v>0.1887488646684832</v>
      </c>
    </row>
    <row r="173" spans="5:7">
      <c r="E173" s="34" t="s">
        <v>37</v>
      </c>
      <c r="F173" s="34" t="s">
        <v>66</v>
      </c>
      <c r="G173" s="10">
        <f>G147/G167</f>
        <v>0.24896420905505914</v>
      </c>
    </row>
  </sheetData>
  <mergeCells count="80">
    <mergeCell ref="A123:A130"/>
    <mergeCell ref="C123:C129"/>
    <mergeCell ref="D124:D126"/>
    <mergeCell ref="B125:B126"/>
    <mergeCell ref="D127:D128"/>
    <mergeCell ref="A115:A122"/>
    <mergeCell ref="C115:C121"/>
    <mergeCell ref="D116:D118"/>
    <mergeCell ref="B117:B118"/>
    <mergeCell ref="D119:D120"/>
    <mergeCell ref="A107:A114"/>
    <mergeCell ref="C107:C113"/>
    <mergeCell ref="D108:D110"/>
    <mergeCell ref="B109:B110"/>
    <mergeCell ref="D111:D112"/>
    <mergeCell ref="A99:A106"/>
    <mergeCell ref="C99:C105"/>
    <mergeCell ref="D100:D102"/>
    <mergeCell ref="B101:B102"/>
    <mergeCell ref="D103:D104"/>
    <mergeCell ref="A91:A98"/>
    <mergeCell ref="C91:C97"/>
    <mergeCell ref="D92:D94"/>
    <mergeCell ref="B93:B94"/>
    <mergeCell ref="D95:D96"/>
    <mergeCell ref="A67:A74"/>
    <mergeCell ref="C67:C73"/>
    <mergeCell ref="D68:D70"/>
    <mergeCell ref="B69:B70"/>
    <mergeCell ref="D71:D72"/>
    <mergeCell ref="A83:A90"/>
    <mergeCell ref="C83:C89"/>
    <mergeCell ref="D84:D86"/>
    <mergeCell ref="B85:B86"/>
    <mergeCell ref="D87:D88"/>
    <mergeCell ref="C75:C81"/>
    <mergeCell ref="D76:D78"/>
    <mergeCell ref="B77:B78"/>
    <mergeCell ref="D79:D80"/>
    <mergeCell ref="A75:A82"/>
    <mergeCell ref="A59:A66"/>
    <mergeCell ref="C59:C65"/>
    <mergeCell ref="D60:D62"/>
    <mergeCell ref="B61:B62"/>
    <mergeCell ref="D63:D64"/>
    <mergeCell ref="A51:A58"/>
    <mergeCell ref="C51:C57"/>
    <mergeCell ref="D52:D54"/>
    <mergeCell ref="B53:B54"/>
    <mergeCell ref="D55:D56"/>
    <mergeCell ref="A43:A50"/>
    <mergeCell ref="C43:C49"/>
    <mergeCell ref="D44:D46"/>
    <mergeCell ref="B45:B46"/>
    <mergeCell ref="D47:D48"/>
    <mergeCell ref="A35:A42"/>
    <mergeCell ref="C35:C41"/>
    <mergeCell ref="D36:D38"/>
    <mergeCell ref="B37:B38"/>
    <mergeCell ref="D39:D40"/>
    <mergeCell ref="A11:A18"/>
    <mergeCell ref="C11:C17"/>
    <mergeCell ref="D12:D14"/>
    <mergeCell ref="B13:B14"/>
    <mergeCell ref="D15:D16"/>
    <mergeCell ref="A27:A34"/>
    <mergeCell ref="C27:C33"/>
    <mergeCell ref="D28:D30"/>
    <mergeCell ref="B29:B30"/>
    <mergeCell ref="D31:D32"/>
    <mergeCell ref="A19:A26"/>
    <mergeCell ref="C19:C25"/>
    <mergeCell ref="D20:D22"/>
    <mergeCell ref="B21:B22"/>
    <mergeCell ref="D23:D24"/>
    <mergeCell ref="B5:B6"/>
    <mergeCell ref="D4:D6"/>
    <mergeCell ref="D7:D8"/>
    <mergeCell ref="C3:C9"/>
    <mergeCell ref="A3:A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1"/>
  <sheetViews>
    <sheetView zoomScale="115" zoomScaleNormal="115" workbookViewId="0">
      <selection activeCell="G27" sqref="G27"/>
    </sheetView>
  </sheetViews>
  <sheetFormatPr defaultRowHeight="13.5"/>
  <cols>
    <col min="1" max="1" width="9" style="91"/>
    <col min="2" max="2" width="16.25" style="91" customWidth="1"/>
    <col min="3" max="16384" width="9" style="91"/>
  </cols>
  <sheetData>
    <row r="1" spans="1:4">
      <c r="A1" s="93" t="s">
        <v>115</v>
      </c>
      <c r="B1" s="99" t="s">
        <v>116</v>
      </c>
      <c r="D1" s="92" t="s">
        <v>117</v>
      </c>
    </row>
    <row r="2" spans="1:4">
      <c r="A2" s="361">
        <v>1</v>
      </c>
      <c r="B2" s="112" t="s">
        <v>103</v>
      </c>
      <c r="D2" s="94"/>
    </row>
    <row r="3" spans="1:4">
      <c r="A3" s="361"/>
      <c r="B3" s="96" t="s">
        <v>119</v>
      </c>
      <c r="C3" s="103" t="s">
        <v>120</v>
      </c>
      <c r="D3" s="359"/>
    </row>
    <row r="4" spans="1:4">
      <c r="A4" s="361"/>
      <c r="B4" s="96" t="s">
        <v>158</v>
      </c>
      <c r="C4" s="351" t="s">
        <v>121</v>
      </c>
      <c r="D4" s="386"/>
    </row>
    <row r="5" spans="1:4">
      <c r="A5" s="361"/>
      <c r="B5" s="95" t="s">
        <v>103</v>
      </c>
      <c r="C5" s="351"/>
      <c r="D5" s="387"/>
    </row>
    <row r="6" spans="1:4">
      <c r="A6" s="361"/>
      <c r="B6" s="95" t="s">
        <v>118</v>
      </c>
    </row>
    <row r="7" spans="1:4">
      <c r="A7" s="361">
        <v>2</v>
      </c>
      <c r="B7" s="112" t="s">
        <v>103</v>
      </c>
    </row>
    <row r="8" spans="1:4">
      <c r="A8" s="361"/>
      <c r="B8" s="96" t="s">
        <v>119</v>
      </c>
      <c r="C8" s="103" t="s">
        <v>120</v>
      </c>
    </row>
    <row r="9" spans="1:4">
      <c r="A9" s="361"/>
      <c r="B9" s="96" t="s">
        <v>158</v>
      </c>
      <c r="C9" s="351" t="s">
        <v>121</v>
      </c>
    </row>
    <row r="10" spans="1:4">
      <c r="A10" s="361"/>
      <c r="B10" s="95" t="s">
        <v>103</v>
      </c>
      <c r="C10" s="351"/>
    </row>
    <row r="11" spans="1:4">
      <c r="A11" s="361"/>
      <c r="B11" s="95" t="s">
        <v>118</v>
      </c>
    </row>
    <row r="12" spans="1:4">
      <c r="A12" s="361">
        <v>3</v>
      </c>
      <c r="B12" s="112" t="s">
        <v>103</v>
      </c>
    </row>
    <row r="13" spans="1:4">
      <c r="A13" s="361"/>
      <c r="B13" s="96" t="s">
        <v>119</v>
      </c>
      <c r="C13" s="103" t="s">
        <v>120</v>
      </c>
    </row>
    <row r="14" spans="1:4">
      <c r="A14" s="361"/>
      <c r="B14" s="96" t="s">
        <v>158</v>
      </c>
      <c r="C14" s="351" t="s">
        <v>121</v>
      </c>
    </row>
    <row r="15" spans="1:4">
      <c r="A15" s="361"/>
      <c r="B15" s="95" t="s">
        <v>103</v>
      </c>
      <c r="C15" s="351"/>
    </row>
    <row r="16" spans="1:4">
      <c r="A16" s="361"/>
      <c r="B16" s="95" t="s">
        <v>118</v>
      </c>
    </row>
    <row r="17" spans="1:3">
      <c r="A17" s="361">
        <v>4</v>
      </c>
      <c r="B17" s="112" t="s">
        <v>103</v>
      </c>
    </row>
    <row r="18" spans="1:3">
      <c r="A18" s="361"/>
      <c r="B18" s="96" t="s">
        <v>119</v>
      </c>
      <c r="C18" s="103" t="s">
        <v>120</v>
      </c>
    </row>
    <row r="19" spans="1:3">
      <c r="A19" s="361"/>
      <c r="B19" s="96" t="s">
        <v>158</v>
      </c>
      <c r="C19" s="351" t="s">
        <v>121</v>
      </c>
    </row>
    <row r="20" spans="1:3">
      <c r="A20" s="361"/>
      <c r="B20" s="95" t="s">
        <v>103</v>
      </c>
      <c r="C20" s="351"/>
    </row>
    <row r="21" spans="1:3">
      <c r="A21" s="361"/>
      <c r="B21" s="95" t="s">
        <v>118</v>
      </c>
    </row>
    <row r="22" spans="1:3">
      <c r="A22" s="361">
        <v>5</v>
      </c>
      <c r="B22" s="117" t="s">
        <v>102</v>
      </c>
      <c r="C22" s="113"/>
    </row>
    <row r="23" spans="1:3">
      <c r="A23" s="361"/>
      <c r="B23" s="115" t="s">
        <v>113</v>
      </c>
      <c r="C23" s="116" t="s">
        <v>159</v>
      </c>
    </row>
    <row r="24" spans="1:3">
      <c r="A24" s="361"/>
      <c r="B24" s="115" t="s">
        <v>157</v>
      </c>
      <c r="C24" s="351" t="s">
        <v>160</v>
      </c>
    </row>
    <row r="25" spans="1:3">
      <c r="A25" s="361"/>
      <c r="B25" s="114" t="s">
        <v>102</v>
      </c>
      <c r="C25" s="351"/>
    </row>
    <row r="26" spans="1:3">
      <c r="A26" s="361"/>
      <c r="B26" s="114" t="s">
        <v>82</v>
      </c>
      <c r="C26" s="113"/>
    </row>
    <row r="27" spans="1:3">
      <c r="A27" s="361">
        <v>6</v>
      </c>
      <c r="B27" s="122" t="s">
        <v>102</v>
      </c>
      <c r="C27" s="118"/>
    </row>
    <row r="28" spans="1:3">
      <c r="A28" s="361"/>
      <c r="B28" s="120" t="s">
        <v>113</v>
      </c>
      <c r="C28" s="121" t="s">
        <v>159</v>
      </c>
    </row>
    <row r="29" spans="1:3">
      <c r="A29" s="361"/>
      <c r="B29" s="120" t="s">
        <v>157</v>
      </c>
      <c r="C29" s="351" t="s">
        <v>160</v>
      </c>
    </row>
    <row r="30" spans="1:3">
      <c r="A30" s="361"/>
      <c r="B30" s="119" t="s">
        <v>102</v>
      </c>
      <c r="C30" s="351"/>
    </row>
    <row r="31" spans="1:3">
      <c r="A31" s="361"/>
      <c r="B31" s="119" t="s">
        <v>82</v>
      </c>
      <c r="C31" s="118"/>
    </row>
    <row r="32" spans="1:3">
      <c r="A32" s="361">
        <v>7</v>
      </c>
      <c r="B32" s="127" t="s">
        <v>102</v>
      </c>
      <c r="C32" s="123"/>
    </row>
    <row r="33" spans="1:3">
      <c r="A33" s="361"/>
      <c r="B33" s="125" t="s">
        <v>113</v>
      </c>
      <c r="C33" s="126" t="s">
        <v>159</v>
      </c>
    </row>
    <row r="34" spans="1:3">
      <c r="A34" s="361"/>
      <c r="B34" s="125" t="s">
        <v>157</v>
      </c>
      <c r="C34" s="351" t="s">
        <v>160</v>
      </c>
    </row>
    <row r="35" spans="1:3">
      <c r="A35" s="361"/>
      <c r="B35" s="124" t="s">
        <v>102</v>
      </c>
      <c r="C35" s="351"/>
    </row>
    <row r="36" spans="1:3">
      <c r="A36" s="361"/>
      <c r="B36" s="124" t="s">
        <v>82</v>
      </c>
      <c r="C36" s="123"/>
    </row>
    <row r="37" spans="1:3">
      <c r="A37" s="361">
        <v>8</v>
      </c>
      <c r="B37" s="132" t="s">
        <v>102</v>
      </c>
      <c r="C37" s="128"/>
    </row>
    <row r="38" spans="1:3">
      <c r="A38" s="361"/>
      <c r="B38" s="130" t="s">
        <v>113</v>
      </c>
      <c r="C38" s="131" t="s">
        <v>159</v>
      </c>
    </row>
    <row r="39" spans="1:3">
      <c r="A39" s="361"/>
      <c r="B39" s="130" t="s">
        <v>157</v>
      </c>
      <c r="C39" s="351" t="s">
        <v>160</v>
      </c>
    </row>
    <row r="40" spans="1:3">
      <c r="A40" s="361"/>
      <c r="B40" s="129" t="s">
        <v>102</v>
      </c>
      <c r="C40" s="351"/>
    </row>
    <row r="41" spans="1:3">
      <c r="A41" s="361"/>
      <c r="B41" s="129" t="s">
        <v>82</v>
      </c>
      <c r="C41" s="128"/>
    </row>
    <row r="42" spans="1:3">
      <c r="A42" s="361">
        <v>9</v>
      </c>
      <c r="B42" s="137" t="s">
        <v>102</v>
      </c>
      <c r="C42" s="133"/>
    </row>
    <row r="43" spans="1:3">
      <c r="A43" s="361"/>
      <c r="B43" s="135" t="s">
        <v>113</v>
      </c>
      <c r="C43" s="136" t="s">
        <v>159</v>
      </c>
    </row>
    <row r="44" spans="1:3">
      <c r="A44" s="361"/>
      <c r="B44" s="135" t="s">
        <v>157</v>
      </c>
      <c r="C44" s="351" t="s">
        <v>160</v>
      </c>
    </row>
    <row r="45" spans="1:3">
      <c r="A45" s="361"/>
      <c r="B45" s="134" t="s">
        <v>102</v>
      </c>
      <c r="C45" s="351"/>
    </row>
    <row r="46" spans="1:3">
      <c r="A46" s="361"/>
      <c r="B46" s="134" t="s">
        <v>82</v>
      </c>
      <c r="C46" s="133"/>
    </row>
    <row r="47" spans="1:3">
      <c r="A47" s="361">
        <v>10</v>
      </c>
      <c r="B47" s="142" t="s">
        <v>102</v>
      </c>
      <c r="C47" s="138"/>
    </row>
    <row r="48" spans="1:3">
      <c r="A48" s="361"/>
      <c r="B48" s="140" t="s">
        <v>113</v>
      </c>
      <c r="C48" s="141" t="s">
        <v>159</v>
      </c>
    </row>
    <row r="49" spans="1:3">
      <c r="A49" s="361"/>
      <c r="B49" s="140" t="s">
        <v>157</v>
      </c>
      <c r="C49" s="351" t="s">
        <v>160</v>
      </c>
    </row>
    <row r="50" spans="1:3">
      <c r="A50" s="361"/>
      <c r="B50" s="139" t="s">
        <v>102</v>
      </c>
      <c r="C50" s="351"/>
    </row>
    <row r="51" spans="1:3">
      <c r="A51" s="361"/>
      <c r="B51" s="139" t="s">
        <v>82</v>
      </c>
      <c r="C51" s="138"/>
    </row>
    <row r="52" spans="1:3">
      <c r="A52" s="361">
        <v>11</v>
      </c>
      <c r="B52" s="147" t="s">
        <v>102</v>
      </c>
      <c r="C52" s="143"/>
    </row>
    <row r="53" spans="1:3">
      <c r="A53" s="361"/>
      <c r="B53" s="145" t="s">
        <v>113</v>
      </c>
      <c r="C53" s="146" t="s">
        <v>159</v>
      </c>
    </row>
    <row r="54" spans="1:3">
      <c r="A54" s="361"/>
      <c r="B54" s="145" t="s">
        <v>157</v>
      </c>
      <c r="C54" s="351" t="s">
        <v>160</v>
      </c>
    </row>
    <row r="55" spans="1:3">
      <c r="A55" s="361"/>
      <c r="B55" s="144" t="s">
        <v>102</v>
      </c>
      <c r="C55" s="351"/>
    </row>
    <row r="56" spans="1:3">
      <c r="A56" s="361"/>
      <c r="B56" s="144" t="s">
        <v>82</v>
      </c>
      <c r="C56" s="143"/>
    </row>
    <row r="57" spans="1:3">
      <c r="A57" s="361">
        <v>12</v>
      </c>
      <c r="B57" s="152" t="s">
        <v>102</v>
      </c>
      <c r="C57" s="148"/>
    </row>
    <row r="58" spans="1:3">
      <c r="A58" s="361"/>
      <c r="B58" s="150" t="s">
        <v>113</v>
      </c>
      <c r="C58" s="151" t="s">
        <v>159</v>
      </c>
    </row>
    <row r="59" spans="1:3">
      <c r="A59" s="361"/>
      <c r="B59" s="150" t="s">
        <v>157</v>
      </c>
      <c r="C59" s="351" t="s">
        <v>160</v>
      </c>
    </row>
    <row r="60" spans="1:3">
      <c r="A60" s="361"/>
      <c r="B60" s="149" t="s">
        <v>102</v>
      </c>
      <c r="C60" s="351"/>
    </row>
    <row r="61" spans="1:3">
      <c r="A61" s="361"/>
      <c r="B61" s="149" t="s">
        <v>82</v>
      </c>
      <c r="C61" s="148"/>
    </row>
    <row r="62" spans="1:3">
      <c r="A62" s="361">
        <v>13</v>
      </c>
      <c r="B62" s="157" t="s">
        <v>102</v>
      </c>
      <c r="C62" s="153"/>
    </row>
    <row r="63" spans="1:3">
      <c r="A63" s="361"/>
      <c r="B63" s="155" t="s">
        <v>113</v>
      </c>
      <c r="C63" s="156" t="s">
        <v>159</v>
      </c>
    </row>
    <row r="64" spans="1:3">
      <c r="A64" s="361"/>
      <c r="B64" s="155" t="s">
        <v>157</v>
      </c>
      <c r="C64" s="351" t="s">
        <v>160</v>
      </c>
    </row>
    <row r="65" spans="1:3">
      <c r="A65" s="361"/>
      <c r="B65" s="154" t="s">
        <v>102</v>
      </c>
      <c r="C65" s="351"/>
    </row>
    <row r="66" spans="1:3">
      <c r="A66" s="361"/>
      <c r="B66" s="154" t="s">
        <v>82</v>
      </c>
      <c r="C66" s="153"/>
    </row>
    <row r="67" spans="1:3">
      <c r="A67" s="361">
        <v>14</v>
      </c>
      <c r="B67" s="162" t="s">
        <v>102</v>
      </c>
      <c r="C67" s="158"/>
    </row>
    <row r="68" spans="1:3">
      <c r="A68" s="361"/>
      <c r="B68" s="160" t="s">
        <v>113</v>
      </c>
      <c r="C68" s="161" t="s">
        <v>159</v>
      </c>
    </row>
    <row r="69" spans="1:3">
      <c r="A69" s="361"/>
      <c r="B69" s="160" t="s">
        <v>157</v>
      </c>
      <c r="C69" s="351" t="s">
        <v>160</v>
      </c>
    </row>
    <row r="70" spans="1:3">
      <c r="A70" s="361"/>
      <c r="B70" s="159" t="s">
        <v>102</v>
      </c>
      <c r="C70" s="351"/>
    </row>
    <row r="71" spans="1:3">
      <c r="A71" s="361"/>
      <c r="B71" s="159" t="s">
        <v>82</v>
      </c>
      <c r="C71" s="158"/>
    </row>
    <row r="72" spans="1:3">
      <c r="A72" s="361">
        <v>15</v>
      </c>
      <c r="B72" s="167" t="s">
        <v>102</v>
      </c>
      <c r="C72" s="163"/>
    </row>
    <row r="73" spans="1:3">
      <c r="A73" s="361"/>
      <c r="B73" s="165" t="s">
        <v>113</v>
      </c>
      <c r="C73" s="166" t="s">
        <v>159</v>
      </c>
    </row>
    <row r="74" spans="1:3">
      <c r="A74" s="361"/>
      <c r="B74" s="165" t="s">
        <v>157</v>
      </c>
      <c r="C74" s="351" t="s">
        <v>160</v>
      </c>
    </row>
    <row r="75" spans="1:3">
      <c r="A75" s="361"/>
      <c r="B75" s="164" t="s">
        <v>102</v>
      </c>
      <c r="C75" s="351"/>
    </row>
    <row r="76" spans="1:3">
      <c r="A76" s="361"/>
      <c r="B76" s="164" t="s">
        <v>82</v>
      </c>
      <c r="C76" s="163"/>
    </row>
    <row r="77" spans="1:3">
      <c r="A77" s="361">
        <v>16</v>
      </c>
      <c r="B77" s="172" t="s">
        <v>102</v>
      </c>
      <c r="C77" s="168"/>
    </row>
    <row r="78" spans="1:3">
      <c r="A78" s="361"/>
      <c r="B78" s="170" t="s">
        <v>113</v>
      </c>
      <c r="C78" s="171" t="s">
        <v>159</v>
      </c>
    </row>
    <row r="79" spans="1:3">
      <c r="A79" s="361"/>
      <c r="B79" s="170" t="s">
        <v>157</v>
      </c>
      <c r="C79" s="351" t="s">
        <v>160</v>
      </c>
    </row>
    <row r="80" spans="1:3">
      <c r="A80" s="361"/>
      <c r="B80" s="169" t="s">
        <v>102</v>
      </c>
      <c r="C80" s="351"/>
    </row>
    <row r="81" spans="1:3">
      <c r="A81" s="361"/>
      <c r="B81" s="169" t="s">
        <v>82</v>
      </c>
      <c r="C81" s="168"/>
    </row>
    <row r="82" spans="1:3">
      <c r="A82" s="361">
        <v>17</v>
      </c>
      <c r="B82" s="177" t="s">
        <v>102</v>
      </c>
      <c r="C82" s="173"/>
    </row>
    <row r="83" spans="1:3">
      <c r="A83" s="361"/>
      <c r="B83" s="175" t="s">
        <v>113</v>
      </c>
      <c r="C83" s="176" t="s">
        <v>159</v>
      </c>
    </row>
    <row r="84" spans="1:3">
      <c r="A84" s="361"/>
      <c r="B84" s="175" t="s">
        <v>157</v>
      </c>
      <c r="C84" s="351" t="s">
        <v>160</v>
      </c>
    </row>
    <row r="85" spans="1:3">
      <c r="A85" s="361"/>
      <c r="B85" s="174" t="s">
        <v>102</v>
      </c>
      <c r="C85" s="351"/>
    </row>
    <row r="86" spans="1:3">
      <c r="A86" s="361"/>
      <c r="B86" s="174" t="s">
        <v>82</v>
      </c>
      <c r="C86" s="173"/>
    </row>
    <row r="87" spans="1:3">
      <c r="A87" s="361">
        <v>18</v>
      </c>
      <c r="B87" s="182" t="s">
        <v>102</v>
      </c>
      <c r="C87" s="178"/>
    </row>
    <row r="88" spans="1:3">
      <c r="A88" s="361"/>
      <c r="B88" s="180" t="s">
        <v>113</v>
      </c>
      <c r="C88" s="181" t="s">
        <v>159</v>
      </c>
    </row>
    <row r="89" spans="1:3">
      <c r="A89" s="361"/>
      <c r="B89" s="180" t="s">
        <v>157</v>
      </c>
      <c r="C89" s="351" t="s">
        <v>160</v>
      </c>
    </row>
    <row r="90" spans="1:3">
      <c r="A90" s="361"/>
      <c r="B90" s="179" t="s">
        <v>102</v>
      </c>
      <c r="C90" s="351"/>
    </row>
    <row r="91" spans="1:3">
      <c r="A91" s="361"/>
      <c r="B91" s="179" t="s">
        <v>82</v>
      </c>
      <c r="C91" s="178"/>
    </row>
    <row r="92" spans="1:3">
      <c r="A92" s="361">
        <v>19</v>
      </c>
      <c r="B92" s="187" t="s">
        <v>102</v>
      </c>
      <c r="C92" s="183"/>
    </row>
    <row r="93" spans="1:3">
      <c r="A93" s="361"/>
      <c r="B93" s="185" t="s">
        <v>113</v>
      </c>
      <c r="C93" s="186" t="s">
        <v>159</v>
      </c>
    </row>
    <row r="94" spans="1:3">
      <c r="A94" s="361"/>
      <c r="B94" s="185" t="s">
        <v>157</v>
      </c>
      <c r="C94" s="351" t="s">
        <v>160</v>
      </c>
    </row>
    <row r="95" spans="1:3">
      <c r="A95" s="361"/>
      <c r="B95" s="184" t="s">
        <v>102</v>
      </c>
      <c r="C95" s="351"/>
    </row>
    <row r="96" spans="1:3">
      <c r="A96" s="361"/>
      <c r="B96" s="184" t="s">
        <v>82</v>
      </c>
      <c r="C96" s="183"/>
    </row>
    <row r="97" spans="1:3">
      <c r="A97" s="361">
        <v>20</v>
      </c>
      <c r="B97" s="192" t="s">
        <v>102</v>
      </c>
      <c r="C97" s="188"/>
    </row>
    <row r="98" spans="1:3">
      <c r="A98" s="361"/>
      <c r="B98" s="190" t="s">
        <v>113</v>
      </c>
      <c r="C98" s="191" t="s">
        <v>159</v>
      </c>
    </row>
    <row r="99" spans="1:3">
      <c r="A99" s="361"/>
      <c r="B99" s="190" t="s">
        <v>157</v>
      </c>
      <c r="C99" s="351" t="s">
        <v>160</v>
      </c>
    </row>
    <row r="100" spans="1:3">
      <c r="A100" s="361"/>
      <c r="B100" s="189" t="s">
        <v>102</v>
      </c>
      <c r="C100" s="351"/>
    </row>
    <row r="101" spans="1:3">
      <c r="A101" s="361"/>
      <c r="B101" s="189" t="s">
        <v>82</v>
      </c>
      <c r="C101" s="188"/>
    </row>
    <row r="102" spans="1:3">
      <c r="A102" s="361">
        <v>21</v>
      </c>
      <c r="B102" s="197" t="s">
        <v>102</v>
      </c>
      <c r="C102" s="193"/>
    </row>
    <row r="103" spans="1:3">
      <c r="A103" s="361"/>
      <c r="B103" s="195" t="s">
        <v>113</v>
      </c>
      <c r="C103" s="196" t="s">
        <v>159</v>
      </c>
    </row>
    <row r="104" spans="1:3">
      <c r="A104" s="361"/>
      <c r="B104" s="195" t="s">
        <v>157</v>
      </c>
      <c r="C104" s="351" t="s">
        <v>160</v>
      </c>
    </row>
    <row r="105" spans="1:3">
      <c r="A105" s="361"/>
      <c r="B105" s="194" t="s">
        <v>102</v>
      </c>
      <c r="C105" s="351"/>
    </row>
    <row r="106" spans="1:3">
      <c r="A106" s="361"/>
      <c r="B106" s="194" t="s">
        <v>82</v>
      </c>
      <c r="C106" s="193"/>
    </row>
    <row r="107" spans="1:3">
      <c r="A107" s="361">
        <v>22</v>
      </c>
      <c r="B107" s="202" t="s">
        <v>102</v>
      </c>
      <c r="C107" s="198"/>
    </row>
    <row r="108" spans="1:3">
      <c r="A108" s="361"/>
      <c r="B108" s="200" t="s">
        <v>113</v>
      </c>
      <c r="C108" s="201" t="s">
        <v>159</v>
      </c>
    </row>
    <row r="109" spans="1:3">
      <c r="A109" s="361"/>
      <c r="B109" s="200" t="s">
        <v>157</v>
      </c>
      <c r="C109" s="351" t="s">
        <v>160</v>
      </c>
    </row>
    <row r="110" spans="1:3">
      <c r="A110" s="361"/>
      <c r="B110" s="199" t="s">
        <v>102</v>
      </c>
      <c r="C110" s="351"/>
    </row>
    <row r="111" spans="1:3">
      <c r="A111" s="361"/>
      <c r="B111" s="199" t="s">
        <v>82</v>
      </c>
      <c r="C111" s="198"/>
    </row>
    <row r="112" spans="1:3">
      <c r="A112" s="361">
        <v>23</v>
      </c>
      <c r="B112" s="207" t="s">
        <v>102</v>
      </c>
      <c r="C112" s="203"/>
    </row>
    <row r="113" spans="1:3">
      <c r="A113" s="361"/>
      <c r="B113" s="205" t="s">
        <v>113</v>
      </c>
      <c r="C113" s="206" t="s">
        <v>159</v>
      </c>
    </row>
    <row r="114" spans="1:3">
      <c r="A114" s="361"/>
      <c r="B114" s="205" t="s">
        <v>157</v>
      </c>
      <c r="C114" s="351" t="s">
        <v>160</v>
      </c>
    </row>
    <row r="115" spans="1:3">
      <c r="A115" s="361"/>
      <c r="B115" s="204" t="s">
        <v>102</v>
      </c>
      <c r="C115" s="351"/>
    </row>
    <row r="116" spans="1:3">
      <c r="A116" s="361"/>
      <c r="B116" s="204" t="s">
        <v>82</v>
      </c>
      <c r="C116" s="203"/>
    </row>
    <row r="117" spans="1:3">
      <c r="A117" s="361">
        <v>24</v>
      </c>
      <c r="B117" s="212" t="s">
        <v>102</v>
      </c>
      <c r="C117" s="208"/>
    </row>
    <row r="118" spans="1:3">
      <c r="A118" s="361"/>
      <c r="B118" s="210" t="s">
        <v>113</v>
      </c>
      <c r="C118" s="211" t="s">
        <v>159</v>
      </c>
    </row>
    <row r="119" spans="1:3">
      <c r="A119" s="361"/>
      <c r="B119" s="210" t="s">
        <v>157</v>
      </c>
      <c r="C119" s="351" t="s">
        <v>160</v>
      </c>
    </row>
    <row r="120" spans="1:3">
      <c r="A120" s="361"/>
      <c r="B120" s="209" t="s">
        <v>102</v>
      </c>
      <c r="C120" s="351"/>
    </row>
    <row r="121" spans="1:3">
      <c r="A121" s="361"/>
      <c r="B121" s="209" t="s">
        <v>82</v>
      </c>
      <c r="C121" s="208"/>
    </row>
    <row r="122" spans="1:3">
      <c r="A122" s="361">
        <v>25</v>
      </c>
      <c r="B122" s="217" t="s">
        <v>102</v>
      </c>
      <c r="C122" s="213"/>
    </row>
    <row r="123" spans="1:3">
      <c r="A123" s="361"/>
      <c r="B123" s="215" t="s">
        <v>113</v>
      </c>
      <c r="C123" s="216" t="s">
        <v>159</v>
      </c>
    </row>
    <row r="124" spans="1:3">
      <c r="A124" s="361"/>
      <c r="B124" s="215" t="s">
        <v>157</v>
      </c>
      <c r="C124" s="351" t="s">
        <v>160</v>
      </c>
    </row>
    <row r="125" spans="1:3">
      <c r="A125" s="361"/>
      <c r="B125" s="214" t="s">
        <v>102</v>
      </c>
      <c r="C125" s="351"/>
    </row>
    <row r="126" spans="1:3">
      <c r="A126" s="361"/>
      <c r="B126" s="214" t="s">
        <v>82</v>
      </c>
      <c r="C126" s="213"/>
    </row>
    <row r="127" spans="1:3">
      <c r="A127" s="361">
        <v>26</v>
      </c>
      <c r="B127" s="222" t="s">
        <v>102</v>
      </c>
      <c r="C127" s="218"/>
    </row>
    <row r="128" spans="1:3">
      <c r="A128" s="361"/>
      <c r="B128" s="220" t="s">
        <v>113</v>
      </c>
      <c r="C128" s="221" t="s">
        <v>159</v>
      </c>
    </row>
    <row r="129" spans="1:3">
      <c r="A129" s="361"/>
      <c r="B129" s="220" t="s">
        <v>157</v>
      </c>
      <c r="C129" s="351" t="s">
        <v>160</v>
      </c>
    </row>
    <row r="130" spans="1:3">
      <c r="A130" s="361"/>
      <c r="B130" s="219" t="s">
        <v>102</v>
      </c>
      <c r="C130" s="351"/>
    </row>
    <row r="131" spans="1:3">
      <c r="A131" s="361"/>
      <c r="B131" s="219" t="s">
        <v>82</v>
      </c>
      <c r="C131" s="218"/>
    </row>
    <row r="132" spans="1:3">
      <c r="A132" s="361">
        <v>27</v>
      </c>
      <c r="B132" s="227" t="s">
        <v>102</v>
      </c>
      <c r="C132" s="223"/>
    </row>
    <row r="133" spans="1:3">
      <c r="A133" s="361"/>
      <c r="B133" s="225" t="s">
        <v>113</v>
      </c>
      <c r="C133" s="226" t="s">
        <v>159</v>
      </c>
    </row>
    <row r="134" spans="1:3">
      <c r="A134" s="361"/>
      <c r="B134" s="225" t="s">
        <v>157</v>
      </c>
      <c r="C134" s="351" t="s">
        <v>160</v>
      </c>
    </row>
    <row r="135" spans="1:3">
      <c r="A135" s="361"/>
      <c r="B135" s="224" t="s">
        <v>102</v>
      </c>
      <c r="C135" s="351"/>
    </row>
    <row r="136" spans="1:3">
      <c r="A136" s="361"/>
      <c r="B136" s="224" t="s">
        <v>82</v>
      </c>
      <c r="C136" s="223"/>
    </row>
    <row r="137" spans="1:3">
      <c r="A137" s="361">
        <v>28</v>
      </c>
      <c r="B137" s="232" t="s">
        <v>102</v>
      </c>
      <c r="C137" s="228"/>
    </row>
    <row r="138" spans="1:3">
      <c r="A138" s="361"/>
      <c r="B138" s="230" t="s">
        <v>113</v>
      </c>
      <c r="C138" s="231" t="s">
        <v>159</v>
      </c>
    </row>
    <row r="139" spans="1:3">
      <c r="A139" s="361"/>
      <c r="B139" s="230" t="s">
        <v>157</v>
      </c>
      <c r="C139" s="351" t="s">
        <v>160</v>
      </c>
    </row>
    <row r="140" spans="1:3">
      <c r="A140" s="361"/>
      <c r="B140" s="229" t="s">
        <v>102</v>
      </c>
      <c r="C140" s="351"/>
    </row>
    <row r="141" spans="1:3">
      <c r="A141" s="361"/>
      <c r="B141" s="229" t="s">
        <v>82</v>
      </c>
      <c r="C141" s="228"/>
    </row>
    <row r="142" spans="1:3">
      <c r="A142" s="361">
        <v>29</v>
      </c>
      <c r="B142" s="237" t="s">
        <v>102</v>
      </c>
      <c r="C142" s="233"/>
    </row>
    <row r="143" spans="1:3">
      <c r="A143" s="361"/>
      <c r="B143" s="235" t="s">
        <v>113</v>
      </c>
      <c r="C143" s="236" t="s">
        <v>159</v>
      </c>
    </row>
    <row r="144" spans="1:3">
      <c r="A144" s="361"/>
      <c r="B144" s="235" t="s">
        <v>157</v>
      </c>
      <c r="C144" s="351" t="s">
        <v>160</v>
      </c>
    </row>
    <row r="145" spans="1:3">
      <c r="A145" s="361"/>
      <c r="B145" s="234" t="s">
        <v>102</v>
      </c>
      <c r="C145" s="351"/>
    </row>
    <row r="146" spans="1:3">
      <c r="A146" s="361"/>
      <c r="B146" s="234" t="s">
        <v>82</v>
      </c>
      <c r="C146" s="233"/>
    </row>
    <row r="147" spans="1:3">
      <c r="A147" s="361">
        <v>30</v>
      </c>
      <c r="B147" s="242" t="s">
        <v>102</v>
      </c>
      <c r="C147" s="238"/>
    </row>
    <row r="148" spans="1:3">
      <c r="A148" s="361"/>
      <c r="B148" s="240" t="s">
        <v>113</v>
      </c>
      <c r="C148" s="241" t="s">
        <v>159</v>
      </c>
    </row>
    <row r="149" spans="1:3">
      <c r="A149" s="361"/>
      <c r="B149" s="240" t="s">
        <v>157</v>
      </c>
      <c r="C149" s="351" t="s">
        <v>160</v>
      </c>
    </row>
    <row r="150" spans="1:3">
      <c r="A150" s="361"/>
      <c r="B150" s="239" t="s">
        <v>102</v>
      </c>
      <c r="C150" s="351"/>
    </row>
    <row r="151" spans="1:3">
      <c r="A151" s="361"/>
      <c r="B151" s="239" t="s">
        <v>82</v>
      </c>
      <c r="C151" s="238"/>
    </row>
    <row r="152" spans="1:3">
      <c r="A152" s="361">
        <v>31</v>
      </c>
      <c r="B152" s="247" t="s">
        <v>102</v>
      </c>
      <c r="C152" s="243"/>
    </row>
    <row r="153" spans="1:3">
      <c r="A153" s="361"/>
      <c r="B153" s="245" t="s">
        <v>113</v>
      </c>
      <c r="C153" s="246" t="s">
        <v>159</v>
      </c>
    </row>
    <row r="154" spans="1:3">
      <c r="A154" s="361"/>
      <c r="B154" s="245" t="s">
        <v>157</v>
      </c>
      <c r="C154" s="351" t="s">
        <v>160</v>
      </c>
    </row>
    <row r="155" spans="1:3">
      <c r="A155" s="361"/>
      <c r="B155" s="244" t="s">
        <v>102</v>
      </c>
      <c r="C155" s="351"/>
    </row>
    <row r="156" spans="1:3">
      <c r="A156" s="361"/>
      <c r="B156" s="244" t="s">
        <v>82</v>
      </c>
      <c r="C156" s="243"/>
    </row>
    <row r="157" spans="1:3">
      <c r="A157" s="361">
        <v>32</v>
      </c>
      <c r="B157" s="265" t="s">
        <v>102</v>
      </c>
      <c r="C157" s="248"/>
    </row>
    <row r="158" spans="1:3">
      <c r="A158" s="361"/>
      <c r="B158" s="253" t="s">
        <v>113</v>
      </c>
      <c r="C158" s="256" t="s">
        <v>159</v>
      </c>
    </row>
    <row r="159" spans="1:3">
      <c r="A159" s="361"/>
      <c r="B159" s="253" t="s">
        <v>157</v>
      </c>
      <c r="C159" s="351" t="s">
        <v>160</v>
      </c>
    </row>
    <row r="160" spans="1:3">
      <c r="A160" s="361"/>
      <c r="B160" s="252" t="s">
        <v>102</v>
      </c>
      <c r="C160" s="351"/>
    </row>
    <row r="161" spans="1:3">
      <c r="A161" s="361"/>
      <c r="B161" s="252" t="s">
        <v>82</v>
      </c>
      <c r="C161" s="248"/>
    </row>
    <row r="255" spans="4:6">
      <c r="D255" s="104" t="s">
        <v>122</v>
      </c>
      <c r="E255" s="104" t="s">
        <v>123</v>
      </c>
      <c r="F255" s="104">
        <v>9975</v>
      </c>
    </row>
    <row r="256" spans="4:6">
      <c r="D256" s="104" t="s">
        <v>124</v>
      </c>
      <c r="E256" s="104" t="s">
        <v>125</v>
      </c>
      <c r="F256" s="104">
        <v>160</v>
      </c>
    </row>
    <row r="257" spans="4:6">
      <c r="D257" s="104" t="s">
        <v>126</v>
      </c>
      <c r="E257" s="104" t="s">
        <v>127</v>
      </c>
      <c r="F257" s="104">
        <v>40</v>
      </c>
    </row>
    <row r="258" spans="4:6">
      <c r="D258" s="104" t="s">
        <v>128</v>
      </c>
      <c r="E258" s="104" t="s">
        <v>129</v>
      </c>
      <c r="F258" s="104">
        <v>128</v>
      </c>
    </row>
    <row r="259" spans="4:6">
      <c r="D259" s="104" t="s">
        <v>130</v>
      </c>
      <c r="E259" s="104" t="s">
        <v>131</v>
      </c>
      <c r="F259" s="104">
        <f>CEILING(F257/4,1)</f>
        <v>10</v>
      </c>
    </row>
    <row r="260" spans="4:6">
      <c r="D260" s="105" t="s">
        <v>133</v>
      </c>
      <c r="E260" s="105" t="s">
        <v>135</v>
      </c>
      <c r="F260" s="105">
        <f>FLOOR(F255/F258,1)</f>
        <v>77</v>
      </c>
    </row>
    <row r="261" spans="4:6">
      <c r="D261" s="105" t="s">
        <v>136</v>
      </c>
      <c r="E261" s="105" t="s">
        <v>137</v>
      </c>
      <c r="F261" s="105">
        <f>MOD(F255,F258)</f>
        <v>119</v>
      </c>
    </row>
    <row r="262" spans="4:6">
      <c r="D262" s="105" t="s">
        <v>138</v>
      </c>
      <c r="E262" s="105" t="s">
        <v>139</v>
      </c>
      <c r="F262" s="105">
        <f>FLOOR(F256/F257,1)</f>
        <v>4</v>
      </c>
    </row>
    <row r="263" spans="4:6">
      <c r="D263" s="105" t="s">
        <v>140</v>
      </c>
      <c r="E263" s="105" t="s">
        <v>141</v>
      </c>
      <c r="F263" s="105">
        <f>MOD(F256,F257)</f>
        <v>0</v>
      </c>
    </row>
    <row r="264" spans="4:6">
      <c r="D264" s="105" t="s">
        <v>142</v>
      </c>
      <c r="E264" s="105" t="s">
        <v>143</v>
      </c>
      <c r="F264" s="105">
        <f>IF(F262=0,0,F257)</f>
        <v>40</v>
      </c>
    </row>
    <row r="265" spans="4:6">
      <c r="D265" s="105" t="s">
        <v>144</v>
      </c>
      <c r="E265" s="105" t="s">
        <v>145</v>
      </c>
      <c r="F265" s="105">
        <f>F263</f>
        <v>0</v>
      </c>
    </row>
    <row r="266" spans="4:6">
      <c r="D266" s="105"/>
      <c r="E266" s="105"/>
      <c r="F266" s="106"/>
    </row>
    <row r="267" spans="4:6">
      <c r="D267" s="98" t="s">
        <v>146</v>
      </c>
      <c r="E267" s="107" t="s">
        <v>147</v>
      </c>
      <c r="F267" s="108">
        <f>(F270+F273)</f>
        <v>55188</v>
      </c>
    </row>
    <row r="268" spans="4:6">
      <c r="D268" s="98"/>
      <c r="E268" s="98" t="s">
        <v>62</v>
      </c>
      <c r="F268" s="106">
        <f>IF(F260=0,0,((F264+(MIN(F255,F258)-1)+F259)*F262))</f>
        <v>708</v>
      </c>
    </row>
    <row r="269" spans="4:6">
      <c r="D269" s="98"/>
      <c r="E269" s="98"/>
      <c r="F269" s="106">
        <f>IF(F260=0,0,IF(F263=0,0,(F265+(MIN(F255,F258)-1)+F259)))</f>
        <v>0</v>
      </c>
    </row>
    <row r="270" spans="4:6">
      <c r="D270" s="98"/>
      <c r="E270" s="98"/>
      <c r="F270" s="106">
        <f>(F268+F269)*F260</f>
        <v>54516</v>
      </c>
    </row>
    <row r="271" spans="4:6">
      <c r="D271" s="98"/>
      <c r="E271" s="98" t="s">
        <v>136</v>
      </c>
      <c r="F271" s="106">
        <f>IF(F261=0,0,(F264+(F261-1)+F259)*F262)</f>
        <v>672</v>
      </c>
    </row>
    <row r="272" spans="4:6">
      <c r="D272" s="98"/>
      <c r="E272" s="98"/>
      <c r="F272" s="106">
        <f>IF(F261=0,0,IF(F263=0,0,(F265+(F261-1)+F259)))</f>
        <v>0</v>
      </c>
    </row>
    <row r="273" spans="4:6">
      <c r="D273" s="98"/>
      <c r="E273" s="98"/>
      <c r="F273" s="106">
        <f>F271+F272</f>
        <v>672</v>
      </c>
    </row>
    <row r="274" spans="4:6">
      <c r="D274" s="105"/>
      <c r="E274" s="105"/>
      <c r="F274" s="106"/>
    </row>
    <row r="275" spans="4:6">
      <c r="D275" s="98" t="s">
        <v>146</v>
      </c>
      <c r="E275" s="107" t="s">
        <v>147</v>
      </c>
      <c r="F275" s="109">
        <f>(F276+F277+F278)</f>
        <v>40096</v>
      </c>
    </row>
    <row r="276" spans="4:6">
      <c r="D276" s="98"/>
      <c r="E276" s="110" t="s">
        <v>148</v>
      </c>
      <c r="F276" s="106">
        <f>((F264+(F255-1))*F262)</f>
        <v>40056</v>
      </c>
    </row>
    <row r="277" spans="4:6">
      <c r="D277" s="98"/>
      <c r="E277" s="110" t="s">
        <v>149</v>
      </c>
      <c r="F277" s="106">
        <f>F259*F262</f>
        <v>40</v>
      </c>
    </row>
    <row r="278" spans="4:6">
      <c r="D278" s="98"/>
      <c r="E278" s="110" t="s">
        <v>140</v>
      </c>
      <c r="F278" s="106">
        <f>IF(F265=0,0,F265+(F255-1)+F259)</f>
        <v>0</v>
      </c>
    </row>
    <row r="279" spans="4:6">
      <c r="D279" s="105"/>
      <c r="E279" s="105"/>
      <c r="F279" s="106"/>
    </row>
    <row r="280" spans="4:6">
      <c r="D280" s="111" t="s">
        <v>150</v>
      </c>
      <c r="E280" s="111" t="s">
        <v>151</v>
      </c>
      <c r="F280" s="95">
        <f>IF(F257&gt;=F256,F255/F275,F255/F267)</f>
        <v>0.18074581430745815</v>
      </c>
    </row>
    <row r="281" spans="4:6">
      <c r="D281" s="111" t="s">
        <v>152</v>
      </c>
      <c r="E281" s="111" t="s">
        <v>153</v>
      </c>
      <c r="F281" s="95">
        <f>F255/F275</f>
        <v>0.24877793296089384</v>
      </c>
    </row>
  </sheetData>
  <mergeCells count="65">
    <mergeCell ref="A157:A161"/>
    <mergeCell ref="C159:C160"/>
    <mergeCell ref="A2:A6"/>
    <mergeCell ref="D3:D5"/>
    <mergeCell ref="C4:C5"/>
    <mergeCell ref="A142:A146"/>
    <mergeCell ref="C144:C145"/>
    <mergeCell ref="A147:A151"/>
    <mergeCell ref="C149:C150"/>
    <mergeCell ref="A152:A156"/>
    <mergeCell ref="C154:C155"/>
    <mergeCell ref="A127:A131"/>
    <mergeCell ref="C129:C130"/>
    <mergeCell ref="A132:A136"/>
    <mergeCell ref="C134:C135"/>
    <mergeCell ref="A137:A141"/>
    <mergeCell ref="C139:C140"/>
    <mergeCell ref="A112:A116"/>
    <mergeCell ref="C114:C115"/>
    <mergeCell ref="A117:A121"/>
    <mergeCell ref="C119:C120"/>
    <mergeCell ref="A122:A126"/>
    <mergeCell ref="C124:C125"/>
    <mergeCell ref="A97:A101"/>
    <mergeCell ref="C99:C100"/>
    <mergeCell ref="A102:A106"/>
    <mergeCell ref="C104:C105"/>
    <mergeCell ref="A107:A111"/>
    <mergeCell ref="C109:C110"/>
    <mergeCell ref="A82:A86"/>
    <mergeCell ref="C84:C85"/>
    <mergeCell ref="A87:A91"/>
    <mergeCell ref="C89:C90"/>
    <mergeCell ref="A92:A96"/>
    <mergeCell ref="C94:C95"/>
    <mergeCell ref="A67:A71"/>
    <mergeCell ref="C69:C70"/>
    <mergeCell ref="A72:A76"/>
    <mergeCell ref="C74:C75"/>
    <mergeCell ref="A77:A81"/>
    <mergeCell ref="C79:C80"/>
    <mergeCell ref="A52:A56"/>
    <mergeCell ref="C54:C55"/>
    <mergeCell ref="A57:A61"/>
    <mergeCell ref="C59:C60"/>
    <mergeCell ref="A62:A66"/>
    <mergeCell ref="C64:C65"/>
    <mergeCell ref="A37:A41"/>
    <mergeCell ref="C39:C40"/>
    <mergeCell ref="A42:A46"/>
    <mergeCell ref="C44:C45"/>
    <mergeCell ref="A47:A51"/>
    <mergeCell ref="C49:C50"/>
    <mergeCell ref="A22:A26"/>
    <mergeCell ref="C24:C25"/>
    <mergeCell ref="A27:A31"/>
    <mergeCell ref="C29:C30"/>
    <mergeCell ref="A32:A36"/>
    <mergeCell ref="C34:C35"/>
    <mergeCell ref="A7:A11"/>
    <mergeCell ref="C9:C10"/>
    <mergeCell ref="A12:A16"/>
    <mergeCell ref="C14:C15"/>
    <mergeCell ref="A17:A21"/>
    <mergeCell ref="C19:C20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9457" r:id="rId4">
          <objectPr defaultSize="0" autoPict="0" r:id="rId5">
            <anchor moveWithCells="1" sizeWithCells="1">
              <from>
                <xdr:col>7</xdr:col>
                <xdr:colOff>638175</xdr:colOff>
                <xdr:row>4</xdr:row>
                <xdr:rowOff>95250</xdr:rowOff>
              </from>
              <to>
                <xdr:col>13</xdr:col>
                <xdr:colOff>333375</xdr:colOff>
                <xdr:row>22</xdr:row>
                <xdr:rowOff>85725</xdr:rowOff>
              </to>
            </anchor>
          </objectPr>
        </oleObject>
      </mc:Choice>
      <mc:Fallback>
        <oleObject progId="Visio.Drawing.11" shapeId="19457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>
      <selection activeCell="B15" sqref="B15"/>
    </sheetView>
  </sheetViews>
  <sheetFormatPr defaultRowHeight="13.5" outlineLevelRow="1"/>
  <cols>
    <col min="1" max="16384" width="9" style="248"/>
  </cols>
  <sheetData>
    <row r="1" spans="1:4">
      <c r="A1" s="250" t="s">
        <v>115</v>
      </c>
      <c r="B1" s="255" t="s">
        <v>161</v>
      </c>
      <c r="D1" s="249" t="s">
        <v>162</v>
      </c>
    </row>
    <row r="2" spans="1:4">
      <c r="A2" s="263"/>
      <c r="B2" s="265" t="s">
        <v>163</v>
      </c>
      <c r="D2" s="251"/>
    </row>
    <row r="3" spans="1:4">
      <c r="A3" s="366">
        <v>1</v>
      </c>
      <c r="B3" s="252" t="s">
        <v>68</v>
      </c>
      <c r="C3" s="351" t="s">
        <v>69</v>
      </c>
      <c r="D3" s="388"/>
    </row>
    <row r="4" spans="1:4">
      <c r="A4" s="367"/>
      <c r="B4" s="253" t="s">
        <v>163</v>
      </c>
      <c r="C4" s="351"/>
      <c r="D4" s="389"/>
    </row>
    <row r="5" spans="1:4">
      <c r="A5" s="367"/>
      <c r="B5" s="253" t="s">
        <v>164</v>
      </c>
      <c r="C5" s="351"/>
      <c r="D5" s="389"/>
    </row>
    <row r="6" spans="1:4">
      <c r="A6" s="367"/>
      <c r="B6" s="252" t="s">
        <v>70</v>
      </c>
      <c r="C6" s="351"/>
      <c r="D6" s="389"/>
    </row>
    <row r="7" spans="1:4">
      <c r="A7" s="367"/>
      <c r="B7" s="252" t="s">
        <v>165</v>
      </c>
      <c r="D7" s="390"/>
    </row>
    <row r="8" spans="1:4">
      <c r="A8" s="367"/>
      <c r="B8" s="252" t="s">
        <v>166</v>
      </c>
      <c r="D8" s="267"/>
    </row>
    <row r="9" spans="1:4">
      <c r="A9" s="371"/>
      <c r="B9" s="252" t="s">
        <v>165</v>
      </c>
      <c r="D9" s="267"/>
    </row>
    <row r="10" spans="1:4">
      <c r="A10" s="366">
        <v>2</v>
      </c>
      <c r="B10" s="252" t="s">
        <v>167</v>
      </c>
      <c r="C10" s="351" t="s">
        <v>168</v>
      </c>
    </row>
    <row r="11" spans="1:4">
      <c r="A11" s="367"/>
      <c r="B11" s="253" t="s">
        <v>165</v>
      </c>
      <c r="C11" s="351"/>
    </row>
    <row r="12" spans="1:4">
      <c r="A12" s="367"/>
      <c r="B12" s="253" t="s">
        <v>164</v>
      </c>
      <c r="C12" s="351"/>
    </row>
    <row r="13" spans="1:4">
      <c r="A13" s="367"/>
      <c r="B13" s="252" t="s">
        <v>166</v>
      </c>
      <c r="C13" s="351"/>
    </row>
    <row r="14" spans="1:4">
      <c r="A14" s="367"/>
      <c r="B14" s="252" t="s">
        <v>165</v>
      </c>
    </row>
    <row r="15" spans="1:4">
      <c r="A15" s="367"/>
      <c r="B15" s="252" t="s">
        <v>166</v>
      </c>
    </row>
    <row r="16" spans="1:4">
      <c r="A16" s="371"/>
      <c r="B16" s="252" t="s">
        <v>165</v>
      </c>
    </row>
    <row r="17" spans="1:3">
      <c r="A17" s="366">
        <v>3</v>
      </c>
      <c r="B17" s="252" t="s">
        <v>167</v>
      </c>
      <c r="C17" s="351" t="s">
        <v>168</v>
      </c>
    </row>
    <row r="18" spans="1:3">
      <c r="A18" s="367"/>
      <c r="B18" s="253" t="s">
        <v>165</v>
      </c>
      <c r="C18" s="351"/>
    </row>
    <row r="19" spans="1:3">
      <c r="A19" s="367"/>
      <c r="B19" s="253" t="s">
        <v>164</v>
      </c>
      <c r="C19" s="351"/>
    </row>
    <row r="20" spans="1:3">
      <c r="A20" s="367"/>
      <c r="B20" s="252" t="s">
        <v>166</v>
      </c>
      <c r="C20" s="351"/>
    </row>
    <row r="21" spans="1:3">
      <c r="A21" s="367"/>
      <c r="B21" s="252" t="s">
        <v>165</v>
      </c>
    </row>
    <row r="22" spans="1:3">
      <c r="A22" s="367"/>
      <c r="B22" s="252" t="s">
        <v>166</v>
      </c>
    </row>
    <row r="23" spans="1:3">
      <c r="A23" s="371"/>
      <c r="B23" s="252" t="s">
        <v>165</v>
      </c>
    </row>
    <row r="24" spans="1:3">
      <c r="A24" s="366">
        <v>4</v>
      </c>
      <c r="B24" s="252" t="s">
        <v>167</v>
      </c>
      <c r="C24" s="351" t="s">
        <v>168</v>
      </c>
    </row>
    <row r="25" spans="1:3">
      <c r="A25" s="367"/>
      <c r="B25" s="253" t="s">
        <v>165</v>
      </c>
      <c r="C25" s="351"/>
    </row>
    <row r="26" spans="1:3">
      <c r="A26" s="367"/>
      <c r="B26" s="253" t="s">
        <v>164</v>
      </c>
      <c r="C26" s="351"/>
    </row>
    <row r="27" spans="1:3">
      <c r="A27" s="367"/>
      <c r="B27" s="252" t="s">
        <v>166</v>
      </c>
      <c r="C27" s="351"/>
    </row>
    <row r="28" spans="1:3">
      <c r="A28" s="367"/>
      <c r="B28" s="252" t="s">
        <v>165</v>
      </c>
    </row>
    <row r="29" spans="1:3">
      <c r="A29" s="367"/>
      <c r="B29" s="252" t="s">
        <v>166</v>
      </c>
    </row>
    <row r="30" spans="1:3">
      <c r="A30" s="371"/>
      <c r="B30" s="252" t="s">
        <v>165</v>
      </c>
    </row>
    <row r="31" spans="1:3">
      <c r="A31" s="366">
        <v>5</v>
      </c>
      <c r="B31" s="252" t="s">
        <v>167</v>
      </c>
      <c r="C31" s="351" t="s">
        <v>168</v>
      </c>
    </row>
    <row r="32" spans="1:3">
      <c r="A32" s="367"/>
      <c r="B32" s="253" t="s">
        <v>165</v>
      </c>
      <c r="C32" s="351"/>
    </row>
    <row r="33" spans="1:3">
      <c r="A33" s="367"/>
      <c r="B33" s="253" t="s">
        <v>164</v>
      </c>
      <c r="C33" s="351"/>
    </row>
    <row r="34" spans="1:3">
      <c r="A34" s="367"/>
      <c r="B34" s="252" t="s">
        <v>166</v>
      </c>
      <c r="C34" s="351"/>
    </row>
    <row r="35" spans="1:3">
      <c r="A35" s="367"/>
      <c r="B35" s="252" t="s">
        <v>165</v>
      </c>
    </row>
    <row r="36" spans="1:3">
      <c r="A36" s="367"/>
      <c r="B36" s="252" t="s">
        <v>166</v>
      </c>
    </row>
    <row r="37" spans="1:3">
      <c r="A37" s="371"/>
      <c r="B37" s="252" t="s">
        <v>165</v>
      </c>
    </row>
    <row r="38" spans="1:3">
      <c r="A38" s="366">
        <v>6</v>
      </c>
      <c r="B38" s="252" t="s">
        <v>167</v>
      </c>
      <c r="C38" s="351" t="s">
        <v>168</v>
      </c>
    </row>
    <row r="39" spans="1:3">
      <c r="A39" s="367"/>
      <c r="B39" s="253" t="s">
        <v>165</v>
      </c>
      <c r="C39" s="351"/>
    </row>
    <row r="40" spans="1:3">
      <c r="A40" s="367"/>
      <c r="B40" s="253" t="s">
        <v>164</v>
      </c>
      <c r="C40" s="351"/>
    </row>
    <row r="41" spans="1:3">
      <c r="A41" s="367"/>
      <c r="B41" s="252" t="s">
        <v>166</v>
      </c>
      <c r="C41" s="351"/>
    </row>
    <row r="42" spans="1:3">
      <c r="A42" s="367"/>
      <c r="B42" s="252" t="s">
        <v>165</v>
      </c>
    </row>
    <row r="43" spans="1:3">
      <c r="A43" s="367"/>
      <c r="B43" s="252" t="s">
        <v>166</v>
      </c>
    </row>
    <row r="44" spans="1:3">
      <c r="A44" s="371"/>
      <c r="B44" s="252" t="s">
        <v>165</v>
      </c>
    </row>
    <row r="45" spans="1:3">
      <c r="A45" s="366">
        <v>7</v>
      </c>
      <c r="B45" s="252" t="s">
        <v>167</v>
      </c>
      <c r="C45" s="351" t="s">
        <v>168</v>
      </c>
    </row>
    <row r="46" spans="1:3">
      <c r="A46" s="367"/>
      <c r="B46" s="253" t="s">
        <v>165</v>
      </c>
      <c r="C46" s="351"/>
    </row>
    <row r="47" spans="1:3">
      <c r="A47" s="367"/>
      <c r="B47" s="253" t="s">
        <v>164</v>
      </c>
      <c r="C47" s="351"/>
    </row>
    <row r="48" spans="1:3">
      <c r="A48" s="367"/>
      <c r="B48" s="252" t="s">
        <v>166</v>
      </c>
      <c r="C48" s="351"/>
    </row>
    <row r="49" spans="1:3">
      <c r="A49" s="367"/>
      <c r="B49" s="252" t="s">
        <v>165</v>
      </c>
    </row>
    <row r="50" spans="1:3">
      <c r="A50" s="367"/>
      <c r="B50" s="252" t="s">
        <v>166</v>
      </c>
    </row>
    <row r="51" spans="1:3">
      <c r="A51" s="371"/>
      <c r="B51" s="252" t="s">
        <v>165</v>
      </c>
    </row>
    <row r="52" spans="1:3">
      <c r="A52" s="366">
        <v>8</v>
      </c>
      <c r="B52" s="252" t="s">
        <v>167</v>
      </c>
      <c r="C52" s="351" t="s">
        <v>168</v>
      </c>
    </row>
    <row r="53" spans="1:3">
      <c r="A53" s="367"/>
      <c r="B53" s="253" t="s">
        <v>165</v>
      </c>
      <c r="C53" s="351"/>
    </row>
    <row r="54" spans="1:3">
      <c r="A54" s="367"/>
      <c r="B54" s="253" t="s">
        <v>164</v>
      </c>
      <c r="C54" s="351"/>
    </row>
    <row r="55" spans="1:3">
      <c r="A55" s="367"/>
      <c r="B55" s="252" t="s">
        <v>166</v>
      </c>
      <c r="C55" s="351"/>
    </row>
    <row r="56" spans="1:3">
      <c r="A56" s="367"/>
      <c r="B56" s="252" t="s">
        <v>165</v>
      </c>
    </row>
    <row r="57" spans="1:3">
      <c r="A57" s="367"/>
      <c r="B57" s="252" t="s">
        <v>166</v>
      </c>
    </row>
    <row r="58" spans="1:3">
      <c r="A58" s="371"/>
      <c r="B58" s="252" t="s">
        <v>165</v>
      </c>
    </row>
    <row r="59" spans="1:3">
      <c r="A59" s="366">
        <v>9</v>
      </c>
      <c r="B59" s="252" t="s">
        <v>167</v>
      </c>
      <c r="C59" s="351" t="s">
        <v>168</v>
      </c>
    </row>
    <row r="60" spans="1:3">
      <c r="A60" s="367"/>
      <c r="B60" s="253" t="s">
        <v>165</v>
      </c>
      <c r="C60" s="351"/>
    </row>
    <row r="61" spans="1:3">
      <c r="A61" s="367"/>
      <c r="B61" s="253" t="s">
        <v>164</v>
      </c>
      <c r="C61" s="351"/>
    </row>
    <row r="62" spans="1:3">
      <c r="A62" s="367"/>
      <c r="B62" s="252" t="s">
        <v>166</v>
      </c>
      <c r="C62" s="351"/>
    </row>
    <row r="63" spans="1:3">
      <c r="A63" s="367"/>
      <c r="B63" s="252" t="s">
        <v>165</v>
      </c>
    </row>
    <row r="64" spans="1:3">
      <c r="A64" s="367"/>
      <c r="B64" s="252" t="s">
        <v>166</v>
      </c>
    </row>
    <row r="65" spans="1:3">
      <c r="A65" s="371"/>
      <c r="B65" s="252" t="s">
        <v>165</v>
      </c>
    </row>
    <row r="66" spans="1:3">
      <c r="A66" s="366">
        <v>10</v>
      </c>
      <c r="B66" s="252" t="s">
        <v>167</v>
      </c>
      <c r="C66" s="351" t="s">
        <v>168</v>
      </c>
    </row>
    <row r="67" spans="1:3">
      <c r="A67" s="367"/>
      <c r="B67" s="253" t="s">
        <v>165</v>
      </c>
      <c r="C67" s="351"/>
    </row>
    <row r="68" spans="1:3">
      <c r="A68" s="367"/>
      <c r="B68" s="253" t="s">
        <v>164</v>
      </c>
      <c r="C68" s="351"/>
    </row>
    <row r="69" spans="1:3">
      <c r="A69" s="367"/>
      <c r="B69" s="252" t="s">
        <v>166</v>
      </c>
      <c r="C69" s="351"/>
    </row>
    <row r="70" spans="1:3">
      <c r="A70" s="367"/>
      <c r="B70" s="252" t="s">
        <v>165</v>
      </c>
    </row>
    <row r="71" spans="1:3">
      <c r="A71" s="367"/>
      <c r="B71" s="252" t="s">
        <v>166</v>
      </c>
    </row>
    <row r="72" spans="1:3">
      <c r="A72" s="371"/>
      <c r="B72" s="252" t="s">
        <v>165</v>
      </c>
    </row>
    <row r="73" spans="1:3">
      <c r="A73" s="366">
        <v>11</v>
      </c>
      <c r="B73" s="252" t="s">
        <v>167</v>
      </c>
      <c r="C73" s="351" t="s">
        <v>168</v>
      </c>
    </row>
    <row r="74" spans="1:3">
      <c r="A74" s="367"/>
      <c r="B74" s="253" t="s">
        <v>165</v>
      </c>
      <c r="C74" s="351"/>
    </row>
    <row r="75" spans="1:3">
      <c r="A75" s="367"/>
      <c r="B75" s="253" t="s">
        <v>164</v>
      </c>
      <c r="C75" s="351"/>
    </row>
    <row r="76" spans="1:3">
      <c r="A76" s="367"/>
      <c r="B76" s="252" t="s">
        <v>166</v>
      </c>
      <c r="C76" s="351"/>
    </row>
    <row r="77" spans="1:3">
      <c r="A77" s="367"/>
      <c r="B77" s="252" t="s">
        <v>165</v>
      </c>
    </row>
    <row r="78" spans="1:3">
      <c r="A78" s="367"/>
      <c r="B78" s="252" t="s">
        <v>166</v>
      </c>
    </row>
    <row r="79" spans="1:3">
      <c r="A79" s="371"/>
      <c r="B79" s="252" t="s">
        <v>165</v>
      </c>
    </row>
    <row r="80" spans="1:3">
      <c r="A80" s="366">
        <v>12</v>
      </c>
      <c r="B80" s="252" t="s">
        <v>167</v>
      </c>
      <c r="C80" s="351" t="s">
        <v>168</v>
      </c>
    </row>
    <row r="81" spans="1:3">
      <c r="A81" s="367"/>
      <c r="B81" s="253" t="s">
        <v>165</v>
      </c>
      <c r="C81" s="351"/>
    </row>
    <row r="82" spans="1:3">
      <c r="A82" s="367"/>
      <c r="B82" s="253" t="s">
        <v>164</v>
      </c>
      <c r="C82" s="351"/>
    </row>
    <row r="83" spans="1:3">
      <c r="A83" s="367"/>
      <c r="B83" s="252" t="s">
        <v>166</v>
      </c>
      <c r="C83" s="351"/>
    </row>
    <row r="84" spans="1:3">
      <c r="A84" s="367"/>
      <c r="B84" s="252" t="s">
        <v>165</v>
      </c>
    </row>
    <row r="85" spans="1:3">
      <c r="A85" s="367"/>
      <c r="B85" s="252" t="s">
        <v>166</v>
      </c>
    </row>
    <row r="86" spans="1:3">
      <c r="A86" s="371"/>
      <c r="B86" s="252" t="s">
        <v>165</v>
      </c>
    </row>
    <row r="87" spans="1:3">
      <c r="A87" s="366">
        <v>13</v>
      </c>
      <c r="B87" s="252" t="s">
        <v>167</v>
      </c>
      <c r="C87" s="351" t="s">
        <v>168</v>
      </c>
    </row>
    <row r="88" spans="1:3">
      <c r="A88" s="367"/>
      <c r="B88" s="253" t="s">
        <v>165</v>
      </c>
      <c r="C88" s="351"/>
    </row>
    <row r="89" spans="1:3">
      <c r="A89" s="367"/>
      <c r="B89" s="253" t="s">
        <v>164</v>
      </c>
      <c r="C89" s="351"/>
    </row>
    <row r="90" spans="1:3">
      <c r="A90" s="367"/>
      <c r="B90" s="252" t="s">
        <v>166</v>
      </c>
      <c r="C90" s="351"/>
    </row>
    <row r="91" spans="1:3">
      <c r="A91" s="367"/>
      <c r="B91" s="252" t="s">
        <v>165</v>
      </c>
    </row>
    <row r="92" spans="1:3">
      <c r="A92" s="367"/>
      <c r="B92" s="252" t="s">
        <v>166</v>
      </c>
    </row>
    <row r="93" spans="1:3">
      <c r="A93" s="371"/>
      <c r="B93" s="252" t="s">
        <v>165</v>
      </c>
    </row>
    <row r="94" spans="1:3">
      <c r="A94" s="366">
        <v>14</v>
      </c>
      <c r="B94" s="252" t="s">
        <v>167</v>
      </c>
      <c r="C94" s="351" t="s">
        <v>168</v>
      </c>
    </row>
    <row r="95" spans="1:3">
      <c r="A95" s="367"/>
      <c r="B95" s="253" t="s">
        <v>165</v>
      </c>
      <c r="C95" s="351"/>
    </row>
    <row r="96" spans="1:3">
      <c r="A96" s="367"/>
      <c r="B96" s="253" t="s">
        <v>164</v>
      </c>
      <c r="C96" s="351"/>
    </row>
    <row r="97" spans="1:3">
      <c r="A97" s="367"/>
      <c r="B97" s="252" t="s">
        <v>166</v>
      </c>
      <c r="C97" s="351"/>
    </row>
    <row r="98" spans="1:3">
      <c r="A98" s="367"/>
      <c r="B98" s="252" t="s">
        <v>165</v>
      </c>
    </row>
    <row r="99" spans="1:3">
      <c r="A99" s="367"/>
      <c r="B99" s="252" t="s">
        <v>166</v>
      </c>
    </row>
    <row r="100" spans="1:3">
      <c r="A100" s="371"/>
      <c r="B100" s="252" t="s">
        <v>165</v>
      </c>
    </row>
    <row r="101" spans="1:3">
      <c r="A101" s="366">
        <v>15</v>
      </c>
      <c r="B101" s="252" t="s">
        <v>167</v>
      </c>
      <c r="C101" s="351" t="s">
        <v>168</v>
      </c>
    </row>
    <row r="102" spans="1:3">
      <c r="A102" s="367"/>
      <c r="B102" s="253" t="s">
        <v>165</v>
      </c>
      <c r="C102" s="351"/>
    </row>
    <row r="103" spans="1:3">
      <c r="A103" s="367"/>
      <c r="B103" s="253" t="s">
        <v>164</v>
      </c>
      <c r="C103" s="351"/>
    </row>
    <row r="104" spans="1:3">
      <c r="A104" s="367"/>
      <c r="B104" s="252" t="s">
        <v>166</v>
      </c>
      <c r="C104" s="351"/>
    </row>
    <row r="105" spans="1:3">
      <c r="A105" s="367"/>
      <c r="B105" s="252" t="s">
        <v>165</v>
      </c>
    </row>
    <row r="106" spans="1:3">
      <c r="A106" s="367"/>
      <c r="B106" s="252" t="s">
        <v>166</v>
      </c>
    </row>
    <row r="107" spans="1:3">
      <c r="A107" s="371"/>
      <c r="B107" s="252" t="s">
        <v>165</v>
      </c>
    </row>
    <row r="108" spans="1:3">
      <c r="A108" s="366">
        <v>16</v>
      </c>
      <c r="B108" s="252" t="s">
        <v>167</v>
      </c>
      <c r="C108" s="351" t="s">
        <v>168</v>
      </c>
    </row>
    <row r="109" spans="1:3">
      <c r="A109" s="367"/>
      <c r="B109" s="253" t="s">
        <v>165</v>
      </c>
      <c r="C109" s="351"/>
    </row>
    <row r="110" spans="1:3">
      <c r="A110" s="367"/>
      <c r="B110" s="253" t="s">
        <v>164</v>
      </c>
      <c r="C110" s="351"/>
    </row>
    <row r="111" spans="1:3">
      <c r="A111" s="367"/>
      <c r="B111" s="252" t="s">
        <v>166</v>
      </c>
      <c r="C111" s="351"/>
    </row>
    <row r="112" spans="1:3">
      <c r="A112" s="367"/>
      <c r="B112" s="252" t="s">
        <v>165</v>
      </c>
    </row>
    <row r="113" spans="1:3">
      <c r="A113" s="367"/>
      <c r="B113" s="252" t="s">
        <v>166</v>
      </c>
    </row>
    <row r="114" spans="1:3">
      <c r="A114" s="371"/>
      <c r="B114" s="252" t="s">
        <v>165</v>
      </c>
    </row>
    <row r="115" spans="1:3">
      <c r="A115" s="366">
        <v>17</v>
      </c>
      <c r="B115" s="252" t="s">
        <v>167</v>
      </c>
      <c r="C115" s="351" t="s">
        <v>168</v>
      </c>
    </row>
    <row r="116" spans="1:3">
      <c r="A116" s="367"/>
      <c r="B116" s="253" t="s">
        <v>165</v>
      </c>
      <c r="C116" s="351"/>
    </row>
    <row r="117" spans="1:3">
      <c r="A117" s="367"/>
      <c r="B117" s="253" t="s">
        <v>164</v>
      </c>
      <c r="C117" s="351"/>
    </row>
    <row r="118" spans="1:3">
      <c r="A118" s="367"/>
      <c r="B118" s="252" t="s">
        <v>166</v>
      </c>
      <c r="C118" s="351"/>
    </row>
    <row r="119" spans="1:3">
      <c r="A119" s="367"/>
      <c r="B119" s="252" t="s">
        <v>165</v>
      </c>
    </row>
    <row r="120" spans="1:3">
      <c r="A120" s="367"/>
      <c r="B120" s="252" t="s">
        <v>166</v>
      </c>
    </row>
    <row r="121" spans="1:3">
      <c r="A121" s="371"/>
      <c r="B121" s="252" t="s">
        <v>165</v>
      </c>
    </row>
    <row r="122" spans="1:3">
      <c r="A122" s="366">
        <v>18</v>
      </c>
      <c r="B122" s="252" t="s">
        <v>167</v>
      </c>
      <c r="C122" s="351" t="s">
        <v>168</v>
      </c>
    </row>
    <row r="123" spans="1:3">
      <c r="A123" s="367"/>
      <c r="B123" s="253" t="s">
        <v>165</v>
      </c>
      <c r="C123" s="351"/>
    </row>
    <row r="124" spans="1:3">
      <c r="A124" s="367"/>
      <c r="B124" s="253" t="s">
        <v>164</v>
      </c>
      <c r="C124" s="351"/>
    </row>
    <row r="125" spans="1:3">
      <c r="A125" s="367"/>
      <c r="B125" s="252" t="s">
        <v>166</v>
      </c>
      <c r="C125" s="351"/>
    </row>
    <row r="126" spans="1:3">
      <c r="A126" s="367"/>
      <c r="B126" s="252" t="s">
        <v>165</v>
      </c>
    </row>
    <row r="127" spans="1:3">
      <c r="A127" s="367"/>
      <c r="B127" s="252" t="s">
        <v>166</v>
      </c>
    </row>
    <row r="128" spans="1:3">
      <c r="A128" s="371"/>
      <c r="B128" s="252" t="s">
        <v>165</v>
      </c>
    </row>
    <row r="129" spans="1:6" hidden="1" outlineLevel="1">
      <c r="A129" s="366">
        <v>19</v>
      </c>
      <c r="B129" s="252" t="s">
        <v>167</v>
      </c>
      <c r="C129" s="351" t="s">
        <v>168</v>
      </c>
    </row>
    <row r="130" spans="1:6" hidden="1" outlineLevel="1">
      <c r="A130" s="367"/>
      <c r="B130" s="253" t="s">
        <v>165</v>
      </c>
      <c r="C130" s="351"/>
    </row>
    <row r="131" spans="1:6" hidden="1" outlineLevel="1">
      <c r="A131" s="367"/>
      <c r="B131" s="253" t="s">
        <v>164</v>
      </c>
      <c r="C131" s="351"/>
    </row>
    <row r="132" spans="1:6" hidden="1" outlineLevel="1">
      <c r="A132" s="367"/>
      <c r="B132" s="252" t="s">
        <v>169</v>
      </c>
      <c r="C132" s="351"/>
    </row>
    <row r="133" spans="1:6" hidden="1" outlineLevel="1">
      <c r="A133" s="367"/>
      <c r="B133" s="252" t="s">
        <v>165</v>
      </c>
    </row>
    <row r="134" spans="1:6" hidden="1" outlineLevel="1">
      <c r="A134" s="367"/>
      <c r="B134" s="252" t="s">
        <v>169</v>
      </c>
    </row>
    <row r="135" spans="1:6" hidden="1" outlineLevel="1">
      <c r="A135" s="371"/>
      <c r="B135" s="252" t="s">
        <v>165</v>
      </c>
    </row>
    <row r="136" spans="1:6" collapsed="1">
      <c r="A136" s="366">
        <v>20</v>
      </c>
      <c r="B136" s="252" t="s">
        <v>170</v>
      </c>
      <c r="C136" s="351" t="s">
        <v>171</v>
      </c>
    </row>
    <row r="137" spans="1:6">
      <c r="A137" s="367"/>
      <c r="B137" s="253" t="s">
        <v>165</v>
      </c>
      <c r="C137" s="351"/>
    </row>
    <row r="138" spans="1:6">
      <c r="A138" s="367"/>
      <c r="B138" s="253" t="s">
        <v>164</v>
      </c>
      <c r="C138" s="351"/>
    </row>
    <row r="139" spans="1:6">
      <c r="A139" s="367"/>
      <c r="B139" s="252" t="s">
        <v>166</v>
      </c>
      <c r="C139" s="351"/>
    </row>
    <row r="140" spans="1:6">
      <c r="A140" s="367"/>
      <c r="B140" s="252" t="s">
        <v>165</v>
      </c>
    </row>
    <row r="141" spans="1:6">
      <c r="A141" s="367"/>
      <c r="B141" s="252" t="s">
        <v>166</v>
      </c>
    </row>
    <row r="142" spans="1:6">
      <c r="A142" s="371"/>
      <c r="B142" s="252" t="s">
        <v>165</v>
      </c>
    </row>
    <row r="143" spans="1:6">
      <c r="A143" s="263"/>
      <c r="B143" s="265" t="s">
        <v>165</v>
      </c>
    </row>
    <row r="144" spans="1:6">
      <c r="D144" s="257" t="s">
        <v>172</v>
      </c>
      <c r="E144" s="257" t="s">
        <v>173</v>
      </c>
      <c r="F144" s="257">
        <v>9975</v>
      </c>
    </row>
    <row r="145" spans="4:6">
      <c r="D145" s="257" t="s">
        <v>174</v>
      </c>
      <c r="E145" s="257" t="s">
        <v>175</v>
      </c>
      <c r="F145" s="257">
        <v>142</v>
      </c>
    </row>
    <row r="146" spans="4:6">
      <c r="D146" s="257" t="s">
        <v>176</v>
      </c>
      <c r="E146" s="257" t="s">
        <v>177</v>
      </c>
      <c r="F146" s="257">
        <v>35</v>
      </c>
    </row>
    <row r="147" spans="4:6">
      <c r="D147" s="257" t="s">
        <v>178</v>
      </c>
      <c r="E147" s="257" t="s">
        <v>179</v>
      </c>
      <c r="F147" s="257">
        <v>128</v>
      </c>
    </row>
    <row r="148" spans="4:6">
      <c r="D148" s="257" t="s">
        <v>180</v>
      </c>
      <c r="E148" s="257" t="s">
        <v>181</v>
      </c>
      <c r="F148" s="257">
        <f>CEILING(F146/4,1)</f>
        <v>9</v>
      </c>
    </row>
    <row r="149" spans="4:6">
      <c r="D149" s="258" t="s">
        <v>182</v>
      </c>
      <c r="E149" s="258" t="s">
        <v>183</v>
      </c>
      <c r="F149" s="258">
        <f>FLOOR(F144/F147,1)</f>
        <v>77</v>
      </c>
    </row>
    <row r="150" spans="4:6">
      <c r="D150" s="258" t="s">
        <v>184</v>
      </c>
      <c r="E150" s="258" t="s">
        <v>185</v>
      </c>
      <c r="F150" s="258">
        <f>MOD(F144,F147)</f>
        <v>119</v>
      </c>
    </row>
    <row r="151" spans="4:6">
      <c r="D151" s="258" t="s">
        <v>186</v>
      </c>
      <c r="E151" s="258" t="s">
        <v>187</v>
      </c>
      <c r="F151" s="258">
        <f>FLOOR(F145/F146,1)</f>
        <v>4</v>
      </c>
    </row>
    <row r="152" spans="4:6">
      <c r="D152" s="258" t="s">
        <v>188</v>
      </c>
      <c r="E152" s="258" t="s">
        <v>189</v>
      </c>
      <c r="F152" s="258">
        <f>MOD(F145,F146)</f>
        <v>2</v>
      </c>
    </row>
    <row r="153" spans="4:6">
      <c r="D153" s="258" t="s">
        <v>190</v>
      </c>
      <c r="E153" s="258" t="s">
        <v>191</v>
      </c>
      <c r="F153" s="258">
        <f>IF(F151=0,0,F146)</f>
        <v>35</v>
      </c>
    </row>
    <row r="154" spans="4:6">
      <c r="D154" s="258" t="s">
        <v>192</v>
      </c>
      <c r="E154" s="258" t="s">
        <v>193</v>
      </c>
      <c r="F154" s="258">
        <f>F152</f>
        <v>2</v>
      </c>
    </row>
    <row r="155" spans="4:6">
      <c r="D155" s="258"/>
      <c r="E155" s="258"/>
      <c r="F155" s="259"/>
    </row>
    <row r="156" spans="4:6">
      <c r="D156" s="254" t="s">
        <v>194</v>
      </c>
      <c r="E156" s="260" t="s">
        <v>195</v>
      </c>
      <c r="F156" s="261">
        <f>(F159+F162)</f>
        <v>64071</v>
      </c>
    </row>
    <row r="157" spans="4:6">
      <c r="D157" s="254"/>
      <c r="E157" s="254" t="s">
        <v>62</v>
      </c>
      <c r="F157" s="259">
        <f>IF(F149=0,0,((F153+(MIN(F144,F147)-1)+F148)*F151))</f>
        <v>684</v>
      </c>
    </row>
    <row r="158" spans="4:6">
      <c r="D158" s="254"/>
      <c r="E158" s="254"/>
      <c r="F158" s="259">
        <f>IF(F149=0,0,IF(F152=0,0,(F154+(MIN(F144,F147)-1)+F148)))</f>
        <v>138</v>
      </c>
    </row>
    <row r="159" spans="4:6">
      <c r="D159" s="254"/>
      <c r="E159" s="254"/>
      <c r="F159" s="259">
        <f>(F157+F158)*F149</f>
        <v>63294</v>
      </c>
    </row>
    <row r="160" spans="4:6">
      <c r="D160" s="254"/>
      <c r="E160" s="254" t="s">
        <v>196</v>
      </c>
      <c r="F160" s="259">
        <f>IF(F150=0,0,(F153+(F150-1)+F148)*F151)</f>
        <v>648</v>
      </c>
    </row>
    <row r="161" spans="4:6">
      <c r="D161" s="254"/>
      <c r="E161" s="254"/>
      <c r="F161" s="259">
        <f>IF(F150=0,0,IF(F152=0,0,(F154+(F150-1)+F148)))</f>
        <v>129</v>
      </c>
    </row>
    <row r="162" spans="4:6">
      <c r="D162" s="254"/>
      <c r="E162" s="254"/>
      <c r="F162" s="259">
        <f>F160+F161</f>
        <v>777</v>
      </c>
    </row>
    <row r="163" spans="4:6">
      <c r="D163" s="258"/>
      <c r="E163" s="258"/>
      <c r="F163" s="259"/>
    </row>
    <row r="164" spans="4:6">
      <c r="D164" s="254" t="s">
        <v>194</v>
      </c>
      <c r="E164" s="260" t="s">
        <v>195</v>
      </c>
      <c r="F164" s="262">
        <f>(F165+F166+F167)</f>
        <v>50057</v>
      </c>
    </row>
    <row r="165" spans="4:6">
      <c r="D165" s="254"/>
      <c r="E165" s="263" t="s">
        <v>186</v>
      </c>
      <c r="F165" s="259">
        <f>((F153+(F144-1))*F151)</f>
        <v>40036</v>
      </c>
    </row>
    <row r="166" spans="4:6">
      <c r="D166" s="254"/>
      <c r="E166" s="263" t="s">
        <v>197</v>
      </c>
      <c r="F166" s="259">
        <f>F148*F151</f>
        <v>36</v>
      </c>
    </row>
    <row r="167" spans="4:6">
      <c r="D167" s="254"/>
      <c r="E167" s="263" t="s">
        <v>188</v>
      </c>
      <c r="F167" s="259">
        <f>IF(F154=0,0,F154+(F144-1)+F148)</f>
        <v>9985</v>
      </c>
    </row>
    <row r="168" spans="4:6">
      <c r="D168" s="258"/>
      <c r="E168" s="258"/>
      <c r="F168" s="259"/>
    </row>
    <row r="169" spans="4:6">
      <c r="D169" s="264" t="s">
        <v>198</v>
      </c>
      <c r="E169" s="264" t="s">
        <v>199</v>
      </c>
      <c r="F169" s="252">
        <f>IF(F146&gt;=F145,F144/F164,F144/F156)</f>
        <v>0.15568666011143886</v>
      </c>
    </row>
    <row r="170" spans="4:6">
      <c r="D170" s="264" t="s">
        <v>200</v>
      </c>
      <c r="E170" s="264" t="s">
        <v>201</v>
      </c>
      <c r="F170" s="252">
        <f>F144/F164</f>
        <v>0.19927282897496854</v>
      </c>
    </row>
  </sheetData>
  <mergeCells count="41">
    <mergeCell ref="A17:A23"/>
    <mergeCell ref="C17:C20"/>
    <mergeCell ref="A3:A9"/>
    <mergeCell ref="C3:C6"/>
    <mergeCell ref="D3:D7"/>
    <mergeCell ref="A10:A16"/>
    <mergeCell ref="C10:C13"/>
    <mergeCell ref="A24:A30"/>
    <mergeCell ref="C24:C27"/>
    <mergeCell ref="A31:A37"/>
    <mergeCell ref="C31:C34"/>
    <mergeCell ref="A38:A44"/>
    <mergeCell ref="C38:C41"/>
    <mergeCell ref="A45:A51"/>
    <mergeCell ref="C45:C48"/>
    <mergeCell ref="A52:A58"/>
    <mergeCell ref="C52:C55"/>
    <mergeCell ref="A59:A65"/>
    <mergeCell ref="C59:C62"/>
    <mergeCell ref="A66:A72"/>
    <mergeCell ref="C66:C69"/>
    <mergeCell ref="A73:A79"/>
    <mergeCell ref="C73:C76"/>
    <mergeCell ref="A80:A86"/>
    <mergeCell ref="C80:C83"/>
    <mergeCell ref="A87:A93"/>
    <mergeCell ref="C87:C90"/>
    <mergeCell ref="A94:A100"/>
    <mergeCell ref="C94:C97"/>
    <mergeCell ref="A101:A107"/>
    <mergeCell ref="C101:C104"/>
    <mergeCell ref="A129:A135"/>
    <mergeCell ref="C129:C132"/>
    <mergeCell ref="A136:A142"/>
    <mergeCell ref="C136:C139"/>
    <mergeCell ref="A108:A114"/>
    <mergeCell ref="C108:C111"/>
    <mergeCell ref="A115:A121"/>
    <mergeCell ref="C115:C118"/>
    <mergeCell ref="A122:A128"/>
    <mergeCell ref="C122:C125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2"/>
  <sheetViews>
    <sheetView topLeftCell="A38" workbookViewId="0">
      <selection activeCell="I43" sqref="I43"/>
    </sheetView>
  </sheetViews>
  <sheetFormatPr defaultRowHeight="13.5" outlineLevelRow="1"/>
  <cols>
    <col min="1" max="16384" width="9" style="248"/>
  </cols>
  <sheetData>
    <row r="1" spans="1:4">
      <c r="A1" s="250" t="s">
        <v>202</v>
      </c>
      <c r="B1" s="255" t="s">
        <v>203</v>
      </c>
      <c r="D1" s="249" t="s">
        <v>204</v>
      </c>
    </row>
    <row r="2" spans="1:4">
      <c r="A2" s="361">
        <v>1</v>
      </c>
      <c r="B2" s="265" t="s">
        <v>205</v>
      </c>
      <c r="D2" s="251"/>
    </row>
    <row r="3" spans="1:4">
      <c r="A3" s="361"/>
      <c r="B3" s="252" t="s">
        <v>206</v>
      </c>
      <c r="D3" s="391"/>
    </row>
    <row r="4" spans="1:4">
      <c r="A4" s="361"/>
      <c r="B4" s="253" t="s">
        <v>207</v>
      </c>
      <c r="D4" s="386"/>
    </row>
    <row r="5" spans="1:4">
      <c r="A5" s="361"/>
      <c r="B5" s="253" t="s">
        <v>208</v>
      </c>
      <c r="D5" s="386"/>
    </row>
    <row r="6" spans="1:4">
      <c r="A6" s="361"/>
      <c r="B6" s="252" t="s">
        <v>209</v>
      </c>
      <c r="D6" s="386"/>
    </row>
    <row r="7" spans="1:4">
      <c r="A7" s="361"/>
      <c r="B7" s="252" t="s">
        <v>208</v>
      </c>
      <c r="D7" s="387"/>
    </row>
    <row r="8" spans="1:4">
      <c r="A8" s="361">
        <v>2</v>
      </c>
      <c r="B8" s="265" t="s">
        <v>210</v>
      </c>
    </row>
    <row r="9" spans="1:4">
      <c r="A9" s="361"/>
      <c r="B9" s="252" t="s">
        <v>208</v>
      </c>
    </row>
    <row r="10" spans="1:4">
      <c r="A10" s="361"/>
      <c r="B10" s="253" t="s">
        <v>209</v>
      </c>
    </row>
    <row r="11" spans="1:4">
      <c r="A11" s="361"/>
      <c r="B11" s="253" t="s">
        <v>208</v>
      </c>
    </row>
    <row r="12" spans="1:4">
      <c r="A12" s="361"/>
      <c r="B12" s="252" t="s">
        <v>209</v>
      </c>
    </row>
    <row r="13" spans="1:4">
      <c r="A13" s="361"/>
      <c r="B13" s="252" t="s">
        <v>208</v>
      </c>
    </row>
    <row r="14" spans="1:4">
      <c r="A14" s="361">
        <v>3</v>
      </c>
      <c r="B14" s="265" t="s">
        <v>210</v>
      </c>
    </row>
    <row r="15" spans="1:4">
      <c r="A15" s="361"/>
      <c r="B15" s="252" t="s">
        <v>208</v>
      </c>
    </row>
    <row r="16" spans="1:4">
      <c r="A16" s="361"/>
      <c r="B16" s="253" t="s">
        <v>209</v>
      </c>
    </row>
    <row r="17" spans="1:2">
      <c r="A17" s="361"/>
      <c r="B17" s="253" t="s">
        <v>208</v>
      </c>
    </row>
    <row r="18" spans="1:2">
      <c r="A18" s="361"/>
      <c r="B18" s="252" t="s">
        <v>209</v>
      </c>
    </row>
    <row r="19" spans="1:2">
      <c r="A19" s="361"/>
      <c r="B19" s="252" t="s">
        <v>208</v>
      </c>
    </row>
    <row r="20" spans="1:2">
      <c r="A20" s="361">
        <v>4</v>
      </c>
      <c r="B20" s="265" t="s">
        <v>210</v>
      </c>
    </row>
    <row r="21" spans="1:2">
      <c r="A21" s="361"/>
      <c r="B21" s="252" t="s">
        <v>208</v>
      </c>
    </row>
    <row r="22" spans="1:2">
      <c r="A22" s="361"/>
      <c r="B22" s="253" t="s">
        <v>209</v>
      </c>
    </row>
    <row r="23" spans="1:2">
      <c r="A23" s="361"/>
      <c r="B23" s="253" t="s">
        <v>208</v>
      </c>
    </row>
    <row r="24" spans="1:2">
      <c r="A24" s="361"/>
      <c r="B24" s="252" t="s">
        <v>209</v>
      </c>
    </row>
    <row r="25" spans="1:2">
      <c r="A25" s="361"/>
      <c r="B25" s="252" t="s">
        <v>208</v>
      </c>
    </row>
    <row r="26" spans="1:2">
      <c r="A26" s="361">
        <v>5</v>
      </c>
      <c r="B26" s="265" t="s">
        <v>210</v>
      </c>
    </row>
    <row r="27" spans="1:2">
      <c r="A27" s="361"/>
      <c r="B27" s="252" t="s">
        <v>208</v>
      </c>
    </row>
    <row r="28" spans="1:2">
      <c r="A28" s="361"/>
      <c r="B28" s="253" t="s">
        <v>209</v>
      </c>
    </row>
    <row r="29" spans="1:2">
      <c r="A29" s="361"/>
      <c r="B29" s="253" t="s">
        <v>208</v>
      </c>
    </row>
    <row r="30" spans="1:2">
      <c r="A30" s="361"/>
      <c r="B30" s="252" t="s">
        <v>209</v>
      </c>
    </row>
    <row r="31" spans="1:2">
      <c r="A31" s="361"/>
      <c r="B31" s="252" t="s">
        <v>208</v>
      </c>
    </row>
    <row r="32" spans="1:2">
      <c r="A32" s="361">
        <v>6</v>
      </c>
      <c r="B32" s="265" t="s">
        <v>210</v>
      </c>
    </row>
    <row r="33" spans="1:2">
      <c r="A33" s="361"/>
      <c r="B33" s="252" t="s">
        <v>208</v>
      </c>
    </row>
    <row r="34" spans="1:2">
      <c r="A34" s="361"/>
      <c r="B34" s="253" t="s">
        <v>209</v>
      </c>
    </row>
    <row r="35" spans="1:2">
      <c r="A35" s="361"/>
      <c r="B35" s="253" t="s">
        <v>208</v>
      </c>
    </row>
    <row r="36" spans="1:2">
      <c r="A36" s="361"/>
      <c r="B36" s="252" t="s">
        <v>209</v>
      </c>
    </row>
    <row r="37" spans="1:2">
      <c r="A37" s="361"/>
      <c r="B37" s="252" t="s">
        <v>208</v>
      </c>
    </row>
    <row r="38" spans="1:2">
      <c r="A38" s="361">
        <v>7</v>
      </c>
      <c r="B38" s="265" t="s">
        <v>210</v>
      </c>
    </row>
    <row r="39" spans="1:2">
      <c r="A39" s="361"/>
      <c r="B39" s="252" t="s">
        <v>208</v>
      </c>
    </row>
    <row r="40" spans="1:2">
      <c r="A40" s="361"/>
      <c r="B40" s="253" t="s">
        <v>209</v>
      </c>
    </row>
    <row r="41" spans="1:2">
      <c r="A41" s="361"/>
      <c r="B41" s="253" t="s">
        <v>208</v>
      </c>
    </row>
    <row r="42" spans="1:2">
      <c r="A42" s="361"/>
      <c r="B42" s="252" t="s">
        <v>209</v>
      </c>
    </row>
    <row r="43" spans="1:2">
      <c r="A43" s="361"/>
      <c r="B43" s="252" t="s">
        <v>208</v>
      </c>
    </row>
    <row r="44" spans="1:2">
      <c r="A44" s="361">
        <v>8</v>
      </c>
      <c r="B44" s="265" t="s">
        <v>210</v>
      </c>
    </row>
    <row r="45" spans="1:2">
      <c r="A45" s="361"/>
      <c r="B45" s="252" t="s">
        <v>208</v>
      </c>
    </row>
    <row r="46" spans="1:2">
      <c r="A46" s="361"/>
      <c r="B46" s="253" t="s">
        <v>209</v>
      </c>
    </row>
    <row r="47" spans="1:2">
      <c r="A47" s="361"/>
      <c r="B47" s="253" t="s">
        <v>208</v>
      </c>
    </row>
    <row r="48" spans="1:2">
      <c r="A48" s="361"/>
      <c r="B48" s="252" t="s">
        <v>209</v>
      </c>
    </row>
    <row r="49" spans="1:6" hidden="1" outlineLevel="1">
      <c r="A49" s="361"/>
      <c r="B49" s="252" t="s">
        <v>208</v>
      </c>
    </row>
    <row r="50" spans="1:6" collapsed="1">
      <c r="A50" s="361">
        <v>9</v>
      </c>
      <c r="B50" s="265" t="s">
        <v>210</v>
      </c>
    </row>
    <row r="51" spans="1:6">
      <c r="A51" s="361"/>
      <c r="B51" s="252" t="s">
        <v>208</v>
      </c>
    </row>
    <row r="52" spans="1:6">
      <c r="A52" s="361"/>
      <c r="B52" s="253" t="s">
        <v>209</v>
      </c>
    </row>
    <row r="53" spans="1:6">
      <c r="A53" s="361"/>
      <c r="B53" s="253" t="s">
        <v>208</v>
      </c>
    </row>
    <row r="54" spans="1:6">
      <c r="A54" s="361"/>
      <c r="B54" s="252" t="s">
        <v>209</v>
      </c>
    </row>
    <row r="55" spans="1:6">
      <c r="A55" s="361"/>
      <c r="B55" s="252" t="s">
        <v>208</v>
      </c>
    </row>
    <row r="56" spans="1:6">
      <c r="D56" s="257" t="s">
        <v>172</v>
      </c>
      <c r="E56" s="257" t="s">
        <v>173</v>
      </c>
      <c r="F56" s="257">
        <v>9975</v>
      </c>
    </row>
    <row r="57" spans="1:6">
      <c r="D57" s="257" t="s">
        <v>174</v>
      </c>
      <c r="E57" s="257" t="s">
        <v>175</v>
      </c>
      <c r="F57" s="257">
        <v>54</v>
      </c>
    </row>
    <row r="58" spans="1:6">
      <c r="D58" s="257" t="s">
        <v>176</v>
      </c>
      <c r="E58" s="257" t="s">
        <v>177</v>
      </c>
      <c r="F58" s="257">
        <v>36</v>
      </c>
    </row>
    <row r="59" spans="1:6">
      <c r="D59" s="257" t="s">
        <v>178</v>
      </c>
      <c r="E59" s="257" t="s">
        <v>179</v>
      </c>
      <c r="F59" s="257">
        <v>128</v>
      </c>
    </row>
    <row r="60" spans="1:6">
      <c r="D60" s="257" t="s">
        <v>180</v>
      </c>
      <c r="E60" s="257" t="s">
        <v>181</v>
      </c>
      <c r="F60" s="257">
        <f>CEILING(F58/4,1)</f>
        <v>9</v>
      </c>
    </row>
    <row r="61" spans="1:6">
      <c r="D61" s="258" t="s">
        <v>211</v>
      </c>
      <c r="E61" s="258" t="s">
        <v>212</v>
      </c>
      <c r="F61" s="258">
        <f>FLOOR(F56/F59,1)</f>
        <v>77</v>
      </c>
    </row>
    <row r="62" spans="1:6">
      <c r="D62" s="258" t="s">
        <v>213</v>
      </c>
      <c r="E62" s="258" t="s">
        <v>214</v>
      </c>
      <c r="F62" s="258">
        <f>MOD(F56,F59)</f>
        <v>119</v>
      </c>
    </row>
    <row r="63" spans="1:6">
      <c r="D63" s="258" t="s">
        <v>215</v>
      </c>
      <c r="E63" s="258" t="s">
        <v>216</v>
      </c>
      <c r="F63" s="258">
        <f>FLOOR(F57/F58,1)</f>
        <v>1</v>
      </c>
    </row>
    <row r="64" spans="1:6">
      <c r="D64" s="258" t="s">
        <v>217</v>
      </c>
      <c r="E64" s="258" t="s">
        <v>218</v>
      </c>
      <c r="F64" s="258">
        <f>MOD(F57,F58)</f>
        <v>18</v>
      </c>
    </row>
    <row r="65" spans="4:6">
      <c r="D65" s="258" t="s">
        <v>219</v>
      </c>
      <c r="E65" s="258" t="s">
        <v>220</v>
      </c>
      <c r="F65" s="258">
        <f>IF(F63=0,0,F58)</f>
        <v>36</v>
      </c>
    </row>
    <row r="66" spans="4:6">
      <c r="D66" s="258" t="s">
        <v>221</v>
      </c>
      <c r="E66" s="258" t="s">
        <v>222</v>
      </c>
      <c r="F66" s="258">
        <f>F64</f>
        <v>18</v>
      </c>
    </row>
    <row r="67" spans="4:6">
      <c r="D67" s="258"/>
      <c r="E67" s="258"/>
      <c r="F67" s="259"/>
    </row>
    <row r="68" spans="4:6">
      <c r="D68" s="254" t="s">
        <v>223</v>
      </c>
      <c r="E68" s="260" t="s">
        <v>224</v>
      </c>
      <c r="F68" s="261">
        <f>(F71+F74)</f>
        <v>25410</v>
      </c>
    </row>
    <row r="69" spans="4:6">
      <c r="D69" s="254"/>
      <c r="E69" s="254" t="s">
        <v>62</v>
      </c>
      <c r="F69" s="259">
        <f>IF(F61=0,0,((F65+(MIN(F56,F59)-1)+F60)*F63))</f>
        <v>172</v>
      </c>
    </row>
    <row r="70" spans="4:6">
      <c r="D70" s="254"/>
      <c r="E70" s="254"/>
      <c r="F70" s="259">
        <f>IF(F61=0,0,IF(F64=0,0,(F66+(MIN(F56,F59)-1)+F60)))</f>
        <v>154</v>
      </c>
    </row>
    <row r="71" spans="4:6">
      <c r="D71" s="254"/>
      <c r="E71" s="254"/>
      <c r="F71" s="259">
        <f>(F69+F70)*F61</f>
        <v>25102</v>
      </c>
    </row>
    <row r="72" spans="4:6">
      <c r="D72" s="254"/>
      <c r="E72" s="254" t="s">
        <v>213</v>
      </c>
      <c r="F72" s="259">
        <f>IF(F62=0,0,(F65+(F62-1)+F60)*F63)</f>
        <v>163</v>
      </c>
    </row>
    <row r="73" spans="4:6">
      <c r="D73" s="254"/>
      <c r="E73" s="254"/>
      <c r="F73" s="259">
        <f>IF(F62=0,0,IF(F64=0,0,(F66+(F62-1)+F60)))</f>
        <v>145</v>
      </c>
    </row>
    <row r="74" spans="4:6">
      <c r="D74" s="254"/>
      <c r="E74" s="254"/>
      <c r="F74" s="259">
        <f>F72+F73</f>
        <v>308</v>
      </c>
    </row>
    <row r="75" spans="4:6">
      <c r="D75" s="258"/>
      <c r="E75" s="258"/>
      <c r="F75" s="259"/>
    </row>
    <row r="76" spans="4:6">
      <c r="D76" s="254" t="s">
        <v>223</v>
      </c>
      <c r="E76" s="260" t="s">
        <v>224</v>
      </c>
      <c r="F76" s="262">
        <f>(F77+F78+F79)</f>
        <v>20020</v>
      </c>
    </row>
    <row r="77" spans="4:6">
      <c r="D77" s="254"/>
      <c r="E77" s="263" t="s">
        <v>215</v>
      </c>
      <c r="F77" s="259">
        <f>((F65+(F56-1))*F63)</f>
        <v>10010</v>
      </c>
    </row>
    <row r="78" spans="4:6">
      <c r="D78" s="254"/>
      <c r="E78" s="263" t="s">
        <v>225</v>
      </c>
      <c r="F78" s="259">
        <f>F60*F63</f>
        <v>9</v>
      </c>
    </row>
    <row r="79" spans="4:6">
      <c r="D79" s="254"/>
      <c r="E79" s="263" t="s">
        <v>226</v>
      </c>
      <c r="F79" s="259">
        <f>IF(F66=0,0,F66+(F56-1)+F60)</f>
        <v>10001</v>
      </c>
    </row>
    <row r="80" spans="4:6">
      <c r="D80" s="258"/>
      <c r="E80" s="258"/>
      <c r="F80" s="259"/>
    </row>
    <row r="81" spans="4:6">
      <c r="D81" s="264" t="s">
        <v>227</v>
      </c>
      <c r="E81" s="264" t="s">
        <v>228</v>
      </c>
      <c r="F81" s="252">
        <f>IF(F58&gt;=F57,F56/F76,F56/F68)</f>
        <v>0.3925619834710744</v>
      </c>
    </row>
    <row r="82" spans="4:6">
      <c r="D82" s="264" t="s">
        <v>229</v>
      </c>
      <c r="E82" s="264" t="s">
        <v>230</v>
      </c>
      <c r="F82" s="252">
        <f>F56/F76</f>
        <v>0.49825174825174823</v>
      </c>
    </row>
  </sheetData>
  <mergeCells count="10">
    <mergeCell ref="D3:D7"/>
    <mergeCell ref="A8:A13"/>
    <mergeCell ref="A14:A19"/>
    <mergeCell ref="A20:A25"/>
    <mergeCell ref="A26:A31"/>
    <mergeCell ref="A32:A37"/>
    <mergeCell ref="A38:A43"/>
    <mergeCell ref="A44:A49"/>
    <mergeCell ref="A50:A55"/>
    <mergeCell ref="A2:A7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1505" r:id="rId3">
          <objectPr defaultSize="0" autoPict="0" r:id="rId4">
            <anchor moveWithCells="1" sizeWithCells="1">
              <from>
                <xdr:col>6</xdr:col>
                <xdr:colOff>47625</xdr:colOff>
                <xdr:row>55</xdr:row>
                <xdr:rowOff>28575</xdr:rowOff>
              </from>
              <to>
                <xdr:col>13</xdr:col>
                <xdr:colOff>409575</xdr:colOff>
                <xdr:row>88</xdr:row>
                <xdr:rowOff>95250</xdr:rowOff>
              </to>
            </anchor>
          </objectPr>
        </oleObject>
      </mc:Choice>
      <mc:Fallback>
        <oleObject progId="Visio.Drawing.15" shapeId="21505" r:id="rId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8"/>
  <sheetViews>
    <sheetView topLeftCell="C7" workbookViewId="0">
      <selection activeCell="O13" sqref="O13"/>
    </sheetView>
  </sheetViews>
  <sheetFormatPr defaultRowHeight="13.5" outlineLevelRow="1"/>
  <cols>
    <col min="1" max="1" width="9" style="268"/>
    <col min="2" max="2" width="19" style="268" customWidth="1"/>
    <col min="3" max="16384" width="9" style="268"/>
  </cols>
  <sheetData>
    <row r="1" spans="1:3">
      <c r="A1" s="269" t="s">
        <v>231</v>
      </c>
      <c r="B1" s="273" t="s">
        <v>232</v>
      </c>
    </row>
    <row r="2" spans="1:3">
      <c r="A2" s="280"/>
      <c r="B2" s="282" t="s">
        <v>233</v>
      </c>
    </row>
    <row r="3" spans="1:3">
      <c r="A3" s="392">
        <v>1</v>
      </c>
      <c r="B3" s="270" t="s">
        <v>77</v>
      </c>
    </row>
    <row r="4" spans="1:3">
      <c r="A4" s="392"/>
      <c r="B4" s="271" t="s">
        <v>234</v>
      </c>
      <c r="C4" s="393" t="s">
        <v>72</v>
      </c>
    </row>
    <row r="5" spans="1:3">
      <c r="A5" s="392"/>
      <c r="B5" s="270" t="s">
        <v>70</v>
      </c>
      <c r="C5" s="375"/>
    </row>
    <row r="6" spans="1:3">
      <c r="A6" s="392"/>
      <c r="B6" s="270" t="s">
        <v>67</v>
      </c>
      <c r="C6" s="375"/>
    </row>
    <row r="7" spans="1:3">
      <c r="A7" s="392"/>
      <c r="B7" s="270" t="s">
        <v>166</v>
      </c>
      <c r="C7" s="375"/>
    </row>
    <row r="8" spans="1:3">
      <c r="A8" s="392"/>
      <c r="B8" s="270" t="s">
        <v>67</v>
      </c>
      <c r="C8" s="375"/>
    </row>
    <row r="9" spans="1:3">
      <c r="A9" s="392"/>
      <c r="B9" s="270" t="s">
        <v>166</v>
      </c>
      <c r="C9" s="376"/>
    </row>
    <row r="10" spans="1:3">
      <c r="A10" s="392">
        <v>2</v>
      </c>
      <c r="B10" s="270" t="s">
        <v>77</v>
      </c>
    </row>
    <row r="11" spans="1:3">
      <c r="A11" s="392"/>
      <c r="B11" s="271" t="s">
        <v>234</v>
      </c>
      <c r="C11" s="393" t="s">
        <v>72</v>
      </c>
    </row>
    <row r="12" spans="1:3">
      <c r="A12" s="392"/>
      <c r="B12" s="270" t="s">
        <v>70</v>
      </c>
      <c r="C12" s="375"/>
    </row>
    <row r="13" spans="1:3">
      <c r="A13" s="392"/>
      <c r="B13" s="270" t="s">
        <v>67</v>
      </c>
      <c r="C13" s="375"/>
    </row>
    <row r="14" spans="1:3">
      <c r="A14" s="392"/>
      <c r="B14" s="270" t="s">
        <v>166</v>
      </c>
      <c r="C14" s="375"/>
    </row>
    <row r="15" spans="1:3">
      <c r="A15" s="392"/>
      <c r="B15" s="270" t="s">
        <v>67</v>
      </c>
      <c r="C15" s="375"/>
    </row>
    <row r="16" spans="1:3">
      <c r="A16" s="392"/>
      <c r="B16" s="270" t="s">
        <v>166</v>
      </c>
      <c r="C16" s="376"/>
    </row>
    <row r="17" spans="1:3">
      <c r="A17" s="392">
        <v>3</v>
      </c>
      <c r="B17" s="270" t="s">
        <v>77</v>
      </c>
    </row>
    <row r="18" spans="1:3">
      <c r="A18" s="392"/>
      <c r="B18" s="271" t="s">
        <v>234</v>
      </c>
      <c r="C18" s="393" t="s">
        <v>72</v>
      </c>
    </row>
    <row r="19" spans="1:3">
      <c r="A19" s="392"/>
      <c r="B19" s="270" t="s">
        <v>70</v>
      </c>
      <c r="C19" s="375"/>
    </row>
    <row r="20" spans="1:3">
      <c r="A20" s="392"/>
      <c r="B20" s="270" t="s">
        <v>67</v>
      </c>
      <c r="C20" s="375"/>
    </row>
    <row r="21" spans="1:3">
      <c r="A21" s="392"/>
      <c r="B21" s="270" t="s">
        <v>166</v>
      </c>
      <c r="C21" s="375"/>
    </row>
    <row r="22" spans="1:3">
      <c r="A22" s="392"/>
      <c r="B22" s="270" t="s">
        <v>67</v>
      </c>
      <c r="C22" s="375"/>
    </row>
    <row r="23" spans="1:3">
      <c r="A23" s="392"/>
      <c r="B23" s="270" t="s">
        <v>166</v>
      </c>
      <c r="C23" s="376"/>
    </row>
    <row r="24" spans="1:3">
      <c r="A24" s="392">
        <v>4</v>
      </c>
      <c r="B24" s="270" t="s">
        <v>77</v>
      </c>
    </row>
    <row r="25" spans="1:3">
      <c r="A25" s="392"/>
      <c r="B25" s="271" t="s">
        <v>234</v>
      </c>
      <c r="C25" s="393" t="s">
        <v>72</v>
      </c>
    </row>
    <row r="26" spans="1:3">
      <c r="A26" s="392"/>
      <c r="B26" s="270" t="s">
        <v>70</v>
      </c>
      <c r="C26" s="375"/>
    </row>
    <row r="27" spans="1:3">
      <c r="A27" s="392"/>
      <c r="B27" s="270" t="s">
        <v>67</v>
      </c>
      <c r="C27" s="375"/>
    </row>
    <row r="28" spans="1:3">
      <c r="A28" s="392"/>
      <c r="B28" s="270" t="s">
        <v>166</v>
      </c>
      <c r="C28" s="375"/>
    </row>
    <row r="29" spans="1:3">
      <c r="A29" s="392"/>
      <c r="B29" s="270" t="s">
        <v>67</v>
      </c>
      <c r="C29" s="375"/>
    </row>
    <row r="30" spans="1:3">
      <c r="A30" s="392"/>
      <c r="B30" s="270" t="s">
        <v>166</v>
      </c>
      <c r="C30" s="376"/>
    </row>
    <row r="31" spans="1:3">
      <c r="A31" s="392">
        <v>5</v>
      </c>
      <c r="B31" s="270" t="s">
        <v>77</v>
      </c>
    </row>
    <row r="32" spans="1:3">
      <c r="A32" s="392"/>
      <c r="B32" s="271" t="s">
        <v>234</v>
      </c>
      <c r="C32" s="393" t="s">
        <v>72</v>
      </c>
    </row>
    <row r="33" spans="1:3">
      <c r="A33" s="392"/>
      <c r="B33" s="270" t="s">
        <v>70</v>
      </c>
      <c r="C33" s="375"/>
    </row>
    <row r="34" spans="1:3">
      <c r="A34" s="392"/>
      <c r="B34" s="270" t="s">
        <v>67</v>
      </c>
      <c r="C34" s="375"/>
    </row>
    <row r="35" spans="1:3">
      <c r="A35" s="392"/>
      <c r="B35" s="270" t="s">
        <v>166</v>
      </c>
      <c r="C35" s="375"/>
    </row>
    <row r="36" spans="1:3">
      <c r="A36" s="392"/>
      <c r="B36" s="270" t="s">
        <v>67</v>
      </c>
      <c r="C36" s="375"/>
    </row>
    <row r="37" spans="1:3">
      <c r="A37" s="392"/>
      <c r="B37" s="270" t="s">
        <v>166</v>
      </c>
      <c r="C37" s="376"/>
    </row>
    <row r="38" spans="1:3">
      <c r="A38" s="392">
        <v>6</v>
      </c>
      <c r="B38" s="270" t="s">
        <v>77</v>
      </c>
    </row>
    <row r="39" spans="1:3">
      <c r="A39" s="392"/>
      <c r="B39" s="271" t="s">
        <v>234</v>
      </c>
      <c r="C39" s="393" t="s">
        <v>72</v>
      </c>
    </row>
    <row r="40" spans="1:3">
      <c r="A40" s="392"/>
      <c r="B40" s="270" t="s">
        <v>70</v>
      </c>
      <c r="C40" s="375"/>
    </row>
    <row r="41" spans="1:3">
      <c r="A41" s="392"/>
      <c r="B41" s="270" t="s">
        <v>67</v>
      </c>
      <c r="C41" s="375"/>
    </row>
    <row r="42" spans="1:3">
      <c r="A42" s="392"/>
      <c r="B42" s="270" t="s">
        <v>166</v>
      </c>
      <c r="C42" s="375"/>
    </row>
    <row r="43" spans="1:3">
      <c r="A43" s="392"/>
      <c r="B43" s="270" t="s">
        <v>67</v>
      </c>
      <c r="C43" s="375"/>
    </row>
    <row r="44" spans="1:3">
      <c r="A44" s="392"/>
      <c r="B44" s="270" t="s">
        <v>166</v>
      </c>
      <c r="C44" s="376"/>
    </row>
    <row r="45" spans="1:3">
      <c r="A45" s="392">
        <v>7</v>
      </c>
      <c r="B45" s="270" t="s">
        <v>77</v>
      </c>
    </row>
    <row r="46" spans="1:3">
      <c r="A46" s="392"/>
      <c r="B46" s="271" t="s">
        <v>234</v>
      </c>
      <c r="C46" s="393" t="s">
        <v>72</v>
      </c>
    </row>
    <row r="47" spans="1:3">
      <c r="A47" s="392"/>
      <c r="B47" s="270" t="s">
        <v>70</v>
      </c>
      <c r="C47" s="375"/>
    </row>
    <row r="48" spans="1:3">
      <c r="A48" s="392"/>
      <c r="B48" s="270" t="s">
        <v>67</v>
      </c>
      <c r="C48" s="375"/>
    </row>
    <row r="49" spans="1:3">
      <c r="A49" s="392"/>
      <c r="B49" s="270" t="s">
        <v>166</v>
      </c>
      <c r="C49" s="375"/>
    </row>
    <row r="50" spans="1:3">
      <c r="A50" s="392"/>
      <c r="B50" s="270" t="s">
        <v>67</v>
      </c>
      <c r="C50" s="375"/>
    </row>
    <row r="51" spans="1:3">
      <c r="A51" s="392"/>
      <c r="B51" s="270" t="s">
        <v>166</v>
      </c>
      <c r="C51" s="376"/>
    </row>
    <row r="52" spans="1:3">
      <c r="A52" s="392">
        <v>8</v>
      </c>
      <c r="B52" s="270" t="s">
        <v>77</v>
      </c>
    </row>
    <row r="53" spans="1:3">
      <c r="A53" s="392"/>
      <c r="B53" s="271" t="s">
        <v>234</v>
      </c>
      <c r="C53" s="393" t="s">
        <v>72</v>
      </c>
    </row>
    <row r="54" spans="1:3">
      <c r="A54" s="392"/>
      <c r="B54" s="270" t="s">
        <v>70</v>
      </c>
      <c r="C54" s="375"/>
    </row>
    <row r="55" spans="1:3">
      <c r="A55" s="392"/>
      <c r="B55" s="270" t="s">
        <v>67</v>
      </c>
      <c r="C55" s="375"/>
    </row>
    <row r="56" spans="1:3">
      <c r="A56" s="392"/>
      <c r="B56" s="270" t="s">
        <v>166</v>
      </c>
      <c r="C56" s="375"/>
    </row>
    <row r="57" spans="1:3">
      <c r="A57" s="392"/>
      <c r="B57" s="270" t="s">
        <v>67</v>
      </c>
      <c r="C57" s="375"/>
    </row>
    <row r="58" spans="1:3">
      <c r="A58" s="392"/>
      <c r="B58" s="270" t="s">
        <v>166</v>
      </c>
      <c r="C58" s="376"/>
    </row>
    <row r="59" spans="1:3">
      <c r="A59" s="392">
        <v>9</v>
      </c>
      <c r="B59" s="270" t="s">
        <v>77</v>
      </c>
    </row>
    <row r="60" spans="1:3">
      <c r="A60" s="392"/>
      <c r="B60" s="271" t="s">
        <v>234</v>
      </c>
      <c r="C60" s="393" t="s">
        <v>72</v>
      </c>
    </row>
    <row r="61" spans="1:3">
      <c r="A61" s="392"/>
      <c r="B61" s="270" t="s">
        <v>70</v>
      </c>
      <c r="C61" s="375"/>
    </row>
    <row r="62" spans="1:3">
      <c r="A62" s="392"/>
      <c r="B62" s="270" t="s">
        <v>67</v>
      </c>
      <c r="C62" s="375"/>
    </row>
    <row r="63" spans="1:3">
      <c r="A63" s="392"/>
      <c r="B63" s="270" t="s">
        <v>166</v>
      </c>
      <c r="C63" s="375"/>
    </row>
    <row r="64" spans="1:3">
      <c r="A64" s="392"/>
      <c r="B64" s="270" t="s">
        <v>67</v>
      </c>
      <c r="C64" s="375"/>
    </row>
    <row r="65" spans="1:3">
      <c r="A65" s="392"/>
      <c r="B65" s="270" t="s">
        <v>166</v>
      </c>
      <c r="C65" s="376"/>
    </row>
    <row r="66" spans="1:3">
      <c r="A66" s="392">
        <v>10</v>
      </c>
      <c r="B66" s="270" t="s">
        <v>77</v>
      </c>
    </row>
    <row r="67" spans="1:3">
      <c r="A67" s="392"/>
      <c r="B67" s="271" t="s">
        <v>234</v>
      </c>
      <c r="C67" s="393" t="s">
        <v>72</v>
      </c>
    </row>
    <row r="68" spans="1:3">
      <c r="A68" s="392"/>
      <c r="B68" s="270" t="s">
        <v>70</v>
      </c>
      <c r="C68" s="375"/>
    </row>
    <row r="69" spans="1:3">
      <c r="A69" s="392"/>
      <c r="B69" s="270" t="s">
        <v>67</v>
      </c>
      <c r="C69" s="375"/>
    </row>
    <row r="70" spans="1:3">
      <c r="A70" s="392"/>
      <c r="B70" s="270" t="s">
        <v>166</v>
      </c>
      <c r="C70" s="375"/>
    </row>
    <row r="71" spans="1:3">
      <c r="A71" s="392"/>
      <c r="B71" s="270" t="s">
        <v>67</v>
      </c>
      <c r="C71" s="375"/>
    </row>
    <row r="72" spans="1:3">
      <c r="A72" s="392"/>
      <c r="B72" s="270" t="s">
        <v>166</v>
      </c>
      <c r="C72" s="376"/>
    </row>
    <row r="73" spans="1:3">
      <c r="A73" s="392">
        <v>11</v>
      </c>
      <c r="B73" s="270" t="s">
        <v>77</v>
      </c>
    </row>
    <row r="74" spans="1:3">
      <c r="A74" s="392"/>
      <c r="B74" s="271" t="s">
        <v>234</v>
      </c>
      <c r="C74" s="393" t="s">
        <v>72</v>
      </c>
    </row>
    <row r="75" spans="1:3">
      <c r="A75" s="392"/>
      <c r="B75" s="270" t="s">
        <v>70</v>
      </c>
      <c r="C75" s="375"/>
    </row>
    <row r="76" spans="1:3">
      <c r="A76" s="392"/>
      <c r="B76" s="270" t="s">
        <v>67</v>
      </c>
      <c r="C76" s="375"/>
    </row>
    <row r="77" spans="1:3">
      <c r="A77" s="392"/>
      <c r="B77" s="270" t="s">
        <v>166</v>
      </c>
      <c r="C77" s="375"/>
    </row>
    <row r="78" spans="1:3">
      <c r="A78" s="392"/>
      <c r="B78" s="270" t="s">
        <v>67</v>
      </c>
      <c r="C78" s="375"/>
    </row>
    <row r="79" spans="1:3">
      <c r="A79" s="392"/>
      <c r="B79" s="270" t="s">
        <v>166</v>
      </c>
      <c r="C79" s="376"/>
    </row>
    <row r="80" spans="1:3">
      <c r="A80" s="392">
        <v>12</v>
      </c>
      <c r="B80" s="270" t="s">
        <v>77</v>
      </c>
    </row>
    <row r="81" spans="1:3">
      <c r="A81" s="392"/>
      <c r="B81" s="271" t="s">
        <v>234</v>
      </c>
      <c r="C81" s="393" t="s">
        <v>72</v>
      </c>
    </row>
    <row r="82" spans="1:3">
      <c r="A82" s="392"/>
      <c r="B82" s="270" t="s">
        <v>70</v>
      </c>
      <c r="C82" s="375"/>
    </row>
    <row r="83" spans="1:3">
      <c r="A83" s="392"/>
      <c r="B83" s="270" t="s">
        <v>67</v>
      </c>
      <c r="C83" s="375"/>
    </row>
    <row r="84" spans="1:3">
      <c r="A84" s="392"/>
      <c r="B84" s="270" t="s">
        <v>166</v>
      </c>
      <c r="C84" s="375"/>
    </row>
    <row r="85" spans="1:3">
      <c r="A85" s="392"/>
      <c r="B85" s="270" t="s">
        <v>67</v>
      </c>
      <c r="C85" s="375"/>
    </row>
    <row r="86" spans="1:3">
      <c r="A86" s="392"/>
      <c r="B86" s="270" t="s">
        <v>166</v>
      </c>
      <c r="C86" s="376"/>
    </row>
    <row r="87" spans="1:3">
      <c r="A87" s="392">
        <v>13</v>
      </c>
      <c r="B87" s="270" t="s">
        <v>77</v>
      </c>
    </row>
    <row r="88" spans="1:3">
      <c r="A88" s="392"/>
      <c r="B88" s="271" t="s">
        <v>234</v>
      </c>
      <c r="C88" s="393" t="s">
        <v>72</v>
      </c>
    </row>
    <row r="89" spans="1:3">
      <c r="A89" s="392"/>
      <c r="B89" s="270" t="s">
        <v>70</v>
      </c>
      <c r="C89" s="375"/>
    </row>
    <row r="90" spans="1:3">
      <c r="A90" s="392"/>
      <c r="B90" s="270" t="s">
        <v>67</v>
      </c>
      <c r="C90" s="375"/>
    </row>
    <row r="91" spans="1:3">
      <c r="A91" s="392"/>
      <c r="B91" s="270" t="s">
        <v>166</v>
      </c>
      <c r="C91" s="375"/>
    </row>
    <row r="92" spans="1:3">
      <c r="A92" s="392"/>
      <c r="B92" s="270" t="s">
        <v>67</v>
      </c>
      <c r="C92" s="375"/>
    </row>
    <row r="93" spans="1:3">
      <c r="A93" s="392"/>
      <c r="B93" s="270" t="s">
        <v>166</v>
      </c>
      <c r="C93" s="376"/>
    </row>
    <row r="94" spans="1:3">
      <c r="A94" s="392">
        <v>14</v>
      </c>
      <c r="B94" s="270" t="s">
        <v>77</v>
      </c>
    </row>
    <row r="95" spans="1:3">
      <c r="A95" s="392"/>
      <c r="B95" s="271" t="s">
        <v>234</v>
      </c>
      <c r="C95" s="393" t="s">
        <v>72</v>
      </c>
    </row>
    <row r="96" spans="1:3">
      <c r="A96" s="392"/>
      <c r="B96" s="270" t="s">
        <v>70</v>
      </c>
      <c r="C96" s="375"/>
    </row>
    <row r="97" spans="1:3">
      <c r="A97" s="392"/>
      <c r="B97" s="270" t="s">
        <v>67</v>
      </c>
      <c r="C97" s="375"/>
    </row>
    <row r="98" spans="1:3">
      <c r="A98" s="392"/>
      <c r="B98" s="270" t="s">
        <v>166</v>
      </c>
      <c r="C98" s="375"/>
    </row>
    <row r="99" spans="1:3">
      <c r="A99" s="392"/>
      <c r="B99" s="270" t="s">
        <v>67</v>
      </c>
      <c r="C99" s="375"/>
    </row>
    <row r="100" spans="1:3">
      <c r="A100" s="392"/>
      <c r="B100" s="270" t="s">
        <v>166</v>
      </c>
      <c r="C100" s="376"/>
    </row>
    <row r="101" spans="1:3">
      <c r="A101" s="392">
        <v>15</v>
      </c>
      <c r="B101" s="270" t="s">
        <v>77</v>
      </c>
    </row>
    <row r="102" spans="1:3">
      <c r="A102" s="392"/>
      <c r="B102" s="271" t="s">
        <v>234</v>
      </c>
      <c r="C102" s="393" t="s">
        <v>72</v>
      </c>
    </row>
    <row r="103" spans="1:3">
      <c r="A103" s="392"/>
      <c r="B103" s="270" t="s">
        <v>70</v>
      </c>
      <c r="C103" s="375"/>
    </row>
    <row r="104" spans="1:3">
      <c r="A104" s="392"/>
      <c r="B104" s="270" t="s">
        <v>67</v>
      </c>
      <c r="C104" s="375"/>
    </row>
    <row r="105" spans="1:3">
      <c r="A105" s="392"/>
      <c r="B105" s="270" t="s">
        <v>166</v>
      </c>
      <c r="C105" s="375"/>
    </row>
    <row r="106" spans="1:3">
      <c r="A106" s="392"/>
      <c r="B106" s="270" t="s">
        <v>67</v>
      </c>
      <c r="C106" s="375"/>
    </row>
    <row r="107" spans="1:3">
      <c r="A107" s="392"/>
      <c r="B107" s="270" t="s">
        <v>166</v>
      </c>
      <c r="C107" s="376"/>
    </row>
    <row r="108" spans="1:3">
      <c r="A108" s="392">
        <v>16</v>
      </c>
      <c r="B108" s="270" t="s">
        <v>77</v>
      </c>
    </row>
    <row r="109" spans="1:3">
      <c r="A109" s="392"/>
      <c r="B109" s="271" t="s">
        <v>234</v>
      </c>
      <c r="C109" s="393" t="s">
        <v>72</v>
      </c>
    </row>
    <row r="110" spans="1:3">
      <c r="A110" s="392"/>
      <c r="B110" s="270" t="s">
        <v>70</v>
      </c>
      <c r="C110" s="375"/>
    </row>
    <row r="111" spans="1:3">
      <c r="A111" s="392"/>
      <c r="B111" s="270" t="s">
        <v>67</v>
      </c>
      <c r="C111" s="375"/>
    </row>
    <row r="112" spans="1:3">
      <c r="A112" s="392"/>
      <c r="B112" s="270" t="s">
        <v>166</v>
      </c>
      <c r="C112" s="375"/>
    </row>
    <row r="113" spans="1:3">
      <c r="A113" s="392"/>
      <c r="B113" s="270" t="s">
        <v>67</v>
      </c>
      <c r="C113" s="375"/>
    </row>
    <row r="114" spans="1:3">
      <c r="A114" s="392"/>
      <c r="B114" s="270" t="s">
        <v>166</v>
      </c>
      <c r="C114" s="376"/>
    </row>
    <row r="115" spans="1:3">
      <c r="A115" s="392">
        <v>17</v>
      </c>
      <c r="B115" s="270" t="s">
        <v>77</v>
      </c>
    </row>
    <row r="116" spans="1:3">
      <c r="A116" s="392"/>
      <c r="B116" s="271" t="s">
        <v>234</v>
      </c>
      <c r="C116" s="393" t="s">
        <v>72</v>
      </c>
    </row>
    <row r="117" spans="1:3">
      <c r="A117" s="392"/>
      <c r="B117" s="270" t="s">
        <v>70</v>
      </c>
      <c r="C117" s="375"/>
    </row>
    <row r="118" spans="1:3">
      <c r="A118" s="392"/>
      <c r="B118" s="270" t="s">
        <v>67</v>
      </c>
      <c r="C118" s="375"/>
    </row>
    <row r="119" spans="1:3">
      <c r="A119" s="392"/>
      <c r="B119" s="270" t="s">
        <v>166</v>
      </c>
      <c r="C119" s="375"/>
    </row>
    <row r="120" spans="1:3">
      <c r="A120" s="392"/>
      <c r="B120" s="270" t="s">
        <v>67</v>
      </c>
      <c r="C120" s="375"/>
    </row>
    <row r="121" spans="1:3">
      <c r="A121" s="392"/>
      <c r="B121" s="270" t="s">
        <v>166</v>
      </c>
      <c r="C121" s="376"/>
    </row>
    <row r="122" spans="1:3">
      <c r="A122" s="392">
        <v>18</v>
      </c>
      <c r="B122" s="270" t="s">
        <v>77</v>
      </c>
    </row>
    <row r="123" spans="1:3">
      <c r="A123" s="392"/>
      <c r="B123" s="271" t="s">
        <v>234</v>
      </c>
      <c r="C123" s="393" t="s">
        <v>72</v>
      </c>
    </row>
    <row r="124" spans="1:3">
      <c r="A124" s="392"/>
      <c r="B124" s="270" t="s">
        <v>70</v>
      </c>
      <c r="C124" s="375"/>
    </row>
    <row r="125" spans="1:3">
      <c r="A125" s="392"/>
      <c r="B125" s="270" t="s">
        <v>67</v>
      </c>
      <c r="C125" s="375"/>
    </row>
    <row r="126" spans="1:3">
      <c r="A126" s="392"/>
      <c r="B126" s="270" t="s">
        <v>166</v>
      </c>
      <c r="C126" s="375"/>
    </row>
    <row r="127" spans="1:3">
      <c r="A127" s="392"/>
      <c r="B127" s="270" t="s">
        <v>67</v>
      </c>
      <c r="C127" s="375"/>
    </row>
    <row r="128" spans="1:3">
      <c r="A128" s="392"/>
      <c r="B128" s="270" t="s">
        <v>166</v>
      </c>
      <c r="C128" s="376"/>
    </row>
    <row r="129" spans="1:3">
      <c r="A129" s="392">
        <v>19</v>
      </c>
      <c r="B129" s="270" t="s">
        <v>77</v>
      </c>
    </row>
    <row r="130" spans="1:3">
      <c r="A130" s="392"/>
      <c r="B130" s="271" t="s">
        <v>234</v>
      </c>
      <c r="C130" s="393" t="s">
        <v>72</v>
      </c>
    </row>
    <row r="131" spans="1:3">
      <c r="A131" s="392"/>
      <c r="B131" s="270" t="s">
        <v>70</v>
      </c>
      <c r="C131" s="375"/>
    </row>
    <row r="132" spans="1:3">
      <c r="A132" s="392"/>
      <c r="B132" s="270" t="s">
        <v>67</v>
      </c>
      <c r="C132" s="375"/>
    </row>
    <row r="133" spans="1:3">
      <c r="A133" s="392"/>
      <c r="B133" s="270" t="s">
        <v>166</v>
      </c>
      <c r="C133" s="375"/>
    </row>
    <row r="134" spans="1:3">
      <c r="A134" s="392"/>
      <c r="B134" s="270" t="s">
        <v>67</v>
      </c>
      <c r="C134" s="375"/>
    </row>
    <row r="135" spans="1:3">
      <c r="A135" s="392"/>
      <c r="B135" s="270" t="s">
        <v>166</v>
      </c>
      <c r="C135" s="376"/>
    </row>
    <row r="136" spans="1:3">
      <c r="A136" s="392">
        <v>20</v>
      </c>
      <c r="B136" s="270" t="s">
        <v>77</v>
      </c>
    </row>
    <row r="137" spans="1:3">
      <c r="A137" s="392"/>
      <c r="B137" s="271" t="s">
        <v>234</v>
      </c>
      <c r="C137" s="393" t="s">
        <v>72</v>
      </c>
    </row>
    <row r="138" spans="1:3">
      <c r="A138" s="392"/>
      <c r="B138" s="270" t="s">
        <v>70</v>
      </c>
      <c r="C138" s="375"/>
    </row>
    <row r="139" spans="1:3">
      <c r="A139" s="392"/>
      <c r="B139" s="270" t="s">
        <v>67</v>
      </c>
      <c r="C139" s="375"/>
    </row>
    <row r="140" spans="1:3">
      <c r="A140" s="392"/>
      <c r="B140" s="270" t="s">
        <v>166</v>
      </c>
      <c r="C140" s="375"/>
    </row>
    <row r="141" spans="1:3">
      <c r="A141" s="392"/>
      <c r="B141" s="270" t="s">
        <v>67</v>
      </c>
      <c r="C141" s="375"/>
    </row>
    <row r="142" spans="1:3">
      <c r="A142" s="392"/>
      <c r="B142" s="270" t="s">
        <v>166</v>
      </c>
      <c r="C142" s="376"/>
    </row>
    <row r="143" spans="1:3">
      <c r="A143" s="392">
        <v>21</v>
      </c>
      <c r="B143" s="270" t="s">
        <v>77</v>
      </c>
    </row>
    <row r="144" spans="1:3">
      <c r="A144" s="392"/>
      <c r="B144" s="271" t="s">
        <v>234</v>
      </c>
      <c r="C144" s="393" t="s">
        <v>72</v>
      </c>
    </row>
    <row r="145" spans="1:3">
      <c r="A145" s="392"/>
      <c r="B145" s="270" t="s">
        <v>70</v>
      </c>
      <c r="C145" s="375"/>
    </row>
    <row r="146" spans="1:3">
      <c r="A146" s="392"/>
      <c r="B146" s="270" t="s">
        <v>67</v>
      </c>
      <c r="C146" s="375"/>
    </row>
    <row r="147" spans="1:3">
      <c r="A147" s="392"/>
      <c r="B147" s="270" t="s">
        <v>166</v>
      </c>
      <c r="C147" s="375"/>
    </row>
    <row r="148" spans="1:3">
      <c r="A148" s="392"/>
      <c r="B148" s="270" t="s">
        <v>67</v>
      </c>
      <c r="C148" s="375"/>
    </row>
    <row r="149" spans="1:3">
      <c r="A149" s="392"/>
      <c r="B149" s="270" t="s">
        <v>166</v>
      </c>
      <c r="C149" s="376"/>
    </row>
    <row r="150" spans="1:3">
      <c r="A150" s="392">
        <v>22</v>
      </c>
      <c r="B150" s="270" t="s">
        <v>77</v>
      </c>
    </row>
    <row r="151" spans="1:3">
      <c r="A151" s="392"/>
      <c r="B151" s="271" t="s">
        <v>234</v>
      </c>
      <c r="C151" s="393" t="s">
        <v>72</v>
      </c>
    </row>
    <row r="152" spans="1:3">
      <c r="A152" s="392"/>
      <c r="B152" s="270" t="s">
        <v>70</v>
      </c>
      <c r="C152" s="375"/>
    </row>
    <row r="153" spans="1:3">
      <c r="A153" s="392"/>
      <c r="B153" s="270" t="s">
        <v>67</v>
      </c>
      <c r="C153" s="375"/>
    </row>
    <row r="154" spans="1:3">
      <c r="A154" s="392"/>
      <c r="B154" s="270" t="s">
        <v>166</v>
      </c>
      <c r="C154" s="375"/>
    </row>
    <row r="155" spans="1:3">
      <c r="A155" s="392"/>
      <c r="B155" s="270" t="s">
        <v>67</v>
      </c>
      <c r="C155" s="375"/>
    </row>
    <row r="156" spans="1:3">
      <c r="A156" s="392"/>
      <c r="B156" s="270" t="s">
        <v>166</v>
      </c>
      <c r="C156" s="376"/>
    </row>
    <row r="157" spans="1:3">
      <c r="A157" s="392">
        <v>23</v>
      </c>
      <c r="B157" s="270" t="s">
        <v>77</v>
      </c>
    </row>
    <row r="158" spans="1:3">
      <c r="A158" s="392"/>
      <c r="B158" s="271" t="s">
        <v>234</v>
      </c>
      <c r="C158" s="393" t="s">
        <v>72</v>
      </c>
    </row>
    <row r="159" spans="1:3">
      <c r="A159" s="392"/>
      <c r="B159" s="270" t="s">
        <v>70</v>
      </c>
      <c r="C159" s="375"/>
    </row>
    <row r="160" spans="1:3">
      <c r="A160" s="392"/>
      <c r="B160" s="270" t="s">
        <v>67</v>
      </c>
      <c r="C160" s="375"/>
    </row>
    <row r="161" spans="1:3">
      <c r="A161" s="392"/>
      <c r="B161" s="270" t="s">
        <v>166</v>
      </c>
      <c r="C161" s="375"/>
    </row>
    <row r="162" spans="1:3">
      <c r="A162" s="392"/>
      <c r="B162" s="270" t="s">
        <v>67</v>
      </c>
      <c r="C162" s="375"/>
    </row>
    <row r="163" spans="1:3">
      <c r="A163" s="392"/>
      <c r="B163" s="270" t="s">
        <v>166</v>
      </c>
      <c r="C163" s="376"/>
    </row>
    <row r="164" spans="1:3">
      <c r="A164" s="392">
        <v>24</v>
      </c>
      <c r="B164" s="270" t="s">
        <v>77</v>
      </c>
    </row>
    <row r="165" spans="1:3">
      <c r="A165" s="392"/>
      <c r="B165" s="271" t="s">
        <v>234</v>
      </c>
      <c r="C165" s="393" t="s">
        <v>72</v>
      </c>
    </row>
    <row r="166" spans="1:3">
      <c r="A166" s="392"/>
      <c r="B166" s="270" t="s">
        <v>70</v>
      </c>
      <c r="C166" s="375"/>
    </row>
    <row r="167" spans="1:3">
      <c r="A167" s="392"/>
      <c r="B167" s="270" t="s">
        <v>67</v>
      </c>
      <c r="C167" s="375"/>
    </row>
    <row r="168" spans="1:3">
      <c r="A168" s="392"/>
      <c r="B168" s="270" t="s">
        <v>166</v>
      </c>
      <c r="C168" s="375"/>
    </row>
    <row r="169" spans="1:3">
      <c r="A169" s="392"/>
      <c r="B169" s="270" t="s">
        <v>67</v>
      </c>
      <c r="C169" s="375"/>
    </row>
    <row r="170" spans="1:3">
      <c r="A170" s="392"/>
      <c r="B170" s="270" t="s">
        <v>166</v>
      </c>
      <c r="C170" s="376"/>
    </row>
    <row r="171" spans="1:3">
      <c r="A171" s="392">
        <v>25</v>
      </c>
      <c r="B171" s="270" t="s">
        <v>77</v>
      </c>
    </row>
    <row r="172" spans="1:3">
      <c r="A172" s="392"/>
      <c r="B172" s="271" t="s">
        <v>234</v>
      </c>
      <c r="C172" s="393" t="s">
        <v>72</v>
      </c>
    </row>
    <row r="173" spans="1:3">
      <c r="A173" s="392"/>
      <c r="B173" s="270" t="s">
        <v>70</v>
      </c>
      <c r="C173" s="375"/>
    </row>
    <row r="174" spans="1:3">
      <c r="A174" s="392"/>
      <c r="B174" s="270" t="s">
        <v>67</v>
      </c>
      <c r="C174" s="375"/>
    </row>
    <row r="175" spans="1:3">
      <c r="A175" s="392"/>
      <c r="B175" s="270" t="s">
        <v>166</v>
      </c>
      <c r="C175" s="375"/>
    </row>
    <row r="176" spans="1:3">
      <c r="A176" s="392"/>
      <c r="B176" s="270" t="s">
        <v>67</v>
      </c>
      <c r="C176" s="375"/>
    </row>
    <row r="177" spans="1:3">
      <c r="A177" s="392"/>
      <c r="B177" s="270" t="s">
        <v>166</v>
      </c>
      <c r="C177" s="376"/>
    </row>
    <row r="178" spans="1:3">
      <c r="A178" s="392">
        <v>26</v>
      </c>
      <c r="B178" s="270" t="s">
        <v>77</v>
      </c>
    </row>
    <row r="179" spans="1:3">
      <c r="A179" s="392"/>
      <c r="B179" s="271" t="s">
        <v>234</v>
      </c>
      <c r="C179" s="393" t="s">
        <v>72</v>
      </c>
    </row>
    <row r="180" spans="1:3">
      <c r="A180" s="392"/>
      <c r="B180" s="270" t="s">
        <v>70</v>
      </c>
      <c r="C180" s="375"/>
    </row>
    <row r="181" spans="1:3">
      <c r="A181" s="392"/>
      <c r="B181" s="270" t="s">
        <v>67</v>
      </c>
      <c r="C181" s="375"/>
    </row>
    <row r="182" spans="1:3">
      <c r="A182" s="392"/>
      <c r="B182" s="270" t="s">
        <v>166</v>
      </c>
      <c r="C182" s="375"/>
    </row>
    <row r="183" spans="1:3">
      <c r="A183" s="392"/>
      <c r="B183" s="270" t="s">
        <v>67</v>
      </c>
      <c r="C183" s="375"/>
    </row>
    <row r="184" spans="1:3">
      <c r="A184" s="392"/>
      <c r="B184" s="270" t="s">
        <v>166</v>
      </c>
      <c r="C184" s="376"/>
    </row>
    <row r="185" spans="1:3">
      <c r="A185" s="392">
        <v>27</v>
      </c>
      <c r="B185" s="270" t="s">
        <v>77</v>
      </c>
    </row>
    <row r="186" spans="1:3">
      <c r="A186" s="392"/>
      <c r="B186" s="271" t="s">
        <v>234</v>
      </c>
      <c r="C186" s="393" t="s">
        <v>72</v>
      </c>
    </row>
    <row r="187" spans="1:3">
      <c r="A187" s="392"/>
      <c r="B187" s="270" t="s">
        <v>70</v>
      </c>
      <c r="C187" s="375"/>
    </row>
    <row r="188" spans="1:3">
      <c r="A188" s="392"/>
      <c r="B188" s="270" t="s">
        <v>67</v>
      </c>
      <c r="C188" s="375"/>
    </row>
    <row r="189" spans="1:3">
      <c r="A189" s="392"/>
      <c r="B189" s="270" t="s">
        <v>166</v>
      </c>
      <c r="C189" s="375"/>
    </row>
    <row r="190" spans="1:3">
      <c r="A190" s="392"/>
      <c r="B190" s="270" t="s">
        <v>67</v>
      </c>
      <c r="C190" s="375"/>
    </row>
    <row r="191" spans="1:3">
      <c r="A191" s="392"/>
      <c r="B191" s="270" t="s">
        <v>166</v>
      </c>
      <c r="C191" s="376"/>
    </row>
    <row r="192" spans="1:3">
      <c r="A192" s="392">
        <v>28</v>
      </c>
      <c r="B192" s="270" t="s">
        <v>77</v>
      </c>
    </row>
    <row r="193" spans="1:3">
      <c r="A193" s="392"/>
      <c r="B193" s="271" t="s">
        <v>234</v>
      </c>
      <c r="C193" s="393" t="s">
        <v>72</v>
      </c>
    </row>
    <row r="194" spans="1:3">
      <c r="A194" s="392"/>
      <c r="B194" s="270" t="s">
        <v>70</v>
      </c>
      <c r="C194" s="375"/>
    </row>
    <row r="195" spans="1:3">
      <c r="A195" s="392"/>
      <c r="B195" s="270" t="s">
        <v>67</v>
      </c>
      <c r="C195" s="375"/>
    </row>
    <row r="196" spans="1:3">
      <c r="A196" s="392"/>
      <c r="B196" s="270" t="s">
        <v>166</v>
      </c>
      <c r="C196" s="375"/>
    </row>
    <row r="197" spans="1:3">
      <c r="A197" s="392"/>
      <c r="B197" s="270" t="s">
        <v>67</v>
      </c>
      <c r="C197" s="375"/>
    </row>
    <row r="198" spans="1:3">
      <c r="A198" s="392"/>
      <c r="B198" s="270" t="s">
        <v>166</v>
      </c>
      <c r="C198" s="376"/>
    </row>
    <row r="199" spans="1:3">
      <c r="A199" s="392">
        <v>29</v>
      </c>
      <c r="B199" s="270" t="s">
        <v>77</v>
      </c>
    </row>
    <row r="200" spans="1:3">
      <c r="A200" s="392"/>
      <c r="B200" s="271" t="s">
        <v>234</v>
      </c>
      <c r="C200" s="393" t="s">
        <v>72</v>
      </c>
    </row>
    <row r="201" spans="1:3">
      <c r="A201" s="392"/>
      <c r="B201" s="270" t="s">
        <v>70</v>
      </c>
      <c r="C201" s="375"/>
    </row>
    <row r="202" spans="1:3">
      <c r="A202" s="392"/>
      <c r="B202" s="270" t="s">
        <v>67</v>
      </c>
      <c r="C202" s="375"/>
    </row>
    <row r="203" spans="1:3">
      <c r="A203" s="392"/>
      <c r="B203" s="270" t="s">
        <v>166</v>
      </c>
      <c r="C203" s="375"/>
    </row>
    <row r="204" spans="1:3">
      <c r="A204" s="392"/>
      <c r="B204" s="270" t="s">
        <v>67</v>
      </c>
      <c r="C204" s="375"/>
    </row>
    <row r="205" spans="1:3">
      <c r="A205" s="392"/>
      <c r="B205" s="270" t="s">
        <v>166</v>
      </c>
      <c r="C205" s="376"/>
    </row>
    <row r="206" spans="1:3">
      <c r="A206" s="392">
        <v>30</v>
      </c>
      <c r="B206" s="270" t="s">
        <v>77</v>
      </c>
    </row>
    <row r="207" spans="1:3">
      <c r="A207" s="392"/>
      <c r="B207" s="271" t="s">
        <v>234</v>
      </c>
      <c r="C207" s="393" t="s">
        <v>72</v>
      </c>
    </row>
    <row r="208" spans="1:3">
      <c r="A208" s="392"/>
      <c r="B208" s="270" t="s">
        <v>70</v>
      </c>
      <c r="C208" s="375"/>
    </row>
    <row r="209" spans="1:3">
      <c r="A209" s="392"/>
      <c r="B209" s="270" t="s">
        <v>67</v>
      </c>
      <c r="C209" s="375"/>
    </row>
    <row r="210" spans="1:3">
      <c r="A210" s="392"/>
      <c r="B210" s="270" t="s">
        <v>166</v>
      </c>
      <c r="C210" s="375"/>
    </row>
    <row r="211" spans="1:3">
      <c r="A211" s="392"/>
      <c r="B211" s="270" t="s">
        <v>67</v>
      </c>
      <c r="C211" s="375"/>
    </row>
    <row r="212" spans="1:3">
      <c r="A212" s="392"/>
      <c r="B212" s="270" t="s">
        <v>166</v>
      </c>
      <c r="C212" s="376"/>
    </row>
    <row r="213" spans="1:3">
      <c r="A213" s="392">
        <v>31</v>
      </c>
      <c r="B213" s="270" t="s">
        <v>77</v>
      </c>
    </row>
    <row r="214" spans="1:3">
      <c r="A214" s="392"/>
      <c r="B214" s="271" t="s">
        <v>234</v>
      </c>
      <c r="C214" s="393" t="s">
        <v>72</v>
      </c>
    </row>
    <row r="215" spans="1:3">
      <c r="A215" s="392"/>
      <c r="B215" s="270" t="s">
        <v>70</v>
      </c>
      <c r="C215" s="375"/>
    </row>
    <row r="216" spans="1:3">
      <c r="A216" s="392"/>
      <c r="B216" s="270" t="s">
        <v>67</v>
      </c>
      <c r="C216" s="375"/>
    </row>
    <row r="217" spans="1:3">
      <c r="A217" s="392"/>
      <c r="B217" s="270" t="s">
        <v>166</v>
      </c>
      <c r="C217" s="375"/>
    </row>
    <row r="218" spans="1:3">
      <c r="A218" s="392"/>
      <c r="B218" s="270" t="s">
        <v>67</v>
      </c>
      <c r="C218" s="375"/>
    </row>
    <row r="219" spans="1:3">
      <c r="A219" s="392"/>
      <c r="B219" s="270" t="s">
        <v>166</v>
      </c>
      <c r="C219" s="376"/>
    </row>
    <row r="220" spans="1:3">
      <c r="A220" s="373">
        <v>32</v>
      </c>
      <c r="B220" s="270" t="s">
        <v>77</v>
      </c>
    </row>
    <row r="221" spans="1:3">
      <c r="A221" s="394"/>
      <c r="B221" s="270" t="s">
        <v>235</v>
      </c>
    </row>
    <row r="222" spans="1:3">
      <c r="A222" s="275"/>
      <c r="B222" s="270" t="s">
        <v>236</v>
      </c>
    </row>
    <row r="238" ht="13.5" hidden="1" customHeight="1" outlineLevel="1"/>
    <row r="239" ht="13.5" hidden="1" customHeight="1" outlineLevel="1"/>
    <row r="240" collapsed="1"/>
    <row r="252" spans="4:6">
      <c r="D252" s="274" t="s">
        <v>237</v>
      </c>
      <c r="E252" s="274" t="s">
        <v>238</v>
      </c>
      <c r="F252" s="274">
        <v>9975</v>
      </c>
    </row>
    <row r="253" spans="4:6">
      <c r="D253" s="274" t="s">
        <v>239</v>
      </c>
      <c r="E253" s="274" t="s">
        <v>240</v>
      </c>
      <c r="F253" s="274">
        <v>221</v>
      </c>
    </row>
    <row r="254" spans="4:6">
      <c r="D254" s="274" t="s">
        <v>241</v>
      </c>
      <c r="E254" s="274" t="s">
        <v>242</v>
      </c>
      <c r="F254" s="274">
        <v>37</v>
      </c>
    </row>
    <row r="255" spans="4:6">
      <c r="D255" s="274" t="s">
        <v>243</v>
      </c>
      <c r="E255" s="274" t="s">
        <v>244</v>
      </c>
      <c r="F255" s="274">
        <v>128</v>
      </c>
    </row>
    <row r="256" spans="4:6">
      <c r="D256" s="274" t="s">
        <v>245</v>
      </c>
      <c r="E256" s="274" t="s">
        <v>246</v>
      </c>
      <c r="F256" s="274">
        <f>CEILING(F254/4,1)</f>
        <v>10</v>
      </c>
    </row>
    <row r="257" spans="4:6">
      <c r="D257" s="275" t="s">
        <v>132</v>
      </c>
      <c r="E257" s="275" t="s">
        <v>134</v>
      </c>
      <c r="F257" s="275">
        <f>FLOOR(F252/F255,1)</f>
        <v>77</v>
      </c>
    </row>
    <row r="258" spans="4:6">
      <c r="D258" s="275" t="s">
        <v>213</v>
      </c>
      <c r="E258" s="275" t="s">
        <v>214</v>
      </c>
      <c r="F258" s="275">
        <f>MOD(F252,F255)</f>
        <v>119</v>
      </c>
    </row>
    <row r="259" spans="4:6">
      <c r="D259" s="275" t="s">
        <v>215</v>
      </c>
      <c r="E259" s="275" t="s">
        <v>216</v>
      </c>
      <c r="F259" s="275">
        <f>FLOOR(F253/F254,1)</f>
        <v>5</v>
      </c>
    </row>
    <row r="260" spans="4:6">
      <c r="D260" s="275" t="s">
        <v>247</v>
      </c>
      <c r="E260" s="275" t="s">
        <v>248</v>
      </c>
      <c r="F260" s="275">
        <f>MOD(F253,F254)</f>
        <v>36</v>
      </c>
    </row>
    <row r="261" spans="4:6">
      <c r="D261" s="275" t="s">
        <v>142</v>
      </c>
      <c r="E261" s="275" t="s">
        <v>143</v>
      </c>
      <c r="F261" s="275">
        <f>IF(F259=0,0,F254)</f>
        <v>37</v>
      </c>
    </row>
    <row r="262" spans="4:6">
      <c r="D262" s="275" t="s">
        <v>144</v>
      </c>
      <c r="E262" s="275" t="s">
        <v>145</v>
      </c>
      <c r="F262" s="275">
        <f>F260</f>
        <v>36</v>
      </c>
    </row>
    <row r="263" spans="4:6">
      <c r="D263" s="275"/>
      <c r="E263" s="275"/>
      <c r="F263" s="276"/>
    </row>
    <row r="264" spans="4:6">
      <c r="D264" s="272" t="s">
        <v>223</v>
      </c>
      <c r="E264" s="277" t="s">
        <v>224</v>
      </c>
      <c r="F264" s="278">
        <f>(F267+F270)</f>
        <v>81300</v>
      </c>
    </row>
    <row r="265" spans="4:6">
      <c r="D265" s="272"/>
      <c r="E265" s="272" t="s">
        <v>62</v>
      </c>
      <c r="F265" s="276">
        <f>IF(F257=0,0,((F261+(MIN(F252,F255)-1)+F256)*F259))</f>
        <v>870</v>
      </c>
    </row>
    <row r="266" spans="4:6">
      <c r="D266" s="272"/>
      <c r="E266" s="272"/>
      <c r="F266" s="276">
        <f>IF(F257=0,0,IF(F260=0,0,(F262+(MIN(F252,F255)-1)+F256)))</f>
        <v>173</v>
      </c>
    </row>
    <row r="267" spans="4:6">
      <c r="D267" s="272"/>
      <c r="E267" s="272"/>
      <c r="F267" s="276">
        <f>(F265+F266)*F257</f>
        <v>80311</v>
      </c>
    </row>
    <row r="268" spans="4:6">
      <c r="D268" s="272"/>
      <c r="E268" s="272" t="s">
        <v>249</v>
      </c>
      <c r="F268" s="276">
        <f>IF(F258=0,0,(F261+(F258-1)+F256)*F259)</f>
        <v>825</v>
      </c>
    </row>
    <row r="269" spans="4:6">
      <c r="D269" s="272"/>
      <c r="E269" s="272"/>
      <c r="F269" s="276">
        <f>IF(F258=0,0,IF(F260=0,0,(F262+(F258-1)+F256)))</f>
        <v>164</v>
      </c>
    </row>
    <row r="270" spans="4:6">
      <c r="D270" s="272"/>
      <c r="E270" s="272"/>
      <c r="F270" s="276">
        <f>F268+F269</f>
        <v>989</v>
      </c>
    </row>
    <row r="271" spans="4:6">
      <c r="D271" s="275"/>
      <c r="E271" s="275"/>
      <c r="F271" s="276"/>
    </row>
    <row r="272" spans="4:6">
      <c r="D272" s="272" t="s">
        <v>250</v>
      </c>
      <c r="E272" s="277" t="s">
        <v>251</v>
      </c>
      <c r="F272" s="279">
        <f>(F273+F274+F275)</f>
        <v>60125</v>
      </c>
    </row>
    <row r="273" spans="4:6">
      <c r="D273" s="272"/>
      <c r="E273" s="280" t="s">
        <v>252</v>
      </c>
      <c r="F273" s="276">
        <f>((F261+(F252-1))*F259)</f>
        <v>50055</v>
      </c>
    </row>
    <row r="274" spans="4:6">
      <c r="D274" s="272"/>
      <c r="E274" s="280" t="s">
        <v>253</v>
      </c>
      <c r="F274" s="276">
        <f>F256*F259</f>
        <v>50</v>
      </c>
    </row>
    <row r="275" spans="4:6">
      <c r="D275" s="272"/>
      <c r="E275" s="280" t="s">
        <v>254</v>
      </c>
      <c r="F275" s="276">
        <f>IF(F262=0,0,F262+(F252-1)+F256)</f>
        <v>10020</v>
      </c>
    </row>
    <row r="276" spans="4:6">
      <c r="D276" s="275"/>
      <c r="E276" s="275"/>
      <c r="F276" s="276"/>
    </row>
    <row r="277" spans="4:6">
      <c r="D277" s="281" t="s">
        <v>255</v>
      </c>
      <c r="E277" s="281" t="s">
        <v>256</v>
      </c>
      <c r="F277" s="270">
        <f>IF(F254&gt;=F253,F252/F272,F252/F264)</f>
        <v>0.12269372693726938</v>
      </c>
    </row>
    <row r="278" spans="4:6">
      <c r="D278" s="281" t="s">
        <v>257</v>
      </c>
      <c r="E278" s="281" t="s">
        <v>258</v>
      </c>
      <c r="F278" s="270">
        <f>F252/F272</f>
        <v>0.16590436590436591</v>
      </c>
    </row>
  </sheetData>
  <mergeCells count="63">
    <mergeCell ref="A199:A205"/>
    <mergeCell ref="C200:C205"/>
    <mergeCell ref="A206:A212"/>
    <mergeCell ref="C207:C212"/>
    <mergeCell ref="A213:A219"/>
    <mergeCell ref="C214:C219"/>
    <mergeCell ref="A178:A184"/>
    <mergeCell ref="C179:C184"/>
    <mergeCell ref="A185:A191"/>
    <mergeCell ref="C186:C191"/>
    <mergeCell ref="A192:A198"/>
    <mergeCell ref="C193:C198"/>
    <mergeCell ref="C165:C170"/>
    <mergeCell ref="A157:A163"/>
    <mergeCell ref="C158:C163"/>
    <mergeCell ref="A164:A170"/>
    <mergeCell ref="A171:A177"/>
    <mergeCell ref="C172:C177"/>
    <mergeCell ref="A136:A142"/>
    <mergeCell ref="C137:C142"/>
    <mergeCell ref="A143:A149"/>
    <mergeCell ref="C144:C149"/>
    <mergeCell ref="A150:A156"/>
    <mergeCell ref="C151:C156"/>
    <mergeCell ref="A115:A121"/>
    <mergeCell ref="C116:C121"/>
    <mergeCell ref="A122:A128"/>
    <mergeCell ref="C123:C128"/>
    <mergeCell ref="A129:A135"/>
    <mergeCell ref="C130:C135"/>
    <mergeCell ref="A94:A100"/>
    <mergeCell ref="C95:C100"/>
    <mergeCell ref="A101:A107"/>
    <mergeCell ref="C102:C107"/>
    <mergeCell ref="C109:C114"/>
    <mergeCell ref="A108:A114"/>
    <mergeCell ref="A3:A9"/>
    <mergeCell ref="A220:A221"/>
    <mergeCell ref="C4:C9"/>
    <mergeCell ref="A10:A16"/>
    <mergeCell ref="C11:C16"/>
    <mergeCell ref="C53:C58"/>
    <mergeCell ref="A59:A65"/>
    <mergeCell ref="C60:C65"/>
    <mergeCell ref="A66:A72"/>
    <mergeCell ref="C67:C72"/>
    <mergeCell ref="A73:A79"/>
    <mergeCell ref="C74:C79"/>
    <mergeCell ref="A80:A86"/>
    <mergeCell ref="C81:C86"/>
    <mergeCell ref="A87:A93"/>
    <mergeCell ref="C88:C93"/>
    <mergeCell ref="A17:A23"/>
    <mergeCell ref="C18:C23"/>
    <mergeCell ref="A24:A30"/>
    <mergeCell ref="C25:C30"/>
    <mergeCell ref="A31:A37"/>
    <mergeCell ref="C32:C37"/>
    <mergeCell ref="A38:A44"/>
    <mergeCell ref="C39:C44"/>
    <mergeCell ref="A45:A51"/>
    <mergeCell ref="C46:C51"/>
    <mergeCell ref="A52:A58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opLeftCell="A165" workbookViewId="0">
      <selection activeCell="I130" sqref="I130"/>
    </sheetView>
  </sheetViews>
  <sheetFormatPr defaultRowHeight="13.5"/>
  <cols>
    <col min="1" max="1" width="17.25" style="283" customWidth="1"/>
    <col min="2" max="2" width="12" bestFit="1" customWidth="1"/>
    <col min="4" max="4" width="11.125" style="306" customWidth="1"/>
  </cols>
  <sheetData>
    <row r="1" spans="2:10">
      <c r="B1" s="296">
        <v>8497</v>
      </c>
    </row>
    <row r="2" spans="2:10">
      <c r="B2" s="296">
        <v>39316</v>
      </c>
    </row>
    <row r="3" spans="2:10">
      <c r="B3" s="296">
        <v>5943</v>
      </c>
    </row>
    <row r="4" spans="2:10">
      <c r="B4" s="296">
        <v>4900</v>
      </c>
    </row>
    <row r="5" spans="2:10">
      <c r="B5" s="296">
        <v>8253</v>
      </c>
    </row>
    <row r="6" spans="2:10">
      <c r="B6" s="296">
        <v>6214</v>
      </c>
    </row>
    <row r="7" spans="2:10">
      <c r="B7" s="296">
        <v>1850</v>
      </c>
      <c r="J7">
        <v>4.95</v>
      </c>
    </row>
    <row r="8" spans="2:10">
      <c r="B8" s="296">
        <v>45111</v>
      </c>
    </row>
    <row r="9" spans="2:10">
      <c r="B9" s="296">
        <v>35214</v>
      </c>
    </row>
    <row r="10" spans="2:10">
      <c r="B10" s="296">
        <v>7589</v>
      </c>
      <c r="F10">
        <v>1.17E-2</v>
      </c>
      <c r="G10">
        <v>9.2999999999999992E-3</v>
      </c>
      <c r="H10">
        <v>3.5000000000000001E-3</v>
      </c>
    </row>
    <row r="11" spans="2:10">
      <c r="B11" s="296">
        <v>396</v>
      </c>
      <c r="F11">
        <v>8.6999999999999994E-3</v>
      </c>
      <c r="G11">
        <v>1.5599999999999999E-2</v>
      </c>
      <c r="H11">
        <v>6.3E-3</v>
      </c>
    </row>
    <row r="12" spans="2:10">
      <c r="B12" s="296">
        <v>5099</v>
      </c>
      <c r="F12">
        <v>1.15E-2</v>
      </c>
    </row>
    <row r="13" spans="2:10">
      <c r="B13" s="296">
        <v>38625</v>
      </c>
      <c r="F13">
        <f>SUM(F10:F12)</f>
        <v>3.1899999999999998E-2</v>
      </c>
      <c r="G13">
        <f>SUM(G10:G12)</f>
        <v>2.4899999999999999E-2</v>
      </c>
      <c r="H13">
        <f>SUM(H10:H12)</f>
        <v>9.7999999999999997E-3</v>
      </c>
      <c r="I13">
        <f>SUM(F13:H13)</f>
        <v>6.6599999999999993E-2</v>
      </c>
    </row>
    <row r="14" spans="2:10">
      <c r="B14" s="296">
        <v>11508</v>
      </c>
      <c r="C14">
        <v>69508</v>
      </c>
    </row>
    <row r="15" spans="2:10">
      <c r="B15">
        <f>SUM(B1:B14)</f>
        <v>218515</v>
      </c>
      <c r="C15">
        <f>C14/4</f>
        <v>17377</v>
      </c>
      <c r="D15" s="306">
        <f>SUM(B15:C15)</f>
        <v>235892</v>
      </c>
    </row>
    <row r="16" spans="2:10">
      <c r="D16" s="306">
        <f>D15/4.9</f>
        <v>48141.224489795917</v>
      </c>
      <c r="I16">
        <f>66600/1.8772</f>
        <v>35478.372043468997</v>
      </c>
    </row>
    <row r="17" spans="2:12">
      <c r="B17" s="296">
        <v>453679</v>
      </c>
    </row>
    <row r="18" spans="2:12">
      <c r="B18" s="296">
        <v>718592</v>
      </c>
    </row>
    <row r="19" spans="2:12">
      <c r="B19">
        <f>B18*16+B17</f>
        <v>11951151</v>
      </c>
      <c r="C19">
        <f>B19/4</f>
        <v>2987787.75</v>
      </c>
      <c r="I19">
        <v>19171</v>
      </c>
    </row>
    <row r="20" spans="2:12">
      <c r="B20">
        <v>718592</v>
      </c>
      <c r="I20">
        <f>I19/0.7056</f>
        <v>27169.784580498865</v>
      </c>
    </row>
    <row r="21" spans="2:12">
      <c r="B21">
        <f>B20/4</f>
        <v>179648</v>
      </c>
      <c r="I21">
        <f>I20/4</f>
        <v>6792.4461451247162</v>
      </c>
    </row>
    <row r="22" spans="2:12">
      <c r="B22">
        <v>144800</v>
      </c>
      <c r="H22" t="s">
        <v>286</v>
      </c>
      <c r="K22" t="s">
        <v>287</v>
      </c>
    </row>
    <row r="23" spans="2:12">
      <c r="B23">
        <f>(B22/4)/1.8772</f>
        <v>19284.04005966333</v>
      </c>
      <c r="G23" t="s">
        <v>285</v>
      </c>
      <c r="H23">
        <v>167719</v>
      </c>
      <c r="I23">
        <v>9</v>
      </c>
      <c r="J23">
        <f>H23*I23</f>
        <v>1509471</v>
      </c>
    </row>
    <row r="24" spans="2:12" ht="16.5">
      <c r="G24" s="283" t="s">
        <v>288</v>
      </c>
      <c r="H24" s="297">
        <v>35478</v>
      </c>
      <c r="I24">
        <v>2</v>
      </c>
      <c r="J24" s="283">
        <f>H24*I24</f>
        <v>70956</v>
      </c>
      <c r="K24">
        <v>3</v>
      </c>
      <c r="L24">
        <f>H24*K24</f>
        <v>106434</v>
      </c>
    </row>
    <row r="25" spans="2:12">
      <c r="C25">
        <v>172</v>
      </c>
      <c r="D25" s="306">
        <v>3</v>
      </c>
      <c r="E25">
        <v>3</v>
      </c>
      <c r="G25" t="s">
        <v>289</v>
      </c>
      <c r="H25">
        <v>48141</v>
      </c>
      <c r="I25">
        <v>15</v>
      </c>
      <c r="J25" s="283">
        <f>H25*I25</f>
        <v>722115</v>
      </c>
      <c r="K25">
        <v>6</v>
      </c>
      <c r="L25" s="283">
        <f>H25*K25</f>
        <v>288846</v>
      </c>
    </row>
    <row r="26" spans="2:12">
      <c r="C26">
        <v>1012</v>
      </c>
      <c r="D26" s="306">
        <v>2</v>
      </c>
      <c r="E26">
        <v>2</v>
      </c>
      <c r="G26" t="s">
        <v>290</v>
      </c>
      <c r="H26">
        <v>146190</v>
      </c>
      <c r="I26">
        <v>5</v>
      </c>
      <c r="J26" s="283">
        <f>H26*I26</f>
        <v>730950</v>
      </c>
      <c r="K26">
        <v>6</v>
      </c>
      <c r="L26" s="283">
        <f>H26*K26</f>
        <v>877140</v>
      </c>
    </row>
    <row r="27" spans="2:12">
      <c r="C27">
        <v>98624</v>
      </c>
      <c r="D27" s="306">
        <v>1</v>
      </c>
      <c r="E27">
        <v>2</v>
      </c>
    </row>
    <row r="28" spans="2:12">
      <c r="C28">
        <v>5243</v>
      </c>
      <c r="D28" s="306">
        <v>0</v>
      </c>
      <c r="E28">
        <v>1</v>
      </c>
    </row>
    <row r="29" spans="2:12">
      <c r="C29">
        <v>887</v>
      </c>
      <c r="D29" s="306">
        <v>3</v>
      </c>
      <c r="E29">
        <v>3</v>
      </c>
    </row>
    <row r="30" spans="2:12">
      <c r="C30">
        <v>10606</v>
      </c>
      <c r="D30" s="306">
        <v>1</v>
      </c>
      <c r="E30">
        <v>1</v>
      </c>
    </row>
    <row r="31" spans="2:12">
      <c r="C31">
        <v>160</v>
      </c>
      <c r="D31" s="306">
        <v>4</v>
      </c>
      <c r="E31">
        <v>7</v>
      </c>
    </row>
    <row r="32" spans="2:12">
      <c r="C32">
        <v>26</v>
      </c>
      <c r="D32" s="306">
        <v>0</v>
      </c>
      <c r="E32">
        <v>0</v>
      </c>
    </row>
    <row r="33" spans="1:7">
      <c r="C33">
        <v>83</v>
      </c>
      <c r="D33" s="306">
        <v>2</v>
      </c>
      <c r="E33">
        <v>3</v>
      </c>
    </row>
    <row r="34" spans="1:7">
      <c r="C34">
        <v>267</v>
      </c>
      <c r="D34" s="306">
        <v>1</v>
      </c>
      <c r="E34">
        <v>1</v>
      </c>
    </row>
    <row r="35" spans="1:7">
      <c r="C35">
        <f>C25*D25+C26*D26+C27*D27+C29*D29+C30+C31*4+C32*0+C33*2+C34</f>
        <v>115504</v>
      </c>
      <c r="E35">
        <f>C25*3+C26*E26+C27*E27+C28+C29*3+C30+C31*7+C33*3+C34</f>
        <v>219934</v>
      </c>
      <c r="F35">
        <f>SUM(C35:E35)</f>
        <v>335438</v>
      </c>
    </row>
    <row r="36" spans="1:7">
      <c r="F36">
        <f>F35/2</f>
        <v>167719</v>
      </c>
    </row>
    <row r="38" spans="1:7">
      <c r="A38" s="283" t="s">
        <v>294</v>
      </c>
      <c r="B38" t="s">
        <v>292</v>
      </c>
      <c r="C38" t="s">
        <v>291</v>
      </c>
      <c r="D38" s="306" t="s">
        <v>293</v>
      </c>
      <c r="E38" t="s">
        <v>301</v>
      </c>
      <c r="F38">
        <v>33</v>
      </c>
      <c r="G38">
        <f>F38/0.7056</f>
        <v>46.7687074829932</v>
      </c>
    </row>
    <row r="39" spans="1:7">
      <c r="A39" s="283" t="s">
        <v>303</v>
      </c>
      <c r="B39">
        <v>7.0000000000000001E-3</v>
      </c>
      <c r="C39">
        <f>B39*1000000</f>
        <v>7000</v>
      </c>
      <c r="D39" s="306">
        <f>C39/1.8772</f>
        <v>3728.9580225868317</v>
      </c>
      <c r="E39">
        <v>0.51</v>
      </c>
      <c r="F39">
        <v>33.869999999999997</v>
      </c>
      <c r="G39" s="283">
        <f t="shared" ref="G39:G54" si="0">F39/0.7056</f>
        <v>48.001700680272101</v>
      </c>
    </row>
    <row r="40" spans="1:7">
      <c r="A40" s="283" t="s">
        <v>295</v>
      </c>
      <c r="B40">
        <v>1.5E-3</v>
      </c>
      <c r="C40" s="283">
        <f t="shared" ref="C40:C45" si="1">B40*1000000</f>
        <v>1500</v>
      </c>
      <c r="D40" s="306">
        <f>C40/1.8772</f>
        <v>799.06243341146387</v>
      </c>
      <c r="E40">
        <v>0.16</v>
      </c>
      <c r="F40">
        <v>16.93</v>
      </c>
      <c r="G40" s="283">
        <f t="shared" si="0"/>
        <v>23.993764172335599</v>
      </c>
    </row>
    <row r="41" spans="1:7">
      <c r="A41" s="283" t="s">
        <v>296</v>
      </c>
      <c r="B41">
        <v>0.13</v>
      </c>
      <c r="C41" s="283">
        <f t="shared" si="1"/>
        <v>130000</v>
      </c>
      <c r="D41" s="306">
        <f t="shared" ref="D41:D44" si="2">C41/1.8772</f>
        <v>69252.077562326871</v>
      </c>
      <c r="E41">
        <v>1</v>
      </c>
      <c r="F41">
        <v>56.45</v>
      </c>
      <c r="G41" s="283">
        <f t="shared" si="0"/>
        <v>80.002834467120181</v>
      </c>
    </row>
    <row r="42" spans="1:7">
      <c r="A42" s="283" t="s">
        <v>297</v>
      </c>
      <c r="B42">
        <v>8.9999999999999993E-3</v>
      </c>
      <c r="C42" s="283">
        <f t="shared" si="1"/>
        <v>9000</v>
      </c>
      <c r="D42" s="306">
        <f t="shared" si="2"/>
        <v>4794.3746004687837</v>
      </c>
      <c r="E42">
        <v>0.55000000000000004</v>
      </c>
      <c r="F42">
        <v>33.869999999999997</v>
      </c>
      <c r="G42" s="283">
        <f t="shared" si="0"/>
        <v>48.001700680272101</v>
      </c>
    </row>
    <row r="43" spans="1:7">
      <c r="A43" s="283" t="s">
        <v>298</v>
      </c>
      <c r="B43">
        <v>1.5599999999999999E-2</v>
      </c>
      <c r="C43" s="283">
        <f t="shared" si="1"/>
        <v>15600</v>
      </c>
      <c r="D43" s="306">
        <f t="shared" si="2"/>
        <v>8310.2493074792237</v>
      </c>
      <c r="E43">
        <v>0.23</v>
      </c>
      <c r="F43">
        <v>33.869999999999997</v>
      </c>
      <c r="G43" s="283">
        <f t="shared" si="0"/>
        <v>48.001700680272101</v>
      </c>
    </row>
    <row r="44" spans="1:7">
      <c r="A44" s="283" t="s">
        <v>299</v>
      </c>
      <c r="B44">
        <v>1.1000000000000001E-3</v>
      </c>
      <c r="C44" s="283">
        <f t="shared" si="1"/>
        <v>1100</v>
      </c>
      <c r="D44" s="306">
        <f t="shared" si="2"/>
        <v>585.97911783507357</v>
      </c>
      <c r="E44">
        <v>7.0000000000000007E-2</v>
      </c>
      <c r="F44">
        <v>56.47</v>
      </c>
      <c r="G44" s="283">
        <f t="shared" si="0"/>
        <v>80.031179138321988</v>
      </c>
    </row>
    <row r="45" spans="1:7">
      <c r="A45" s="283" t="s">
        <v>300</v>
      </c>
      <c r="B45">
        <v>1.2E-2</v>
      </c>
      <c r="C45" s="283">
        <f t="shared" si="1"/>
        <v>12000</v>
      </c>
      <c r="D45" s="306">
        <f>C45/1.8772</f>
        <v>6392.499467291711</v>
      </c>
      <c r="E45">
        <v>1</v>
      </c>
      <c r="F45">
        <v>0</v>
      </c>
      <c r="G45" s="283">
        <f t="shared" si="0"/>
        <v>0</v>
      </c>
    </row>
    <row r="46" spans="1:7">
      <c r="A46" s="283" t="s">
        <v>302</v>
      </c>
      <c r="D46" s="306">
        <v>10600</v>
      </c>
      <c r="E46">
        <v>0.7</v>
      </c>
      <c r="F46">
        <v>195.45</v>
      </c>
      <c r="G46" s="283">
        <f t="shared" si="0"/>
        <v>276.99829931972789</v>
      </c>
    </row>
    <row r="47" spans="1:7">
      <c r="A47" s="283" t="s">
        <v>305</v>
      </c>
      <c r="D47" s="306">
        <v>160</v>
      </c>
      <c r="E47">
        <v>7.0000000000000007E-2</v>
      </c>
      <c r="F47">
        <v>214.86</v>
      </c>
      <c r="G47" s="283">
        <f t="shared" si="0"/>
        <v>304.50680272108843</v>
      </c>
    </row>
    <row r="48" spans="1:7">
      <c r="A48" s="283" t="s">
        <v>304</v>
      </c>
      <c r="D48" s="306">
        <v>83</v>
      </c>
      <c r="E48">
        <v>7.0000000000000007E-2</v>
      </c>
      <c r="F48">
        <v>2425.85</v>
      </c>
      <c r="G48" s="283">
        <f t="shared" si="0"/>
        <v>3437.9960317460318</v>
      </c>
    </row>
    <row r="49" spans="1:8">
      <c r="A49" s="283" t="s">
        <v>306</v>
      </c>
      <c r="D49" s="306">
        <v>267</v>
      </c>
      <c r="E49">
        <v>0</v>
      </c>
      <c r="F49">
        <v>0.54</v>
      </c>
      <c r="G49" s="283">
        <f t="shared" si="0"/>
        <v>0.76530612244897966</v>
      </c>
    </row>
    <row r="50" spans="1:8">
      <c r="F50">
        <v>0.54</v>
      </c>
      <c r="G50" s="283">
        <f t="shared" si="0"/>
        <v>0.76530612244897966</v>
      </c>
    </row>
    <row r="51" spans="1:8">
      <c r="F51">
        <v>101.61</v>
      </c>
      <c r="G51" s="283">
        <f t="shared" si="0"/>
        <v>144.00510204081633</v>
      </c>
    </row>
    <row r="52" spans="1:8">
      <c r="A52" s="298">
        <f>D40*2+D43+D42+D39+D45+D46+D41</f>
        <v>104676.28382697635</v>
      </c>
      <c r="B52">
        <f>A52*5</f>
        <v>523381.4191348817</v>
      </c>
      <c r="C52">
        <f>A52*6</f>
        <v>628057.70296185813</v>
      </c>
      <c r="F52">
        <v>57.15</v>
      </c>
      <c r="G52" s="283">
        <f t="shared" si="0"/>
        <v>80.994897959183675</v>
      </c>
    </row>
    <row r="53" spans="1:8">
      <c r="A53" s="298">
        <f>D39+D40+D41+D42+D43+D45</f>
        <v>93277.221393564891</v>
      </c>
      <c r="B53">
        <f>A53*15</f>
        <v>1399158.3209034733</v>
      </c>
      <c r="C53">
        <f>A53*6</f>
        <v>559663.32836138934</v>
      </c>
      <c r="D53" s="306">
        <f>E39+E40+E41+E42+E43+E45</f>
        <v>3.4499999999999997</v>
      </c>
      <c r="F53">
        <v>108.31</v>
      </c>
      <c r="G53" s="283">
        <f t="shared" si="0"/>
        <v>153.50056689342404</v>
      </c>
    </row>
    <row r="54" spans="1:8">
      <c r="A54" s="283">
        <f>D39+D40+3*D44+D41+D40+D40*6+D42+D40+D43+D45</f>
        <v>101427.65821436183</v>
      </c>
      <c r="B54">
        <f>A54*2</f>
        <v>202855.31642872366</v>
      </c>
      <c r="C54">
        <f>A54*3</f>
        <v>304282.9746430855</v>
      </c>
      <c r="F54">
        <v>213.97</v>
      </c>
      <c r="G54" s="283">
        <f t="shared" si="0"/>
        <v>303.24546485260771</v>
      </c>
    </row>
    <row r="55" spans="1:8">
      <c r="A55" s="283">
        <f>6*D47+2*D48+D49+3*D40+2*D39+D41+D42+D46</f>
        <v>95894.555508203717</v>
      </c>
      <c r="B55" t="s">
        <v>307</v>
      </c>
      <c r="C55" t="s">
        <v>307</v>
      </c>
    </row>
    <row r="56" spans="1:8">
      <c r="A56" s="283">
        <f>7*D47+3*D48+D49+3*D40+2*D39+2*D41+D45+3*D42+D46</f>
        <v>181370.88173875987</v>
      </c>
    </row>
    <row r="57" spans="1:8" ht="16.5">
      <c r="A57" s="283">
        <f>(A55+A56)/2</f>
        <v>138632.71862348181</v>
      </c>
      <c r="B57" s="297">
        <f>A57*9</f>
        <v>1247694.4676113361</v>
      </c>
      <c r="D57" s="306">
        <f>E42*3+E40*3+2*E39+2*E41+E45+E46+E47*2</f>
        <v>6.99</v>
      </c>
      <c r="E57">
        <f>E42*3+E40*3+2*E39+E41+E46+E47*2</f>
        <v>4.99</v>
      </c>
    </row>
    <row r="58" spans="1:8">
      <c r="A58" s="283">
        <f>D44+D39+D40+D49*2+D47*4</f>
        <v>6287.9995738333691</v>
      </c>
    </row>
    <row r="63" spans="1:8" ht="17.25" thickBot="1">
      <c r="A63" s="300" t="s">
        <v>308</v>
      </c>
      <c r="B63" s="301" t="s">
        <v>309</v>
      </c>
      <c r="C63" s="301" t="s">
        <v>310</v>
      </c>
      <c r="D63" s="307" t="s">
        <v>311</v>
      </c>
      <c r="E63" s="302" t="s">
        <v>312</v>
      </c>
      <c r="F63" s="303" t="s">
        <v>313</v>
      </c>
      <c r="G63" s="309" t="s">
        <v>339</v>
      </c>
    </row>
    <row r="64" spans="1:8" ht="13.5" customHeight="1">
      <c r="A64" s="397">
        <v>1</v>
      </c>
      <c r="B64" s="399" t="s">
        <v>314</v>
      </c>
      <c r="C64" s="399">
        <v>33</v>
      </c>
      <c r="D64" s="401">
        <f>C64/0.7056</f>
        <v>46.7687074829932</v>
      </c>
      <c r="E64" s="399" t="s">
        <v>315</v>
      </c>
      <c r="F64" s="395">
        <v>0.03</v>
      </c>
      <c r="G64" s="283" t="s">
        <v>337</v>
      </c>
      <c r="H64">
        <f>D70*4+D79+D81+4+D95+D91*2</f>
        <v>1370.7517006802723</v>
      </c>
    </row>
    <row r="65" spans="1:8" ht="14.25" customHeight="1" thickBot="1">
      <c r="A65" s="398"/>
      <c r="B65" s="400"/>
      <c r="C65" s="400"/>
      <c r="D65" s="402"/>
      <c r="E65" s="400"/>
      <c r="F65" s="403"/>
      <c r="H65">
        <f>10700/1.8772</f>
        <v>5699.9786916684425</v>
      </c>
    </row>
    <row r="66" spans="1:8" ht="13.5" customHeight="1">
      <c r="A66" s="397">
        <v>2</v>
      </c>
      <c r="B66" s="399" t="s">
        <v>316</v>
      </c>
      <c r="C66" s="399">
        <v>33.869999999999997</v>
      </c>
      <c r="D66" s="401">
        <f>C66/0.7056</f>
        <v>48.001700680272101</v>
      </c>
      <c r="E66" s="399" t="s">
        <v>317</v>
      </c>
      <c r="F66" s="395">
        <v>0.04</v>
      </c>
      <c r="G66" t="s">
        <v>338</v>
      </c>
      <c r="H66">
        <f>(D64+D66+D68+D70+D72+D74+D76)*2</f>
        <v>749.60317460317458</v>
      </c>
    </row>
    <row r="67" spans="1:8" ht="14.25" customHeight="1" thickBot="1">
      <c r="A67" s="398"/>
      <c r="B67" s="400"/>
      <c r="C67" s="400"/>
      <c r="D67" s="402"/>
      <c r="E67" s="400"/>
      <c r="F67" s="403"/>
      <c r="H67">
        <f>8000/1.8772</f>
        <v>4261.666311527807</v>
      </c>
    </row>
    <row r="68" spans="1:8" ht="13.5" customHeight="1">
      <c r="A68" s="397">
        <v>3</v>
      </c>
      <c r="B68" s="399" t="s">
        <v>318</v>
      </c>
      <c r="C68" s="399">
        <v>16.93</v>
      </c>
      <c r="D68" s="401">
        <f>C68/0.7056</f>
        <v>23.993764172335599</v>
      </c>
      <c r="E68" s="399" t="s">
        <v>319</v>
      </c>
      <c r="F68" s="395">
        <v>0.01</v>
      </c>
      <c r="G68" t="s">
        <v>340</v>
      </c>
    </row>
    <row r="69" spans="1:8" ht="14.25" customHeight="1" thickBot="1">
      <c r="A69" s="398"/>
      <c r="B69" s="400"/>
      <c r="C69" s="400"/>
      <c r="D69" s="402"/>
      <c r="E69" s="400"/>
      <c r="F69" s="403"/>
      <c r="G69" t="s">
        <v>341</v>
      </c>
      <c r="H69" s="306">
        <f>D64+D66+D68</f>
        <v>118.7641723356009</v>
      </c>
    </row>
    <row r="70" spans="1:8" ht="18.75" customHeight="1">
      <c r="A70" s="397">
        <v>4</v>
      </c>
      <c r="B70" s="399" t="s">
        <v>320</v>
      </c>
      <c r="C70" s="399">
        <v>56.45</v>
      </c>
      <c r="D70" s="401">
        <f>C70/0.7056</f>
        <v>80.002834467120181</v>
      </c>
      <c r="E70" s="399" t="s">
        <v>321</v>
      </c>
      <c r="F70" s="395">
        <v>7.0000000000000007E-2</v>
      </c>
      <c r="H70">
        <v>172</v>
      </c>
    </row>
    <row r="71" spans="1:8" ht="14.25" customHeight="1" thickBot="1">
      <c r="A71" s="398"/>
      <c r="B71" s="400"/>
      <c r="C71" s="400"/>
      <c r="D71" s="402"/>
      <c r="E71" s="400"/>
      <c r="F71" s="403"/>
      <c r="G71" t="s">
        <v>342</v>
      </c>
      <c r="H71" s="306">
        <f>D79+D81</f>
        <v>581.50510204081638</v>
      </c>
    </row>
    <row r="72" spans="1:8" ht="35.25" customHeight="1">
      <c r="A72" s="397">
        <v>5</v>
      </c>
      <c r="B72" s="399" t="s">
        <v>322</v>
      </c>
      <c r="C72" s="405">
        <v>33.869999999999997</v>
      </c>
      <c r="D72" s="401">
        <f>C72/0.7056</f>
        <v>48.001700680272101</v>
      </c>
      <c r="E72" s="399" t="s">
        <v>323</v>
      </c>
      <c r="F72" s="395">
        <v>0.03</v>
      </c>
      <c r="H72">
        <v>1012</v>
      </c>
    </row>
    <row r="73" spans="1:8" ht="14.25" customHeight="1" thickBot="1">
      <c r="A73" s="398"/>
      <c r="B73" s="400"/>
      <c r="C73" s="408"/>
      <c r="D73" s="402"/>
      <c r="E73" s="400"/>
      <c r="F73" s="403"/>
      <c r="G73" t="s">
        <v>343</v>
      </c>
      <c r="H73">
        <v>3438</v>
      </c>
    </row>
    <row r="74" spans="1:8" ht="35.25" customHeight="1">
      <c r="A74" s="397">
        <v>6</v>
      </c>
      <c r="B74" s="399" t="s">
        <v>324</v>
      </c>
      <c r="C74" s="405">
        <v>33.869999999999997</v>
      </c>
      <c r="D74" s="401">
        <f>C74/0.7056</f>
        <v>48.001700680272101</v>
      </c>
      <c r="E74" s="399" t="s">
        <v>325</v>
      </c>
      <c r="F74" s="395">
        <v>0.03</v>
      </c>
      <c r="H74">
        <v>5243</v>
      </c>
    </row>
    <row r="75" spans="1:8" ht="14.25" customHeight="1" thickBot="1">
      <c r="A75" s="398"/>
      <c r="B75" s="400"/>
      <c r="C75" s="408"/>
      <c r="D75" s="402"/>
      <c r="E75" s="400"/>
      <c r="F75" s="403"/>
    </row>
    <row r="76" spans="1:8" ht="35.25" customHeight="1">
      <c r="A76" s="397">
        <v>7</v>
      </c>
      <c r="B76" s="399" t="s">
        <v>326</v>
      </c>
      <c r="C76" s="399">
        <v>56.47</v>
      </c>
      <c r="D76" s="401">
        <f>C76/0.7056</f>
        <v>80.031179138321988</v>
      </c>
      <c r="E76" s="399" t="s">
        <v>327</v>
      </c>
      <c r="F76" s="395">
        <v>0.06</v>
      </c>
    </row>
    <row r="77" spans="1:8" ht="14.25" customHeight="1" thickBot="1">
      <c r="A77" s="398"/>
      <c r="B77" s="400"/>
      <c r="C77" s="400"/>
      <c r="D77" s="402"/>
      <c r="E77" s="400"/>
      <c r="F77" s="403"/>
    </row>
    <row r="78" spans="1:8" ht="17.25" thickBot="1">
      <c r="A78" s="304">
        <v>8</v>
      </c>
      <c r="B78" s="299" t="s">
        <v>328</v>
      </c>
      <c r="C78" s="299">
        <v>0</v>
      </c>
      <c r="D78" s="308">
        <v>0</v>
      </c>
      <c r="E78" s="299">
        <v>0</v>
      </c>
      <c r="F78" s="305">
        <v>0</v>
      </c>
    </row>
    <row r="79" spans="1:8" ht="13.5" customHeight="1">
      <c r="A79" s="397">
        <v>9</v>
      </c>
      <c r="B79" s="399" t="s">
        <v>329</v>
      </c>
      <c r="C79" s="405">
        <v>195.45</v>
      </c>
      <c r="D79" s="401">
        <f>C79/0.7056</f>
        <v>276.99829931972789</v>
      </c>
      <c r="E79" s="399"/>
      <c r="F79" s="395">
        <v>0.99</v>
      </c>
    </row>
    <row r="80" spans="1:8" ht="14.25" customHeight="1" thickBot="1">
      <c r="A80" s="398"/>
      <c r="B80" s="400"/>
      <c r="C80" s="408"/>
      <c r="D80" s="402"/>
      <c r="E80" s="400"/>
      <c r="F80" s="403"/>
    </row>
    <row r="81" spans="1:8" ht="13.5" customHeight="1">
      <c r="A81" s="397">
        <v>10</v>
      </c>
      <c r="B81" s="399" t="s">
        <v>330</v>
      </c>
      <c r="C81" s="399">
        <v>214.86</v>
      </c>
      <c r="D81" s="401">
        <f t="shared" ref="D81" si="3">C81/0.7056</f>
        <v>304.50680272108843</v>
      </c>
      <c r="E81" s="399"/>
      <c r="F81" s="395">
        <v>1</v>
      </c>
    </row>
    <row r="82" spans="1:8" ht="14.25" customHeight="1" thickBot="1">
      <c r="A82" s="398"/>
      <c r="B82" s="400"/>
      <c r="C82" s="400"/>
      <c r="D82" s="402"/>
      <c r="E82" s="400"/>
      <c r="F82" s="403"/>
    </row>
    <row r="83" spans="1:8" ht="13.5" customHeight="1">
      <c r="A83" s="397">
        <v>11</v>
      </c>
      <c r="B83" s="399" t="s">
        <v>331</v>
      </c>
      <c r="C83" s="399">
        <v>2425.85</v>
      </c>
      <c r="D83" s="401">
        <f t="shared" ref="D83" si="4">C83/0.7056</f>
        <v>3437.9960317460318</v>
      </c>
      <c r="E83" s="399"/>
      <c r="F83" s="395">
        <v>1</v>
      </c>
    </row>
    <row r="84" spans="1:8" ht="14.25" customHeight="1" thickBot="1">
      <c r="A84" s="398"/>
      <c r="B84" s="400"/>
      <c r="C84" s="400"/>
      <c r="D84" s="402"/>
      <c r="E84" s="400"/>
      <c r="F84" s="403"/>
    </row>
    <row r="85" spans="1:8" ht="13.5" customHeight="1">
      <c r="A85" s="397">
        <v>12</v>
      </c>
      <c r="B85" s="399" t="s">
        <v>332</v>
      </c>
      <c r="C85" s="399">
        <v>0.54</v>
      </c>
      <c r="D85" s="401">
        <f t="shared" ref="D85" si="5">C85/0.7056</f>
        <v>0.76530612244897966</v>
      </c>
      <c r="E85" s="399"/>
      <c r="F85" s="395">
        <v>0</v>
      </c>
    </row>
    <row r="86" spans="1:8" ht="14.25" customHeight="1" thickBot="1">
      <c r="A86" s="398"/>
      <c r="B86" s="400"/>
      <c r="C86" s="400"/>
      <c r="D86" s="402"/>
      <c r="E86" s="400"/>
      <c r="F86" s="403"/>
    </row>
    <row r="87" spans="1:8" ht="13.5" customHeight="1">
      <c r="A87" s="397">
        <v>13</v>
      </c>
      <c r="B87" s="399" t="s">
        <v>333</v>
      </c>
      <c r="C87" s="399">
        <v>0.54</v>
      </c>
      <c r="D87" s="401">
        <f t="shared" ref="D87" si="6">C87/0.7056</f>
        <v>0.76530612244897966</v>
      </c>
      <c r="E87" s="399"/>
      <c r="F87" s="395">
        <v>0</v>
      </c>
    </row>
    <row r="88" spans="1:8" ht="14.25" customHeight="1" thickBot="1">
      <c r="A88" s="398"/>
      <c r="B88" s="400"/>
      <c r="C88" s="400"/>
      <c r="D88" s="402"/>
      <c r="E88" s="400"/>
      <c r="F88" s="403"/>
    </row>
    <row r="89" spans="1:8" ht="13.5" customHeight="1">
      <c r="A89" s="397">
        <v>14</v>
      </c>
      <c r="B89" s="399" t="s">
        <v>334</v>
      </c>
      <c r="C89" s="399">
        <v>101.61</v>
      </c>
      <c r="D89" s="401">
        <f t="shared" ref="D89" si="7">C89/0.7056</f>
        <v>144.00510204081633</v>
      </c>
      <c r="E89" s="399"/>
      <c r="F89" s="395">
        <v>0.13</v>
      </c>
    </row>
    <row r="90" spans="1:8" ht="14.25" customHeight="1" thickBot="1">
      <c r="A90" s="398"/>
      <c r="B90" s="400"/>
      <c r="C90" s="400"/>
      <c r="D90" s="402"/>
      <c r="E90" s="400"/>
      <c r="F90" s="403"/>
    </row>
    <row r="91" spans="1:8" ht="13.5" customHeight="1">
      <c r="A91" s="397">
        <v>15</v>
      </c>
      <c r="B91" s="399" t="s">
        <v>335</v>
      </c>
      <c r="C91" s="399">
        <v>57.15</v>
      </c>
      <c r="D91" s="401">
        <f t="shared" ref="D91" si="8">C91/0.7056</f>
        <v>80.994897959183675</v>
      </c>
      <c r="E91" s="399"/>
      <c r="F91" s="395">
        <v>0.17</v>
      </c>
    </row>
    <row r="92" spans="1:8" ht="14.25" customHeight="1" thickBot="1">
      <c r="A92" s="398"/>
      <c r="B92" s="400"/>
      <c r="C92" s="400"/>
      <c r="D92" s="402"/>
      <c r="E92" s="400"/>
      <c r="F92" s="403"/>
    </row>
    <row r="93" spans="1:8" ht="13.5" customHeight="1">
      <c r="A93" s="397">
        <v>16</v>
      </c>
      <c r="B93" s="399" t="s">
        <v>336</v>
      </c>
      <c r="C93" s="399">
        <v>108.31</v>
      </c>
      <c r="D93" s="401">
        <f t="shared" ref="D93" si="9">C93/0.7056</f>
        <v>153.50056689342404</v>
      </c>
      <c r="E93" s="399"/>
      <c r="F93" s="395">
        <v>0.32</v>
      </c>
    </row>
    <row r="94" spans="1:8" ht="14.25" customHeight="1" thickBot="1">
      <c r="A94" s="398"/>
      <c r="B94" s="400"/>
      <c r="C94" s="400"/>
      <c r="D94" s="402"/>
      <c r="E94" s="400"/>
      <c r="F94" s="403"/>
    </row>
    <row r="95" spans="1:8" ht="13.5" customHeight="1">
      <c r="A95" s="397">
        <v>17</v>
      </c>
      <c r="B95" s="405" t="s">
        <v>336</v>
      </c>
      <c r="C95" s="399">
        <v>213.97</v>
      </c>
      <c r="D95" s="401">
        <f t="shared" ref="D95" si="10">C95/0.7056</f>
        <v>303.24546485260771</v>
      </c>
      <c r="E95" s="399"/>
      <c r="F95" s="395">
        <v>0.35</v>
      </c>
      <c r="H95" t="s">
        <v>348</v>
      </c>
    </row>
    <row r="96" spans="1:8" ht="13.5" customHeight="1" thickBot="1">
      <c r="A96" s="404"/>
      <c r="B96" s="406"/>
      <c r="C96" s="407"/>
      <c r="D96" s="402"/>
      <c r="E96" s="407"/>
      <c r="F96" s="396"/>
      <c r="H96" t="s">
        <v>349</v>
      </c>
    </row>
    <row r="97" spans="1:10">
      <c r="H97" t="s">
        <v>350</v>
      </c>
    </row>
    <row r="98" spans="1:10" ht="16.5">
      <c r="A98" s="297">
        <v>537.31399999999996</v>
      </c>
      <c r="B98">
        <f>A98/0.7056</f>
        <v>761.49943310657591</v>
      </c>
      <c r="H98" t="s">
        <v>351</v>
      </c>
    </row>
    <row r="99" spans="1:10" ht="16.5">
      <c r="A99" s="283">
        <v>9300</v>
      </c>
      <c r="B99">
        <f>A99/1.8772</f>
        <v>4954.1870871510764</v>
      </c>
      <c r="E99" s="297">
        <v>7209.1149999999998</v>
      </c>
      <c r="F99">
        <f>E99/0.7056</f>
        <v>10216.999716553288</v>
      </c>
      <c r="H99" t="s">
        <v>350</v>
      </c>
    </row>
    <row r="100" spans="1:10">
      <c r="H100" t="s">
        <v>350</v>
      </c>
    </row>
    <row r="101" spans="1:10">
      <c r="H101" t="s">
        <v>350</v>
      </c>
    </row>
    <row r="102" spans="1:10">
      <c r="H102" t="s">
        <v>348</v>
      </c>
      <c r="I102">
        <v>5317.22</v>
      </c>
      <c r="J102">
        <f>I102/0.7056</f>
        <v>7535.7426303854882</v>
      </c>
    </row>
    <row r="103" spans="1:10">
      <c r="A103" s="283" t="s">
        <v>344</v>
      </c>
      <c r="B103">
        <v>128</v>
      </c>
      <c r="C103">
        <f>B103*4</f>
        <v>512</v>
      </c>
      <c r="H103" t="s">
        <v>352</v>
      </c>
    </row>
    <row r="104" spans="1:10">
      <c r="A104" s="283" t="s">
        <v>345</v>
      </c>
      <c r="B104">
        <v>120</v>
      </c>
      <c r="C104" s="283">
        <f>B104*4</f>
        <v>480</v>
      </c>
      <c r="D104" s="306">
        <f>C104+24</f>
        <v>504</v>
      </c>
      <c r="H104" t="s">
        <v>351</v>
      </c>
    </row>
    <row r="105" spans="1:10">
      <c r="H105" t="s">
        <v>353</v>
      </c>
    </row>
    <row r="106" spans="1:10">
      <c r="A106" s="283" t="s">
        <v>346</v>
      </c>
      <c r="H106" t="s">
        <v>350</v>
      </c>
    </row>
    <row r="107" spans="1:10">
      <c r="A107" s="283" t="s">
        <v>347</v>
      </c>
      <c r="H107" t="s">
        <v>350</v>
      </c>
    </row>
    <row r="110" spans="1:10" ht="17.25" thickBot="1">
      <c r="A110" s="300" t="s">
        <v>308</v>
      </c>
      <c r="B110" s="302" t="s">
        <v>309</v>
      </c>
      <c r="C110" s="302" t="s">
        <v>310</v>
      </c>
      <c r="D110" s="307" t="s">
        <v>311</v>
      </c>
      <c r="E110" s="302" t="s">
        <v>312</v>
      </c>
      <c r="F110" s="311" t="s">
        <v>313</v>
      </c>
    </row>
    <row r="111" spans="1:10">
      <c r="A111" s="397">
        <v>1</v>
      </c>
      <c r="B111" s="399" t="s">
        <v>314</v>
      </c>
      <c r="C111" s="399">
        <v>361.1</v>
      </c>
      <c r="D111" s="401">
        <f>C111/0.7056</f>
        <v>511.76303854875289</v>
      </c>
      <c r="E111" s="399" t="s">
        <v>315</v>
      </c>
      <c r="F111" s="395">
        <v>0.02</v>
      </c>
    </row>
    <row r="112" spans="1:10" ht="14.25" thickBot="1">
      <c r="A112" s="398"/>
      <c r="B112" s="400"/>
      <c r="C112" s="400"/>
      <c r="D112" s="402"/>
      <c r="E112" s="400"/>
      <c r="F112" s="403"/>
    </row>
    <row r="113" spans="1:11" ht="13.5" customHeight="1">
      <c r="A113" s="397">
        <v>2</v>
      </c>
      <c r="B113" s="399" t="s">
        <v>316</v>
      </c>
      <c r="C113" s="399">
        <v>265.3</v>
      </c>
      <c r="D113" s="401">
        <f t="shared" ref="D113" si="11">C113/0.7056</f>
        <v>375.99206349206349</v>
      </c>
      <c r="E113" s="399" t="s">
        <v>317</v>
      </c>
      <c r="F113" s="395">
        <v>0.02</v>
      </c>
    </row>
    <row r="114" spans="1:11" ht="14.25" customHeight="1" thickBot="1">
      <c r="A114" s="398"/>
      <c r="B114" s="400"/>
      <c r="C114" s="400"/>
      <c r="D114" s="402"/>
      <c r="E114" s="400"/>
      <c r="F114" s="403"/>
    </row>
    <row r="115" spans="1:11" ht="13.5" customHeight="1">
      <c r="A115" s="397">
        <v>3</v>
      </c>
      <c r="B115" s="399" t="s">
        <v>318</v>
      </c>
      <c r="C115" s="399">
        <v>16.93</v>
      </c>
      <c r="D115" s="401">
        <f t="shared" ref="D115" si="12">C115/0.7056</f>
        <v>23.993764172335599</v>
      </c>
      <c r="E115" s="399" t="s">
        <v>319</v>
      </c>
      <c r="F115" s="395">
        <v>0.01</v>
      </c>
    </row>
    <row r="116" spans="1:11" ht="14.25" customHeight="1" thickBot="1">
      <c r="A116" s="398"/>
      <c r="B116" s="400"/>
      <c r="C116" s="400"/>
      <c r="D116" s="402"/>
      <c r="E116" s="400"/>
      <c r="F116" s="403"/>
    </row>
    <row r="117" spans="1:11" ht="18.75" customHeight="1">
      <c r="A117" s="397">
        <v>4</v>
      </c>
      <c r="B117" s="399" t="s">
        <v>320</v>
      </c>
      <c r="C117" s="399">
        <v>152.4</v>
      </c>
      <c r="D117" s="401">
        <f t="shared" ref="D117:D143" si="13">C117/0.7056</f>
        <v>215.98639455782313</v>
      </c>
      <c r="E117" s="399" t="s">
        <v>321</v>
      </c>
      <c r="F117" s="395">
        <v>0.06</v>
      </c>
    </row>
    <row r="118" spans="1:11" ht="14.25" customHeight="1" thickBot="1">
      <c r="A118" s="398"/>
      <c r="B118" s="400"/>
      <c r="C118" s="400"/>
      <c r="D118" s="402"/>
      <c r="E118" s="400"/>
      <c r="F118" s="403"/>
    </row>
    <row r="119" spans="1:11" ht="35.25" customHeight="1">
      <c r="A119" s="397">
        <v>5</v>
      </c>
      <c r="B119" s="399" t="s">
        <v>322</v>
      </c>
      <c r="C119" s="399">
        <v>73.400000000000006</v>
      </c>
      <c r="D119" s="401">
        <f t="shared" si="13"/>
        <v>104.0249433106576</v>
      </c>
      <c r="E119" s="399" t="s">
        <v>323</v>
      </c>
      <c r="F119" s="395">
        <v>0.02</v>
      </c>
    </row>
    <row r="120" spans="1:11" ht="14.25" customHeight="1" thickBot="1">
      <c r="A120" s="398"/>
      <c r="B120" s="400"/>
      <c r="C120" s="400"/>
      <c r="D120" s="402"/>
      <c r="E120" s="400"/>
      <c r="F120" s="403"/>
      <c r="G120" t="s">
        <v>369</v>
      </c>
      <c r="H120" s="306">
        <v>7185</v>
      </c>
      <c r="I120">
        <f>F131+F143+F141</f>
        <v>1.0900000000000001</v>
      </c>
      <c r="K120" s="321">
        <f>1000/I120</f>
        <v>917.43119266055044</v>
      </c>
    </row>
    <row r="121" spans="1:11" ht="35.25" customHeight="1">
      <c r="A121" s="397">
        <v>6</v>
      </c>
      <c r="B121" s="399" t="s">
        <v>324</v>
      </c>
      <c r="C121" s="399">
        <v>45.2</v>
      </c>
      <c r="D121" s="401">
        <f t="shared" si="13"/>
        <v>64.058956916099774</v>
      </c>
      <c r="E121" s="399" t="s">
        <v>325</v>
      </c>
      <c r="F121" s="395">
        <v>0.02</v>
      </c>
      <c r="G121" t="s">
        <v>370</v>
      </c>
      <c r="H121">
        <f>6*D141+2*D139+3*D111+3*D113+3*D117+2*D127+2*D129+D150+3*D145+D148</f>
        <v>53781.990929705215</v>
      </c>
      <c r="I121">
        <f>(H121+H122)/2</f>
        <v>71198.466269841272</v>
      </c>
      <c r="K121" s="321" t="s">
        <v>395</v>
      </c>
    </row>
    <row r="122" spans="1:11" ht="14.25" customHeight="1" thickBot="1">
      <c r="A122" s="398"/>
      <c r="B122" s="400"/>
      <c r="C122" s="400"/>
      <c r="D122" s="402"/>
      <c r="E122" s="400"/>
      <c r="F122" s="403"/>
      <c r="H122">
        <f>7*D141+3*D139+3*D111+3*D113+3*D117+2*D127+2*D129+2*D150+D131+3*D145+D148</f>
        <v>88614.941609977323</v>
      </c>
      <c r="I122">
        <f>3*F145+3*F117+2*F129+2*F150+F131+F148+2*F139</f>
        <v>4.8899999999999997</v>
      </c>
      <c r="K122" s="321">
        <f t="shared" ref="K122" si="14">1000/I122</f>
        <v>204.49897750511249</v>
      </c>
    </row>
    <row r="123" spans="1:11" ht="35.25" customHeight="1">
      <c r="A123" s="397">
        <v>7</v>
      </c>
      <c r="B123" s="399" t="s">
        <v>326</v>
      </c>
      <c r="C123" s="399">
        <v>56.47</v>
      </c>
      <c r="D123" s="401">
        <f t="shared" si="13"/>
        <v>80.031179138321988</v>
      </c>
      <c r="E123" s="399" t="s">
        <v>327</v>
      </c>
      <c r="F123" s="395">
        <v>0.06</v>
      </c>
      <c r="G123" s="283" t="s">
        <v>371</v>
      </c>
      <c r="H123" t="s">
        <v>372</v>
      </c>
      <c r="I123">
        <f>4*D117+D127+D129+D143+2*D139</f>
        <v>3489.8526077097508</v>
      </c>
      <c r="J123">
        <f>F117+F139+F129+F117+F143</f>
        <v>0.55000000000000004</v>
      </c>
      <c r="K123" s="321"/>
    </row>
    <row r="124" spans="1:11" ht="14.25" customHeight="1" thickBot="1">
      <c r="A124" s="398"/>
      <c r="B124" s="400"/>
      <c r="C124" s="400"/>
      <c r="D124" s="402"/>
      <c r="E124" s="400"/>
      <c r="F124" s="403"/>
      <c r="H124" t="s">
        <v>373</v>
      </c>
      <c r="I124" s="306">
        <f>D162</f>
        <v>548.73866213151928</v>
      </c>
      <c r="J124">
        <v>7.0000000000000007E-2</v>
      </c>
      <c r="K124" s="321"/>
    </row>
    <row r="125" spans="1:11" ht="13.5" customHeight="1">
      <c r="A125" s="397">
        <v>8</v>
      </c>
      <c r="B125" s="399" t="s">
        <v>328</v>
      </c>
      <c r="C125" s="399">
        <v>0</v>
      </c>
      <c r="D125" s="401">
        <f t="shared" si="13"/>
        <v>0</v>
      </c>
      <c r="E125" s="399"/>
      <c r="F125" s="395">
        <v>0</v>
      </c>
      <c r="H125" t="s">
        <v>374</v>
      </c>
      <c r="I125">
        <f>D150+3*D117+D139+2*D141</f>
        <v>32181.448412698413</v>
      </c>
      <c r="J125">
        <f>F150+2*F117+F139+2*F141</f>
        <v>1.07</v>
      </c>
      <c r="K125" s="321"/>
    </row>
    <row r="126" spans="1:11" ht="14.25" customHeight="1" thickBot="1">
      <c r="A126" s="398"/>
      <c r="B126" s="400"/>
      <c r="C126" s="400"/>
      <c r="D126" s="402"/>
      <c r="E126" s="400"/>
      <c r="F126" s="403"/>
      <c r="H126" t="s">
        <v>375</v>
      </c>
      <c r="I126">
        <f>6*(D111+D113+D115+D117+D119+D121+D123+D115)</f>
        <v>8399.0646258503402</v>
      </c>
      <c r="J126">
        <f>F123*3</f>
        <v>0.18</v>
      </c>
      <c r="K126" s="321"/>
    </row>
    <row r="127" spans="1:11" ht="13.5" customHeight="1">
      <c r="A127" s="397">
        <v>9</v>
      </c>
      <c r="B127" s="399" t="s">
        <v>329</v>
      </c>
      <c r="C127" s="399">
        <v>471.3</v>
      </c>
      <c r="D127" s="401">
        <f t="shared" si="13"/>
        <v>667.94217687074831</v>
      </c>
      <c r="E127" s="399"/>
      <c r="F127" s="395">
        <v>0.25</v>
      </c>
      <c r="H127" t="s">
        <v>376</v>
      </c>
      <c r="I127">
        <f>D145+2*(D111+D113+D115+D117)</f>
        <v>4258.4467120181398</v>
      </c>
      <c r="J127">
        <f>F145+2*F117</f>
        <v>0.39</v>
      </c>
      <c r="K127" s="321"/>
    </row>
    <row r="128" spans="1:11" ht="14.25" customHeight="1" thickBot="1">
      <c r="A128" s="398"/>
      <c r="B128" s="400"/>
      <c r="C128" s="400"/>
      <c r="D128" s="402"/>
      <c r="E128" s="400"/>
      <c r="F128" s="403"/>
      <c r="H128" t="s">
        <v>377</v>
      </c>
      <c r="I128">
        <v>30000</v>
      </c>
      <c r="J128">
        <v>0.3</v>
      </c>
      <c r="K128" s="321"/>
    </row>
    <row r="129" spans="1:11" ht="13.5" customHeight="1">
      <c r="A129" s="397">
        <v>10</v>
      </c>
      <c r="B129" s="399" t="s">
        <v>330</v>
      </c>
      <c r="C129" s="399">
        <v>467.1</v>
      </c>
      <c r="D129" s="401">
        <f t="shared" si="13"/>
        <v>661.98979591836735</v>
      </c>
      <c r="E129" s="399"/>
      <c r="F129" s="395">
        <v>0.27</v>
      </c>
      <c r="H129" t="s">
        <v>378</v>
      </c>
      <c r="I129">
        <v>30000</v>
      </c>
      <c r="J129">
        <v>0.5</v>
      </c>
      <c r="K129" s="321"/>
    </row>
    <row r="130" spans="1:11" ht="14.25" customHeight="1" thickBot="1">
      <c r="A130" s="398"/>
      <c r="B130" s="400"/>
      <c r="C130" s="400"/>
      <c r="D130" s="402"/>
      <c r="E130" s="400"/>
      <c r="F130" s="403"/>
      <c r="I130">
        <f>I123+I124*3+I125+I126+I127+I128+I129</f>
        <v>109975.0283446712</v>
      </c>
      <c r="J130">
        <f>J129+J125+J124</f>
        <v>1.6400000000000001</v>
      </c>
      <c r="K130" s="321">
        <f>1000/J130</f>
        <v>609.7560975609756</v>
      </c>
    </row>
    <row r="131" spans="1:11" ht="13.5" customHeight="1">
      <c r="A131" s="397">
        <v>11</v>
      </c>
      <c r="B131" s="399" t="s">
        <v>331</v>
      </c>
      <c r="C131" s="399">
        <v>2750.4</v>
      </c>
      <c r="D131" s="401">
        <f t="shared" si="13"/>
        <v>3897.9591836734694</v>
      </c>
      <c r="E131" s="399"/>
      <c r="F131" s="395">
        <v>0.9</v>
      </c>
      <c r="G131" t="s">
        <v>379</v>
      </c>
      <c r="H131" t="s">
        <v>380</v>
      </c>
      <c r="K131" s="321" t="s">
        <v>396</v>
      </c>
    </row>
    <row r="132" spans="1:11" ht="14.25" customHeight="1" thickBot="1">
      <c r="A132" s="398"/>
      <c r="B132" s="400"/>
      <c r="C132" s="400"/>
      <c r="D132" s="402"/>
      <c r="E132" s="400"/>
      <c r="F132" s="403"/>
      <c r="H132" t="s">
        <v>381</v>
      </c>
      <c r="K132" s="321" t="s">
        <v>397</v>
      </c>
    </row>
    <row r="133" spans="1:11" ht="13.5" customHeight="1">
      <c r="A133" s="397">
        <v>12</v>
      </c>
      <c r="B133" s="399" t="s">
        <v>332</v>
      </c>
      <c r="C133" s="399">
        <v>0.54</v>
      </c>
      <c r="D133" s="401">
        <f t="shared" si="13"/>
        <v>0.76530612244897966</v>
      </c>
      <c r="E133" s="399"/>
      <c r="F133" s="395">
        <v>0</v>
      </c>
      <c r="H133" t="s">
        <v>382</v>
      </c>
      <c r="K133" s="321" t="s">
        <v>397</v>
      </c>
    </row>
    <row r="134" spans="1:11" ht="14.25" customHeight="1" thickBot="1">
      <c r="A134" s="398"/>
      <c r="B134" s="400"/>
      <c r="C134" s="400"/>
      <c r="D134" s="402"/>
      <c r="E134" s="400"/>
      <c r="F134" s="403"/>
      <c r="H134" t="s">
        <v>383</v>
      </c>
      <c r="K134" s="321" t="s">
        <v>396</v>
      </c>
    </row>
    <row r="135" spans="1:11" ht="13.5" customHeight="1">
      <c r="A135" s="397">
        <v>13</v>
      </c>
      <c r="B135" s="399" t="s">
        <v>333</v>
      </c>
      <c r="C135" s="399">
        <v>0.54</v>
      </c>
      <c r="D135" s="401">
        <f t="shared" si="13"/>
        <v>0.76530612244897966</v>
      </c>
      <c r="E135" s="399"/>
      <c r="F135" s="395">
        <v>0</v>
      </c>
      <c r="H135" t="s">
        <v>384</v>
      </c>
      <c r="K135" s="321" t="s">
        <v>396</v>
      </c>
    </row>
    <row r="136" spans="1:11" ht="14.25" customHeight="1" thickBot="1">
      <c r="A136" s="398"/>
      <c r="B136" s="400"/>
      <c r="C136" s="400"/>
      <c r="D136" s="402"/>
      <c r="E136" s="400"/>
      <c r="F136" s="403"/>
      <c r="I136">
        <v>82765</v>
      </c>
      <c r="J136">
        <v>1.3</v>
      </c>
      <c r="K136" s="321">
        <f t="shared" ref="K136:K146" si="15">1000/J136</f>
        <v>769.23076923076917</v>
      </c>
    </row>
    <row r="137" spans="1:11" ht="13.5" customHeight="1">
      <c r="A137" s="397">
        <v>14</v>
      </c>
      <c r="B137" s="399" t="s">
        <v>334</v>
      </c>
      <c r="C137" s="399">
        <v>112.9</v>
      </c>
      <c r="D137" s="401">
        <f t="shared" si="13"/>
        <v>160.00566893424036</v>
      </c>
      <c r="E137" s="399"/>
      <c r="F137" s="395">
        <v>0.12</v>
      </c>
      <c r="K137" s="321" t="s">
        <v>398</v>
      </c>
    </row>
    <row r="138" spans="1:11" ht="14.25" customHeight="1" thickBot="1">
      <c r="A138" s="398"/>
      <c r="B138" s="400"/>
      <c r="C138" s="400"/>
      <c r="D138" s="402"/>
      <c r="E138" s="400"/>
      <c r="F138" s="403"/>
      <c r="G138" t="s">
        <v>385</v>
      </c>
      <c r="H138" t="s">
        <v>386</v>
      </c>
      <c r="I138">
        <f>1.5*D145</f>
        <v>3004.4642857142853</v>
      </c>
      <c r="J138">
        <f>1.5*F145</f>
        <v>0.40500000000000003</v>
      </c>
      <c r="K138" s="321" t="s">
        <v>399</v>
      </c>
    </row>
    <row r="139" spans="1:11" ht="13.5" customHeight="1">
      <c r="A139" s="397">
        <v>15</v>
      </c>
      <c r="B139" s="399" t="s">
        <v>335</v>
      </c>
      <c r="C139" s="399">
        <v>237.43</v>
      </c>
      <c r="D139" s="401">
        <f t="shared" si="13"/>
        <v>336.4937641723356</v>
      </c>
      <c r="E139" s="399"/>
      <c r="F139" s="395">
        <v>0.03</v>
      </c>
      <c r="H139" t="s">
        <v>387</v>
      </c>
      <c r="I139" s="306">
        <f>D148</f>
        <v>7538</v>
      </c>
      <c r="J139">
        <f>F148</f>
        <v>0.8</v>
      </c>
      <c r="K139" s="321" t="s">
        <v>397</v>
      </c>
    </row>
    <row r="140" spans="1:11" ht="14.25" customHeight="1" thickBot="1">
      <c r="A140" s="398"/>
      <c r="B140" s="400"/>
      <c r="C140" s="400"/>
      <c r="D140" s="402"/>
      <c r="E140" s="400"/>
      <c r="F140" s="403"/>
      <c r="H140" t="s">
        <v>388</v>
      </c>
      <c r="I140" s="306">
        <f>D145+D127+D129+D160+D158</f>
        <v>4532.908163265306</v>
      </c>
      <c r="J140">
        <f>F129+F145+F158</f>
        <v>0.94000000000000006</v>
      </c>
      <c r="K140" s="321" t="s">
        <v>400</v>
      </c>
    </row>
    <row r="141" spans="1:11" ht="13.5" customHeight="1">
      <c r="A141" s="397">
        <v>16</v>
      </c>
      <c r="B141" s="399" t="s">
        <v>336</v>
      </c>
      <c r="C141" s="399">
        <v>422.3</v>
      </c>
      <c r="D141" s="401">
        <f t="shared" si="13"/>
        <v>598.49773242630386</v>
      </c>
      <c r="E141" s="399"/>
      <c r="F141" s="395">
        <v>0.06</v>
      </c>
      <c r="H141" t="s">
        <v>389</v>
      </c>
      <c r="I141" s="306">
        <f>D131+D158+D160</f>
        <v>5097.9591836734689</v>
      </c>
      <c r="J141">
        <f>F131+F158</f>
        <v>1.3</v>
      </c>
      <c r="K141" s="321" t="s">
        <v>396</v>
      </c>
    </row>
    <row r="142" spans="1:11" ht="14.25" customHeight="1" thickBot="1">
      <c r="A142" s="398"/>
      <c r="B142" s="400"/>
      <c r="C142" s="400"/>
      <c r="D142" s="402"/>
      <c r="E142" s="400"/>
      <c r="F142" s="403"/>
      <c r="H142" t="s">
        <v>390</v>
      </c>
      <c r="I142" s="306">
        <f>D150</f>
        <v>30000</v>
      </c>
      <c r="J142">
        <f>F150</f>
        <v>0.8</v>
      </c>
      <c r="K142" s="321" t="s">
        <v>396</v>
      </c>
    </row>
    <row r="143" spans="1:11" ht="13.5" customHeight="1">
      <c r="A143" s="397">
        <v>17</v>
      </c>
      <c r="B143" s="399" t="s">
        <v>354</v>
      </c>
      <c r="C143" s="399">
        <v>439.58</v>
      </c>
      <c r="D143" s="401">
        <f t="shared" si="13"/>
        <v>622.9875283446712</v>
      </c>
      <c r="E143" s="399"/>
      <c r="F143" s="395">
        <v>0.13</v>
      </c>
      <c r="H143" t="s">
        <v>391</v>
      </c>
      <c r="I143" s="306">
        <f>D152</f>
        <v>10217</v>
      </c>
      <c r="J143">
        <f>F152</f>
        <v>0.5</v>
      </c>
      <c r="K143" s="321" t="s">
        <v>398</v>
      </c>
    </row>
    <row r="144" spans="1:11" ht="13.5" customHeight="1" thickBot="1">
      <c r="A144" s="404"/>
      <c r="B144" s="407"/>
      <c r="C144" s="407"/>
      <c r="D144" s="402"/>
      <c r="E144" s="407"/>
      <c r="F144" s="396"/>
      <c r="H144" t="s">
        <v>392</v>
      </c>
      <c r="I144">
        <f>I123</f>
        <v>3489.8526077097508</v>
      </c>
      <c r="J144">
        <f>J123</f>
        <v>0.55000000000000004</v>
      </c>
      <c r="K144" s="321" t="s">
        <v>396</v>
      </c>
    </row>
    <row r="145" spans="1:11" ht="33">
      <c r="A145" s="409">
        <v>18</v>
      </c>
      <c r="B145" s="315" t="s">
        <v>355</v>
      </c>
      <c r="C145" s="411">
        <v>1413.3</v>
      </c>
      <c r="D145" s="401">
        <f>C145/0.7056</f>
        <v>2002.9761904761904</v>
      </c>
      <c r="E145" s="411"/>
      <c r="F145" s="415">
        <v>0.27</v>
      </c>
      <c r="H145" t="s">
        <v>393</v>
      </c>
      <c r="I145" s="306">
        <f>D155</f>
        <v>10217</v>
      </c>
      <c r="J145">
        <f>F155</f>
        <v>0.5</v>
      </c>
      <c r="K145" s="321" t="s">
        <v>396</v>
      </c>
    </row>
    <row r="146" spans="1:11" ht="42.75">
      <c r="A146" s="410"/>
      <c r="B146" s="312" t="s">
        <v>356</v>
      </c>
      <c r="C146" s="412"/>
      <c r="D146" s="414"/>
      <c r="E146" s="412"/>
      <c r="F146" s="416"/>
      <c r="I146" s="306">
        <f>I138+I139+I140+I141+I142+I143+I144+I145+D139+400</f>
        <v>74833.678004535148</v>
      </c>
      <c r="J146">
        <f>J143+F139+0.05+J140+J141+J144</f>
        <v>3.37</v>
      </c>
      <c r="K146" s="321">
        <f t="shared" si="15"/>
        <v>296.73590504451039</v>
      </c>
    </row>
    <row r="147" spans="1:11" ht="72" thickBot="1">
      <c r="A147" s="398"/>
      <c r="B147" s="313" t="s">
        <v>357</v>
      </c>
      <c r="C147" s="413"/>
      <c r="D147" s="402"/>
      <c r="E147" s="413"/>
      <c r="F147" s="403"/>
    </row>
    <row r="148" spans="1:11" ht="18.75" customHeight="1">
      <c r="A148" s="397">
        <v>19</v>
      </c>
      <c r="B148" s="399" t="s">
        <v>358</v>
      </c>
      <c r="C148" s="399">
        <v>5317.22</v>
      </c>
      <c r="D148" s="401">
        <v>7538</v>
      </c>
      <c r="E148" s="419"/>
      <c r="F148" s="417">
        <v>0.8</v>
      </c>
    </row>
    <row r="149" spans="1:11" ht="14.25" thickBot="1">
      <c r="A149" s="398"/>
      <c r="B149" s="400"/>
      <c r="C149" s="400"/>
      <c r="D149" s="402"/>
      <c r="E149" s="413"/>
      <c r="F149" s="418"/>
    </row>
    <row r="150" spans="1:11">
      <c r="A150" s="397">
        <v>20</v>
      </c>
      <c r="B150" s="399" t="s">
        <v>359</v>
      </c>
      <c r="C150" s="419"/>
      <c r="D150" s="401">
        <v>30000</v>
      </c>
      <c r="E150" s="419"/>
      <c r="F150" s="417">
        <v>0.8</v>
      </c>
    </row>
    <row r="151" spans="1:11" ht="14.25" thickBot="1">
      <c r="A151" s="398"/>
      <c r="B151" s="400"/>
      <c r="C151" s="413"/>
      <c r="D151" s="402"/>
      <c r="E151" s="413"/>
      <c r="F151" s="418"/>
    </row>
    <row r="152" spans="1:11" ht="16.5">
      <c r="A152" s="397">
        <v>21</v>
      </c>
      <c r="B152" s="310" t="s">
        <v>360</v>
      </c>
      <c r="C152" s="399" t="s">
        <v>363</v>
      </c>
      <c r="D152" s="401">
        <v>10217</v>
      </c>
      <c r="E152" s="419"/>
      <c r="F152" s="395">
        <v>0.5</v>
      </c>
    </row>
    <row r="153" spans="1:11" ht="42.75">
      <c r="A153" s="410"/>
      <c r="B153" s="312" t="s">
        <v>361</v>
      </c>
      <c r="C153" s="424"/>
      <c r="D153" s="414"/>
      <c r="E153" s="412"/>
      <c r="F153" s="416"/>
    </row>
    <row r="154" spans="1:11" ht="29.25" thickBot="1">
      <c r="A154" s="398"/>
      <c r="B154" s="313" t="s">
        <v>362</v>
      </c>
      <c r="C154" s="400"/>
      <c r="D154" s="402"/>
      <c r="E154" s="413"/>
      <c r="F154" s="403"/>
    </row>
    <row r="155" spans="1:11" ht="16.5">
      <c r="A155" s="397">
        <v>22</v>
      </c>
      <c r="B155" s="314" t="s">
        <v>364</v>
      </c>
      <c r="C155" s="419"/>
      <c r="D155" s="420">
        <v>10217</v>
      </c>
      <c r="E155" s="419"/>
      <c r="F155" s="417">
        <v>0.5</v>
      </c>
    </row>
    <row r="156" spans="1:11" ht="28.5">
      <c r="A156" s="410"/>
      <c r="B156" s="312" t="s">
        <v>365</v>
      </c>
      <c r="C156" s="412"/>
      <c r="D156" s="421"/>
      <c r="E156" s="412"/>
      <c r="F156" s="423"/>
    </row>
    <row r="157" spans="1:11" ht="43.5" thickBot="1">
      <c r="A157" s="398"/>
      <c r="B157" s="313" t="s">
        <v>366</v>
      </c>
      <c r="C157" s="413"/>
      <c r="D157" s="422"/>
      <c r="E157" s="413"/>
      <c r="F157" s="418"/>
    </row>
    <row r="158" spans="1:11">
      <c r="A158" s="397">
        <v>23</v>
      </c>
      <c r="B158" s="399" t="s">
        <v>367</v>
      </c>
      <c r="C158" s="399"/>
      <c r="D158" s="420">
        <v>500</v>
      </c>
      <c r="E158" s="419"/>
      <c r="F158" s="417">
        <v>0.4</v>
      </c>
    </row>
    <row r="159" spans="1:11" ht="14.25" thickBot="1">
      <c r="A159" s="398"/>
      <c r="B159" s="400"/>
      <c r="C159" s="400"/>
      <c r="D159" s="422"/>
      <c r="E159" s="413"/>
      <c r="F159" s="418"/>
    </row>
    <row r="160" spans="1:11">
      <c r="A160" s="397">
        <v>24</v>
      </c>
      <c r="B160" s="419" t="s">
        <v>368</v>
      </c>
      <c r="C160" s="419"/>
      <c r="D160" s="420">
        <v>700</v>
      </c>
      <c r="E160" s="419"/>
      <c r="F160" s="417"/>
    </row>
    <row r="161" spans="1:6" ht="14.25" thickBot="1">
      <c r="A161" s="398"/>
      <c r="B161" s="413"/>
      <c r="C161" s="413"/>
      <c r="D161" s="422"/>
      <c r="E161" s="413"/>
      <c r="F161" s="418"/>
    </row>
    <row r="162" spans="1:6" ht="16.5">
      <c r="A162" s="316">
        <v>25</v>
      </c>
      <c r="B162" s="317" t="s">
        <v>299</v>
      </c>
      <c r="C162" s="317">
        <v>387.19</v>
      </c>
      <c r="D162" s="320">
        <f>C162/0.7056</f>
        <v>548.73866213151928</v>
      </c>
      <c r="E162" s="318"/>
      <c r="F162" s="319">
        <v>7.0000000000000007E-2</v>
      </c>
    </row>
  </sheetData>
  <mergeCells count="237">
    <mergeCell ref="F158:F159"/>
    <mergeCell ref="A160:A161"/>
    <mergeCell ref="B160:B161"/>
    <mergeCell ref="C160:C161"/>
    <mergeCell ref="D160:D161"/>
    <mergeCell ref="E160:E161"/>
    <mergeCell ref="F160:F161"/>
    <mergeCell ref="A158:A159"/>
    <mergeCell ref="B158:B159"/>
    <mergeCell ref="C158:C159"/>
    <mergeCell ref="D158:D159"/>
    <mergeCell ref="E158:E159"/>
    <mergeCell ref="A155:A157"/>
    <mergeCell ref="C155:C157"/>
    <mergeCell ref="D155:D157"/>
    <mergeCell ref="E155:E157"/>
    <mergeCell ref="F155:F157"/>
    <mergeCell ref="A152:A154"/>
    <mergeCell ref="C152:C154"/>
    <mergeCell ref="D152:D154"/>
    <mergeCell ref="E152:E154"/>
    <mergeCell ref="F152:F154"/>
    <mergeCell ref="F148:F149"/>
    <mergeCell ref="A150:A151"/>
    <mergeCell ref="B150:B151"/>
    <mergeCell ref="C150:C151"/>
    <mergeCell ref="D150:D151"/>
    <mergeCell ref="E150:E151"/>
    <mergeCell ref="F150:F151"/>
    <mergeCell ref="A148:A149"/>
    <mergeCell ref="B148:B149"/>
    <mergeCell ref="C148:C149"/>
    <mergeCell ref="D148:D149"/>
    <mergeCell ref="E148:E149"/>
    <mergeCell ref="F143:F144"/>
    <mergeCell ref="A145:A147"/>
    <mergeCell ref="C145:C147"/>
    <mergeCell ref="D145:D147"/>
    <mergeCell ref="E145:E147"/>
    <mergeCell ref="F145:F147"/>
    <mergeCell ref="A143:A144"/>
    <mergeCell ref="B143:B144"/>
    <mergeCell ref="C143:C144"/>
    <mergeCell ref="D143:D144"/>
    <mergeCell ref="E143:E144"/>
    <mergeCell ref="F139:F140"/>
    <mergeCell ref="A141:A142"/>
    <mergeCell ref="B141:B142"/>
    <mergeCell ref="C141:C142"/>
    <mergeCell ref="D141:D142"/>
    <mergeCell ref="E141:E142"/>
    <mergeCell ref="F141:F142"/>
    <mergeCell ref="A139:A140"/>
    <mergeCell ref="B139:B140"/>
    <mergeCell ref="C139:C140"/>
    <mergeCell ref="D139:D140"/>
    <mergeCell ref="E139:E140"/>
    <mergeCell ref="F135:F136"/>
    <mergeCell ref="A137:A138"/>
    <mergeCell ref="B137:B138"/>
    <mergeCell ref="C137:C138"/>
    <mergeCell ref="D137:D138"/>
    <mergeCell ref="E137:E138"/>
    <mergeCell ref="F137:F138"/>
    <mergeCell ref="A135:A136"/>
    <mergeCell ref="B135:B136"/>
    <mergeCell ref="C135:C136"/>
    <mergeCell ref="D135:D136"/>
    <mergeCell ref="E135:E136"/>
    <mergeCell ref="F131:F132"/>
    <mergeCell ref="A133:A134"/>
    <mergeCell ref="B133:B134"/>
    <mergeCell ref="C133:C134"/>
    <mergeCell ref="D133:D134"/>
    <mergeCell ref="E133:E134"/>
    <mergeCell ref="F133:F134"/>
    <mergeCell ref="A131:A132"/>
    <mergeCell ref="B131:B132"/>
    <mergeCell ref="C131:C132"/>
    <mergeCell ref="D131:D132"/>
    <mergeCell ref="E131:E132"/>
    <mergeCell ref="F127:F128"/>
    <mergeCell ref="A129:A130"/>
    <mergeCell ref="B129:B130"/>
    <mergeCell ref="C129:C130"/>
    <mergeCell ref="D129:D130"/>
    <mergeCell ref="E129:E130"/>
    <mergeCell ref="F129:F130"/>
    <mergeCell ref="A127:A128"/>
    <mergeCell ref="B127:B128"/>
    <mergeCell ref="C127:C128"/>
    <mergeCell ref="D127:D128"/>
    <mergeCell ref="E127:E128"/>
    <mergeCell ref="F123:F124"/>
    <mergeCell ref="A125:A126"/>
    <mergeCell ref="B125:B126"/>
    <mergeCell ref="C125:C126"/>
    <mergeCell ref="D125:D126"/>
    <mergeCell ref="E125:E126"/>
    <mergeCell ref="F125:F126"/>
    <mergeCell ref="A123:A124"/>
    <mergeCell ref="B123:B124"/>
    <mergeCell ref="C123:C124"/>
    <mergeCell ref="D123:D124"/>
    <mergeCell ref="E123:E124"/>
    <mergeCell ref="F119:F120"/>
    <mergeCell ref="A121:A122"/>
    <mergeCell ref="B121:B122"/>
    <mergeCell ref="C121:C122"/>
    <mergeCell ref="D121:D122"/>
    <mergeCell ref="E121:E122"/>
    <mergeCell ref="F121:F122"/>
    <mergeCell ref="A119:A120"/>
    <mergeCell ref="B119:B120"/>
    <mergeCell ref="C119:C120"/>
    <mergeCell ref="D119:D120"/>
    <mergeCell ref="E119:E120"/>
    <mergeCell ref="F115:F116"/>
    <mergeCell ref="A117:A118"/>
    <mergeCell ref="B117:B118"/>
    <mergeCell ref="C117:C118"/>
    <mergeCell ref="D117:D118"/>
    <mergeCell ref="E117:E118"/>
    <mergeCell ref="F117:F118"/>
    <mergeCell ref="A115:A116"/>
    <mergeCell ref="B115:B116"/>
    <mergeCell ref="C115:C116"/>
    <mergeCell ref="D115:D116"/>
    <mergeCell ref="E115:E116"/>
    <mergeCell ref="F111:F112"/>
    <mergeCell ref="A113:A114"/>
    <mergeCell ref="B113:B114"/>
    <mergeCell ref="C113:C114"/>
    <mergeCell ref="D113:D114"/>
    <mergeCell ref="E113:E114"/>
    <mergeCell ref="F113:F114"/>
    <mergeCell ref="A111:A112"/>
    <mergeCell ref="B111:B112"/>
    <mergeCell ref="C111:C112"/>
    <mergeCell ref="D111:D112"/>
    <mergeCell ref="E111:E112"/>
    <mergeCell ref="F66:F67"/>
    <mergeCell ref="A64:A65"/>
    <mergeCell ref="B64:B65"/>
    <mergeCell ref="C64:C65"/>
    <mergeCell ref="D64:D65"/>
    <mergeCell ref="E64:E65"/>
    <mergeCell ref="F64:F65"/>
    <mergeCell ref="A66:A67"/>
    <mergeCell ref="B66:B67"/>
    <mergeCell ref="C66:C67"/>
    <mergeCell ref="D66:D67"/>
    <mergeCell ref="E66:E67"/>
    <mergeCell ref="F70:F71"/>
    <mergeCell ref="A68:A69"/>
    <mergeCell ref="B68:B69"/>
    <mergeCell ref="C68:C69"/>
    <mergeCell ref="D68:D69"/>
    <mergeCell ref="E68:E69"/>
    <mergeCell ref="F68:F69"/>
    <mergeCell ref="A70:A71"/>
    <mergeCell ref="B70:B71"/>
    <mergeCell ref="C70:C71"/>
    <mergeCell ref="D70:D71"/>
    <mergeCell ref="E70:E71"/>
    <mergeCell ref="F74:F75"/>
    <mergeCell ref="A72:A73"/>
    <mergeCell ref="B72:B73"/>
    <mergeCell ref="C72:C73"/>
    <mergeCell ref="D72:D73"/>
    <mergeCell ref="E72:E73"/>
    <mergeCell ref="F72:F73"/>
    <mergeCell ref="A74:A75"/>
    <mergeCell ref="B74:B75"/>
    <mergeCell ref="C74:C75"/>
    <mergeCell ref="D74:D75"/>
    <mergeCell ref="E74:E75"/>
    <mergeCell ref="F79:F80"/>
    <mergeCell ref="A76:A77"/>
    <mergeCell ref="B76:B77"/>
    <mergeCell ref="C76:C77"/>
    <mergeCell ref="D76:D77"/>
    <mergeCell ref="E76:E77"/>
    <mergeCell ref="F76:F77"/>
    <mergeCell ref="A79:A80"/>
    <mergeCell ref="B79:B80"/>
    <mergeCell ref="C79:C80"/>
    <mergeCell ref="D79:D80"/>
    <mergeCell ref="E79:E80"/>
    <mergeCell ref="F83:F84"/>
    <mergeCell ref="A81:A82"/>
    <mergeCell ref="B81:B82"/>
    <mergeCell ref="C81:C82"/>
    <mergeCell ref="D81:D82"/>
    <mergeCell ref="E81:E82"/>
    <mergeCell ref="F81:F82"/>
    <mergeCell ref="A83:A84"/>
    <mergeCell ref="B83:B84"/>
    <mergeCell ref="C83:C84"/>
    <mergeCell ref="D83:D84"/>
    <mergeCell ref="E83:E84"/>
    <mergeCell ref="F87:F88"/>
    <mergeCell ref="A85:A86"/>
    <mergeCell ref="B85:B86"/>
    <mergeCell ref="C85:C86"/>
    <mergeCell ref="D85:D86"/>
    <mergeCell ref="E85:E86"/>
    <mergeCell ref="F85:F86"/>
    <mergeCell ref="A87:A88"/>
    <mergeCell ref="B87:B88"/>
    <mergeCell ref="C87:C88"/>
    <mergeCell ref="D87:D88"/>
    <mergeCell ref="E87:E88"/>
    <mergeCell ref="F91:F92"/>
    <mergeCell ref="A89:A90"/>
    <mergeCell ref="B89:B90"/>
    <mergeCell ref="C89:C90"/>
    <mergeCell ref="D89:D90"/>
    <mergeCell ref="E89:E90"/>
    <mergeCell ref="F89:F90"/>
    <mergeCell ref="A91:A92"/>
    <mergeCell ref="B91:B92"/>
    <mergeCell ref="C91:C92"/>
    <mergeCell ref="D91:D92"/>
    <mergeCell ref="E91:E92"/>
    <mergeCell ref="F95:F96"/>
    <mergeCell ref="A93:A94"/>
    <mergeCell ref="B93:B94"/>
    <mergeCell ref="C93:C94"/>
    <mergeCell ref="D93:D94"/>
    <mergeCell ref="E93:E94"/>
    <mergeCell ref="F93:F94"/>
    <mergeCell ref="A95:A96"/>
    <mergeCell ref="B95:B96"/>
    <mergeCell ref="C95:C96"/>
    <mergeCell ref="D95:D96"/>
    <mergeCell ref="E95:E96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topLeftCell="A33" zoomScale="85" zoomScaleNormal="85" workbookViewId="0">
      <selection activeCell="I47" sqref="I47"/>
    </sheetView>
  </sheetViews>
  <sheetFormatPr defaultRowHeight="13.5"/>
  <cols>
    <col min="1" max="1" width="12.25" customWidth="1"/>
    <col min="2" max="2" width="12.25" style="283" customWidth="1"/>
    <col min="3" max="3" width="11.875" bestFit="1" customWidth="1"/>
    <col min="4" max="4" width="15.75" customWidth="1"/>
    <col min="5" max="5" width="10.75" customWidth="1"/>
    <col min="6" max="6" width="10.75" style="325" customWidth="1"/>
    <col min="9" max="9" width="10" bestFit="1" customWidth="1"/>
    <col min="10" max="10" width="10" style="283" customWidth="1"/>
    <col min="11" max="11" width="10" bestFit="1" customWidth="1"/>
    <col min="12" max="12" width="15.375" bestFit="1" customWidth="1"/>
  </cols>
  <sheetData>
    <row r="1" spans="1:12" ht="19.5" thickBot="1">
      <c r="A1" s="428" t="s">
        <v>401</v>
      </c>
      <c r="B1" s="329"/>
      <c r="C1" s="431" t="s">
        <v>402</v>
      </c>
      <c r="D1" s="428" t="s">
        <v>403</v>
      </c>
      <c r="E1" s="428" t="s">
        <v>404</v>
      </c>
      <c r="F1" s="336"/>
      <c r="G1" s="425" t="s">
        <v>405</v>
      </c>
      <c r="H1" s="426"/>
      <c r="I1" s="426"/>
      <c r="J1" s="426"/>
      <c r="K1" s="426"/>
      <c r="L1" s="427"/>
    </row>
    <row r="2" spans="1:12" ht="57.75" thickBot="1">
      <c r="A2" s="430"/>
      <c r="B2" s="331"/>
      <c r="C2" s="433"/>
      <c r="D2" s="430"/>
      <c r="E2" s="430"/>
      <c r="F2" s="337"/>
      <c r="G2" s="322" t="s">
        <v>406</v>
      </c>
      <c r="H2" s="322" t="s">
        <v>407</v>
      </c>
      <c r="I2" s="322" t="s">
        <v>408</v>
      </c>
      <c r="J2" s="322" t="s">
        <v>430</v>
      </c>
      <c r="K2" s="322" t="s">
        <v>409</v>
      </c>
      <c r="L2" s="324" t="s">
        <v>428</v>
      </c>
    </row>
    <row r="3" spans="1:12" ht="19.5" thickBot="1">
      <c r="A3" s="431" t="s">
        <v>410</v>
      </c>
      <c r="B3" s="326"/>
      <c r="C3" s="428" t="s">
        <v>411</v>
      </c>
      <c r="D3" s="431">
        <v>917.4</v>
      </c>
      <c r="E3" s="431">
        <v>7185</v>
      </c>
      <c r="F3" s="338"/>
      <c r="G3" s="323" t="s">
        <v>425</v>
      </c>
      <c r="H3" s="323">
        <v>27</v>
      </c>
      <c r="I3" s="323">
        <f>H3*E3</f>
        <v>193995</v>
      </c>
      <c r="J3" s="323">
        <f>I3*10</f>
        <v>1939950</v>
      </c>
      <c r="K3" s="323">
        <f>128*D3/1000</f>
        <v>117.4272</v>
      </c>
      <c r="L3" s="323">
        <v>6.0529999999999999</v>
      </c>
    </row>
    <row r="4" spans="1:12" ht="19.5" thickBot="1">
      <c r="A4" s="432"/>
      <c r="B4" s="327"/>
      <c r="C4" s="429"/>
      <c r="D4" s="432"/>
      <c r="E4" s="432"/>
      <c r="F4" s="339"/>
      <c r="G4" s="323" t="s">
        <v>426</v>
      </c>
      <c r="H4" s="323">
        <v>16</v>
      </c>
      <c r="I4" s="323">
        <f>E3*H4</f>
        <v>114960</v>
      </c>
      <c r="J4" s="323">
        <f>I4*16</f>
        <v>1839360</v>
      </c>
      <c r="K4" s="323">
        <f>64*D3/1000</f>
        <v>58.7136</v>
      </c>
      <c r="L4" s="323">
        <v>3.1920000000000002</v>
      </c>
    </row>
    <row r="5" spans="1:12" ht="19.5" thickBot="1">
      <c r="A5" s="433"/>
      <c r="B5" s="328"/>
      <c r="C5" s="430"/>
      <c r="D5" s="433"/>
      <c r="E5" s="433"/>
      <c r="F5" s="340"/>
      <c r="G5" s="322" t="s">
        <v>427</v>
      </c>
      <c r="H5" s="323"/>
      <c r="I5" s="323"/>
      <c r="J5" s="323"/>
      <c r="K5" s="323"/>
      <c r="L5" s="323" t="s">
        <v>394</v>
      </c>
    </row>
    <row r="6" spans="1:12" ht="19.5" thickBot="1">
      <c r="A6" s="428" t="s">
        <v>412</v>
      </c>
      <c r="B6" s="329"/>
      <c r="C6" s="431" t="s">
        <v>394</v>
      </c>
      <c r="D6" s="431" t="s">
        <v>413</v>
      </c>
      <c r="E6" s="431" t="s">
        <v>416</v>
      </c>
      <c r="F6" s="338"/>
      <c r="G6" s="323" t="s">
        <v>425</v>
      </c>
      <c r="H6" s="323"/>
      <c r="I6" s="323"/>
      <c r="J6" s="323"/>
      <c r="K6" s="323"/>
      <c r="L6" s="323">
        <v>7.8689999999999998</v>
      </c>
    </row>
    <row r="7" spans="1:12" ht="19.5" thickBot="1">
      <c r="A7" s="429"/>
      <c r="B7" s="330"/>
      <c r="C7" s="432"/>
      <c r="D7" s="432"/>
      <c r="E7" s="432"/>
      <c r="F7" s="339"/>
      <c r="G7" s="323" t="s">
        <v>426</v>
      </c>
      <c r="H7" s="323"/>
      <c r="I7" s="323"/>
      <c r="J7" s="323"/>
      <c r="K7" s="323"/>
      <c r="L7" s="323">
        <v>4.1500000000000004</v>
      </c>
    </row>
    <row r="8" spans="1:12" ht="19.5" thickBot="1">
      <c r="A8" s="430"/>
      <c r="B8" s="331"/>
      <c r="C8" s="433"/>
      <c r="D8" s="433"/>
      <c r="E8" s="433"/>
      <c r="F8" s="340"/>
      <c r="G8" s="322" t="s">
        <v>427</v>
      </c>
      <c r="H8" s="323"/>
      <c r="I8" s="323"/>
      <c r="J8" s="323"/>
      <c r="K8" s="323"/>
      <c r="L8" s="323" t="s">
        <v>394</v>
      </c>
    </row>
    <row r="9" spans="1:12" ht="19.5" thickBot="1">
      <c r="A9" s="431" t="s">
        <v>414</v>
      </c>
      <c r="B9" s="326"/>
      <c r="C9" s="428" t="s">
        <v>411</v>
      </c>
      <c r="D9" s="431">
        <v>769.2</v>
      </c>
      <c r="E9" s="431">
        <v>82765</v>
      </c>
      <c r="F9" s="338"/>
      <c r="G9" s="323" t="s">
        <v>425</v>
      </c>
      <c r="H9" s="323">
        <v>8</v>
      </c>
      <c r="I9" s="323">
        <f>H9*E9</f>
        <v>662120</v>
      </c>
      <c r="J9" s="323">
        <f>I9*10</f>
        <v>6621200</v>
      </c>
      <c r="K9" s="323">
        <f>128*D9/1000</f>
        <v>98.457599999999999</v>
      </c>
      <c r="L9" s="323">
        <v>1.4870000000000001</v>
      </c>
    </row>
    <row r="10" spans="1:12" ht="19.5" thickBot="1">
      <c r="A10" s="432"/>
      <c r="B10" s="327"/>
      <c r="C10" s="429"/>
      <c r="D10" s="432"/>
      <c r="E10" s="432"/>
      <c r="F10" s="339"/>
      <c r="G10" s="323" t="s">
        <v>426</v>
      </c>
      <c r="H10" s="323">
        <v>3</v>
      </c>
      <c r="I10" s="323">
        <f>E9*H10</f>
        <v>248295</v>
      </c>
      <c r="J10" s="323">
        <f>I10*16</f>
        <v>3972720</v>
      </c>
      <c r="K10" s="323">
        <f>64*D9/1000</f>
        <v>49.2288</v>
      </c>
      <c r="L10" s="323">
        <v>1.2390000000000001</v>
      </c>
    </row>
    <row r="11" spans="1:12" ht="19.5" thickBot="1">
      <c r="A11" s="433"/>
      <c r="B11" s="328"/>
      <c r="C11" s="430"/>
      <c r="D11" s="433"/>
      <c r="E11" s="433"/>
      <c r="F11" s="340"/>
      <c r="G11" s="322" t="s">
        <v>427</v>
      </c>
      <c r="H11" s="323"/>
      <c r="I11" s="323"/>
      <c r="J11" s="323"/>
      <c r="K11" s="323"/>
      <c r="L11" s="323" t="s">
        <v>394</v>
      </c>
    </row>
    <row r="12" spans="1:12" ht="19.5" thickBot="1">
      <c r="A12" s="428" t="s">
        <v>415</v>
      </c>
      <c r="B12" s="329"/>
      <c r="C12" s="434"/>
      <c r="D12" s="431"/>
      <c r="E12" s="431"/>
      <c r="F12" s="338"/>
      <c r="G12" s="323" t="s">
        <v>425</v>
      </c>
      <c r="H12" s="323"/>
      <c r="I12" s="323"/>
      <c r="J12" s="323"/>
      <c r="K12" s="323"/>
      <c r="L12" s="323">
        <v>1.9330000000000001</v>
      </c>
    </row>
    <row r="13" spans="1:12" ht="19.5" thickBot="1">
      <c r="A13" s="429"/>
      <c r="B13" s="330"/>
      <c r="C13" s="435"/>
      <c r="D13" s="432"/>
      <c r="E13" s="432"/>
      <c r="F13" s="339"/>
      <c r="G13" s="323" t="s">
        <v>426</v>
      </c>
      <c r="H13" s="323"/>
      <c r="I13" s="323"/>
      <c r="J13" s="323"/>
      <c r="K13" s="323"/>
      <c r="L13" s="323">
        <v>1.611</v>
      </c>
    </row>
    <row r="14" spans="1:12" ht="19.5" thickBot="1">
      <c r="A14" s="430"/>
      <c r="B14" s="331"/>
      <c r="C14" s="436"/>
      <c r="D14" s="433"/>
      <c r="E14" s="433"/>
      <c r="F14" s="340"/>
      <c r="G14" s="322" t="s">
        <v>427</v>
      </c>
      <c r="H14" s="323"/>
      <c r="I14" s="323"/>
      <c r="J14" s="323"/>
      <c r="K14" s="323"/>
      <c r="L14" s="323" t="s">
        <v>394</v>
      </c>
    </row>
    <row r="15" spans="1:12" ht="19.5" thickBot="1">
      <c r="A15" s="431" t="s">
        <v>417</v>
      </c>
      <c r="B15" s="326"/>
      <c r="C15" s="428" t="s">
        <v>418</v>
      </c>
      <c r="D15" s="437">
        <v>609.79999999999995</v>
      </c>
      <c r="E15" s="440">
        <v>109975</v>
      </c>
      <c r="F15" s="341"/>
      <c r="G15" s="323" t="s">
        <v>425</v>
      </c>
      <c r="H15" s="323">
        <v>2</v>
      </c>
      <c r="I15" s="323">
        <f>E15*H15</f>
        <v>219950</v>
      </c>
      <c r="J15" s="323">
        <f>I15*10</f>
        <v>2199500</v>
      </c>
      <c r="K15" s="323">
        <f>D15*128/1000</f>
        <v>78.054400000000001</v>
      </c>
      <c r="L15" s="323">
        <v>3.5489999999999999</v>
      </c>
    </row>
    <row r="16" spans="1:12" ht="19.5" thickBot="1">
      <c r="A16" s="432"/>
      <c r="B16" s="327"/>
      <c r="C16" s="429"/>
      <c r="D16" s="438"/>
      <c r="E16" s="441"/>
      <c r="F16" s="342"/>
      <c r="G16" s="323" t="s">
        <v>426</v>
      </c>
      <c r="H16" s="323">
        <v>3</v>
      </c>
      <c r="I16" s="323">
        <f>H16*E15</f>
        <v>329925</v>
      </c>
      <c r="J16" s="323">
        <f>I16*16</f>
        <v>5278800</v>
      </c>
      <c r="K16" s="323">
        <f>64*D15/1000</f>
        <v>39.027200000000001</v>
      </c>
      <c r="L16" s="323">
        <v>0.73899999999999999</v>
      </c>
    </row>
    <row r="17" spans="1:20" ht="19.5" thickBot="1">
      <c r="A17" s="433"/>
      <c r="B17" s="328"/>
      <c r="C17" s="430"/>
      <c r="D17" s="439"/>
      <c r="E17" s="442"/>
      <c r="F17" s="343"/>
      <c r="G17" s="322" t="s">
        <v>427</v>
      </c>
      <c r="H17" s="323"/>
      <c r="I17" s="323"/>
      <c r="J17" s="323"/>
      <c r="K17" s="323"/>
      <c r="L17" s="323" t="s">
        <v>429</v>
      </c>
    </row>
    <row r="18" spans="1:20" ht="57" thickBot="1">
      <c r="A18" s="428" t="s">
        <v>419</v>
      </c>
      <c r="B18" s="329"/>
      <c r="C18" s="434"/>
      <c r="D18" s="431"/>
      <c r="E18" s="431"/>
      <c r="F18" s="338"/>
      <c r="G18" s="323" t="s">
        <v>425</v>
      </c>
      <c r="H18" s="323"/>
      <c r="I18" s="323"/>
      <c r="J18" s="323"/>
      <c r="K18" s="323"/>
      <c r="L18" s="323">
        <v>4.6130000000000004</v>
      </c>
      <c r="N18" s="322" t="s">
        <v>450</v>
      </c>
      <c r="O18" s="322" t="s">
        <v>451</v>
      </c>
      <c r="P18" s="322" t="s">
        <v>452</v>
      </c>
      <c r="Q18" s="322" t="s">
        <v>453</v>
      </c>
      <c r="R18" s="323"/>
      <c r="S18" s="323"/>
      <c r="T18" s="323"/>
    </row>
    <row r="19" spans="1:20" ht="38.25" thickBot="1">
      <c r="A19" s="429"/>
      <c r="B19" s="330"/>
      <c r="C19" s="435"/>
      <c r="D19" s="432"/>
      <c r="E19" s="432"/>
      <c r="F19" s="339"/>
      <c r="G19" s="323" t="s">
        <v>426</v>
      </c>
      <c r="H19" s="323"/>
      <c r="I19" s="323"/>
      <c r="J19" s="323"/>
      <c r="K19" s="323"/>
      <c r="L19" s="323">
        <v>0.96099999999999997</v>
      </c>
      <c r="N19" s="323" t="s">
        <v>431</v>
      </c>
      <c r="O19" s="323" t="s">
        <v>432</v>
      </c>
      <c r="P19" s="323" t="s">
        <v>433</v>
      </c>
      <c r="Q19" s="332">
        <f>1-P19/O19</f>
        <v>0.19999999999999996</v>
      </c>
      <c r="R19" s="323"/>
      <c r="S19" s="323"/>
      <c r="T19" s="323"/>
    </row>
    <row r="20" spans="1:20" ht="38.25" thickBot="1">
      <c r="A20" s="430"/>
      <c r="B20" s="331"/>
      <c r="C20" s="436"/>
      <c r="D20" s="433"/>
      <c r="E20" s="433"/>
      <c r="F20" s="340"/>
      <c r="G20" s="322" t="s">
        <v>427</v>
      </c>
      <c r="H20" s="323"/>
      <c r="I20" s="323"/>
      <c r="J20" s="323"/>
      <c r="K20" s="323"/>
      <c r="L20" s="323" t="s">
        <v>394</v>
      </c>
      <c r="N20" s="323" t="s">
        <v>434</v>
      </c>
      <c r="O20" s="323" t="s">
        <v>435</v>
      </c>
      <c r="P20" s="323" t="s">
        <v>436</v>
      </c>
      <c r="Q20" s="332">
        <f t="shared" ref="Q20:Q27" si="0">1-P20/O20</f>
        <v>0.2857142857142857</v>
      </c>
      <c r="R20" s="323"/>
      <c r="S20" s="323"/>
      <c r="T20" s="323"/>
    </row>
    <row r="21" spans="1:20" ht="19.5" thickBot="1">
      <c r="A21" s="431" t="s">
        <v>420</v>
      </c>
      <c r="B21" s="326"/>
      <c r="C21" s="428" t="s">
        <v>421</v>
      </c>
      <c r="D21" s="431">
        <v>204.5</v>
      </c>
      <c r="E21" s="431">
        <v>71198</v>
      </c>
      <c r="F21" s="338"/>
      <c r="G21" s="323" t="s">
        <v>425</v>
      </c>
      <c r="H21" s="323">
        <v>9</v>
      </c>
      <c r="I21" s="323">
        <f>H21*E21</f>
        <v>640782</v>
      </c>
      <c r="J21" s="323">
        <f>I21*10</f>
        <v>6407820</v>
      </c>
      <c r="K21" s="323">
        <f>128*D21/1000</f>
        <v>26.175999999999998</v>
      </c>
      <c r="L21" s="323">
        <v>0.40899999999999997</v>
      </c>
      <c r="N21" s="323" t="s">
        <v>437</v>
      </c>
      <c r="O21" s="323" t="s">
        <v>438</v>
      </c>
      <c r="P21" s="323" t="s">
        <v>439</v>
      </c>
      <c r="Q21" s="332">
        <f t="shared" si="0"/>
        <v>0.33333333333333337</v>
      </c>
      <c r="R21" s="323"/>
      <c r="S21" s="323"/>
      <c r="T21" s="323"/>
    </row>
    <row r="22" spans="1:20" ht="19.5" thickBot="1">
      <c r="A22" s="432"/>
      <c r="B22" s="327"/>
      <c r="C22" s="429"/>
      <c r="D22" s="432"/>
      <c r="E22" s="432"/>
      <c r="F22" s="339"/>
      <c r="G22" s="323" t="s">
        <v>426</v>
      </c>
      <c r="H22" s="323"/>
      <c r="I22" s="323"/>
      <c r="J22" s="323"/>
      <c r="K22" s="323"/>
      <c r="L22" s="323" t="s">
        <v>394</v>
      </c>
      <c r="N22" s="323" t="s">
        <v>440</v>
      </c>
      <c r="O22" s="323" t="s">
        <v>441</v>
      </c>
      <c r="P22" s="323" t="s">
        <v>442</v>
      </c>
      <c r="Q22" s="332">
        <f t="shared" si="0"/>
        <v>0.33333333333333337</v>
      </c>
      <c r="R22" s="323"/>
      <c r="S22" s="323"/>
      <c r="T22" s="323"/>
    </row>
    <row r="23" spans="1:20" ht="19.5" thickBot="1">
      <c r="A23" s="433"/>
      <c r="B23" s="328"/>
      <c r="C23" s="430"/>
      <c r="D23" s="433"/>
      <c r="E23" s="433"/>
      <c r="F23" s="340"/>
      <c r="G23" s="322" t="s">
        <v>427</v>
      </c>
      <c r="H23" s="323"/>
      <c r="I23" s="323"/>
      <c r="J23" s="323"/>
      <c r="K23" s="323"/>
      <c r="L23" s="323" t="s">
        <v>394</v>
      </c>
      <c r="N23" s="323" t="s">
        <v>443</v>
      </c>
      <c r="O23" s="323" t="s">
        <v>444</v>
      </c>
      <c r="P23" s="323" t="s">
        <v>445</v>
      </c>
      <c r="Q23" s="332">
        <f t="shared" si="0"/>
        <v>0.5</v>
      </c>
      <c r="R23" s="323"/>
      <c r="S23" s="323"/>
      <c r="T23" s="323"/>
    </row>
    <row r="24" spans="1:20" ht="19.5" thickBot="1">
      <c r="A24" s="428" t="s">
        <v>422</v>
      </c>
      <c r="B24" s="329"/>
      <c r="C24" s="434"/>
      <c r="D24" s="431"/>
      <c r="E24" s="431"/>
      <c r="F24" s="338"/>
      <c r="G24" s="323" t="s">
        <v>425</v>
      </c>
      <c r="H24" s="323"/>
      <c r="I24" s="323"/>
      <c r="J24" s="323"/>
      <c r="K24" s="323"/>
      <c r="L24" s="323">
        <v>0.53100000000000003</v>
      </c>
      <c r="N24" s="323" t="s">
        <v>446</v>
      </c>
      <c r="O24" s="323" t="s">
        <v>432</v>
      </c>
      <c r="P24" s="323" t="s">
        <v>433</v>
      </c>
      <c r="Q24" s="332">
        <f t="shared" si="0"/>
        <v>0.19999999999999996</v>
      </c>
      <c r="R24" s="323"/>
      <c r="S24" s="323"/>
      <c r="T24" s="323"/>
    </row>
    <row r="25" spans="1:20" ht="19.5" thickBot="1">
      <c r="A25" s="429"/>
      <c r="B25" s="330"/>
      <c r="C25" s="435"/>
      <c r="D25" s="432"/>
      <c r="E25" s="432"/>
      <c r="F25" s="339"/>
      <c r="G25" s="323" t="s">
        <v>426</v>
      </c>
      <c r="H25" s="323"/>
      <c r="I25" s="323"/>
      <c r="J25" s="323"/>
      <c r="K25" s="323"/>
      <c r="L25" s="323" t="s">
        <v>394</v>
      </c>
      <c r="N25" s="323" t="s">
        <v>447</v>
      </c>
      <c r="O25" s="323" t="s">
        <v>441</v>
      </c>
      <c r="P25" s="323" t="s">
        <v>442</v>
      </c>
      <c r="Q25" s="332">
        <f t="shared" si="0"/>
        <v>0.33333333333333337</v>
      </c>
      <c r="R25" s="323"/>
      <c r="S25" s="323"/>
      <c r="T25" s="323"/>
    </row>
    <row r="26" spans="1:20" ht="19.5" thickBot="1">
      <c r="A26" s="430"/>
      <c r="B26" s="331"/>
      <c r="C26" s="436"/>
      <c r="D26" s="433"/>
      <c r="E26" s="433"/>
      <c r="F26" s="340"/>
      <c r="G26" s="322" t="s">
        <v>427</v>
      </c>
      <c r="H26" s="323"/>
      <c r="I26" s="323"/>
      <c r="J26" s="323"/>
      <c r="K26" s="323"/>
      <c r="L26" s="323" t="s">
        <v>394</v>
      </c>
      <c r="N26" s="323" t="s">
        <v>448</v>
      </c>
      <c r="O26" s="323" t="s">
        <v>441</v>
      </c>
      <c r="P26" s="323" t="s">
        <v>442</v>
      </c>
      <c r="Q26" s="332">
        <f t="shared" si="0"/>
        <v>0.33333333333333337</v>
      </c>
      <c r="R26" s="323"/>
      <c r="S26" s="323"/>
      <c r="T26" s="323"/>
    </row>
    <row r="27" spans="1:20" ht="19.5" thickBot="1">
      <c r="A27" s="431" t="s">
        <v>290</v>
      </c>
      <c r="B27" s="326"/>
      <c r="C27" s="428" t="s">
        <v>423</v>
      </c>
      <c r="D27" s="431">
        <v>296.7</v>
      </c>
      <c r="E27" s="431">
        <v>74834</v>
      </c>
      <c r="F27" s="338"/>
      <c r="G27" s="323" t="s">
        <v>425</v>
      </c>
      <c r="H27" s="323">
        <v>5</v>
      </c>
      <c r="I27" s="323">
        <f>H27*E27</f>
        <v>374170</v>
      </c>
      <c r="J27" s="323">
        <f>I27*10</f>
        <v>3741700</v>
      </c>
      <c r="K27" s="323">
        <f>128*D27/1000</f>
        <v>37.977599999999995</v>
      </c>
      <c r="L27" s="323">
        <v>1.0149999999999999</v>
      </c>
      <c r="N27" s="323" t="s">
        <v>449</v>
      </c>
      <c r="O27" s="323" t="s">
        <v>441</v>
      </c>
      <c r="P27" s="323" t="s">
        <v>442</v>
      </c>
      <c r="Q27" s="332">
        <f t="shared" si="0"/>
        <v>0.33333333333333337</v>
      </c>
      <c r="R27" s="323"/>
      <c r="S27" s="323"/>
      <c r="T27" s="323"/>
    </row>
    <row r="28" spans="1:20" ht="19.5" thickBot="1">
      <c r="A28" s="432"/>
      <c r="B28" s="327"/>
      <c r="C28" s="429"/>
      <c r="D28" s="432"/>
      <c r="E28" s="432"/>
      <c r="F28" s="339"/>
      <c r="G28" s="323" t="s">
        <v>426</v>
      </c>
      <c r="H28" s="323">
        <v>6</v>
      </c>
      <c r="I28" s="323">
        <f>H28*E27</f>
        <v>449004</v>
      </c>
      <c r="J28" s="323">
        <f>I28*16</f>
        <v>7184064</v>
      </c>
      <c r="K28" s="323">
        <f>64*D27/1000</f>
        <v>18.988799999999998</v>
      </c>
      <c r="L28" s="323">
        <v>0.26400000000000001</v>
      </c>
      <c r="N28" s="323"/>
      <c r="O28" s="323"/>
      <c r="P28" s="323"/>
      <c r="Q28" s="323"/>
      <c r="R28" s="323"/>
      <c r="S28" s="323"/>
      <c r="T28" s="323"/>
    </row>
    <row r="29" spans="1:20" ht="19.5" thickBot="1">
      <c r="A29" s="433"/>
      <c r="B29" s="328"/>
      <c r="C29" s="430"/>
      <c r="D29" s="433"/>
      <c r="E29" s="433"/>
      <c r="F29" s="340"/>
      <c r="G29" s="322" t="s">
        <v>427</v>
      </c>
      <c r="H29" s="323"/>
      <c r="I29" s="323"/>
      <c r="J29" s="323"/>
      <c r="K29" s="323"/>
      <c r="L29" s="323" t="s">
        <v>394</v>
      </c>
      <c r="N29" s="323"/>
      <c r="O29" s="323"/>
      <c r="P29" s="323"/>
      <c r="Q29" s="323"/>
      <c r="R29" s="323"/>
      <c r="S29" s="323"/>
      <c r="T29" s="323"/>
    </row>
    <row r="30" spans="1:20" ht="19.5" thickBot="1">
      <c r="A30" s="428" t="s">
        <v>424</v>
      </c>
      <c r="B30" s="329"/>
      <c r="C30" s="434"/>
      <c r="D30" s="431"/>
      <c r="E30" s="431"/>
      <c r="F30" s="338"/>
      <c r="G30" s="323" t="s">
        <v>425</v>
      </c>
      <c r="H30" s="323"/>
      <c r="I30" s="323"/>
      <c r="J30" s="323"/>
      <c r="K30" s="323"/>
      <c r="L30" s="323">
        <v>1.319</v>
      </c>
      <c r="N30" s="323"/>
      <c r="O30" s="323"/>
      <c r="P30" s="323"/>
      <c r="Q30" s="323"/>
      <c r="R30" s="323"/>
      <c r="S30" s="323"/>
      <c r="T30" s="323"/>
    </row>
    <row r="31" spans="1:20" ht="19.5" thickBot="1">
      <c r="A31" s="429"/>
      <c r="B31" s="330"/>
      <c r="C31" s="435"/>
      <c r="D31" s="432"/>
      <c r="E31" s="432"/>
      <c r="F31" s="339"/>
      <c r="G31" s="323" t="s">
        <v>426</v>
      </c>
      <c r="H31" s="323"/>
      <c r="I31" s="323"/>
      <c r="J31" s="323"/>
      <c r="K31" s="323"/>
      <c r="L31" s="323">
        <v>0.34399999999999997</v>
      </c>
      <c r="N31" s="323"/>
      <c r="O31" s="323"/>
      <c r="P31" s="323"/>
      <c r="Q31" s="323"/>
      <c r="R31" s="323"/>
      <c r="S31" s="323"/>
      <c r="T31" s="323"/>
    </row>
    <row r="32" spans="1:20" ht="19.5" thickBot="1">
      <c r="A32" s="430"/>
      <c r="B32" s="331"/>
      <c r="C32" s="436"/>
      <c r="D32" s="433"/>
      <c r="E32" s="433"/>
      <c r="F32" s="340"/>
      <c r="G32" s="322" t="s">
        <v>427</v>
      </c>
      <c r="H32" s="323"/>
      <c r="I32" s="323"/>
      <c r="J32" s="323"/>
      <c r="K32" s="323"/>
      <c r="L32" s="323" t="s">
        <v>394</v>
      </c>
    </row>
    <row r="33" spans="1:18">
      <c r="L33" s="325"/>
    </row>
    <row r="36" spans="1:18" ht="14.25" thickBot="1"/>
    <row r="37" spans="1:18" ht="24.75" customHeight="1" thickBot="1">
      <c r="A37" s="428" t="s">
        <v>454</v>
      </c>
      <c r="B37" s="428" t="s">
        <v>487</v>
      </c>
      <c r="C37" s="428" t="s">
        <v>455</v>
      </c>
      <c r="D37" s="425" t="s">
        <v>456</v>
      </c>
      <c r="E37" s="426"/>
      <c r="F37" s="427"/>
      <c r="G37" s="323"/>
      <c r="H37" s="323"/>
      <c r="I37" s="323"/>
      <c r="J37" s="323"/>
      <c r="K37" s="323"/>
      <c r="L37" s="323"/>
      <c r="M37" s="323"/>
      <c r="N37" s="323"/>
      <c r="O37" s="323"/>
      <c r="P37" s="323"/>
      <c r="Q37" s="323"/>
      <c r="R37" s="323"/>
    </row>
    <row r="38" spans="1:18" ht="38.25" thickBot="1">
      <c r="A38" s="430"/>
      <c r="B38" s="430"/>
      <c r="C38" s="430"/>
      <c r="D38" s="322" t="s">
        <v>457</v>
      </c>
      <c r="E38" s="322" t="s">
        <v>458</v>
      </c>
      <c r="F38" s="324" t="s">
        <v>488</v>
      </c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</row>
    <row r="39" spans="1:18" ht="19.5" thickBot="1">
      <c r="A39" s="431" t="s">
        <v>467</v>
      </c>
      <c r="B39" s="431">
        <v>0.27</v>
      </c>
      <c r="C39" s="443">
        <v>0.65</v>
      </c>
      <c r="D39" s="323" t="s">
        <v>475</v>
      </c>
      <c r="E39" s="323" t="s">
        <v>459</v>
      </c>
      <c r="F39" s="335">
        <v>0.37</v>
      </c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</row>
    <row r="40" spans="1:18" ht="19.5" thickBot="1">
      <c r="A40" s="432"/>
      <c r="B40" s="432"/>
      <c r="C40" s="432"/>
      <c r="D40" s="323" t="s">
        <v>476</v>
      </c>
      <c r="E40" s="333">
        <v>0.34375</v>
      </c>
      <c r="F40" s="335">
        <v>0.62</v>
      </c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3"/>
    </row>
    <row r="41" spans="1:18" ht="19.5" thickBot="1">
      <c r="A41" s="432"/>
      <c r="B41" s="432"/>
      <c r="C41" s="432"/>
      <c r="D41" s="323" t="s">
        <v>477</v>
      </c>
      <c r="E41" s="323" t="s">
        <v>460</v>
      </c>
      <c r="F41" s="335">
        <v>0.37</v>
      </c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</row>
    <row r="42" spans="1:18" ht="19.5" thickBot="1">
      <c r="A42" s="433"/>
      <c r="B42" s="433"/>
      <c r="C42" s="433"/>
      <c r="D42" s="323" t="s">
        <v>478</v>
      </c>
      <c r="E42" s="333">
        <v>0.38541666666666669</v>
      </c>
      <c r="F42" s="335">
        <v>0.62</v>
      </c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</row>
    <row r="43" spans="1:18" ht="19.5" thickBot="1">
      <c r="A43" s="431" t="s">
        <v>469</v>
      </c>
      <c r="B43" s="431">
        <v>0.25</v>
      </c>
      <c r="C43" s="443">
        <v>0.69166666666666676</v>
      </c>
      <c r="D43" s="323" t="s">
        <v>479</v>
      </c>
      <c r="E43" s="323" t="s">
        <v>461</v>
      </c>
      <c r="F43" s="335">
        <v>0.35</v>
      </c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</row>
    <row r="44" spans="1:18" ht="19.5" thickBot="1">
      <c r="A44" s="433"/>
      <c r="B44" s="433"/>
      <c r="C44" s="433"/>
      <c r="D44" s="323" t="s">
        <v>480</v>
      </c>
      <c r="E44" s="333">
        <v>0.38611111111111113</v>
      </c>
      <c r="F44" s="335">
        <v>0.35</v>
      </c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</row>
    <row r="45" spans="1:18" ht="19.5" thickBot="1">
      <c r="A45" s="431" t="s">
        <v>470</v>
      </c>
      <c r="B45" s="431">
        <v>1</v>
      </c>
      <c r="C45" s="444" t="s">
        <v>462</v>
      </c>
      <c r="D45" s="323" t="s">
        <v>481</v>
      </c>
      <c r="E45" s="333">
        <v>0.43541666666666662</v>
      </c>
      <c r="F45" s="335">
        <v>1.1000000000000001</v>
      </c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</row>
    <row r="46" spans="1:18" ht="19.5" thickBot="1">
      <c r="A46" s="432"/>
      <c r="B46" s="432"/>
      <c r="C46" s="445"/>
      <c r="D46" s="323" t="s">
        <v>471</v>
      </c>
      <c r="E46" s="333">
        <v>0.18541666666666667</v>
      </c>
      <c r="F46" s="335">
        <v>1.27</v>
      </c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</row>
    <row r="47" spans="1:18" ht="19.5" thickBot="1">
      <c r="A47" s="433"/>
      <c r="B47" s="433"/>
      <c r="C47" s="446"/>
      <c r="D47" s="323" t="s">
        <v>482</v>
      </c>
      <c r="E47" s="323" t="s">
        <v>463</v>
      </c>
      <c r="F47" s="335">
        <v>1.1000000000000001</v>
      </c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</row>
    <row r="48" spans="1:18" ht="19.5" thickBot="1">
      <c r="A48" s="431" t="s">
        <v>468</v>
      </c>
      <c r="B48" s="431">
        <v>0.5</v>
      </c>
      <c r="C48" s="431" t="s">
        <v>466</v>
      </c>
      <c r="D48" s="323" t="s">
        <v>483</v>
      </c>
      <c r="E48" s="323" t="s">
        <v>464</v>
      </c>
      <c r="F48" s="335">
        <v>0.6</v>
      </c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</row>
    <row r="49" spans="1:18" ht="19.5" thickBot="1">
      <c r="A49" s="433"/>
      <c r="B49" s="433"/>
      <c r="C49" s="433"/>
      <c r="D49" s="323" t="s">
        <v>484</v>
      </c>
      <c r="E49" s="323" t="s">
        <v>465</v>
      </c>
      <c r="F49" s="335">
        <v>0.6</v>
      </c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</row>
    <row r="50" spans="1:18" ht="20.25" customHeight="1" thickBot="1">
      <c r="A50" s="431" t="s">
        <v>472</v>
      </c>
      <c r="B50" s="431">
        <v>0.1</v>
      </c>
      <c r="C50" s="431" t="s">
        <v>473</v>
      </c>
      <c r="D50" s="323" t="s">
        <v>485</v>
      </c>
      <c r="E50" s="323" t="s">
        <v>474</v>
      </c>
      <c r="F50" s="334">
        <v>0.2</v>
      </c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</row>
    <row r="51" spans="1:18" ht="19.5" thickBot="1">
      <c r="A51" s="433"/>
      <c r="B51" s="433"/>
      <c r="C51" s="433"/>
      <c r="D51" s="323" t="s">
        <v>486</v>
      </c>
      <c r="E51" s="333">
        <v>0.27499999999999997</v>
      </c>
      <c r="F51" s="335">
        <v>0.3</v>
      </c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</row>
    <row r="52" spans="1:18" ht="19.5" thickBot="1">
      <c r="A52" s="323"/>
      <c r="B52" s="323"/>
      <c r="C52" s="323"/>
      <c r="D52" s="323"/>
      <c r="E52" s="323"/>
      <c r="F52" s="335"/>
      <c r="G52" s="323"/>
      <c r="H52" s="323"/>
      <c r="I52" s="323"/>
      <c r="J52" s="323"/>
      <c r="K52" s="323"/>
      <c r="L52" s="323"/>
      <c r="M52" s="323"/>
      <c r="N52" s="323"/>
      <c r="O52" s="323"/>
      <c r="P52" s="323"/>
      <c r="Q52" s="323"/>
      <c r="R52" s="323"/>
    </row>
    <row r="53" spans="1:18" ht="19.5" thickBot="1">
      <c r="A53" s="323"/>
      <c r="B53" s="323"/>
      <c r="C53" s="323"/>
      <c r="D53" s="323"/>
      <c r="E53" s="323"/>
      <c r="F53" s="335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</row>
    <row r="54" spans="1:18" ht="19.5" thickBot="1">
      <c r="A54" s="323"/>
      <c r="B54" s="323"/>
      <c r="C54" s="323"/>
      <c r="D54" s="323"/>
      <c r="E54" s="323"/>
      <c r="F54" s="335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</row>
    <row r="55" spans="1:18" ht="19.5" thickBot="1">
      <c r="A55" s="323"/>
      <c r="B55" s="323"/>
      <c r="C55" s="323"/>
      <c r="D55" s="323"/>
      <c r="E55" s="323"/>
      <c r="F55" s="335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</row>
    <row r="56" spans="1:18" ht="19.5" thickBot="1">
      <c r="A56" s="323"/>
      <c r="B56" s="323"/>
      <c r="C56" s="323"/>
      <c r="D56" s="323"/>
      <c r="E56" s="323"/>
      <c r="F56" s="335"/>
      <c r="G56" s="323"/>
      <c r="H56" s="323"/>
      <c r="I56" s="323"/>
      <c r="J56" s="323"/>
      <c r="K56" s="323"/>
      <c r="L56" s="323"/>
      <c r="M56" s="323"/>
      <c r="N56" s="323"/>
      <c r="O56" s="323"/>
      <c r="P56" s="323"/>
      <c r="Q56" s="323"/>
      <c r="R56" s="323"/>
    </row>
    <row r="57" spans="1:18" ht="19.5" thickBot="1">
      <c r="A57" s="323"/>
      <c r="B57" s="323"/>
      <c r="C57" s="323"/>
      <c r="D57" s="323"/>
      <c r="E57" s="323"/>
      <c r="F57" s="335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</row>
    <row r="58" spans="1:18" ht="19.5" thickBot="1">
      <c r="A58" s="323"/>
      <c r="B58" s="323"/>
      <c r="C58" s="323"/>
      <c r="D58" s="323"/>
      <c r="E58" s="323"/>
      <c r="F58" s="335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</row>
    <row r="59" spans="1:18" ht="19.5" thickBot="1">
      <c r="A59" s="323"/>
      <c r="B59" s="323"/>
      <c r="C59" s="323"/>
      <c r="D59" s="323"/>
      <c r="E59" s="323"/>
      <c r="F59" s="335"/>
      <c r="G59" s="323"/>
      <c r="H59" s="323"/>
      <c r="I59" s="323"/>
      <c r="J59" s="323"/>
      <c r="K59" s="323"/>
      <c r="L59" s="323"/>
      <c r="M59" s="323"/>
      <c r="N59" s="323"/>
      <c r="O59" s="323"/>
      <c r="P59" s="323"/>
      <c r="Q59" s="323"/>
      <c r="R59" s="323"/>
    </row>
    <row r="60" spans="1:18" ht="19.5" thickBot="1">
      <c r="A60" s="323"/>
      <c r="B60" s="323"/>
      <c r="C60" s="323"/>
      <c r="D60" s="323"/>
      <c r="E60" s="323"/>
      <c r="F60" s="335"/>
      <c r="G60" s="323"/>
      <c r="H60" s="323"/>
      <c r="I60" s="323"/>
      <c r="J60" s="323"/>
      <c r="K60" s="323"/>
      <c r="L60" s="323"/>
      <c r="M60" s="323"/>
      <c r="N60" s="323"/>
      <c r="O60" s="323"/>
      <c r="P60" s="323"/>
      <c r="Q60" s="323"/>
      <c r="R60" s="323"/>
    </row>
    <row r="61" spans="1:18" ht="19.5" thickBot="1">
      <c r="A61" s="323"/>
      <c r="B61" s="323"/>
      <c r="C61" s="323"/>
      <c r="D61" s="323"/>
      <c r="E61" s="323"/>
      <c r="F61" s="335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</row>
    <row r="62" spans="1:18" ht="19.5" thickBot="1">
      <c r="A62" s="323"/>
      <c r="B62" s="323"/>
      <c r="C62" s="323"/>
      <c r="D62" s="323"/>
      <c r="E62" s="323"/>
      <c r="F62" s="335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</row>
    <row r="63" spans="1:18" ht="19.5" thickBot="1">
      <c r="A63" s="323"/>
      <c r="B63" s="323"/>
      <c r="C63" s="323"/>
      <c r="D63" s="323"/>
      <c r="E63" s="323"/>
      <c r="F63" s="335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</row>
    <row r="64" spans="1:18" ht="19.5" thickBot="1">
      <c r="A64" s="323"/>
      <c r="B64" s="323"/>
      <c r="C64" s="323"/>
      <c r="D64" s="323"/>
      <c r="E64" s="323"/>
      <c r="F64" s="335"/>
      <c r="G64" s="323"/>
      <c r="H64" s="323"/>
      <c r="I64" s="323"/>
      <c r="J64" s="323"/>
      <c r="K64" s="323"/>
      <c r="L64" s="323"/>
      <c r="M64" s="323"/>
      <c r="N64" s="323"/>
      <c r="O64" s="323"/>
      <c r="P64" s="323"/>
      <c r="Q64" s="323"/>
      <c r="R64" s="323"/>
    </row>
    <row r="65" spans="1:18" ht="19.5" thickBot="1">
      <c r="A65" s="323"/>
      <c r="B65" s="323"/>
      <c r="C65" s="323"/>
      <c r="D65" s="323"/>
      <c r="E65" s="323"/>
      <c r="F65" s="335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</row>
    <row r="66" spans="1:18" ht="19.5" thickBot="1">
      <c r="A66" s="323"/>
      <c r="B66" s="323"/>
      <c r="C66" s="323"/>
      <c r="D66" s="323"/>
      <c r="E66" s="323"/>
      <c r="F66" s="335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</row>
    <row r="67" spans="1:18" ht="19.5" thickBot="1">
      <c r="A67" s="323"/>
      <c r="B67" s="323"/>
      <c r="C67" s="323"/>
      <c r="D67" s="323"/>
      <c r="E67" s="323"/>
      <c r="F67" s="335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</row>
    <row r="68" spans="1:18" ht="19.5" thickBot="1">
      <c r="A68" s="323"/>
      <c r="B68" s="323"/>
      <c r="C68" s="323"/>
      <c r="D68" s="323"/>
      <c r="E68" s="323"/>
      <c r="F68" s="335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</row>
    <row r="69" spans="1:18" ht="19.5" thickBot="1">
      <c r="A69" s="323"/>
      <c r="B69" s="323"/>
      <c r="C69" s="323"/>
      <c r="D69" s="323"/>
      <c r="E69" s="323"/>
      <c r="F69" s="335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</row>
    <row r="70" spans="1:18" ht="19.5" thickBot="1">
      <c r="A70" s="323"/>
      <c r="B70" s="323"/>
      <c r="C70" s="323"/>
      <c r="D70" s="323"/>
      <c r="E70" s="323"/>
      <c r="F70" s="335"/>
      <c r="G70" s="323"/>
      <c r="H70" s="323"/>
      <c r="I70" s="323"/>
      <c r="J70" s="323"/>
      <c r="K70" s="323"/>
      <c r="L70" s="323"/>
      <c r="M70" s="323"/>
      <c r="N70" s="323"/>
      <c r="O70" s="323"/>
      <c r="P70" s="323"/>
      <c r="Q70" s="323"/>
      <c r="R70" s="323"/>
    </row>
    <row r="71" spans="1:18" ht="19.5" thickBot="1">
      <c r="A71" s="323"/>
      <c r="B71" s="323"/>
      <c r="C71" s="323"/>
      <c r="D71" s="323"/>
      <c r="E71" s="323"/>
      <c r="F71" s="335"/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</row>
    <row r="72" spans="1:18" ht="19.5" thickBot="1">
      <c r="A72" s="323"/>
      <c r="B72" s="323"/>
      <c r="C72" s="323"/>
      <c r="D72" s="323"/>
      <c r="E72" s="323"/>
      <c r="F72" s="335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</row>
    <row r="73" spans="1:18" ht="19.5" thickBot="1">
      <c r="A73" s="323"/>
      <c r="B73" s="323"/>
      <c r="C73" s="323"/>
      <c r="D73" s="323"/>
      <c r="E73" s="323"/>
      <c r="F73" s="335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</row>
    <row r="74" spans="1:18" ht="19.5" thickBot="1">
      <c r="A74" s="323"/>
      <c r="B74" s="323"/>
      <c r="C74" s="323"/>
      <c r="D74" s="323"/>
      <c r="E74" s="323"/>
      <c r="F74" s="335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</row>
    <row r="75" spans="1:18" ht="19.5" thickBot="1">
      <c r="A75" s="323"/>
      <c r="B75" s="323"/>
      <c r="C75" s="323"/>
      <c r="D75" s="323"/>
      <c r="E75" s="323"/>
      <c r="F75" s="335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</row>
    <row r="76" spans="1:18" ht="19.5" thickBot="1">
      <c r="A76" s="323"/>
      <c r="B76" s="323"/>
      <c r="C76" s="323"/>
      <c r="D76" s="323"/>
      <c r="E76" s="323"/>
      <c r="F76" s="335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</row>
    <row r="77" spans="1:18" ht="19.5" thickBot="1">
      <c r="A77" s="323"/>
      <c r="B77" s="323"/>
      <c r="C77" s="323"/>
      <c r="D77" s="323"/>
      <c r="E77" s="323"/>
      <c r="F77" s="335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</row>
    <row r="78" spans="1:18" ht="19.5" thickBot="1">
      <c r="A78" s="323"/>
      <c r="B78" s="323"/>
      <c r="C78" s="323"/>
      <c r="D78" s="323"/>
      <c r="E78" s="323"/>
      <c r="F78" s="335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</row>
    <row r="79" spans="1:18" ht="19.5" thickBot="1">
      <c r="A79" s="323"/>
      <c r="B79" s="323"/>
      <c r="C79" s="323"/>
      <c r="D79" s="323"/>
      <c r="E79" s="323"/>
      <c r="F79" s="335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</row>
    <row r="80" spans="1:18" ht="19.5" thickBot="1">
      <c r="A80" s="323"/>
      <c r="B80" s="323"/>
      <c r="C80" s="323"/>
      <c r="D80" s="323"/>
      <c r="E80" s="323"/>
      <c r="F80" s="335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</row>
    <row r="81" spans="1:18" ht="19.5" thickBot="1">
      <c r="A81" s="323"/>
      <c r="B81" s="323"/>
      <c r="C81" s="323"/>
      <c r="D81" s="323"/>
      <c r="E81" s="323"/>
      <c r="F81" s="335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</row>
    <row r="82" spans="1:18" ht="19.5" thickBot="1">
      <c r="A82" s="323"/>
      <c r="B82" s="323"/>
      <c r="C82" s="323"/>
      <c r="D82" s="323"/>
      <c r="E82" s="323"/>
      <c r="F82" s="335"/>
      <c r="G82" s="323"/>
      <c r="H82" s="323"/>
      <c r="I82" s="323"/>
      <c r="J82" s="323"/>
      <c r="K82" s="323"/>
      <c r="L82" s="323"/>
      <c r="M82" s="323"/>
      <c r="N82" s="323"/>
      <c r="O82" s="323"/>
      <c r="P82" s="323"/>
      <c r="Q82" s="323"/>
      <c r="R82" s="323"/>
    </row>
    <row r="83" spans="1:18" ht="19.5" thickBot="1">
      <c r="A83" s="323"/>
      <c r="B83" s="323"/>
      <c r="C83" s="323"/>
      <c r="D83" s="323"/>
      <c r="E83" s="323"/>
      <c r="F83" s="335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</row>
    <row r="84" spans="1:18" ht="19.5" thickBot="1">
      <c r="A84" s="323"/>
      <c r="B84" s="323"/>
      <c r="C84" s="323"/>
      <c r="D84" s="323"/>
      <c r="E84" s="323"/>
      <c r="F84" s="335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</row>
    <row r="85" spans="1:18" ht="19.5" thickBot="1">
      <c r="A85" s="323"/>
      <c r="B85" s="323"/>
      <c r="C85" s="323"/>
      <c r="D85" s="323"/>
      <c r="E85" s="323"/>
      <c r="F85" s="335"/>
      <c r="G85" s="323"/>
      <c r="H85" s="323"/>
      <c r="I85" s="323"/>
      <c r="J85" s="323"/>
      <c r="K85" s="323"/>
      <c r="L85" s="323"/>
      <c r="M85" s="323"/>
      <c r="N85" s="323"/>
      <c r="O85" s="323"/>
      <c r="P85" s="323"/>
      <c r="Q85" s="323"/>
      <c r="R85" s="323"/>
    </row>
    <row r="86" spans="1:18" ht="19.5" thickBot="1">
      <c r="A86" s="323"/>
      <c r="B86" s="323"/>
      <c r="C86" s="323"/>
      <c r="D86" s="323"/>
      <c r="E86" s="323"/>
      <c r="F86" s="335"/>
      <c r="G86" s="323"/>
      <c r="H86" s="323"/>
      <c r="I86" s="323"/>
      <c r="J86" s="323"/>
      <c r="K86" s="323"/>
      <c r="L86" s="323"/>
      <c r="M86" s="323"/>
      <c r="N86" s="323"/>
      <c r="O86" s="323"/>
      <c r="P86" s="323"/>
      <c r="Q86" s="323"/>
      <c r="R86" s="323"/>
    </row>
    <row r="87" spans="1:18" ht="19.5" thickBot="1">
      <c r="A87" s="323"/>
      <c r="B87" s="323"/>
      <c r="C87" s="323"/>
      <c r="D87" s="323"/>
      <c r="E87" s="323"/>
      <c r="F87" s="335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</row>
    <row r="88" spans="1:18" ht="19.5" thickBot="1">
      <c r="A88" s="323"/>
      <c r="B88" s="323"/>
      <c r="C88" s="323"/>
      <c r="D88" s="323"/>
      <c r="E88" s="323"/>
      <c r="F88" s="335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</row>
    <row r="89" spans="1:18" ht="19.5" thickBot="1">
      <c r="A89" s="323"/>
      <c r="B89" s="323"/>
      <c r="C89" s="323"/>
      <c r="D89" s="323"/>
      <c r="E89" s="323"/>
      <c r="F89" s="335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</row>
    <row r="90" spans="1:18" ht="19.5" thickBot="1">
      <c r="A90" s="323"/>
      <c r="B90" s="323"/>
      <c r="C90" s="323"/>
      <c r="D90" s="323"/>
      <c r="E90" s="323"/>
      <c r="F90" s="335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</row>
    <row r="91" spans="1:18" ht="19.5" thickBot="1">
      <c r="A91" s="323"/>
      <c r="B91" s="323"/>
      <c r="C91" s="323"/>
      <c r="D91" s="323"/>
      <c r="E91" s="323"/>
      <c r="F91" s="335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</row>
    <row r="92" spans="1:18" ht="19.5" thickBot="1">
      <c r="A92" s="323"/>
      <c r="B92" s="323"/>
      <c r="C92" s="323"/>
      <c r="D92" s="323"/>
      <c r="E92" s="323"/>
      <c r="F92" s="335"/>
      <c r="G92" s="323"/>
      <c r="H92" s="323"/>
      <c r="I92" s="323"/>
      <c r="J92" s="323"/>
      <c r="K92" s="323"/>
      <c r="L92" s="323"/>
      <c r="M92" s="323"/>
      <c r="N92" s="323"/>
      <c r="O92" s="323"/>
      <c r="P92" s="323"/>
      <c r="Q92" s="323"/>
      <c r="R92" s="323"/>
    </row>
    <row r="93" spans="1:18" ht="19.5" thickBot="1">
      <c r="A93" s="323"/>
      <c r="B93" s="323"/>
      <c r="C93" s="323"/>
      <c r="D93" s="323"/>
      <c r="E93" s="323"/>
      <c r="F93" s="335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</row>
    <row r="94" spans="1:18" ht="19.5" thickBot="1">
      <c r="A94" s="323"/>
      <c r="B94" s="323"/>
      <c r="C94" s="323"/>
      <c r="D94" s="323"/>
      <c r="E94" s="323"/>
      <c r="F94" s="335"/>
      <c r="G94" s="323"/>
      <c r="H94" s="323"/>
      <c r="I94" s="323"/>
      <c r="J94" s="323"/>
      <c r="K94" s="323"/>
      <c r="L94" s="323"/>
      <c r="M94" s="323"/>
      <c r="N94" s="323"/>
      <c r="O94" s="323"/>
      <c r="P94" s="323"/>
      <c r="Q94" s="323"/>
      <c r="R94" s="323"/>
    </row>
    <row r="95" spans="1:18" ht="19.5" thickBot="1">
      <c r="A95" s="323"/>
      <c r="B95" s="323"/>
      <c r="C95" s="323"/>
      <c r="D95" s="323"/>
      <c r="E95" s="323"/>
      <c r="F95" s="335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</row>
    <row r="96" spans="1:18" ht="19.5" thickBot="1">
      <c r="A96" s="323"/>
      <c r="B96" s="323"/>
      <c r="C96" s="323"/>
      <c r="D96" s="323"/>
      <c r="E96" s="323"/>
      <c r="F96" s="335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</row>
    <row r="97" spans="1:18" ht="19.5" thickBot="1">
      <c r="A97" s="323"/>
      <c r="B97" s="323"/>
      <c r="C97" s="323"/>
      <c r="D97" s="323"/>
      <c r="E97" s="323"/>
      <c r="F97" s="335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</row>
    <row r="98" spans="1:18" ht="19.5" thickBot="1">
      <c r="A98" s="323"/>
      <c r="B98" s="323"/>
      <c r="C98" s="323"/>
      <c r="D98" s="323"/>
      <c r="E98" s="323"/>
      <c r="F98" s="335"/>
      <c r="G98" s="323"/>
      <c r="H98" s="323"/>
      <c r="I98" s="323"/>
      <c r="J98" s="323"/>
      <c r="K98" s="323"/>
      <c r="L98" s="323"/>
      <c r="M98" s="323"/>
      <c r="N98" s="323"/>
      <c r="O98" s="323"/>
      <c r="P98" s="323"/>
      <c r="Q98" s="323"/>
      <c r="R98" s="323"/>
    </row>
    <row r="99" spans="1:18" ht="19.5" thickBot="1">
      <c r="A99" s="323"/>
      <c r="B99" s="323"/>
      <c r="C99" s="323"/>
      <c r="D99" s="323"/>
      <c r="E99" s="323"/>
      <c r="F99" s="335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</row>
    <row r="100" spans="1:18" ht="19.5" thickBot="1">
      <c r="A100" s="323"/>
      <c r="B100" s="323"/>
      <c r="C100" s="323"/>
      <c r="D100" s="323"/>
      <c r="E100" s="323"/>
      <c r="F100" s="335"/>
      <c r="G100" s="323"/>
      <c r="H100" s="323"/>
      <c r="I100" s="323"/>
      <c r="J100" s="323"/>
      <c r="K100" s="323"/>
      <c r="L100" s="323"/>
      <c r="M100" s="323"/>
      <c r="N100" s="323"/>
      <c r="O100" s="323"/>
      <c r="P100" s="323"/>
      <c r="Q100" s="323"/>
      <c r="R100" s="323"/>
    </row>
    <row r="101" spans="1:18" ht="19.5" thickBot="1">
      <c r="A101" s="323"/>
      <c r="B101" s="323"/>
      <c r="C101" s="323"/>
      <c r="D101" s="323"/>
      <c r="E101" s="323"/>
      <c r="F101" s="335"/>
      <c r="G101" s="323"/>
      <c r="H101" s="323"/>
      <c r="I101" s="323"/>
      <c r="J101" s="323"/>
      <c r="K101" s="323"/>
      <c r="L101" s="323"/>
      <c r="M101" s="323"/>
      <c r="N101" s="323"/>
      <c r="O101" s="323"/>
      <c r="P101" s="323"/>
      <c r="Q101" s="323"/>
      <c r="R101" s="323"/>
    </row>
    <row r="102" spans="1:18" ht="19.5" thickBot="1">
      <c r="A102" s="323"/>
      <c r="B102" s="323"/>
      <c r="C102" s="323"/>
      <c r="D102" s="323"/>
      <c r="E102" s="323"/>
      <c r="F102" s="335"/>
      <c r="G102" s="323"/>
      <c r="H102" s="323"/>
      <c r="I102" s="323"/>
      <c r="J102" s="323"/>
      <c r="K102" s="323"/>
      <c r="L102" s="323"/>
      <c r="M102" s="323"/>
      <c r="N102" s="323"/>
      <c r="O102" s="323"/>
      <c r="P102" s="323"/>
      <c r="Q102" s="323"/>
      <c r="R102" s="323"/>
    </row>
    <row r="103" spans="1:18" ht="19.5" thickBot="1">
      <c r="A103" s="323"/>
      <c r="B103" s="323"/>
      <c r="C103" s="323"/>
      <c r="D103" s="323"/>
      <c r="E103" s="323"/>
      <c r="F103" s="335"/>
      <c r="G103" s="323"/>
      <c r="H103" s="323"/>
      <c r="I103" s="323"/>
      <c r="J103" s="323"/>
      <c r="K103" s="323"/>
      <c r="L103" s="323"/>
      <c r="M103" s="323"/>
      <c r="N103" s="323"/>
      <c r="O103" s="323"/>
      <c r="P103" s="323"/>
      <c r="Q103" s="323"/>
      <c r="R103" s="323"/>
    </row>
    <row r="104" spans="1:18" ht="19.5" thickBot="1">
      <c r="A104" s="323"/>
      <c r="B104" s="323"/>
      <c r="C104" s="323"/>
      <c r="D104" s="323"/>
      <c r="E104" s="323"/>
      <c r="F104" s="335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</row>
    <row r="105" spans="1:18" ht="19.5" thickBot="1">
      <c r="A105" s="323"/>
      <c r="B105" s="323"/>
      <c r="C105" s="323"/>
      <c r="D105" s="323"/>
      <c r="E105" s="323"/>
      <c r="F105" s="335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</row>
    <row r="106" spans="1:18" ht="19.5" thickBot="1">
      <c r="A106" s="323"/>
      <c r="B106" s="323"/>
      <c r="C106" s="323"/>
      <c r="D106" s="323"/>
      <c r="E106" s="323"/>
      <c r="F106" s="335"/>
      <c r="G106" s="323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</row>
    <row r="107" spans="1:18" ht="19.5" thickBot="1">
      <c r="A107" s="323"/>
      <c r="B107" s="323"/>
      <c r="C107" s="323"/>
      <c r="D107" s="323"/>
      <c r="E107" s="323"/>
      <c r="F107" s="335"/>
      <c r="G107" s="323"/>
      <c r="H107" s="323"/>
      <c r="I107" s="323"/>
      <c r="J107" s="323"/>
      <c r="K107" s="323"/>
      <c r="L107" s="323"/>
      <c r="M107" s="323"/>
      <c r="N107" s="323"/>
      <c r="O107" s="323"/>
      <c r="P107" s="323"/>
      <c r="Q107" s="323"/>
      <c r="R107" s="323"/>
    </row>
    <row r="108" spans="1:18" ht="19.5" thickBot="1">
      <c r="A108" s="323"/>
      <c r="B108" s="323"/>
      <c r="C108" s="323"/>
      <c r="D108" s="323"/>
      <c r="E108" s="323"/>
      <c r="F108" s="335"/>
      <c r="G108" s="323"/>
      <c r="H108" s="323"/>
      <c r="I108" s="323"/>
      <c r="J108" s="323"/>
      <c r="K108" s="323"/>
      <c r="L108" s="323"/>
      <c r="M108" s="323"/>
      <c r="N108" s="323"/>
      <c r="O108" s="323"/>
      <c r="P108" s="323"/>
      <c r="Q108" s="323"/>
      <c r="R108" s="323"/>
    </row>
    <row r="109" spans="1:18" ht="19.5" thickBot="1">
      <c r="A109" s="323"/>
      <c r="B109" s="323"/>
      <c r="C109" s="323"/>
      <c r="D109" s="323"/>
      <c r="E109" s="323"/>
      <c r="F109" s="335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</row>
    <row r="110" spans="1:18" ht="19.5" thickBot="1">
      <c r="A110" s="323"/>
      <c r="B110" s="323"/>
      <c r="C110" s="323"/>
      <c r="D110" s="323"/>
      <c r="E110" s="323"/>
      <c r="F110" s="335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</row>
    <row r="111" spans="1:18" ht="19.5" thickBot="1">
      <c r="A111" s="323"/>
      <c r="B111" s="323"/>
      <c r="C111" s="323"/>
      <c r="D111" s="323"/>
      <c r="E111" s="323"/>
      <c r="F111" s="335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</row>
    <row r="112" spans="1:18" ht="19.5" thickBot="1">
      <c r="A112" s="323"/>
      <c r="B112" s="323"/>
      <c r="C112" s="323"/>
      <c r="D112" s="323"/>
      <c r="E112" s="323"/>
      <c r="F112" s="335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</row>
    <row r="113" spans="1:18" ht="19.5" thickBot="1">
      <c r="A113" s="323"/>
      <c r="B113" s="323"/>
      <c r="C113" s="323"/>
      <c r="D113" s="323"/>
      <c r="E113" s="323"/>
      <c r="F113" s="335"/>
      <c r="G113" s="323"/>
      <c r="H113" s="323"/>
      <c r="I113" s="323"/>
      <c r="J113" s="323"/>
      <c r="K113" s="323"/>
      <c r="L113" s="323"/>
      <c r="M113" s="323"/>
      <c r="N113" s="323"/>
      <c r="O113" s="323"/>
      <c r="P113" s="323"/>
      <c r="Q113" s="323"/>
      <c r="R113" s="323"/>
    </row>
    <row r="114" spans="1:18" ht="19.5" thickBot="1">
      <c r="A114" s="323"/>
      <c r="B114" s="323"/>
      <c r="C114" s="323"/>
      <c r="D114" s="323"/>
      <c r="E114" s="323"/>
      <c r="F114" s="335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</row>
    <row r="115" spans="1:18" ht="19.5" thickBot="1">
      <c r="A115" s="323"/>
      <c r="B115" s="323"/>
      <c r="C115" s="323"/>
      <c r="D115" s="323"/>
      <c r="E115" s="323"/>
      <c r="F115" s="335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</row>
    <row r="116" spans="1:18" ht="19.5" thickBot="1">
      <c r="A116" s="323"/>
      <c r="B116" s="323"/>
      <c r="C116" s="323"/>
      <c r="D116" s="323"/>
      <c r="E116" s="323"/>
      <c r="F116" s="335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</row>
    <row r="117" spans="1:18" ht="19.5" thickBot="1">
      <c r="A117" s="323"/>
      <c r="B117" s="323"/>
      <c r="C117" s="323"/>
      <c r="D117" s="323"/>
      <c r="E117" s="323"/>
      <c r="F117" s="335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</row>
    <row r="118" spans="1:18" ht="19.5" thickBot="1">
      <c r="A118" s="323"/>
      <c r="B118" s="323"/>
      <c r="C118" s="323"/>
      <c r="D118" s="323"/>
      <c r="E118" s="323"/>
      <c r="F118" s="335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</row>
    <row r="119" spans="1:18" ht="19.5" thickBot="1">
      <c r="A119" s="323"/>
      <c r="B119" s="323"/>
      <c r="C119" s="323"/>
      <c r="D119" s="323"/>
      <c r="E119" s="323"/>
      <c r="F119" s="335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</row>
    <row r="120" spans="1:18" ht="19.5" thickBot="1">
      <c r="A120" s="323"/>
      <c r="B120" s="323"/>
      <c r="C120" s="323"/>
      <c r="D120" s="323"/>
      <c r="E120" s="323"/>
      <c r="F120" s="335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</row>
    <row r="121" spans="1:18" ht="19.5" thickBot="1">
      <c r="A121" s="323"/>
      <c r="B121" s="323"/>
      <c r="C121" s="323"/>
      <c r="D121" s="323"/>
      <c r="E121" s="323"/>
      <c r="F121" s="335"/>
      <c r="G121" s="323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3"/>
    </row>
    <row r="122" spans="1:18" ht="19.5" thickBot="1">
      <c r="A122" s="323"/>
      <c r="B122" s="323"/>
      <c r="C122" s="323"/>
      <c r="D122" s="323"/>
      <c r="E122" s="323"/>
      <c r="F122" s="335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</row>
    <row r="123" spans="1:18" ht="19.5" thickBot="1">
      <c r="A123" s="323"/>
      <c r="B123" s="323"/>
      <c r="C123" s="323"/>
      <c r="D123" s="323"/>
      <c r="E123" s="323"/>
      <c r="F123" s="335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</row>
    <row r="124" spans="1:18" ht="19.5" thickBot="1">
      <c r="A124" s="323"/>
      <c r="B124" s="323"/>
      <c r="C124" s="323"/>
      <c r="D124" s="323"/>
      <c r="E124" s="323"/>
      <c r="F124" s="335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</row>
    <row r="125" spans="1:18" ht="19.5" thickBot="1">
      <c r="A125" s="323"/>
      <c r="B125" s="323"/>
      <c r="C125" s="323"/>
      <c r="D125" s="323"/>
      <c r="E125" s="323"/>
      <c r="F125" s="335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</row>
    <row r="126" spans="1:18" ht="19.5" thickBot="1">
      <c r="A126" s="323"/>
      <c r="B126" s="323"/>
      <c r="C126" s="323"/>
      <c r="D126" s="323"/>
      <c r="E126" s="323"/>
      <c r="F126" s="335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</row>
    <row r="127" spans="1:18" ht="19.5" thickBot="1">
      <c r="A127" s="323"/>
      <c r="B127" s="323"/>
      <c r="C127" s="323"/>
      <c r="D127" s="323"/>
      <c r="E127" s="323"/>
      <c r="F127" s="335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</row>
    <row r="128" spans="1:18" ht="19.5" thickBot="1">
      <c r="A128" s="323"/>
      <c r="B128" s="323"/>
      <c r="C128" s="323"/>
      <c r="D128" s="323"/>
      <c r="E128" s="323"/>
      <c r="F128" s="335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</row>
    <row r="129" spans="1:18" ht="19.5" thickBot="1">
      <c r="A129" s="323"/>
      <c r="B129" s="323"/>
      <c r="C129" s="323"/>
      <c r="D129" s="323"/>
      <c r="E129" s="323"/>
      <c r="F129" s="335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</row>
    <row r="130" spans="1:18" ht="19.5" thickBot="1">
      <c r="A130" s="323"/>
      <c r="B130" s="323"/>
      <c r="C130" s="323"/>
      <c r="D130" s="323"/>
      <c r="E130" s="323"/>
      <c r="F130" s="335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</row>
    <row r="131" spans="1:18" ht="19.5" thickBot="1">
      <c r="A131" s="323"/>
      <c r="B131" s="323"/>
      <c r="C131" s="323"/>
      <c r="D131" s="323"/>
      <c r="E131" s="323"/>
      <c r="F131" s="335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</row>
    <row r="132" spans="1:18" ht="19.5" thickBot="1">
      <c r="A132" s="323"/>
      <c r="B132" s="323"/>
      <c r="C132" s="323"/>
      <c r="D132" s="323"/>
      <c r="E132" s="323"/>
      <c r="F132" s="335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</row>
    <row r="133" spans="1:18" ht="19.5" thickBot="1">
      <c r="A133" s="323"/>
      <c r="B133" s="323"/>
      <c r="C133" s="323"/>
      <c r="D133" s="323"/>
      <c r="E133" s="323"/>
      <c r="F133" s="335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</row>
    <row r="134" spans="1:18" ht="19.5" thickBot="1">
      <c r="A134" s="323"/>
      <c r="B134" s="323"/>
      <c r="C134" s="323"/>
      <c r="D134" s="323"/>
      <c r="E134" s="323"/>
      <c r="F134" s="335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</row>
    <row r="135" spans="1:18" ht="19.5" thickBot="1">
      <c r="A135" s="323"/>
      <c r="B135" s="323"/>
      <c r="C135" s="323"/>
      <c r="D135" s="323"/>
      <c r="E135" s="323"/>
      <c r="F135" s="335"/>
      <c r="G135" s="323"/>
      <c r="H135" s="323"/>
      <c r="I135" s="323"/>
      <c r="J135" s="323"/>
      <c r="K135" s="323"/>
      <c r="L135" s="323"/>
      <c r="M135" s="323"/>
      <c r="N135" s="323"/>
      <c r="O135" s="323"/>
      <c r="P135" s="323"/>
      <c r="Q135" s="323"/>
      <c r="R135" s="323"/>
    </row>
    <row r="136" spans="1:18" ht="19.5" thickBot="1">
      <c r="A136" s="323"/>
      <c r="B136" s="323"/>
      <c r="C136" s="323"/>
      <c r="D136" s="323"/>
      <c r="E136" s="323"/>
      <c r="F136" s="335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</row>
    <row r="137" spans="1:18" ht="19.5" thickBot="1">
      <c r="A137" s="323"/>
      <c r="B137" s="323"/>
      <c r="C137" s="323"/>
      <c r="D137" s="323"/>
      <c r="E137" s="323"/>
      <c r="F137" s="335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</row>
    <row r="138" spans="1:18" ht="19.5" thickBot="1">
      <c r="A138" s="323"/>
      <c r="B138" s="323"/>
      <c r="C138" s="323"/>
      <c r="D138" s="323"/>
      <c r="E138" s="323"/>
      <c r="F138" s="335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</row>
    <row r="139" spans="1:18" ht="19.5" thickBot="1">
      <c r="A139" s="323"/>
      <c r="B139" s="323"/>
      <c r="C139" s="323"/>
      <c r="D139" s="323"/>
      <c r="E139" s="323"/>
      <c r="F139" s="335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</row>
    <row r="140" spans="1:18" ht="19.5" thickBot="1">
      <c r="A140" s="323"/>
      <c r="B140" s="323"/>
      <c r="C140" s="323"/>
      <c r="D140" s="323"/>
      <c r="E140" s="323"/>
      <c r="F140" s="335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</row>
    <row r="141" spans="1:18" ht="19.5" thickBot="1">
      <c r="A141" s="323"/>
      <c r="B141" s="323"/>
      <c r="C141" s="323"/>
      <c r="D141" s="323"/>
      <c r="E141" s="323"/>
      <c r="F141" s="335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</row>
    <row r="142" spans="1:18" ht="19.5" thickBot="1">
      <c r="A142" s="323"/>
      <c r="B142" s="323"/>
      <c r="C142" s="323"/>
      <c r="D142" s="323"/>
      <c r="E142" s="323"/>
      <c r="F142" s="335"/>
      <c r="G142" s="323"/>
      <c r="H142" s="323"/>
      <c r="I142" s="323"/>
      <c r="J142" s="323"/>
      <c r="K142" s="323"/>
      <c r="L142" s="323"/>
      <c r="M142" s="323"/>
      <c r="N142" s="323"/>
      <c r="O142" s="323"/>
      <c r="P142" s="323"/>
      <c r="Q142" s="323"/>
      <c r="R142" s="323"/>
    </row>
    <row r="143" spans="1:18" ht="19.5" thickBot="1">
      <c r="A143" s="323"/>
      <c r="B143" s="323"/>
      <c r="C143" s="323"/>
      <c r="D143" s="323"/>
      <c r="E143" s="323"/>
      <c r="F143" s="335"/>
      <c r="G143" s="323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</row>
    <row r="144" spans="1:18" ht="19.5" thickBot="1">
      <c r="A144" s="323"/>
      <c r="B144" s="323"/>
      <c r="C144" s="323"/>
      <c r="D144" s="323"/>
      <c r="E144" s="323"/>
      <c r="F144" s="335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</row>
    <row r="145" spans="1:18" ht="19.5" thickBot="1">
      <c r="A145" s="323"/>
      <c r="B145" s="323"/>
      <c r="C145" s="323"/>
      <c r="D145" s="323"/>
      <c r="E145" s="323"/>
      <c r="F145" s="335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</row>
    <row r="146" spans="1:18" ht="19.5" thickBot="1">
      <c r="A146" s="323"/>
      <c r="B146" s="323"/>
      <c r="C146" s="323"/>
      <c r="D146" s="323"/>
      <c r="E146" s="323"/>
      <c r="F146" s="335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</row>
  </sheetData>
  <mergeCells count="64">
    <mergeCell ref="A48:A49"/>
    <mergeCell ref="C48:C49"/>
    <mergeCell ref="C45:C47"/>
    <mergeCell ref="A45:A47"/>
    <mergeCell ref="C50:C51"/>
    <mergeCell ref="A50:A51"/>
    <mergeCell ref="B45:B47"/>
    <mergeCell ref="B48:B49"/>
    <mergeCell ref="B50:B51"/>
    <mergeCell ref="A39:A42"/>
    <mergeCell ref="A37:A38"/>
    <mergeCell ref="C37:C38"/>
    <mergeCell ref="C39:C42"/>
    <mergeCell ref="A43:A44"/>
    <mergeCell ref="C43:C44"/>
    <mergeCell ref="D37:F37"/>
    <mergeCell ref="B39:B42"/>
    <mergeCell ref="B43:B44"/>
    <mergeCell ref="B37:B38"/>
    <mergeCell ref="A21:A23"/>
    <mergeCell ref="C21:C23"/>
    <mergeCell ref="D21:D23"/>
    <mergeCell ref="E21:E23"/>
    <mergeCell ref="A30:A32"/>
    <mergeCell ref="C30:C32"/>
    <mergeCell ref="D30:D32"/>
    <mergeCell ref="E30:E32"/>
    <mergeCell ref="A24:A26"/>
    <mergeCell ref="C24:C26"/>
    <mergeCell ref="D24:D26"/>
    <mergeCell ref="E24:E26"/>
    <mergeCell ref="A27:A29"/>
    <mergeCell ref="C27:C29"/>
    <mergeCell ref="D27:D29"/>
    <mergeCell ref="E27:E29"/>
    <mergeCell ref="A15:A17"/>
    <mergeCell ref="C15:C17"/>
    <mergeCell ref="D15:D17"/>
    <mergeCell ref="E15:E17"/>
    <mergeCell ref="A18:A20"/>
    <mergeCell ref="C18:C20"/>
    <mergeCell ref="D18:D20"/>
    <mergeCell ref="E18:E20"/>
    <mergeCell ref="A9:A11"/>
    <mergeCell ref="C9:C11"/>
    <mergeCell ref="D9:D11"/>
    <mergeCell ref="E9:E11"/>
    <mergeCell ref="A12:A14"/>
    <mergeCell ref="C12:C14"/>
    <mergeCell ref="D12:D14"/>
    <mergeCell ref="E12:E14"/>
    <mergeCell ref="G1:L1"/>
    <mergeCell ref="A6:A8"/>
    <mergeCell ref="C6:C8"/>
    <mergeCell ref="D6:D8"/>
    <mergeCell ref="E6:E8"/>
    <mergeCell ref="A3:A5"/>
    <mergeCell ref="C3:C5"/>
    <mergeCell ref="D3:D5"/>
    <mergeCell ref="E3:E5"/>
    <mergeCell ref="A1:A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selection activeCell="D48" sqref="D48"/>
    </sheetView>
  </sheetViews>
  <sheetFormatPr defaultRowHeight="13.5"/>
  <cols>
    <col min="3" max="3" width="9" style="283"/>
    <col min="6" max="6" width="9" customWidth="1"/>
  </cols>
  <sheetData>
    <row r="1" spans="1:9" ht="14.25" thickBot="1">
      <c r="A1" s="450" t="s">
        <v>401</v>
      </c>
      <c r="B1" s="455" t="s">
        <v>406</v>
      </c>
      <c r="C1" s="453" t="s">
        <v>510</v>
      </c>
      <c r="D1" s="457" t="s">
        <v>490</v>
      </c>
      <c r="E1" s="458"/>
      <c r="F1" s="458"/>
      <c r="G1" s="458"/>
      <c r="H1" s="458"/>
      <c r="I1" s="459"/>
    </row>
    <row r="2" spans="1:9" ht="15" thickBot="1">
      <c r="A2" s="452"/>
      <c r="B2" s="456"/>
      <c r="C2" s="454"/>
      <c r="D2" s="344" t="s">
        <v>491</v>
      </c>
      <c r="E2" s="344" t="s">
        <v>492</v>
      </c>
      <c r="F2" s="344" t="s">
        <v>493</v>
      </c>
      <c r="G2" s="344" t="s">
        <v>295</v>
      </c>
      <c r="H2" s="344" t="s">
        <v>494</v>
      </c>
      <c r="I2" s="344" t="s">
        <v>495</v>
      </c>
    </row>
    <row r="3" spans="1:9" ht="15" thickBot="1">
      <c r="A3" s="450" t="s">
        <v>496</v>
      </c>
      <c r="B3" s="345" t="s">
        <v>6</v>
      </c>
      <c r="C3" s="345">
        <f>D3/4</f>
        <v>3</v>
      </c>
      <c r="D3" s="344">
        <v>12</v>
      </c>
      <c r="E3" s="344">
        <v>12</v>
      </c>
      <c r="F3" s="344">
        <v>4</v>
      </c>
      <c r="G3" s="344">
        <v>12</v>
      </c>
      <c r="H3" s="344">
        <v>4</v>
      </c>
      <c r="I3" s="344">
        <v>4</v>
      </c>
    </row>
    <row r="4" spans="1:9" ht="15" thickBot="1">
      <c r="A4" s="451"/>
      <c r="B4" s="345" t="s">
        <v>7</v>
      </c>
      <c r="C4" s="345">
        <f t="shared" ref="C4:C67" si="0">D4/4</f>
        <v>3</v>
      </c>
      <c r="D4" s="344">
        <v>12</v>
      </c>
      <c r="E4" s="344">
        <v>12</v>
      </c>
      <c r="F4" s="344">
        <v>4</v>
      </c>
      <c r="G4" s="344">
        <v>12</v>
      </c>
      <c r="H4" s="344">
        <v>4</v>
      </c>
      <c r="I4" s="344">
        <v>0</v>
      </c>
    </row>
    <row r="5" spans="1:9" ht="15" thickBot="1">
      <c r="A5" s="451"/>
      <c r="B5" s="345" t="s">
        <v>9</v>
      </c>
      <c r="C5" s="345">
        <f t="shared" si="0"/>
        <v>3</v>
      </c>
      <c r="D5" s="344">
        <v>12</v>
      </c>
      <c r="E5" s="344">
        <v>12</v>
      </c>
      <c r="F5" s="344">
        <v>4</v>
      </c>
      <c r="G5" s="344">
        <v>12</v>
      </c>
      <c r="H5" s="344">
        <v>4</v>
      </c>
      <c r="I5" s="344">
        <v>0</v>
      </c>
    </row>
    <row r="6" spans="1:9" ht="15" thickBot="1">
      <c r="A6" s="451"/>
      <c r="B6" s="345" t="s">
        <v>497</v>
      </c>
      <c r="C6" s="345">
        <f t="shared" si="0"/>
        <v>6</v>
      </c>
      <c r="D6" s="346">
        <v>24</v>
      </c>
      <c r="E6" s="346">
        <v>24</v>
      </c>
      <c r="F6" s="346">
        <v>8</v>
      </c>
      <c r="G6" s="346">
        <v>24</v>
      </c>
      <c r="H6" s="346">
        <v>8</v>
      </c>
      <c r="I6" s="344">
        <v>8</v>
      </c>
    </row>
    <row r="7" spans="1:9" ht="15" thickBot="1">
      <c r="A7" s="451"/>
      <c r="B7" s="345" t="s">
        <v>498</v>
      </c>
      <c r="C7" s="345">
        <f t="shared" si="0"/>
        <v>4</v>
      </c>
      <c r="D7" s="346">
        <v>16</v>
      </c>
      <c r="E7" s="346">
        <v>16</v>
      </c>
      <c r="F7" s="348">
        <f>16/3</f>
        <v>5.333333333333333</v>
      </c>
      <c r="G7" s="346">
        <v>16</v>
      </c>
      <c r="H7" s="348">
        <f>16/3</f>
        <v>5.333333333333333</v>
      </c>
      <c r="I7" s="349" t="s">
        <v>509</v>
      </c>
    </row>
    <row r="8" spans="1:9" ht="15" thickBot="1">
      <c r="A8" s="451"/>
      <c r="B8" s="345" t="s">
        <v>431</v>
      </c>
      <c r="C8" s="345">
        <f t="shared" si="0"/>
        <v>6</v>
      </c>
      <c r="D8" s="346">
        <v>24</v>
      </c>
      <c r="E8" s="346">
        <v>24</v>
      </c>
      <c r="F8" s="346">
        <v>8</v>
      </c>
      <c r="G8" s="346">
        <v>24</v>
      </c>
      <c r="H8" s="346">
        <v>8</v>
      </c>
      <c r="I8" s="344">
        <v>0</v>
      </c>
    </row>
    <row r="9" spans="1:9" ht="15" thickBot="1">
      <c r="A9" s="451"/>
      <c r="B9" s="345" t="s">
        <v>434</v>
      </c>
      <c r="C9" s="345">
        <f t="shared" si="0"/>
        <v>9</v>
      </c>
      <c r="D9" s="346">
        <v>36</v>
      </c>
      <c r="E9" s="346">
        <v>36</v>
      </c>
      <c r="F9" s="346">
        <v>12</v>
      </c>
      <c r="G9" s="346">
        <v>36</v>
      </c>
      <c r="H9" s="346">
        <v>12</v>
      </c>
      <c r="I9" s="346">
        <v>0</v>
      </c>
    </row>
    <row r="10" spans="1:9" ht="15" thickBot="1">
      <c r="A10" s="451"/>
      <c r="B10" s="345" t="s">
        <v>501</v>
      </c>
      <c r="C10" s="345">
        <f t="shared" si="0"/>
        <v>3</v>
      </c>
      <c r="D10" s="344">
        <v>12</v>
      </c>
      <c r="E10" s="344">
        <v>12</v>
      </c>
      <c r="F10" s="344">
        <v>4</v>
      </c>
      <c r="G10" s="344">
        <v>12</v>
      </c>
      <c r="H10" s="344">
        <v>4</v>
      </c>
      <c r="I10" s="344">
        <v>0</v>
      </c>
    </row>
    <row r="11" spans="1:9" ht="15" thickBot="1">
      <c r="A11" s="451"/>
      <c r="B11" s="345" t="s">
        <v>500</v>
      </c>
      <c r="C11" s="345"/>
      <c r="D11" s="346"/>
      <c r="E11" s="346"/>
      <c r="F11" s="346"/>
      <c r="G11" s="346"/>
      <c r="H11" s="346"/>
      <c r="I11" s="346"/>
    </row>
    <row r="12" spans="1:9" ht="15" thickBot="1">
      <c r="A12" s="451"/>
      <c r="B12" s="345" t="s">
        <v>499</v>
      </c>
      <c r="C12" s="345"/>
      <c r="D12" s="346"/>
      <c r="E12" s="346"/>
      <c r="F12" s="346"/>
      <c r="G12" s="346"/>
      <c r="H12" s="346"/>
      <c r="I12" s="346"/>
    </row>
    <row r="13" spans="1:9" ht="15" thickBot="1">
      <c r="A13" s="451"/>
      <c r="B13" s="345" t="s">
        <v>502</v>
      </c>
      <c r="C13" s="345"/>
      <c r="D13" s="346"/>
      <c r="E13" s="346"/>
      <c r="F13" s="346"/>
      <c r="G13" s="346"/>
      <c r="H13" s="346"/>
      <c r="I13" s="346"/>
    </row>
    <row r="14" spans="1:9" ht="15" thickBot="1">
      <c r="A14" s="451"/>
      <c r="B14" s="345" t="s">
        <v>503</v>
      </c>
      <c r="C14" s="345"/>
      <c r="D14" s="346"/>
      <c r="E14" s="346"/>
      <c r="F14" s="346"/>
      <c r="G14" s="346"/>
      <c r="H14" s="346"/>
      <c r="I14" s="346"/>
    </row>
    <row r="15" spans="1:9" ht="15" thickBot="1">
      <c r="A15" s="451"/>
      <c r="B15" s="345" t="s">
        <v>8</v>
      </c>
      <c r="C15" s="345"/>
      <c r="D15" s="346"/>
      <c r="E15" s="346"/>
      <c r="F15" s="346"/>
      <c r="G15" s="346"/>
      <c r="H15" s="346"/>
      <c r="I15" s="346"/>
    </row>
    <row r="16" spans="1:9" ht="15" thickBot="1">
      <c r="A16" s="451"/>
      <c r="B16" s="345" t="s">
        <v>504</v>
      </c>
      <c r="C16" s="345"/>
      <c r="D16" s="346"/>
      <c r="E16" s="346"/>
      <c r="F16" s="346"/>
      <c r="G16" s="346"/>
      <c r="H16" s="346"/>
      <c r="I16" s="346"/>
    </row>
    <row r="17" spans="1:9" ht="15" thickBot="1">
      <c r="A17" s="452"/>
      <c r="B17" s="347" t="s">
        <v>505</v>
      </c>
      <c r="C17" s="345"/>
      <c r="D17" s="346"/>
      <c r="E17" s="346"/>
      <c r="F17" s="346"/>
      <c r="G17" s="346"/>
      <c r="H17" s="346"/>
      <c r="I17" s="346"/>
    </row>
    <row r="18" spans="1:9" ht="15" thickBot="1">
      <c r="A18" s="450" t="s">
        <v>506</v>
      </c>
      <c r="B18" s="345" t="s">
        <v>6</v>
      </c>
      <c r="C18" s="345">
        <f t="shared" si="0"/>
        <v>4</v>
      </c>
      <c r="D18" s="346">
        <v>16</v>
      </c>
      <c r="E18" s="346">
        <v>16</v>
      </c>
      <c r="F18" s="346">
        <v>8</v>
      </c>
      <c r="G18" s="346">
        <v>96</v>
      </c>
      <c r="H18" s="346">
        <v>8</v>
      </c>
      <c r="I18" s="346">
        <v>0</v>
      </c>
    </row>
    <row r="19" spans="1:9" ht="15" thickBot="1">
      <c r="A19" s="451"/>
      <c r="B19" s="345" t="s">
        <v>7</v>
      </c>
      <c r="C19" s="345">
        <f t="shared" si="0"/>
        <v>4</v>
      </c>
      <c r="D19" s="346">
        <v>16</v>
      </c>
      <c r="E19" s="346">
        <v>16</v>
      </c>
      <c r="F19" s="346">
        <v>8</v>
      </c>
      <c r="G19" s="346">
        <v>96</v>
      </c>
      <c r="H19" s="346">
        <v>8</v>
      </c>
      <c r="I19" s="346">
        <v>0</v>
      </c>
    </row>
    <row r="20" spans="1:9" ht="15" thickBot="1">
      <c r="A20" s="451"/>
      <c r="B20" s="345" t="s">
        <v>9</v>
      </c>
      <c r="C20" s="345">
        <f t="shared" si="0"/>
        <v>4</v>
      </c>
      <c r="D20" s="346">
        <v>16</v>
      </c>
      <c r="E20" s="346">
        <v>16</v>
      </c>
      <c r="F20" s="346">
        <v>8</v>
      </c>
      <c r="G20" s="346">
        <v>96</v>
      </c>
      <c r="H20" s="346">
        <v>8</v>
      </c>
      <c r="I20" s="346">
        <v>0</v>
      </c>
    </row>
    <row r="21" spans="1:9" ht="15" thickBot="1">
      <c r="A21" s="451"/>
      <c r="B21" s="345" t="s">
        <v>497</v>
      </c>
      <c r="C21" s="345">
        <f t="shared" si="0"/>
        <v>6</v>
      </c>
      <c r="D21" s="346">
        <v>24</v>
      </c>
      <c r="E21" s="346">
        <v>24</v>
      </c>
      <c r="F21" s="346">
        <v>12</v>
      </c>
      <c r="G21" s="346">
        <v>144</v>
      </c>
      <c r="H21" s="344">
        <v>12</v>
      </c>
      <c r="I21" s="346">
        <v>0</v>
      </c>
    </row>
    <row r="22" spans="1:9" ht="15" thickBot="1">
      <c r="A22" s="451"/>
      <c r="B22" s="345" t="s">
        <v>498</v>
      </c>
      <c r="C22" s="345">
        <f t="shared" si="0"/>
        <v>4</v>
      </c>
      <c r="D22" s="346">
        <v>16</v>
      </c>
      <c r="E22" s="346">
        <v>16</v>
      </c>
      <c r="F22" s="346">
        <v>8</v>
      </c>
      <c r="G22" s="346">
        <v>96</v>
      </c>
      <c r="H22" s="346">
        <v>8</v>
      </c>
      <c r="I22" s="346">
        <v>0</v>
      </c>
    </row>
    <row r="23" spans="1:9" ht="15" thickBot="1">
      <c r="A23" s="451"/>
      <c r="B23" s="345" t="s">
        <v>431</v>
      </c>
      <c r="C23" s="345">
        <f t="shared" si="0"/>
        <v>5</v>
      </c>
      <c r="D23" s="346">
        <v>20</v>
      </c>
      <c r="E23" s="346">
        <v>20</v>
      </c>
      <c r="F23" s="346">
        <v>10</v>
      </c>
      <c r="G23" s="346">
        <v>120</v>
      </c>
      <c r="H23" s="346">
        <v>10</v>
      </c>
      <c r="I23" s="346">
        <v>0</v>
      </c>
    </row>
    <row r="24" spans="1:9" ht="15" thickBot="1">
      <c r="A24" s="451"/>
      <c r="B24" s="345" t="s">
        <v>434</v>
      </c>
      <c r="C24" s="345">
        <f t="shared" si="0"/>
        <v>8</v>
      </c>
      <c r="D24" s="346">
        <v>32</v>
      </c>
      <c r="E24" s="346">
        <v>32</v>
      </c>
      <c r="F24" s="346">
        <v>16</v>
      </c>
      <c r="G24" s="346">
        <v>192</v>
      </c>
      <c r="H24" s="346">
        <v>16</v>
      </c>
      <c r="I24" s="346">
        <v>0</v>
      </c>
    </row>
    <row r="25" spans="1:9" ht="15" thickBot="1">
      <c r="A25" s="451"/>
      <c r="B25" s="345" t="s">
        <v>501</v>
      </c>
      <c r="C25" s="345">
        <f t="shared" si="0"/>
        <v>4</v>
      </c>
      <c r="D25" s="346">
        <v>16</v>
      </c>
      <c r="E25" s="346">
        <v>16</v>
      </c>
      <c r="F25" s="346">
        <v>8</v>
      </c>
      <c r="G25" s="346">
        <v>96</v>
      </c>
      <c r="H25" s="346">
        <v>8</v>
      </c>
      <c r="I25" s="346">
        <v>0</v>
      </c>
    </row>
    <row r="26" spans="1:9" ht="15" thickBot="1">
      <c r="A26" s="451"/>
      <c r="B26" s="345" t="s">
        <v>500</v>
      </c>
      <c r="C26" s="345"/>
      <c r="D26" s="346"/>
      <c r="E26" s="346"/>
      <c r="F26" s="346"/>
      <c r="G26" s="346"/>
      <c r="H26" s="346"/>
      <c r="I26" s="346"/>
    </row>
    <row r="27" spans="1:9" ht="15" thickBot="1">
      <c r="A27" s="451"/>
      <c r="B27" s="345" t="s">
        <v>499</v>
      </c>
      <c r="C27" s="345"/>
      <c r="D27" s="346"/>
      <c r="E27" s="346"/>
      <c r="F27" s="346"/>
      <c r="G27" s="346"/>
      <c r="H27" s="346"/>
      <c r="I27" s="346"/>
    </row>
    <row r="28" spans="1:9" ht="15" thickBot="1">
      <c r="A28" s="451"/>
      <c r="B28" s="345" t="s">
        <v>502</v>
      </c>
      <c r="C28" s="345"/>
      <c r="D28" s="346"/>
      <c r="E28" s="346"/>
      <c r="F28" s="346"/>
      <c r="G28" s="346"/>
      <c r="H28" s="346"/>
      <c r="I28" s="346"/>
    </row>
    <row r="29" spans="1:9" ht="15" thickBot="1">
      <c r="A29" s="451"/>
      <c r="B29" s="345" t="s">
        <v>503</v>
      </c>
      <c r="C29" s="345"/>
      <c r="D29" s="346"/>
      <c r="E29" s="346"/>
      <c r="F29" s="346"/>
      <c r="G29" s="346"/>
      <c r="H29" s="346"/>
      <c r="I29" s="346"/>
    </row>
    <row r="30" spans="1:9" ht="15" thickBot="1">
      <c r="A30" s="451"/>
      <c r="B30" s="345" t="s">
        <v>8</v>
      </c>
      <c r="C30" s="345"/>
      <c r="D30" s="346"/>
      <c r="E30" s="346"/>
      <c r="F30" s="346"/>
      <c r="G30" s="346"/>
      <c r="H30" s="346"/>
      <c r="I30" s="346"/>
    </row>
    <row r="31" spans="1:9" ht="15" thickBot="1">
      <c r="A31" s="451"/>
      <c r="B31" s="345" t="s">
        <v>504</v>
      </c>
      <c r="C31" s="345"/>
      <c r="D31" s="346"/>
      <c r="E31" s="346"/>
      <c r="F31" s="346"/>
      <c r="G31" s="346"/>
      <c r="H31" s="346"/>
      <c r="I31" s="346"/>
    </row>
    <row r="32" spans="1:9" ht="15" thickBot="1">
      <c r="A32" s="452"/>
      <c r="B32" s="347" t="s">
        <v>505</v>
      </c>
      <c r="C32" s="345"/>
      <c r="D32" s="346"/>
      <c r="E32" s="346"/>
      <c r="F32" s="346"/>
      <c r="G32" s="346"/>
      <c r="H32" s="346"/>
      <c r="I32" s="346"/>
    </row>
    <row r="33" spans="1:9" ht="15" thickBot="1">
      <c r="A33" s="447" t="s">
        <v>507</v>
      </c>
      <c r="B33" s="345" t="s">
        <v>6</v>
      </c>
      <c r="C33" s="345">
        <f t="shared" si="0"/>
        <v>2</v>
      </c>
      <c r="D33" s="346">
        <v>8</v>
      </c>
      <c r="E33" s="346">
        <v>8</v>
      </c>
      <c r="F33" s="346">
        <v>8</v>
      </c>
      <c r="G33" s="346">
        <v>48</v>
      </c>
      <c r="H33" s="346">
        <v>8</v>
      </c>
      <c r="I33" s="346">
        <v>0</v>
      </c>
    </row>
    <row r="34" spans="1:9" ht="15" thickBot="1">
      <c r="A34" s="448"/>
      <c r="B34" s="345" t="s">
        <v>7</v>
      </c>
      <c r="C34" s="345">
        <f t="shared" si="0"/>
        <v>3</v>
      </c>
      <c r="D34" s="346">
        <v>12</v>
      </c>
      <c r="E34" s="346">
        <v>12</v>
      </c>
      <c r="F34" s="346">
        <v>12</v>
      </c>
      <c r="G34" s="346">
        <v>72</v>
      </c>
      <c r="H34" s="346">
        <v>12</v>
      </c>
      <c r="I34" s="346">
        <v>0</v>
      </c>
    </row>
    <row r="35" spans="1:9" ht="15" thickBot="1">
      <c r="A35" s="448"/>
      <c r="B35" s="345" t="s">
        <v>9</v>
      </c>
      <c r="C35" s="345">
        <f t="shared" si="0"/>
        <v>4</v>
      </c>
      <c r="D35" s="346">
        <v>16</v>
      </c>
      <c r="E35" s="346">
        <v>16</v>
      </c>
      <c r="F35" s="346">
        <v>16</v>
      </c>
      <c r="G35" s="346">
        <v>96</v>
      </c>
      <c r="H35" s="346">
        <v>16</v>
      </c>
      <c r="I35" s="346">
        <v>0</v>
      </c>
    </row>
    <row r="36" spans="1:9" ht="15" thickBot="1">
      <c r="A36" s="448"/>
      <c r="B36" s="345" t="s">
        <v>497</v>
      </c>
      <c r="C36" s="345">
        <f t="shared" si="0"/>
        <v>5</v>
      </c>
      <c r="D36" s="346">
        <v>20</v>
      </c>
      <c r="E36" s="346">
        <v>20</v>
      </c>
      <c r="F36" s="346">
        <v>20</v>
      </c>
      <c r="G36" s="346">
        <v>120</v>
      </c>
      <c r="H36" s="346">
        <v>20</v>
      </c>
      <c r="I36" s="346">
        <v>0</v>
      </c>
    </row>
    <row r="37" spans="1:9" ht="15" thickBot="1">
      <c r="A37" s="448"/>
      <c r="B37" s="345" t="s">
        <v>498</v>
      </c>
      <c r="C37" s="345">
        <f t="shared" si="0"/>
        <v>4</v>
      </c>
      <c r="D37" s="346">
        <v>16</v>
      </c>
      <c r="E37" s="346">
        <v>16</v>
      </c>
      <c r="F37" s="346">
        <v>16</v>
      </c>
      <c r="G37" s="346">
        <v>96</v>
      </c>
      <c r="H37" s="346">
        <v>16</v>
      </c>
      <c r="I37" s="346">
        <v>0</v>
      </c>
    </row>
    <row r="38" spans="1:9" ht="15" thickBot="1">
      <c r="A38" s="448"/>
      <c r="B38" s="345" t="s">
        <v>431</v>
      </c>
      <c r="C38" s="345">
        <f t="shared" si="0"/>
        <v>5</v>
      </c>
      <c r="D38" s="346">
        <v>20</v>
      </c>
      <c r="E38" s="346">
        <v>20</v>
      </c>
      <c r="F38" s="346">
        <v>20</v>
      </c>
      <c r="G38" s="346">
        <v>120</v>
      </c>
      <c r="H38" s="346">
        <v>20</v>
      </c>
      <c r="I38" s="346">
        <v>0</v>
      </c>
    </row>
    <row r="39" spans="1:9" ht="15" thickBot="1">
      <c r="A39" s="448"/>
      <c r="B39" s="345" t="s">
        <v>434</v>
      </c>
      <c r="C39" s="345">
        <f t="shared" si="0"/>
        <v>7</v>
      </c>
      <c r="D39" s="346">
        <v>28</v>
      </c>
      <c r="E39" s="346">
        <v>28</v>
      </c>
      <c r="F39" s="346">
        <v>28</v>
      </c>
      <c r="G39" s="346">
        <v>168</v>
      </c>
      <c r="H39" s="346">
        <v>28</v>
      </c>
      <c r="I39" s="346">
        <v>0</v>
      </c>
    </row>
    <row r="40" spans="1:9" ht="15" thickBot="1">
      <c r="A40" s="448"/>
      <c r="B40" s="345" t="s">
        <v>501</v>
      </c>
      <c r="C40" s="345">
        <f t="shared" si="0"/>
        <v>3</v>
      </c>
      <c r="D40" s="346">
        <v>12</v>
      </c>
      <c r="E40" s="346">
        <v>12</v>
      </c>
      <c r="F40" s="346">
        <v>12</v>
      </c>
      <c r="G40" s="346">
        <v>72</v>
      </c>
      <c r="H40" s="346">
        <v>12</v>
      </c>
      <c r="I40" s="346">
        <v>0</v>
      </c>
    </row>
    <row r="41" spans="1:9" ht="15" thickBot="1">
      <c r="A41" s="448"/>
      <c r="B41" s="345" t="s">
        <v>500</v>
      </c>
      <c r="C41" s="345"/>
      <c r="D41" s="346"/>
      <c r="E41" s="346"/>
      <c r="F41" s="346"/>
      <c r="G41" s="346"/>
      <c r="H41" s="346"/>
      <c r="I41" s="346"/>
    </row>
    <row r="42" spans="1:9" ht="15" thickBot="1">
      <c r="A42" s="448"/>
      <c r="B42" s="345" t="s">
        <v>499</v>
      </c>
      <c r="C42" s="345"/>
      <c r="D42" s="346"/>
      <c r="E42" s="346"/>
      <c r="F42" s="346"/>
      <c r="G42" s="346"/>
      <c r="H42" s="346"/>
      <c r="I42" s="346"/>
    </row>
    <row r="43" spans="1:9" ht="15" thickBot="1">
      <c r="A43" s="448"/>
      <c r="B43" s="345" t="s">
        <v>502</v>
      </c>
      <c r="C43" s="345"/>
      <c r="D43" s="346"/>
      <c r="E43" s="346"/>
      <c r="F43" s="346"/>
      <c r="G43" s="346"/>
      <c r="H43" s="346"/>
      <c r="I43" s="346"/>
    </row>
    <row r="44" spans="1:9" ht="15" thickBot="1">
      <c r="A44" s="448"/>
      <c r="B44" s="345" t="s">
        <v>503</v>
      </c>
      <c r="C44" s="345"/>
      <c r="D44" s="346"/>
      <c r="E44" s="346"/>
      <c r="F44" s="346"/>
      <c r="G44" s="346"/>
      <c r="H44" s="346"/>
      <c r="I44" s="346"/>
    </row>
    <row r="45" spans="1:9" ht="15" thickBot="1">
      <c r="A45" s="448"/>
      <c r="B45" s="345" t="s">
        <v>8</v>
      </c>
      <c r="C45" s="345"/>
      <c r="D45" s="346"/>
      <c r="E45" s="346"/>
      <c r="F45" s="346"/>
      <c r="G45" s="346"/>
      <c r="H45" s="346"/>
      <c r="I45" s="346"/>
    </row>
    <row r="46" spans="1:9" ht="15" thickBot="1">
      <c r="A46" s="448"/>
      <c r="B46" s="345" t="s">
        <v>504</v>
      </c>
      <c r="C46" s="345"/>
      <c r="D46" s="346"/>
      <c r="E46" s="346"/>
      <c r="F46" s="346"/>
      <c r="G46" s="346"/>
      <c r="H46" s="346"/>
      <c r="I46" s="346"/>
    </row>
    <row r="47" spans="1:9" ht="15" thickBot="1">
      <c r="A47" s="449"/>
      <c r="B47" s="347" t="s">
        <v>505</v>
      </c>
      <c r="C47" s="345"/>
      <c r="D47" s="346"/>
      <c r="E47" s="346"/>
      <c r="F47" s="346"/>
      <c r="G47" s="346"/>
      <c r="H47" s="346"/>
      <c r="I47" s="346"/>
    </row>
    <row r="48" spans="1:9" ht="15" thickBot="1">
      <c r="A48" s="447" t="s">
        <v>290</v>
      </c>
      <c r="B48" s="345" t="s">
        <v>6</v>
      </c>
      <c r="C48" s="345">
        <f t="shared" si="0"/>
        <v>2</v>
      </c>
      <c r="D48" s="346">
        <v>8</v>
      </c>
      <c r="E48" s="346">
        <v>8</v>
      </c>
      <c r="F48" s="346">
        <v>8</v>
      </c>
      <c r="G48" s="346">
        <v>16</v>
      </c>
      <c r="H48" s="346">
        <v>8</v>
      </c>
      <c r="I48" s="346">
        <v>8</v>
      </c>
    </row>
    <row r="49" spans="1:9" ht="15" thickBot="1">
      <c r="A49" s="448"/>
      <c r="B49" s="345" t="s">
        <v>7</v>
      </c>
      <c r="C49" s="345">
        <f t="shared" si="0"/>
        <v>3</v>
      </c>
      <c r="D49" s="346">
        <v>12</v>
      </c>
      <c r="E49" s="346">
        <v>12</v>
      </c>
      <c r="F49" s="346">
        <v>12</v>
      </c>
      <c r="G49" s="346">
        <v>24</v>
      </c>
      <c r="H49" s="346">
        <v>12</v>
      </c>
      <c r="I49" s="346">
        <v>0</v>
      </c>
    </row>
    <row r="50" spans="1:9" ht="15" thickBot="1">
      <c r="A50" s="448"/>
      <c r="B50" s="345" t="s">
        <v>9</v>
      </c>
      <c r="C50" s="345">
        <f t="shared" si="0"/>
        <v>12</v>
      </c>
      <c r="D50" s="346">
        <v>48</v>
      </c>
      <c r="E50" s="346">
        <v>48</v>
      </c>
      <c r="F50" s="346">
        <v>48</v>
      </c>
      <c r="G50" s="346">
        <v>96</v>
      </c>
      <c r="H50" s="346">
        <v>48</v>
      </c>
      <c r="I50" s="346">
        <v>0</v>
      </c>
    </row>
    <row r="51" spans="1:9" ht="15" thickBot="1">
      <c r="A51" s="448"/>
      <c r="B51" s="345" t="s">
        <v>497</v>
      </c>
      <c r="C51" s="345">
        <f t="shared" si="0"/>
        <v>6</v>
      </c>
      <c r="D51" s="346">
        <v>24</v>
      </c>
      <c r="E51" s="346">
        <v>24</v>
      </c>
      <c r="F51" s="346">
        <v>24</v>
      </c>
      <c r="G51" s="346">
        <v>48</v>
      </c>
      <c r="H51" s="346">
        <v>24</v>
      </c>
      <c r="I51" s="346">
        <v>24</v>
      </c>
    </row>
    <row r="52" spans="1:9" ht="15" thickBot="1">
      <c r="A52" s="448"/>
      <c r="B52" s="345" t="s">
        <v>498</v>
      </c>
      <c r="C52" s="345">
        <f t="shared" si="0"/>
        <v>4</v>
      </c>
      <c r="D52" s="346">
        <v>16</v>
      </c>
      <c r="E52" s="346">
        <v>16</v>
      </c>
      <c r="F52" s="346">
        <v>16</v>
      </c>
      <c r="G52" s="346">
        <v>32</v>
      </c>
      <c r="H52" s="346">
        <v>16</v>
      </c>
      <c r="I52" s="346">
        <v>0</v>
      </c>
    </row>
    <row r="53" spans="1:9" ht="15" thickBot="1">
      <c r="A53" s="448"/>
      <c r="B53" s="345" t="s">
        <v>431</v>
      </c>
      <c r="C53" s="345">
        <f t="shared" si="0"/>
        <v>5</v>
      </c>
      <c r="D53" s="346">
        <v>20</v>
      </c>
      <c r="E53" s="346">
        <v>20</v>
      </c>
      <c r="F53" s="346">
        <v>20</v>
      </c>
      <c r="G53" s="346">
        <v>20</v>
      </c>
      <c r="H53" s="346">
        <v>20</v>
      </c>
      <c r="I53" s="346">
        <v>0</v>
      </c>
    </row>
    <row r="54" spans="1:9" ht="15" thickBot="1">
      <c r="A54" s="448"/>
      <c r="B54" s="345" t="s">
        <v>434</v>
      </c>
      <c r="C54" s="345">
        <f t="shared" si="0"/>
        <v>7</v>
      </c>
      <c r="D54" s="346">
        <v>28</v>
      </c>
      <c r="E54" s="346">
        <v>28</v>
      </c>
      <c r="F54" s="346">
        <v>28</v>
      </c>
      <c r="G54" s="346">
        <v>56</v>
      </c>
      <c r="H54" s="346">
        <v>28</v>
      </c>
      <c r="I54" s="346">
        <v>0</v>
      </c>
    </row>
    <row r="55" spans="1:9" ht="15" thickBot="1">
      <c r="A55" s="448"/>
      <c r="B55" s="345" t="s">
        <v>501</v>
      </c>
      <c r="C55" s="345">
        <f t="shared" si="0"/>
        <v>3</v>
      </c>
      <c r="D55" s="346">
        <v>12</v>
      </c>
      <c r="E55" s="346">
        <v>12</v>
      </c>
      <c r="F55" s="346">
        <v>12</v>
      </c>
      <c r="G55" s="346">
        <v>24</v>
      </c>
      <c r="H55" s="346">
        <v>12</v>
      </c>
      <c r="I55" s="346">
        <v>0</v>
      </c>
    </row>
    <row r="56" spans="1:9" ht="15" thickBot="1">
      <c r="A56" s="448"/>
      <c r="B56" s="345" t="s">
        <v>500</v>
      </c>
      <c r="C56" s="345"/>
      <c r="D56" s="346"/>
      <c r="E56" s="346"/>
      <c r="F56" s="346"/>
      <c r="G56" s="346"/>
      <c r="H56" s="346"/>
      <c r="I56" s="346"/>
    </row>
    <row r="57" spans="1:9" ht="15" thickBot="1">
      <c r="A57" s="448"/>
      <c r="B57" s="345" t="s">
        <v>499</v>
      </c>
      <c r="C57" s="345"/>
      <c r="D57" s="346"/>
      <c r="E57" s="346"/>
      <c r="F57" s="346"/>
      <c r="G57" s="346"/>
      <c r="H57" s="346"/>
      <c r="I57" s="346"/>
    </row>
    <row r="58" spans="1:9" ht="15" thickBot="1">
      <c r="A58" s="448"/>
      <c r="B58" s="345" t="s">
        <v>502</v>
      </c>
      <c r="C58" s="345"/>
      <c r="D58" s="346"/>
      <c r="E58" s="346"/>
      <c r="F58" s="346"/>
      <c r="G58" s="346"/>
      <c r="H58" s="346"/>
      <c r="I58" s="346"/>
    </row>
    <row r="59" spans="1:9" ht="15" thickBot="1">
      <c r="A59" s="448"/>
      <c r="B59" s="345" t="s">
        <v>503</v>
      </c>
      <c r="C59" s="345"/>
      <c r="D59" s="346"/>
      <c r="E59" s="346"/>
      <c r="F59" s="346"/>
      <c r="G59" s="346"/>
      <c r="H59" s="346"/>
      <c r="I59" s="346"/>
    </row>
    <row r="60" spans="1:9" ht="15" thickBot="1">
      <c r="A60" s="448"/>
      <c r="B60" s="345" t="s">
        <v>8</v>
      </c>
      <c r="C60" s="345"/>
      <c r="D60" s="346"/>
      <c r="E60" s="346"/>
      <c r="F60" s="346"/>
      <c r="G60" s="346"/>
      <c r="H60" s="346"/>
      <c r="I60" s="346"/>
    </row>
    <row r="61" spans="1:9" ht="15" thickBot="1">
      <c r="A61" s="448"/>
      <c r="B61" s="345" t="s">
        <v>504</v>
      </c>
      <c r="C61" s="345"/>
      <c r="D61" s="346"/>
      <c r="E61" s="346"/>
      <c r="F61" s="346"/>
      <c r="G61" s="346"/>
      <c r="H61" s="346"/>
      <c r="I61" s="346"/>
    </row>
    <row r="62" spans="1:9" ht="15" thickBot="1">
      <c r="A62" s="449"/>
      <c r="B62" s="347" t="s">
        <v>505</v>
      </c>
      <c r="C62" s="345"/>
      <c r="D62" s="346"/>
      <c r="E62" s="346"/>
      <c r="F62" s="346"/>
      <c r="G62" s="346"/>
      <c r="H62" s="346"/>
      <c r="I62" s="346"/>
    </row>
    <row r="63" spans="1:9" ht="15" thickBot="1">
      <c r="A63" s="447" t="s">
        <v>420</v>
      </c>
      <c r="B63" s="345" t="s">
        <v>6</v>
      </c>
      <c r="C63" s="345">
        <f t="shared" si="0"/>
        <v>0</v>
      </c>
      <c r="D63" s="346"/>
      <c r="E63" s="346"/>
      <c r="F63" s="346"/>
      <c r="G63" s="346"/>
      <c r="H63" s="346"/>
      <c r="I63" s="346"/>
    </row>
    <row r="64" spans="1:9" ht="15" thickBot="1">
      <c r="A64" s="448"/>
      <c r="B64" s="345" t="s">
        <v>7</v>
      </c>
      <c r="C64" s="345">
        <f t="shared" si="0"/>
        <v>0</v>
      </c>
      <c r="D64" s="346"/>
      <c r="E64" s="346"/>
      <c r="F64" s="346"/>
      <c r="G64" s="346"/>
      <c r="H64" s="346"/>
      <c r="I64" s="346"/>
    </row>
    <row r="65" spans="1:9" ht="15" thickBot="1">
      <c r="A65" s="448"/>
      <c r="B65" s="345" t="s">
        <v>9</v>
      </c>
      <c r="C65" s="345">
        <f t="shared" si="0"/>
        <v>0</v>
      </c>
      <c r="D65" s="346"/>
      <c r="E65" s="346"/>
      <c r="F65" s="346"/>
      <c r="G65" s="346"/>
      <c r="H65" s="346"/>
      <c r="I65" s="346"/>
    </row>
    <row r="66" spans="1:9" ht="15" thickBot="1">
      <c r="A66" s="448"/>
      <c r="B66" s="345" t="s">
        <v>497</v>
      </c>
      <c r="C66" s="345">
        <f t="shared" si="0"/>
        <v>0</v>
      </c>
      <c r="D66" s="346"/>
      <c r="E66" s="346"/>
      <c r="F66" s="346"/>
      <c r="G66" s="346"/>
      <c r="H66" s="346"/>
      <c r="I66" s="346"/>
    </row>
    <row r="67" spans="1:9" ht="15" thickBot="1">
      <c r="A67" s="448"/>
      <c r="B67" s="345" t="s">
        <v>498</v>
      </c>
      <c r="C67" s="345">
        <f t="shared" si="0"/>
        <v>0</v>
      </c>
      <c r="D67" s="346"/>
      <c r="E67" s="346"/>
      <c r="F67" s="346"/>
      <c r="G67" s="346"/>
      <c r="H67" s="346"/>
      <c r="I67" s="346"/>
    </row>
    <row r="68" spans="1:9" ht="15" thickBot="1">
      <c r="A68" s="448"/>
      <c r="B68" s="345" t="s">
        <v>431</v>
      </c>
      <c r="C68" s="345">
        <f t="shared" ref="C68:C85" si="1">D68/4</f>
        <v>0</v>
      </c>
      <c r="D68" s="346"/>
      <c r="E68" s="346"/>
      <c r="F68" s="346"/>
      <c r="G68" s="346"/>
      <c r="H68" s="346"/>
      <c r="I68" s="346"/>
    </row>
    <row r="69" spans="1:9" ht="15" thickBot="1">
      <c r="A69" s="448"/>
      <c r="B69" s="345" t="s">
        <v>434</v>
      </c>
      <c r="C69" s="345">
        <f t="shared" si="1"/>
        <v>0</v>
      </c>
      <c r="D69" s="346"/>
      <c r="E69" s="346"/>
      <c r="F69" s="346"/>
      <c r="G69" s="346"/>
      <c r="H69" s="346"/>
      <c r="I69" s="346"/>
    </row>
    <row r="70" spans="1:9" ht="15" thickBot="1">
      <c r="A70" s="448"/>
      <c r="B70" s="345" t="s">
        <v>501</v>
      </c>
      <c r="C70" s="345">
        <f t="shared" si="1"/>
        <v>0</v>
      </c>
      <c r="D70" s="346"/>
      <c r="E70" s="346"/>
      <c r="F70" s="346"/>
      <c r="G70" s="346"/>
      <c r="H70" s="346"/>
      <c r="I70" s="346"/>
    </row>
    <row r="71" spans="1:9" ht="15" thickBot="1">
      <c r="A71" s="448"/>
      <c r="B71" s="345" t="s">
        <v>500</v>
      </c>
      <c r="C71" s="345"/>
      <c r="D71" s="346"/>
      <c r="E71" s="346"/>
      <c r="F71" s="346"/>
      <c r="G71" s="346"/>
      <c r="H71" s="346"/>
      <c r="I71" s="346"/>
    </row>
    <row r="72" spans="1:9" ht="15" thickBot="1">
      <c r="A72" s="448"/>
      <c r="B72" s="345" t="s">
        <v>499</v>
      </c>
      <c r="C72" s="345"/>
      <c r="D72" s="346"/>
      <c r="E72" s="346"/>
      <c r="F72" s="346"/>
      <c r="G72" s="346"/>
      <c r="H72" s="346"/>
      <c r="I72" s="346"/>
    </row>
    <row r="73" spans="1:9" ht="15" thickBot="1">
      <c r="A73" s="448"/>
      <c r="B73" s="345" t="s">
        <v>502</v>
      </c>
      <c r="C73" s="345"/>
      <c r="D73" s="346"/>
      <c r="E73" s="346"/>
      <c r="F73" s="346"/>
      <c r="G73" s="346"/>
      <c r="H73" s="346"/>
      <c r="I73" s="346"/>
    </row>
    <row r="74" spans="1:9" ht="15" thickBot="1">
      <c r="A74" s="448"/>
      <c r="B74" s="345" t="s">
        <v>503</v>
      </c>
      <c r="C74" s="345"/>
      <c r="D74" s="346"/>
      <c r="E74" s="346"/>
      <c r="F74" s="346"/>
      <c r="G74" s="346"/>
      <c r="H74" s="346"/>
      <c r="I74" s="346"/>
    </row>
    <row r="75" spans="1:9" ht="15" thickBot="1">
      <c r="A75" s="448"/>
      <c r="B75" s="345" t="s">
        <v>8</v>
      </c>
      <c r="C75" s="345"/>
      <c r="D75" s="346"/>
      <c r="E75" s="346"/>
      <c r="F75" s="346"/>
      <c r="G75" s="346"/>
      <c r="H75" s="346"/>
      <c r="I75" s="346"/>
    </row>
    <row r="76" spans="1:9" ht="15" thickBot="1">
      <c r="A76" s="448"/>
      <c r="B76" s="345" t="s">
        <v>504</v>
      </c>
      <c r="C76" s="345"/>
      <c r="D76" s="346"/>
      <c r="E76" s="346"/>
      <c r="F76" s="346"/>
      <c r="G76" s="346"/>
      <c r="H76" s="346"/>
      <c r="I76" s="346"/>
    </row>
    <row r="77" spans="1:9" ht="15" thickBot="1">
      <c r="A77" s="449"/>
      <c r="B77" s="347" t="s">
        <v>505</v>
      </c>
      <c r="C77" s="345"/>
      <c r="D77" s="346"/>
      <c r="E77" s="346"/>
      <c r="F77" s="346"/>
      <c r="G77" s="346"/>
      <c r="H77" s="346"/>
      <c r="I77" s="346"/>
    </row>
    <row r="78" spans="1:9" ht="15" thickBot="1">
      <c r="A78" s="450" t="s">
        <v>508</v>
      </c>
      <c r="B78" s="345" t="s">
        <v>6</v>
      </c>
      <c r="C78" s="345">
        <f t="shared" si="1"/>
        <v>0</v>
      </c>
      <c r="D78" s="346"/>
      <c r="E78" s="346"/>
      <c r="F78" s="346"/>
      <c r="G78" s="346"/>
      <c r="H78" s="346"/>
      <c r="I78" s="346"/>
    </row>
    <row r="79" spans="1:9" ht="15" thickBot="1">
      <c r="A79" s="451"/>
      <c r="B79" s="345" t="s">
        <v>7</v>
      </c>
      <c r="C79" s="345">
        <f t="shared" si="1"/>
        <v>0</v>
      </c>
      <c r="D79" s="346"/>
      <c r="E79" s="346"/>
      <c r="F79" s="346"/>
      <c r="G79" s="346"/>
      <c r="H79" s="346"/>
      <c r="I79" s="346"/>
    </row>
    <row r="80" spans="1:9" ht="15" thickBot="1">
      <c r="A80" s="451"/>
      <c r="B80" s="345" t="s">
        <v>9</v>
      </c>
      <c r="C80" s="345">
        <f t="shared" si="1"/>
        <v>0</v>
      </c>
      <c r="D80" s="346"/>
      <c r="E80" s="346"/>
      <c r="F80" s="346"/>
      <c r="G80" s="346"/>
      <c r="H80" s="346"/>
      <c r="I80" s="346"/>
    </row>
    <row r="81" spans="1:9" ht="15" thickBot="1">
      <c r="A81" s="451"/>
      <c r="B81" s="345" t="s">
        <v>497</v>
      </c>
      <c r="C81" s="345">
        <f t="shared" si="1"/>
        <v>0</v>
      </c>
      <c r="D81" s="346"/>
      <c r="E81" s="346"/>
      <c r="F81" s="346"/>
      <c r="G81" s="346"/>
      <c r="H81" s="346"/>
      <c r="I81" s="346"/>
    </row>
    <row r="82" spans="1:9" ht="15" thickBot="1">
      <c r="A82" s="451"/>
      <c r="B82" s="345" t="s">
        <v>498</v>
      </c>
      <c r="C82" s="345">
        <f t="shared" si="1"/>
        <v>0</v>
      </c>
      <c r="D82" s="346"/>
      <c r="E82" s="346"/>
      <c r="F82" s="346"/>
      <c r="G82" s="346"/>
      <c r="H82" s="346"/>
      <c r="I82" s="346"/>
    </row>
    <row r="83" spans="1:9" ht="15" thickBot="1">
      <c r="A83" s="451"/>
      <c r="B83" s="345" t="s">
        <v>431</v>
      </c>
      <c r="C83" s="345">
        <f t="shared" si="1"/>
        <v>0</v>
      </c>
      <c r="D83" s="346"/>
      <c r="E83" s="346"/>
      <c r="F83" s="346"/>
      <c r="G83" s="346"/>
      <c r="H83" s="346"/>
      <c r="I83" s="346"/>
    </row>
    <row r="84" spans="1:9" ht="15" thickBot="1">
      <c r="A84" s="451"/>
      <c r="B84" s="345" t="s">
        <v>434</v>
      </c>
      <c r="C84" s="345">
        <f t="shared" si="1"/>
        <v>0</v>
      </c>
      <c r="D84" s="346"/>
      <c r="E84" s="346"/>
      <c r="F84" s="346"/>
      <c r="G84" s="346"/>
      <c r="H84" s="346"/>
      <c r="I84" s="346"/>
    </row>
    <row r="85" spans="1:9" ht="15" thickBot="1">
      <c r="A85" s="451"/>
      <c r="B85" s="345" t="s">
        <v>501</v>
      </c>
      <c r="C85" s="345">
        <f t="shared" si="1"/>
        <v>0</v>
      </c>
      <c r="D85" s="346"/>
      <c r="E85" s="346"/>
      <c r="F85" s="346"/>
      <c r="G85" s="346"/>
      <c r="H85" s="346"/>
      <c r="I85" s="346"/>
    </row>
    <row r="86" spans="1:9" ht="15" thickBot="1">
      <c r="A86" s="451"/>
      <c r="B86" s="345" t="s">
        <v>500</v>
      </c>
      <c r="C86" s="345"/>
      <c r="D86" s="346"/>
      <c r="E86" s="346"/>
      <c r="F86" s="346"/>
      <c r="G86" s="346"/>
      <c r="H86" s="346"/>
      <c r="I86" s="346"/>
    </row>
    <row r="87" spans="1:9" ht="15" thickBot="1">
      <c r="A87" s="451"/>
      <c r="B87" s="345" t="s">
        <v>499</v>
      </c>
      <c r="C87" s="345"/>
      <c r="D87" s="346"/>
      <c r="E87" s="346"/>
      <c r="F87" s="346"/>
      <c r="G87" s="346"/>
      <c r="H87" s="346"/>
      <c r="I87" s="346"/>
    </row>
    <row r="88" spans="1:9" ht="15" thickBot="1">
      <c r="A88" s="451"/>
      <c r="B88" s="345" t="s">
        <v>502</v>
      </c>
      <c r="C88" s="345"/>
      <c r="D88" s="346"/>
      <c r="E88" s="346"/>
      <c r="F88" s="346"/>
      <c r="G88" s="346"/>
      <c r="H88" s="346"/>
      <c r="I88" s="346"/>
    </row>
    <row r="89" spans="1:9" ht="15" thickBot="1">
      <c r="A89" s="451"/>
      <c r="B89" s="345" t="s">
        <v>503</v>
      </c>
      <c r="C89" s="345"/>
      <c r="D89" s="346"/>
      <c r="E89" s="346"/>
      <c r="F89" s="346"/>
      <c r="G89" s="346"/>
      <c r="H89" s="346"/>
      <c r="I89" s="346"/>
    </row>
    <row r="90" spans="1:9" ht="15" thickBot="1">
      <c r="A90" s="451"/>
      <c r="B90" s="345" t="s">
        <v>8</v>
      </c>
      <c r="C90" s="345"/>
      <c r="D90" s="346"/>
      <c r="E90" s="346"/>
      <c r="F90" s="346"/>
      <c r="G90" s="346"/>
      <c r="H90" s="346"/>
      <c r="I90" s="346"/>
    </row>
    <row r="91" spans="1:9" ht="15" thickBot="1">
      <c r="A91" s="451"/>
      <c r="B91" s="345" t="s">
        <v>504</v>
      </c>
      <c r="C91" s="345"/>
      <c r="D91" s="346"/>
      <c r="E91" s="346"/>
      <c r="F91" s="346"/>
      <c r="G91" s="346"/>
      <c r="H91" s="346"/>
      <c r="I91" s="346"/>
    </row>
    <row r="92" spans="1:9" ht="15" thickBot="1">
      <c r="A92" s="452"/>
      <c r="B92" s="347" t="s">
        <v>505</v>
      </c>
      <c r="C92" s="345"/>
      <c r="D92" s="346"/>
      <c r="E92" s="346"/>
      <c r="F92" s="346"/>
      <c r="G92" s="346"/>
      <c r="H92" s="346"/>
      <c r="I92" s="346"/>
    </row>
  </sheetData>
  <mergeCells count="10">
    <mergeCell ref="D1:I1"/>
    <mergeCell ref="A3:A17"/>
    <mergeCell ref="A18:A32"/>
    <mergeCell ref="A33:A47"/>
    <mergeCell ref="A48:A62"/>
    <mergeCell ref="A63:A77"/>
    <mergeCell ref="A78:A92"/>
    <mergeCell ref="C1:C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O28" sqref="O28"/>
    </sheetView>
  </sheetViews>
  <sheetFormatPr defaultRowHeight="13.5"/>
  <cols>
    <col min="1" max="16384" width="9" style="283"/>
  </cols>
  <sheetData>
    <row r="1" spans="1:18">
      <c r="A1" s="286" t="s">
        <v>259</v>
      </c>
      <c r="B1" s="286" t="s">
        <v>260</v>
      </c>
      <c r="C1" s="286" t="s">
        <v>261</v>
      </c>
      <c r="D1" s="353" t="s">
        <v>262</v>
      </c>
      <c r="E1" s="354"/>
      <c r="F1" s="285" t="s">
        <v>263</v>
      </c>
      <c r="G1" s="291" t="s">
        <v>264</v>
      </c>
      <c r="H1" s="294"/>
      <c r="I1" s="292"/>
      <c r="J1" s="286" t="s">
        <v>265</v>
      </c>
      <c r="K1" s="295" t="s">
        <v>266</v>
      </c>
      <c r="L1" s="286" t="s">
        <v>265</v>
      </c>
      <c r="M1" s="357" t="s">
        <v>266</v>
      </c>
      <c r="N1" s="358"/>
      <c r="O1" s="286" t="s">
        <v>265</v>
      </c>
      <c r="P1" s="355" t="s">
        <v>266</v>
      </c>
      <c r="Q1" s="356"/>
      <c r="R1" s="356"/>
    </row>
    <row r="2" spans="1:18">
      <c r="D2" s="288" t="s">
        <v>267</v>
      </c>
      <c r="E2" s="288" t="s">
        <v>268</v>
      </c>
      <c r="G2" s="288" t="s">
        <v>267</v>
      </c>
      <c r="H2" s="288" t="s">
        <v>268</v>
      </c>
      <c r="I2" s="288" t="s">
        <v>269</v>
      </c>
      <c r="K2" s="288" t="s">
        <v>267</v>
      </c>
      <c r="M2" s="288" t="s">
        <v>268</v>
      </c>
      <c r="N2" s="293" t="s">
        <v>270</v>
      </c>
      <c r="P2" s="288" t="s">
        <v>267</v>
      </c>
      <c r="Q2" s="288" t="s">
        <v>268</v>
      </c>
      <c r="R2" s="293" t="s">
        <v>270</v>
      </c>
    </row>
    <row r="3" spans="1:18">
      <c r="A3" s="286" t="s">
        <v>6</v>
      </c>
      <c r="B3" s="286">
        <v>10</v>
      </c>
      <c r="C3" s="286">
        <v>128</v>
      </c>
      <c r="D3" s="285">
        <v>20</v>
      </c>
      <c r="E3" s="290">
        <v>39</v>
      </c>
      <c r="F3" s="285">
        <v>6.4</v>
      </c>
      <c r="G3" s="285">
        <v>128</v>
      </c>
      <c r="H3" s="290"/>
      <c r="I3" s="285">
        <f>128*0.1/10</f>
        <v>1.28</v>
      </c>
      <c r="J3" s="286">
        <v>1</v>
      </c>
      <c r="K3" s="289">
        <f t="shared" ref="K3:K12" si="0">G3/C3</f>
        <v>1</v>
      </c>
      <c r="L3" s="286">
        <v>1</v>
      </c>
      <c r="M3" s="288">
        <f>L3*Q3</f>
        <v>0.9952110146662676</v>
      </c>
      <c r="N3" s="288">
        <f>L3*R3</f>
        <v>0.9952110146662676</v>
      </c>
      <c r="O3" s="286">
        <v>1</v>
      </c>
      <c r="P3" s="289">
        <f t="shared" ref="P3:P12" si="1">G3/C3/(J3/O3)</f>
        <v>1</v>
      </c>
      <c r="Q3" s="290">
        <f>[1]AES!F66</f>
        <v>0.9952110146662676</v>
      </c>
      <c r="R3" s="290">
        <f>[1]AES!F67</f>
        <v>0.9952110146662676</v>
      </c>
    </row>
    <row r="4" spans="1:18">
      <c r="A4" s="286" t="s">
        <v>271</v>
      </c>
      <c r="B4" s="286">
        <v>16</v>
      </c>
      <c r="C4" s="286">
        <v>64</v>
      </c>
      <c r="D4" s="285">
        <v>48</v>
      </c>
      <c r="E4" s="290">
        <v>97</v>
      </c>
      <c r="F4" s="285">
        <v>5.33</v>
      </c>
      <c r="G4" s="285">
        <v>85.33</v>
      </c>
      <c r="H4" s="290"/>
      <c r="I4" s="285"/>
      <c r="J4" s="286">
        <v>4</v>
      </c>
      <c r="K4" s="289">
        <f t="shared" si="0"/>
        <v>1.33328125</v>
      </c>
      <c r="L4" s="286">
        <v>2</v>
      </c>
      <c r="M4" s="288">
        <f t="shared" ref="M4:M12" si="2">L4*Q4</f>
        <v>0.50682112643853361</v>
      </c>
      <c r="N4" s="288">
        <f t="shared" ref="N4:N12" si="3">L4*R4</f>
        <v>0.66398189442854294</v>
      </c>
      <c r="O4" s="286">
        <v>1</v>
      </c>
      <c r="P4" s="289">
        <f t="shared" si="1"/>
        <v>0.33332031249999999</v>
      </c>
      <c r="Q4" s="290">
        <f>[1]Blowfish!G124</f>
        <v>0.2534105632192668</v>
      </c>
      <c r="R4" s="290">
        <f>[1]Blowfish!G125</f>
        <v>0.33199094721427147</v>
      </c>
    </row>
    <row r="5" spans="1:18">
      <c r="A5" s="286" t="s">
        <v>272</v>
      </c>
      <c r="B5" s="286">
        <v>18</v>
      </c>
      <c r="C5" s="286">
        <v>128</v>
      </c>
      <c r="D5" s="285">
        <v>80</v>
      </c>
      <c r="E5" s="290">
        <v>120</v>
      </c>
      <c r="F5" s="285">
        <v>3.2</v>
      </c>
      <c r="G5" s="285">
        <v>64</v>
      </c>
      <c r="H5" s="290"/>
      <c r="I5" s="285"/>
      <c r="J5" s="286">
        <v>2</v>
      </c>
      <c r="K5" s="289">
        <f t="shared" si="0"/>
        <v>0.5</v>
      </c>
      <c r="L5" s="286">
        <v>1</v>
      </c>
      <c r="M5" s="288">
        <f t="shared" si="2"/>
        <v>0.19273127753303965</v>
      </c>
      <c r="N5" s="288">
        <f t="shared" si="3"/>
        <v>0.24905123339658444</v>
      </c>
      <c r="O5" s="286">
        <v>1</v>
      </c>
      <c r="P5" s="289">
        <f t="shared" si="1"/>
        <v>0.25</v>
      </c>
      <c r="Q5" s="290">
        <f>[1]Camellia!F147</f>
        <v>0.19273127753303965</v>
      </c>
      <c r="R5" s="290">
        <f>[1]Camellia!F148</f>
        <v>0.24905123339658444</v>
      </c>
    </row>
    <row r="6" spans="1:18">
      <c r="A6" s="286" t="s">
        <v>273</v>
      </c>
      <c r="B6" s="286">
        <v>16</v>
      </c>
      <c r="C6" s="286">
        <v>64</v>
      </c>
      <c r="D6" s="285">
        <v>80</v>
      </c>
      <c r="E6" s="290">
        <v>112</v>
      </c>
      <c r="F6" s="285">
        <v>3.2</v>
      </c>
      <c r="G6" s="285">
        <v>64</v>
      </c>
      <c r="H6" s="290"/>
      <c r="I6" s="285"/>
      <c r="J6" s="286">
        <v>4</v>
      </c>
      <c r="K6" s="289">
        <f t="shared" si="0"/>
        <v>1</v>
      </c>
      <c r="L6" s="286">
        <v>2</v>
      </c>
      <c r="M6" s="288">
        <f t="shared" si="2"/>
        <v>0.39016662755221782</v>
      </c>
      <c r="N6" s="288">
        <f t="shared" si="3"/>
        <v>0.49820197782439318</v>
      </c>
      <c r="O6" s="286">
        <v>1</v>
      </c>
      <c r="P6" s="289">
        <f t="shared" si="1"/>
        <v>0.25</v>
      </c>
      <c r="Q6" s="290">
        <f>[1]CAST128!F139</f>
        <v>0.19508331377610891</v>
      </c>
      <c r="R6" s="290">
        <f>[1]CAST128!F140</f>
        <v>0.24910098891219659</v>
      </c>
    </row>
    <row r="7" spans="1:18">
      <c r="A7" s="286" t="s">
        <v>7</v>
      </c>
      <c r="B7" s="286">
        <v>16</v>
      </c>
      <c r="C7" s="286">
        <v>64</v>
      </c>
      <c r="D7" s="285">
        <v>48</v>
      </c>
      <c r="E7" s="290">
        <v>162</v>
      </c>
      <c r="F7" s="285">
        <v>2.67</v>
      </c>
      <c r="G7" s="285">
        <v>42.67</v>
      </c>
      <c r="H7" s="290"/>
      <c r="I7" s="285">
        <f>64*0.1</f>
        <v>6.4</v>
      </c>
      <c r="J7" s="286">
        <v>2</v>
      </c>
      <c r="K7" s="289">
        <f t="shared" si="0"/>
        <v>0.66671875000000003</v>
      </c>
      <c r="L7" s="286">
        <v>2</v>
      </c>
      <c r="M7" s="288">
        <f t="shared" si="2"/>
        <v>0.30397220825524524</v>
      </c>
      <c r="N7" s="288">
        <f t="shared" si="3"/>
        <v>0.3983864848133874</v>
      </c>
      <c r="O7" s="286">
        <v>1</v>
      </c>
      <c r="P7" s="289">
        <f t="shared" si="1"/>
        <v>0.33335937500000001</v>
      </c>
      <c r="Q7" s="290">
        <f>[1]DES!F189</f>
        <v>0.15198610412762262</v>
      </c>
      <c r="R7" s="290">
        <f>[1]DES!F190</f>
        <v>0.1991932424066937</v>
      </c>
    </row>
    <row r="8" spans="1:18">
      <c r="A8" s="286" t="s">
        <v>8</v>
      </c>
      <c r="B8" s="286">
        <v>32</v>
      </c>
      <c r="C8" s="286">
        <v>64</v>
      </c>
      <c r="D8" s="285">
        <v>96</v>
      </c>
      <c r="E8" s="290">
        <v>128</v>
      </c>
      <c r="F8" s="285">
        <v>2.67</v>
      </c>
      <c r="G8" s="285">
        <v>42.67</v>
      </c>
      <c r="H8" s="290"/>
      <c r="I8" s="285"/>
      <c r="J8" s="286">
        <v>4</v>
      </c>
      <c r="K8" s="289">
        <f t="shared" si="0"/>
        <v>0.66671875000000003</v>
      </c>
      <c r="L8" s="286">
        <v>2</v>
      </c>
      <c r="M8" s="288">
        <f t="shared" si="2"/>
        <v>0.37861534957868365</v>
      </c>
      <c r="N8" s="288">
        <f t="shared" si="3"/>
        <v>0.49795327476038337</v>
      </c>
      <c r="O8" s="286">
        <v>1</v>
      </c>
      <c r="P8" s="289">
        <f t="shared" si="1"/>
        <v>0.16667968750000001</v>
      </c>
      <c r="Q8" s="290">
        <f>[1]GOST!F155</f>
        <v>0.18930767478934182</v>
      </c>
      <c r="R8" s="290">
        <f>[1]GOST!F156</f>
        <v>0.24897663738019168</v>
      </c>
    </row>
    <row r="9" spans="1:18">
      <c r="A9" s="286" t="s">
        <v>274</v>
      </c>
      <c r="B9" s="286">
        <v>6</v>
      </c>
      <c r="C9" s="286">
        <v>64</v>
      </c>
      <c r="D9" s="285">
        <v>64</v>
      </c>
      <c r="E9" s="290">
        <v>138</v>
      </c>
      <c r="F9" s="285">
        <v>1</v>
      </c>
      <c r="G9" s="285">
        <v>16</v>
      </c>
      <c r="H9" s="290"/>
      <c r="I9" s="285"/>
      <c r="J9" s="286">
        <v>1</v>
      </c>
      <c r="K9" s="289">
        <f t="shared" si="0"/>
        <v>0.25</v>
      </c>
      <c r="L9" s="286">
        <v>2</v>
      </c>
      <c r="M9" s="288">
        <f t="shared" si="2"/>
        <v>0.2734599884858952</v>
      </c>
      <c r="N9" s="288">
        <f t="shared" si="3"/>
        <v>0.33240027991602517</v>
      </c>
      <c r="O9" s="286">
        <v>1</v>
      </c>
      <c r="P9" s="289">
        <f t="shared" si="1"/>
        <v>0.25</v>
      </c>
      <c r="Q9" s="290">
        <f>[1]KASUMI!G165</f>
        <v>0.1367299942429476</v>
      </c>
      <c r="R9" s="290">
        <f>[1]KASUMI!G166</f>
        <v>0.16620013995801258</v>
      </c>
    </row>
    <row r="10" spans="1:18">
      <c r="A10" s="286" t="s">
        <v>275</v>
      </c>
      <c r="B10" s="286">
        <v>12</v>
      </c>
      <c r="C10" s="286">
        <v>64</v>
      </c>
      <c r="D10" s="285">
        <v>48</v>
      </c>
      <c r="E10" s="290">
        <v>72</v>
      </c>
      <c r="F10" s="285">
        <v>5.33</v>
      </c>
      <c r="G10" s="285">
        <v>85.33</v>
      </c>
      <c r="H10" s="290"/>
      <c r="I10" s="285"/>
      <c r="J10" s="286">
        <v>4</v>
      </c>
      <c r="K10" s="289">
        <f t="shared" si="0"/>
        <v>1.33328125</v>
      </c>
      <c r="L10" s="286">
        <v>2</v>
      </c>
      <c r="M10" s="288">
        <f t="shared" si="2"/>
        <v>0.74401432087715369</v>
      </c>
      <c r="N10" s="288">
        <f t="shared" si="3"/>
        <v>0.99560834414612231</v>
      </c>
      <c r="O10" s="286">
        <v>1</v>
      </c>
      <c r="P10" s="289">
        <f t="shared" si="1"/>
        <v>0.33332031249999999</v>
      </c>
      <c r="Q10" s="290">
        <f>[1]RC5!F99</f>
        <v>0.37200716043857684</v>
      </c>
      <c r="R10" s="290">
        <f>[1]RC5!F100</f>
        <v>0.49780417207306116</v>
      </c>
    </row>
    <row r="11" spans="1:18">
      <c r="A11" s="286" t="s">
        <v>276</v>
      </c>
      <c r="B11" s="286">
        <v>16</v>
      </c>
      <c r="C11" s="286">
        <v>128</v>
      </c>
      <c r="D11" s="285">
        <v>160</v>
      </c>
      <c r="E11" s="290">
        <v>288</v>
      </c>
      <c r="F11" s="285">
        <v>0.8</v>
      </c>
      <c r="G11" s="285">
        <v>16</v>
      </c>
      <c r="H11" s="290"/>
      <c r="I11" s="285"/>
      <c r="J11" s="286">
        <v>1</v>
      </c>
      <c r="K11" s="289">
        <f t="shared" si="0"/>
        <v>0.125</v>
      </c>
      <c r="L11" s="286">
        <v>1</v>
      </c>
      <c r="M11" s="288">
        <f t="shared" si="2"/>
        <v>9.3001790109644211E-2</v>
      </c>
      <c r="N11" s="288">
        <f t="shared" si="3"/>
        <v>0.12445104301826529</v>
      </c>
      <c r="O11" s="286">
        <v>1</v>
      </c>
      <c r="P11" s="289">
        <f t="shared" si="1"/>
        <v>0.125</v>
      </c>
      <c r="Q11" s="290">
        <f>[1]SEED!F315</f>
        <v>9.3001790109644211E-2</v>
      </c>
      <c r="R11" s="290">
        <f>[1]SEED!F316</f>
        <v>0.12445104301826529</v>
      </c>
    </row>
    <row r="12" spans="1:18">
      <c r="A12" s="286" t="s">
        <v>277</v>
      </c>
      <c r="B12" s="286">
        <v>16</v>
      </c>
      <c r="C12" s="286">
        <v>128</v>
      </c>
      <c r="D12" s="285">
        <v>80</v>
      </c>
      <c r="E12" s="290">
        <v>146</v>
      </c>
      <c r="F12" s="285">
        <v>3.2</v>
      </c>
      <c r="G12" s="285">
        <v>64</v>
      </c>
      <c r="H12" s="290"/>
      <c r="I12" s="285"/>
      <c r="J12" s="286">
        <v>2</v>
      </c>
      <c r="K12" s="289">
        <f t="shared" si="0"/>
        <v>0.5</v>
      </c>
      <c r="L12" s="286">
        <v>1</v>
      </c>
      <c r="M12" s="288">
        <f t="shared" si="2"/>
        <v>0.18439440993788819</v>
      </c>
      <c r="N12" s="288">
        <f t="shared" si="3"/>
        <v>0.24886482710443592</v>
      </c>
      <c r="O12" s="286">
        <v>1</v>
      </c>
      <c r="P12" s="289">
        <f t="shared" si="1"/>
        <v>0.25</v>
      </c>
      <c r="Q12" s="290">
        <f>[1]Twofish!G173</f>
        <v>0.18439440993788819</v>
      </c>
      <c r="R12" s="290">
        <f>[1]Twofish!G174</f>
        <v>0.24886482710443592</v>
      </c>
    </row>
    <row r="13" spans="1:18">
      <c r="A13" s="287" t="s">
        <v>278</v>
      </c>
      <c r="B13" s="285"/>
      <c r="C13" s="285"/>
      <c r="D13" s="285"/>
      <c r="E13" s="285"/>
      <c r="F13" s="285"/>
      <c r="G13" s="285"/>
      <c r="H13" s="285"/>
      <c r="I13" s="285"/>
      <c r="J13" s="285"/>
      <c r="K13" s="289"/>
      <c r="L13" s="285"/>
      <c r="M13" s="285"/>
      <c r="N13" s="285"/>
      <c r="O13" s="286">
        <v>1</v>
      </c>
      <c r="P13" s="289" t="s">
        <v>279</v>
      </c>
      <c r="Q13" s="290">
        <f>[1]RC6!F169</f>
        <v>0.15568666011143886</v>
      </c>
      <c r="R13" s="290">
        <f>[1]RC6!F170</f>
        <v>0.19927282897496854</v>
      </c>
    </row>
    <row r="14" spans="1:18">
      <c r="A14" s="287" t="s">
        <v>280</v>
      </c>
      <c r="B14" s="285"/>
      <c r="C14" s="285"/>
      <c r="D14" s="285"/>
      <c r="E14" s="285"/>
      <c r="F14" s="285"/>
      <c r="G14" s="285"/>
      <c r="H14" s="285"/>
      <c r="I14" s="285"/>
      <c r="J14" s="285"/>
      <c r="K14" s="289"/>
      <c r="L14" s="285"/>
      <c r="M14" s="285"/>
      <c r="N14" s="285"/>
      <c r="O14" s="286">
        <v>1</v>
      </c>
      <c r="P14" s="289" t="s">
        <v>281</v>
      </c>
      <c r="Q14" s="290">
        <f>[1]IDEA!F81</f>
        <v>0.3925619834710744</v>
      </c>
      <c r="R14" s="290">
        <f>[1]IDEA!F82</f>
        <v>0.49825174825174823</v>
      </c>
    </row>
    <row r="15" spans="1:18">
      <c r="A15" s="287" t="s">
        <v>9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6">
        <v>1</v>
      </c>
      <c r="P15" s="285" t="s">
        <v>282</v>
      </c>
      <c r="Q15" s="290">
        <f>[1]SM4!F283</f>
        <v>0.10532484399252431</v>
      </c>
      <c r="R15" s="290">
        <f>[1]SM4!F284</f>
        <v>0.14220745894160583</v>
      </c>
    </row>
    <row r="16" spans="1:18">
      <c r="A16" s="287" t="s">
        <v>283</v>
      </c>
      <c r="B16" s="285"/>
      <c r="C16" s="285"/>
      <c r="D16" s="285"/>
      <c r="E16" s="285"/>
      <c r="F16" s="285"/>
      <c r="G16" s="285"/>
      <c r="H16" s="285"/>
      <c r="I16" s="285">
        <f>128*0.1/2</f>
        <v>6.4</v>
      </c>
      <c r="J16" s="285"/>
      <c r="K16" s="285"/>
      <c r="L16" s="285"/>
      <c r="M16" s="285"/>
      <c r="N16" s="285"/>
      <c r="O16" s="286">
        <v>1</v>
      </c>
      <c r="P16" s="285" t="s">
        <v>284</v>
      </c>
      <c r="Q16" s="290">
        <f>[1]Serpent!F280</f>
        <v>0.10558572290495698</v>
      </c>
      <c r="R16" s="290">
        <f>[1]Serpent!F281</f>
        <v>0.14221354129539071</v>
      </c>
    </row>
  </sheetData>
  <mergeCells count="3">
    <mergeCell ref="D1:E1"/>
    <mergeCell ref="P1:R1"/>
    <mergeCell ref="M1:N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7"/>
  <sheetViews>
    <sheetView topLeftCell="A31" workbookViewId="0">
      <selection activeCell="F57" sqref="F57"/>
    </sheetView>
  </sheetViews>
  <sheetFormatPr defaultRowHeight="13.5" outlineLevelRow="1"/>
  <cols>
    <col min="2" max="2" width="19.25" bestFit="1" customWidth="1"/>
    <col min="4" max="4" width="18.12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2"/>
      <c r="B2" s="9" t="s">
        <v>75</v>
      </c>
      <c r="C2" s="5" t="s">
        <v>3</v>
      </c>
    </row>
    <row r="3" spans="1:3">
      <c r="A3" s="361">
        <v>1</v>
      </c>
      <c r="B3" s="362" t="s">
        <v>4</v>
      </c>
      <c r="C3" s="359"/>
    </row>
    <row r="4" spans="1:3">
      <c r="A4" s="361"/>
      <c r="B4" s="363"/>
      <c r="C4" s="359"/>
    </row>
    <row r="5" spans="1:3">
      <c r="A5" s="361"/>
      <c r="B5" s="7" t="s">
        <v>76</v>
      </c>
      <c r="C5" s="360"/>
    </row>
    <row r="6" spans="1:3" ht="13.5" customHeight="1" outlineLevel="1">
      <c r="A6" s="361">
        <v>2</v>
      </c>
      <c r="B6" s="362" t="s">
        <v>4</v>
      </c>
      <c r="C6" s="359"/>
    </row>
    <row r="7" spans="1:3" ht="13.5" customHeight="1" outlineLevel="1">
      <c r="A7" s="361"/>
      <c r="B7" s="363"/>
      <c r="C7" s="359"/>
    </row>
    <row r="8" spans="1:3" ht="13.5" customHeight="1" outlineLevel="1">
      <c r="A8" s="361"/>
      <c r="B8" s="10" t="s">
        <v>76</v>
      </c>
      <c r="C8" s="360"/>
    </row>
    <row r="9" spans="1:3" ht="13.5" customHeight="1" outlineLevel="1">
      <c r="A9" s="361">
        <v>3</v>
      </c>
      <c r="B9" s="362" t="s">
        <v>4</v>
      </c>
      <c r="C9" s="359"/>
    </row>
    <row r="10" spans="1:3" ht="13.5" customHeight="1" outlineLevel="1">
      <c r="A10" s="361"/>
      <c r="B10" s="363"/>
      <c r="C10" s="359"/>
    </row>
    <row r="11" spans="1:3" ht="13.5" customHeight="1" outlineLevel="1">
      <c r="A11" s="361"/>
      <c r="B11" s="10" t="s">
        <v>76</v>
      </c>
      <c r="C11" s="360"/>
    </row>
    <row r="12" spans="1:3" ht="13.5" customHeight="1" outlineLevel="1">
      <c r="A12" s="361">
        <v>4</v>
      </c>
      <c r="B12" s="362" t="s">
        <v>4</v>
      </c>
      <c r="C12" s="359"/>
    </row>
    <row r="13" spans="1:3" ht="13.5" customHeight="1" outlineLevel="1">
      <c r="A13" s="361"/>
      <c r="B13" s="363"/>
      <c r="C13" s="359"/>
    </row>
    <row r="14" spans="1:3" ht="13.5" customHeight="1" outlineLevel="1">
      <c r="A14" s="361"/>
      <c r="B14" s="10" t="s">
        <v>76</v>
      </c>
      <c r="C14" s="360"/>
    </row>
    <row r="15" spans="1:3" ht="13.5" customHeight="1" outlineLevel="1">
      <c r="A15" s="361">
        <v>5</v>
      </c>
      <c r="B15" s="362" t="s">
        <v>4</v>
      </c>
      <c r="C15" s="359"/>
    </row>
    <row r="16" spans="1:3" ht="13.5" customHeight="1" outlineLevel="1">
      <c r="A16" s="361"/>
      <c r="B16" s="363"/>
      <c r="C16" s="359"/>
    </row>
    <row r="17" spans="1:6" ht="13.5" customHeight="1" outlineLevel="1">
      <c r="A17" s="361"/>
      <c r="B17" s="10" t="s">
        <v>76</v>
      </c>
      <c r="C17" s="360"/>
    </row>
    <row r="18" spans="1:6" ht="13.5" customHeight="1" outlineLevel="1">
      <c r="A18" s="361">
        <v>6</v>
      </c>
      <c r="B18" s="362" t="s">
        <v>4</v>
      </c>
      <c r="C18" s="359"/>
    </row>
    <row r="19" spans="1:6" outlineLevel="1">
      <c r="A19" s="361"/>
      <c r="B19" s="363"/>
      <c r="C19" s="359"/>
    </row>
    <row r="20" spans="1:6" outlineLevel="1">
      <c r="A20" s="361"/>
      <c r="B20" s="10" t="s">
        <v>76</v>
      </c>
      <c r="C20" s="360"/>
    </row>
    <row r="21" spans="1:6" outlineLevel="1">
      <c r="A21" s="361">
        <v>7</v>
      </c>
      <c r="B21" s="362" t="s">
        <v>4</v>
      </c>
      <c r="C21" s="359"/>
    </row>
    <row r="22" spans="1:6" outlineLevel="1">
      <c r="A22" s="361"/>
      <c r="B22" s="363"/>
      <c r="C22" s="359"/>
    </row>
    <row r="23" spans="1:6" outlineLevel="1">
      <c r="A23" s="361"/>
      <c r="B23" s="10" t="s">
        <v>76</v>
      </c>
      <c r="C23" s="360"/>
    </row>
    <row r="24" spans="1:6" outlineLevel="1">
      <c r="A24" s="361">
        <v>8</v>
      </c>
      <c r="B24" s="362" t="s">
        <v>4</v>
      </c>
      <c r="C24" s="359"/>
    </row>
    <row r="25" spans="1:6" outlineLevel="1">
      <c r="A25" s="361"/>
      <c r="B25" s="363"/>
      <c r="C25" s="359"/>
    </row>
    <row r="26" spans="1:6" outlineLevel="1">
      <c r="A26" s="361"/>
      <c r="B26" s="10" t="s">
        <v>76</v>
      </c>
      <c r="C26" s="360"/>
    </row>
    <row r="27" spans="1:6">
      <c r="A27" s="361">
        <v>9</v>
      </c>
      <c r="B27" s="362" t="s">
        <v>4</v>
      </c>
      <c r="C27" s="359"/>
    </row>
    <row r="28" spans="1:6">
      <c r="A28" s="361"/>
      <c r="B28" s="363"/>
      <c r="C28" s="359"/>
    </row>
    <row r="29" spans="1:6">
      <c r="A29" s="361"/>
      <c r="B29" s="10" t="s">
        <v>76</v>
      </c>
      <c r="C29" s="360"/>
    </row>
    <row r="30" spans="1:6">
      <c r="A30" s="35">
        <v>10</v>
      </c>
      <c r="B30" s="10" t="s">
        <v>5</v>
      </c>
      <c r="C30" s="36"/>
    </row>
    <row r="31" spans="1:6">
      <c r="D31" s="27" t="s">
        <v>38</v>
      </c>
      <c r="E31" s="27" t="s">
        <v>39</v>
      </c>
      <c r="F31" s="27">
        <v>9975</v>
      </c>
    </row>
    <row r="32" spans="1:6">
      <c r="D32" s="27" t="s">
        <v>40</v>
      </c>
      <c r="E32" s="27" t="s">
        <v>41</v>
      </c>
      <c r="F32" s="27">
        <v>29</v>
      </c>
    </row>
    <row r="33" spans="4:6">
      <c r="D33" s="27" t="s">
        <v>42</v>
      </c>
      <c r="E33" s="27" t="s">
        <v>43</v>
      </c>
      <c r="F33" s="27">
        <v>40</v>
      </c>
    </row>
    <row r="34" spans="4:6">
      <c r="D34" s="27" t="s">
        <v>44</v>
      </c>
      <c r="E34" s="27" t="s">
        <v>45</v>
      </c>
      <c r="F34" s="27">
        <v>128</v>
      </c>
    </row>
    <row r="35" spans="4:6">
      <c r="D35" s="27" t="s">
        <v>46</v>
      </c>
      <c r="E35" s="27" t="s">
        <v>47</v>
      </c>
      <c r="F35" s="27">
        <f>CEILING(F33/4,1)</f>
        <v>10</v>
      </c>
    </row>
    <row r="36" spans="4:6">
      <c r="D36" s="28" t="s">
        <v>48</v>
      </c>
      <c r="E36" s="28" t="s">
        <v>49</v>
      </c>
      <c r="F36" s="28">
        <f>FLOOR(F31/F34,1)</f>
        <v>77</v>
      </c>
    </row>
    <row r="37" spans="4:6">
      <c r="D37" s="28" t="s">
        <v>50</v>
      </c>
      <c r="E37" s="28" t="s">
        <v>51</v>
      </c>
      <c r="F37" s="28">
        <f>MOD(F31,F34)</f>
        <v>119</v>
      </c>
    </row>
    <row r="38" spans="4:6">
      <c r="D38" s="28" t="s">
        <v>52</v>
      </c>
      <c r="E38" s="28" t="s">
        <v>53</v>
      </c>
      <c r="F38" s="28">
        <f>FLOOR(F32/F33,1)</f>
        <v>0</v>
      </c>
    </row>
    <row r="39" spans="4:6">
      <c r="D39" s="28" t="s">
        <v>54</v>
      </c>
      <c r="E39" s="28" t="s">
        <v>55</v>
      </c>
      <c r="F39" s="28">
        <f>MOD(F32,F33)</f>
        <v>29</v>
      </c>
    </row>
    <row r="40" spans="4:6">
      <c r="D40" s="28" t="s">
        <v>56</v>
      </c>
      <c r="E40" s="28" t="s">
        <v>57</v>
      </c>
      <c r="F40" s="28">
        <f>IF(F38=0,0,F33)</f>
        <v>0</v>
      </c>
    </row>
    <row r="41" spans="4:6">
      <c r="D41" s="28" t="s">
        <v>58</v>
      </c>
      <c r="E41" s="28" t="s">
        <v>59</v>
      </c>
      <c r="F41" s="28">
        <f>F39</f>
        <v>29</v>
      </c>
    </row>
    <row r="42" spans="4:6">
      <c r="D42" s="28"/>
      <c r="E42" s="28"/>
      <c r="F42" s="29"/>
    </row>
    <row r="43" spans="4:6">
      <c r="D43" s="12" t="s">
        <v>60</v>
      </c>
      <c r="E43" s="30" t="s">
        <v>61</v>
      </c>
      <c r="F43" s="31">
        <f>(F46+F49)</f>
        <v>12939</v>
      </c>
    </row>
    <row r="44" spans="4:6">
      <c r="D44" s="12"/>
      <c r="E44" s="12" t="s">
        <v>62</v>
      </c>
      <c r="F44" s="29">
        <f>IF(F36=0,0,((F40+(MIN(F31,F34)-1)+F35)*F38))</f>
        <v>0</v>
      </c>
    </row>
    <row r="45" spans="4:6">
      <c r="D45" s="12"/>
      <c r="E45" s="12"/>
      <c r="F45" s="29">
        <f>IF(F36=0,0,IF(F39=0,0,(F41+(MIN(F31,F34)-1)+F35)))</f>
        <v>166</v>
      </c>
    </row>
    <row r="46" spans="4:6">
      <c r="D46" s="12"/>
      <c r="E46" s="12"/>
      <c r="F46" s="29">
        <f>(F44+F45)*F36</f>
        <v>12782</v>
      </c>
    </row>
    <row r="47" spans="4:6">
      <c r="D47" s="12"/>
      <c r="E47" s="12" t="s">
        <v>50</v>
      </c>
      <c r="F47" s="29">
        <f>IF(F37=0,0,(F40+(F37-1)+F35)*F38)</f>
        <v>0</v>
      </c>
    </row>
    <row r="48" spans="4:6">
      <c r="D48" s="12"/>
      <c r="E48" s="12"/>
      <c r="F48" s="29">
        <f>IF(F37=0,0,IF(F39=0,0,(F41+(F37-1)+F35)))</f>
        <v>157</v>
      </c>
    </row>
    <row r="49" spans="4:6">
      <c r="D49" s="12"/>
      <c r="E49" s="12"/>
      <c r="F49" s="29">
        <f>F47+F48</f>
        <v>157</v>
      </c>
    </row>
    <row r="50" spans="4:6">
      <c r="D50" s="28"/>
      <c r="E50" s="28"/>
      <c r="F50" s="29"/>
    </row>
    <row r="51" spans="4:6">
      <c r="D51" s="12" t="s">
        <v>60</v>
      </c>
      <c r="E51" s="30" t="s">
        <v>61</v>
      </c>
      <c r="F51" s="32">
        <f>(F52+F53+F54)</f>
        <v>10013</v>
      </c>
    </row>
    <row r="52" spans="4:6">
      <c r="D52" s="12"/>
      <c r="E52" s="33" t="s">
        <v>52</v>
      </c>
      <c r="F52" s="29">
        <f>((F40+(F31-1))*F38)</f>
        <v>0</v>
      </c>
    </row>
    <row r="53" spans="4:6">
      <c r="D53" s="12"/>
      <c r="E53" s="33" t="s">
        <v>63</v>
      </c>
      <c r="F53" s="29">
        <f>F35*F38</f>
        <v>0</v>
      </c>
    </row>
    <row r="54" spans="4:6">
      <c r="D54" s="12"/>
      <c r="E54" s="33" t="s">
        <v>54</v>
      </c>
      <c r="F54" s="29">
        <f>IF(F41=0,0,F41+(F31-1)+F35)</f>
        <v>10013</v>
      </c>
    </row>
    <row r="55" spans="4:6">
      <c r="D55" s="28"/>
      <c r="E55" s="28"/>
      <c r="F55" s="29"/>
    </row>
    <row r="56" spans="4:6">
      <c r="D56" s="34" t="s">
        <v>64</v>
      </c>
      <c r="E56" s="34" t="s">
        <v>65</v>
      </c>
      <c r="F56" s="10">
        <f>IF(F33&gt;=F32,F31/F51,F31/F43)</f>
        <v>0.99620493358633777</v>
      </c>
    </row>
    <row r="57" spans="4:6">
      <c r="D57" s="34" t="s">
        <v>37</v>
      </c>
      <c r="E57" s="34" t="s">
        <v>66</v>
      </c>
      <c r="F57" s="10">
        <f>F31/F51</f>
        <v>0.99620493358633777</v>
      </c>
    </row>
  </sheetData>
  <mergeCells count="27">
    <mergeCell ref="A12:A14"/>
    <mergeCell ref="A15:A17"/>
    <mergeCell ref="C9:C11"/>
    <mergeCell ref="C12:C14"/>
    <mergeCell ref="C15:C17"/>
    <mergeCell ref="B15:B16"/>
    <mergeCell ref="B24:B25"/>
    <mergeCell ref="C3:C5"/>
    <mergeCell ref="C6:C8"/>
    <mergeCell ref="C18:C20"/>
    <mergeCell ref="C21:C23"/>
    <mergeCell ref="C27:C29"/>
    <mergeCell ref="A27:A29"/>
    <mergeCell ref="A3:A5"/>
    <mergeCell ref="A6:A8"/>
    <mergeCell ref="A9:A11"/>
    <mergeCell ref="B27:B28"/>
    <mergeCell ref="C24:C26"/>
    <mergeCell ref="B3:B4"/>
    <mergeCell ref="A18:A20"/>
    <mergeCell ref="A21:A23"/>
    <mergeCell ref="A24:A26"/>
    <mergeCell ref="B6:B7"/>
    <mergeCell ref="B9:B10"/>
    <mergeCell ref="B12:B13"/>
    <mergeCell ref="B18:B19"/>
    <mergeCell ref="B21:B2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 sizeWithCells="1">
              <from>
                <xdr:col>0</xdr:col>
                <xdr:colOff>66675</xdr:colOff>
                <xdr:row>30</xdr:row>
                <xdr:rowOff>152400</xdr:rowOff>
              </from>
              <to>
                <xdr:col>2</xdr:col>
                <xdr:colOff>533400</xdr:colOff>
                <xdr:row>52</xdr:row>
                <xdr:rowOff>123825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C1" workbookViewId="0">
      <selection activeCell="P19" sqref="P19"/>
    </sheetView>
  </sheetViews>
  <sheetFormatPr defaultRowHeight="13.5" outlineLevelRow="1"/>
  <cols>
    <col min="2" max="2" width="19.75" customWidth="1"/>
  </cols>
  <sheetData>
    <row r="1" spans="1:4">
      <c r="A1" s="2" t="s">
        <v>0</v>
      </c>
      <c r="B1" s="4" t="s">
        <v>1</v>
      </c>
      <c r="D1" s="1" t="s">
        <v>2</v>
      </c>
    </row>
    <row r="2" spans="1:4">
      <c r="A2" s="361">
        <v>1</v>
      </c>
      <c r="B2" s="7" t="s">
        <v>77</v>
      </c>
      <c r="D2" s="364"/>
    </row>
    <row r="3" spans="1:4">
      <c r="A3" s="361"/>
      <c r="B3" s="8" t="s">
        <v>80</v>
      </c>
      <c r="C3" s="351" t="s">
        <v>84</v>
      </c>
      <c r="D3" s="364"/>
    </row>
    <row r="4" spans="1:4">
      <c r="A4" s="361"/>
      <c r="B4" s="7" t="s">
        <v>81</v>
      </c>
      <c r="C4" s="351"/>
      <c r="D4" s="364"/>
    </row>
    <row r="5" spans="1:4" outlineLevel="1">
      <c r="A5" s="361">
        <v>2</v>
      </c>
      <c r="B5" s="10" t="s">
        <v>77</v>
      </c>
      <c r="D5" s="364"/>
    </row>
    <row r="6" spans="1:4" outlineLevel="1">
      <c r="A6" s="361"/>
      <c r="B6" s="37" t="s">
        <v>80</v>
      </c>
      <c r="C6" s="351" t="s">
        <v>28</v>
      </c>
      <c r="D6" s="364"/>
    </row>
    <row r="7" spans="1:4" outlineLevel="1">
      <c r="A7" s="361"/>
      <c r="B7" s="10" t="s">
        <v>81</v>
      </c>
      <c r="C7" s="351"/>
      <c r="D7" s="364"/>
    </row>
    <row r="8" spans="1:4" outlineLevel="1">
      <c r="A8" s="361">
        <v>3</v>
      </c>
      <c r="B8" s="10" t="s">
        <v>77</v>
      </c>
      <c r="D8" s="364"/>
    </row>
    <row r="9" spans="1:4" outlineLevel="1">
      <c r="A9" s="361"/>
      <c r="B9" s="38" t="s">
        <v>80</v>
      </c>
      <c r="C9" s="351" t="s">
        <v>28</v>
      </c>
      <c r="D9" s="364"/>
    </row>
    <row r="10" spans="1:4" outlineLevel="1">
      <c r="A10" s="361"/>
      <c r="B10" s="10" t="s">
        <v>80</v>
      </c>
      <c r="C10" s="351"/>
      <c r="D10" s="364"/>
    </row>
    <row r="11" spans="1:4" outlineLevel="1">
      <c r="A11" s="361">
        <v>4</v>
      </c>
      <c r="B11" s="10" t="s">
        <v>77</v>
      </c>
      <c r="D11" s="364"/>
    </row>
    <row r="12" spans="1:4" outlineLevel="1">
      <c r="A12" s="361"/>
      <c r="B12" s="39" t="s">
        <v>80</v>
      </c>
      <c r="C12" s="351" t="s">
        <v>28</v>
      </c>
      <c r="D12" s="364"/>
    </row>
    <row r="13" spans="1:4" outlineLevel="1">
      <c r="A13" s="361"/>
      <c r="B13" s="10" t="s">
        <v>80</v>
      </c>
      <c r="C13" s="351"/>
      <c r="D13" s="364"/>
    </row>
    <row r="14" spans="1:4" outlineLevel="1">
      <c r="A14" s="361">
        <v>5</v>
      </c>
      <c r="B14" s="10" t="s">
        <v>77</v>
      </c>
      <c r="D14" s="364"/>
    </row>
    <row r="15" spans="1:4" outlineLevel="1">
      <c r="A15" s="361"/>
      <c r="B15" s="39" t="s">
        <v>80</v>
      </c>
      <c r="C15" s="351" t="s">
        <v>28</v>
      </c>
      <c r="D15" s="364"/>
    </row>
    <row r="16" spans="1:4" outlineLevel="1">
      <c r="A16" s="361"/>
      <c r="B16" s="10" t="s">
        <v>80</v>
      </c>
      <c r="C16" s="351"/>
      <c r="D16" s="364"/>
    </row>
    <row r="17" spans="1:4" outlineLevel="1">
      <c r="A17" s="361">
        <v>6</v>
      </c>
      <c r="B17" s="10" t="s">
        <v>77</v>
      </c>
      <c r="D17" s="364"/>
    </row>
    <row r="18" spans="1:4" outlineLevel="1">
      <c r="A18" s="361"/>
      <c r="B18" s="39" t="s">
        <v>80</v>
      </c>
      <c r="C18" s="351" t="s">
        <v>28</v>
      </c>
      <c r="D18" s="364"/>
    </row>
    <row r="19" spans="1:4" outlineLevel="1">
      <c r="A19" s="361"/>
      <c r="B19" s="10" t="s">
        <v>80</v>
      </c>
      <c r="C19" s="351"/>
      <c r="D19" s="364"/>
    </row>
    <row r="20" spans="1:4" outlineLevel="1">
      <c r="A20" s="361">
        <v>7</v>
      </c>
      <c r="B20" s="10" t="s">
        <v>77</v>
      </c>
      <c r="D20" s="364"/>
    </row>
    <row r="21" spans="1:4" outlineLevel="1">
      <c r="A21" s="361"/>
      <c r="B21" s="39" t="s">
        <v>80</v>
      </c>
      <c r="C21" s="351" t="s">
        <v>28</v>
      </c>
      <c r="D21" s="364"/>
    </row>
    <row r="22" spans="1:4" outlineLevel="1">
      <c r="A22" s="361"/>
      <c r="B22" s="10" t="s">
        <v>80</v>
      </c>
      <c r="C22" s="351"/>
      <c r="D22" s="364"/>
    </row>
    <row r="23" spans="1:4" outlineLevel="1">
      <c r="A23" s="361">
        <v>8</v>
      </c>
      <c r="B23" s="10" t="s">
        <v>77</v>
      </c>
      <c r="D23" s="364"/>
    </row>
    <row r="24" spans="1:4" outlineLevel="1">
      <c r="A24" s="361"/>
      <c r="B24" s="39" t="s">
        <v>80</v>
      </c>
      <c r="C24" s="351" t="s">
        <v>28</v>
      </c>
      <c r="D24" s="364"/>
    </row>
    <row r="25" spans="1:4" outlineLevel="1">
      <c r="A25" s="361"/>
      <c r="B25" s="10" t="s">
        <v>80</v>
      </c>
      <c r="C25" s="351"/>
      <c r="D25" s="364"/>
    </row>
    <row r="26" spans="1:4" outlineLevel="1">
      <c r="A26" s="361">
        <v>9</v>
      </c>
      <c r="B26" s="10" t="s">
        <v>77</v>
      </c>
      <c r="D26" s="364"/>
    </row>
    <row r="27" spans="1:4" outlineLevel="1">
      <c r="A27" s="361"/>
      <c r="B27" s="39" t="s">
        <v>80</v>
      </c>
      <c r="C27" s="351" t="s">
        <v>28</v>
      </c>
      <c r="D27" s="364"/>
    </row>
    <row r="28" spans="1:4" outlineLevel="1">
      <c r="A28" s="361"/>
      <c r="B28" s="10" t="s">
        <v>80</v>
      </c>
      <c r="C28" s="351"/>
      <c r="D28" s="364"/>
    </row>
    <row r="29" spans="1:4" outlineLevel="1">
      <c r="A29" s="361">
        <v>10</v>
      </c>
      <c r="B29" s="10" t="s">
        <v>77</v>
      </c>
      <c r="D29" s="364"/>
    </row>
    <row r="30" spans="1:4" outlineLevel="1">
      <c r="A30" s="361"/>
      <c r="B30" s="39" t="s">
        <v>80</v>
      </c>
      <c r="C30" s="351" t="s">
        <v>28</v>
      </c>
      <c r="D30" s="364"/>
    </row>
    <row r="31" spans="1:4" outlineLevel="1">
      <c r="A31" s="361"/>
      <c r="B31" s="10" t="s">
        <v>80</v>
      </c>
      <c r="C31" s="351"/>
      <c r="D31" s="364"/>
    </row>
    <row r="32" spans="1:4" outlineLevel="1">
      <c r="A32" s="361">
        <v>11</v>
      </c>
      <c r="B32" s="10" t="s">
        <v>77</v>
      </c>
      <c r="D32" s="364"/>
    </row>
    <row r="33" spans="1:4" outlineLevel="1">
      <c r="A33" s="361"/>
      <c r="B33" s="39" t="s">
        <v>80</v>
      </c>
      <c r="C33" s="351" t="s">
        <v>28</v>
      </c>
      <c r="D33" s="364"/>
    </row>
    <row r="34" spans="1:4" outlineLevel="1">
      <c r="A34" s="361"/>
      <c r="B34" s="10" t="s">
        <v>80</v>
      </c>
      <c r="C34" s="351"/>
      <c r="D34" s="364"/>
    </row>
    <row r="35" spans="1:4" outlineLevel="1">
      <c r="A35" s="361">
        <v>12</v>
      </c>
      <c r="B35" s="10" t="s">
        <v>77</v>
      </c>
      <c r="D35" s="364"/>
    </row>
    <row r="36" spans="1:4" outlineLevel="1">
      <c r="A36" s="361"/>
      <c r="B36" s="39" t="s">
        <v>80</v>
      </c>
      <c r="C36" s="351" t="s">
        <v>28</v>
      </c>
      <c r="D36" s="364"/>
    </row>
    <row r="37" spans="1:4" outlineLevel="1">
      <c r="A37" s="361"/>
      <c r="B37" s="10" t="s">
        <v>80</v>
      </c>
      <c r="C37" s="351"/>
      <c r="D37" s="364"/>
    </row>
    <row r="38" spans="1:4" outlineLevel="1">
      <c r="A38" s="361">
        <v>13</v>
      </c>
      <c r="B38" s="10" t="s">
        <v>77</v>
      </c>
      <c r="D38" s="364"/>
    </row>
    <row r="39" spans="1:4" outlineLevel="1">
      <c r="A39" s="361"/>
      <c r="B39" s="39" t="s">
        <v>80</v>
      </c>
      <c r="C39" s="351" t="s">
        <v>28</v>
      </c>
      <c r="D39" s="364"/>
    </row>
    <row r="40" spans="1:4" outlineLevel="1">
      <c r="A40" s="361"/>
      <c r="B40" s="10" t="s">
        <v>80</v>
      </c>
      <c r="C40" s="351"/>
      <c r="D40" s="364"/>
    </row>
    <row r="41" spans="1:4" outlineLevel="1">
      <c r="A41" s="361">
        <v>14</v>
      </c>
      <c r="B41" s="10" t="s">
        <v>77</v>
      </c>
      <c r="D41" s="364"/>
    </row>
    <row r="42" spans="1:4" outlineLevel="1">
      <c r="A42" s="361"/>
      <c r="B42" s="39" t="s">
        <v>80</v>
      </c>
      <c r="C42" s="351" t="s">
        <v>28</v>
      </c>
      <c r="D42" s="364"/>
    </row>
    <row r="43" spans="1:4" outlineLevel="1">
      <c r="A43" s="361"/>
      <c r="B43" s="10" t="s">
        <v>80</v>
      </c>
      <c r="C43" s="351"/>
      <c r="D43" s="364"/>
    </row>
    <row r="44" spans="1:4" outlineLevel="1">
      <c r="A44" s="361">
        <v>15</v>
      </c>
      <c r="B44" s="10" t="s">
        <v>77</v>
      </c>
      <c r="D44" s="364"/>
    </row>
    <row r="45" spans="1:4" outlineLevel="1">
      <c r="A45" s="361"/>
      <c r="B45" s="39" t="s">
        <v>80</v>
      </c>
      <c r="C45" s="351" t="s">
        <v>28</v>
      </c>
      <c r="D45" s="364"/>
    </row>
    <row r="46" spans="1:4" outlineLevel="1">
      <c r="A46" s="361"/>
      <c r="B46" s="10" t="s">
        <v>80</v>
      </c>
      <c r="C46" s="351"/>
      <c r="D46" s="364"/>
    </row>
    <row r="47" spans="1:4" outlineLevel="1">
      <c r="A47" s="361">
        <v>16</v>
      </c>
      <c r="B47" s="10" t="s">
        <v>77</v>
      </c>
      <c r="D47" s="364"/>
    </row>
    <row r="48" spans="1:4" outlineLevel="1">
      <c r="A48" s="361"/>
      <c r="B48" s="39" t="s">
        <v>80</v>
      </c>
      <c r="C48" s="351" t="s">
        <v>28</v>
      </c>
      <c r="D48" s="364"/>
    </row>
    <row r="49" spans="1:7" outlineLevel="1">
      <c r="A49" s="361"/>
      <c r="B49" s="10" t="s">
        <v>80</v>
      </c>
      <c r="C49" s="351"/>
      <c r="D49" s="364"/>
    </row>
    <row r="50" spans="1:7" outlineLevel="1">
      <c r="A50" s="41"/>
      <c r="B50" s="40" t="s">
        <v>83</v>
      </c>
    </row>
    <row r="51" spans="1:7">
      <c r="E51" s="27" t="s">
        <v>38</v>
      </c>
      <c r="F51" s="27" t="s">
        <v>39</v>
      </c>
      <c r="G51" s="27">
        <v>9975</v>
      </c>
    </row>
    <row r="52" spans="1:7">
      <c r="E52" s="27" t="s">
        <v>40</v>
      </c>
      <c r="F52" s="27" t="s">
        <v>41</v>
      </c>
      <c r="G52" s="27">
        <v>49</v>
      </c>
    </row>
    <row r="53" spans="1:7">
      <c r="E53" s="27" t="s">
        <v>42</v>
      </c>
      <c r="F53" s="27" t="s">
        <v>43</v>
      </c>
      <c r="G53" s="27">
        <v>36</v>
      </c>
    </row>
    <row r="54" spans="1:7">
      <c r="E54" s="27" t="s">
        <v>44</v>
      </c>
      <c r="F54" s="27" t="s">
        <v>45</v>
      </c>
      <c r="G54" s="27">
        <v>128</v>
      </c>
    </row>
    <row r="55" spans="1:7">
      <c r="E55" s="27" t="s">
        <v>46</v>
      </c>
      <c r="F55" s="27" t="s">
        <v>47</v>
      </c>
      <c r="G55" s="27">
        <f>CEILING(G53/4,1)</f>
        <v>9</v>
      </c>
    </row>
    <row r="56" spans="1:7">
      <c r="E56" s="28" t="s">
        <v>48</v>
      </c>
      <c r="F56" s="28" t="s">
        <v>49</v>
      </c>
      <c r="G56" s="28">
        <f>FLOOR(G51/G54,1)</f>
        <v>77</v>
      </c>
    </row>
    <row r="57" spans="1:7">
      <c r="E57" s="28" t="s">
        <v>50</v>
      </c>
      <c r="F57" s="28" t="s">
        <v>51</v>
      </c>
      <c r="G57" s="28">
        <f>MOD(G51,G54)</f>
        <v>119</v>
      </c>
    </row>
    <row r="58" spans="1:7">
      <c r="E58" s="28" t="s">
        <v>52</v>
      </c>
      <c r="F58" s="28" t="s">
        <v>53</v>
      </c>
      <c r="G58" s="28">
        <f>FLOOR(G52/G53,1)</f>
        <v>1</v>
      </c>
    </row>
    <row r="59" spans="1:7">
      <c r="E59" s="28" t="s">
        <v>54</v>
      </c>
      <c r="F59" s="28" t="s">
        <v>55</v>
      </c>
      <c r="G59" s="28">
        <f>MOD(G52,G53)</f>
        <v>13</v>
      </c>
    </row>
    <row r="60" spans="1:7">
      <c r="E60" s="28" t="s">
        <v>56</v>
      </c>
      <c r="F60" s="28" t="s">
        <v>57</v>
      </c>
      <c r="G60" s="28">
        <f>IF(G58=0,0,G53)</f>
        <v>36</v>
      </c>
    </row>
    <row r="61" spans="1:7">
      <c r="E61" s="28" t="s">
        <v>58</v>
      </c>
      <c r="F61" s="28" t="s">
        <v>59</v>
      </c>
      <c r="G61" s="28">
        <f>G59</f>
        <v>13</v>
      </c>
    </row>
    <row r="62" spans="1:7">
      <c r="E62" s="28"/>
      <c r="F62" s="28"/>
      <c r="G62" s="29"/>
    </row>
    <row r="63" spans="1:7">
      <c r="E63" s="12" t="s">
        <v>60</v>
      </c>
      <c r="F63" s="30" t="s">
        <v>61</v>
      </c>
      <c r="G63" s="31">
        <f>(G66+G69)</f>
        <v>25020</v>
      </c>
    </row>
    <row r="64" spans="1:7">
      <c r="E64" s="12"/>
      <c r="F64" s="12" t="s">
        <v>62</v>
      </c>
      <c r="G64" s="29">
        <f>IF(G56=0,0,((G60+(MIN(G51,G54)-1)+G55)*G58))</f>
        <v>172</v>
      </c>
    </row>
    <row r="65" spans="5:7">
      <c r="E65" s="12"/>
      <c r="F65" s="12"/>
      <c r="G65" s="29">
        <f>IF(G56=0,0,IF(G59=0,0,(G61+(MIN(G51,G54)-1)+G55)))</f>
        <v>149</v>
      </c>
    </row>
    <row r="66" spans="5:7">
      <c r="E66" s="12"/>
      <c r="F66" s="12"/>
      <c r="G66" s="29">
        <f>(G64+G65)*G56</f>
        <v>24717</v>
      </c>
    </row>
    <row r="67" spans="5:7">
      <c r="E67" s="12"/>
      <c r="F67" s="12" t="s">
        <v>50</v>
      </c>
      <c r="G67" s="29">
        <f>IF(G57=0,0,(G60+(G57-1)+G55)*G58)</f>
        <v>163</v>
      </c>
    </row>
    <row r="68" spans="5:7">
      <c r="E68" s="12"/>
      <c r="F68" s="12"/>
      <c r="G68" s="29">
        <f>IF(G57=0,0,IF(G59=0,0,(G61+(G57-1)+G55)))</f>
        <v>140</v>
      </c>
    </row>
    <row r="69" spans="5:7">
      <c r="E69" s="12"/>
      <c r="F69" s="12"/>
      <c r="G69" s="29">
        <f>G67+G68</f>
        <v>303</v>
      </c>
    </row>
    <row r="70" spans="5:7">
      <c r="E70" s="28"/>
      <c r="F70" s="28"/>
      <c r="G70" s="29"/>
    </row>
    <row r="71" spans="5:7">
      <c r="E71" s="12" t="s">
        <v>60</v>
      </c>
      <c r="F71" s="30" t="s">
        <v>61</v>
      </c>
      <c r="G71" s="32">
        <f>(G72+G73+G74)</f>
        <v>20015</v>
      </c>
    </row>
    <row r="72" spans="5:7">
      <c r="E72" s="12"/>
      <c r="F72" s="33" t="s">
        <v>52</v>
      </c>
      <c r="G72" s="29">
        <f>((G60+(G51-1))*G58)</f>
        <v>10010</v>
      </c>
    </row>
    <row r="73" spans="5:7">
      <c r="E73" s="12"/>
      <c r="F73" s="33" t="s">
        <v>63</v>
      </c>
      <c r="G73" s="29">
        <f>G55*G58</f>
        <v>9</v>
      </c>
    </row>
    <row r="74" spans="5:7">
      <c r="E74" s="12"/>
      <c r="F74" s="33" t="s">
        <v>54</v>
      </c>
      <c r="G74" s="29">
        <f>IF(G61=0,0,G61+(G51-1)+G55)</f>
        <v>9996</v>
      </c>
    </row>
    <row r="75" spans="5:7">
      <c r="E75" s="28"/>
      <c r="F75" s="28"/>
      <c r="G75" s="29"/>
    </row>
    <row r="76" spans="5:7">
      <c r="E76" s="34" t="s">
        <v>64</v>
      </c>
      <c r="F76" s="34" t="s">
        <v>65</v>
      </c>
      <c r="G76" s="10">
        <f>IF(G53&gt;=G52,G51/G71,G51/G63)</f>
        <v>0.39868105515587532</v>
      </c>
    </row>
    <row r="77" spans="5:7">
      <c r="E77" s="34" t="s">
        <v>37</v>
      </c>
      <c r="F77" s="34" t="s">
        <v>66</v>
      </c>
      <c r="G77" s="10">
        <f>G51/G71</f>
        <v>0.49837621783662256</v>
      </c>
    </row>
  </sheetData>
  <mergeCells count="48">
    <mergeCell ref="A14:A16"/>
    <mergeCell ref="D14:D16"/>
    <mergeCell ref="C15:C16"/>
    <mergeCell ref="A17:A19"/>
    <mergeCell ref="A2:A4"/>
    <mergeCell ref="D2:D4"/>
    <mergeCell ref="A5:A7"/>
    <mergeCell ref="D5:D7"/>
    <mergeCell ref="C3:C4"/>
    <mergeCell ref="C6:C7"/>
    <mergeCell ref="A8:A10"/>
    <mergeCell ref="D8:D10"/>
    <mergeCell ref="C9:C10"/>
    <mergeCell ref="A11:A13"/>
    <mergeCell ref="D11:D13"/>
    <mergeCell ref="C12:C13"/>
    <mergeCell ref="A23:A25"/>
    <mergeCell ref="D23:D25"/>
    <mergeCell ref="C24:C25"/>
    <mergeCell ref="A26:A28"/>
    <mergeCell ref="D26:D28"/>
    <mergeCell ref="C27:C28"/>
    <mergeCell ref="D17:D19"/>
    <mergeCell ref="C18:C19"/>
    <mergeCell ref="A20:A22"/>
    <mergeCell ref="D20:D22"/>
    <mergeCell ref="C21:C22"/>
    <mergeCell ref="D29:D31"/>
    <mergeCell ref="C30:C31"/>
    <mergeCell ref="A32:A34"/>
    <mergeCell ref="D32:D34"/>
    <mergeCell ref="C33:C34"/>
    <mergeCell ref="A29:A31"/>
    <mergeCell ref="D47:D49"/>
    <mergeCell ref="C48:C49"/>
    <mergeCell ref="A35:A37"/>
    <mergeCell ref="D35:D37"/>
    <mergeCell ref="C36:C37"/>
    <mergeCell ref="A38:A40"/>
    <mergeCell ref="D38:D40"/>
    <mergeCell ref="C39:C40"/>
    <mergeCell ref="A41:A43"/>
    <mergeCell ref="D41:D43"/>
    <mergeCell ref="C42:C43"/>
    <mergeCell ref="A44:A46"/>
    <mergeCell ref="D44:D46"/>
    <mergeCell ref="C45:C46"/>
    <mergeCell ref="A47:A4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D25" workbookViewId="0">
      <selection activeCell="P24" sqref="P24"/>
    </sheetView>
  </sheetViews>
  <sheetFormatPr defaultRowHeight="13.5" outlineLevelRow="1"/>
  <cols>
    <col min="2" max="2" width="19.25" bestFit="1" customWidth="1"/>
    <col min="3" max="3" width="9.125" customWidth="1"/>
  </cols>
  <sheetData>
    <row r="1" spans="1:4">
      <c r="A1" s="2" t="s">
        <v>0</v>
      </c>
      <c r="B1" s="17" t="s">
        <v>1</v>
      </c>
      <c r="D1" s="1" t="s">
        <v>2</v>
      </c>
    </row>
    <row r="2" spans="1:4">
      <c r="A2" s="2"/>
      <c r="B2" s="13" t="s">
        <v>13</v>
      </c>
    </row>
    <row r="3" spans="1:4">
      <c r="A3" s="366">
        <v>1</v>
      </c>
      <c r="B3" s="10" t="s">
        <v>86</v>
      </c>
      <c r="C3" s="351" t="s">
        <v>28</v>
      </c>
    </row>
    <row r="4" spans="1:4">
      <c r="A4" s="367"/>
      <c r="B4" s="365" t="s">
        <v>85</v>
      </c>
      <c r="C4" s="351"/>
    </row>
    <row r="5" spans="1:4">
      <c r="A5" s="367"/>
      <c r="B5" s="365"/>
      <c r="C5" s="351"/>
    </row>
    <row r="6" spans="1:4">
      <c r="A6" s="367"/>
      <c r="B6" s="365"/>
      <c r="C6" s="351"/>
    </row>
    <row r="7" spans="1:4" outlineLevel="1">
      <c r="A7" s="366">
        <v>2</v>
      </c>
      <c r="B7" s="10" t="s">
        <v>86</v>
      </c>
      <c r="C7" s="351" t="s">
        <v>28</v>
      </c>
    </row>
    <row r="8" spans="1:4" outlineLevel="1">
      <c r="A8" s="367"/>
      <c r="B8" s="365" t="s">
        <v>85</v>
      </c>
      <c r="C8" s="351"/>
    </row>
    <row r="9" spans="1:4" outlineLevel="1">
      <c r="A9" s="367"/>
      <c r="B9" s="365"/>
      <c r="C9" s="351"/>
    </row>
    <row r="10" spans="1:4" outlineLevel="1">
      <c r="A10" s="367"/>
      <c r="B10" s="365"/>
      <c r="C10" s="351"/>
    </row>
    <row r="11" spans="1:4" outlineLevel="1">
      <c r="A11" s="366">
        <v>3</v>
      </c>
      <c r="B11" s="10" t="s">
        <v>86</v>
      </c>
      <c r="C11" s="351" t="s">
        <v>28</v>
      </c>
    </row>
    <row r="12" spans="1:4" outlineLevel="1">
      <c r="A12" s="367"/>
      <c r="B12" s="365" t="s">
        <v>85</v>
      </c>
      <c r="C12" s="351"/>
    </row>
    <row r="13" spans="1:4" outlineLevel="1">
      <c r="A13" s="367"/>
      <c r="B13" s="365"/>
      <c r="C13" s="351"/>
    </row>
    <row r="14" spans="1:4" outlineLevel="1">
      <c r="A14" s="367"/>
      <c r="B14" s="365"/>
      <c r="C14" s="351"/>
    </row>
    <row r="15" spans="1:4" outlineLevel="1">
      <c r="A15" s="366">
        <v>4</v>
      </c>
      <c r="B15" s="10" t="s">
        <v>86</v>
      </c>
      <c r="C15" s="351" t="s">
        <v>28</v>
      </c>
    </row>
    <row r="16" spans="1:4" outlineLevel="1">
      <c r="A16" s="367"/>
      <c r="B16" s="365" t="s">
        <v>85</v>
      </c>
      <c r="C16" s="351"/>
    </row>
    <row r="17" spans="1:3" outlineLevel="1">
      <c r="A17" s="367"/>
      <c r="B17" s="365"/>
      <c r="C17" s="351"/>
    </row>
    <row r="18" spans="1:3" outlineLevel="1">
      <c r="A18" s="367"/>
      <c r="B18" s="365"/>
      <c r="C18" s="351"/>
    </row>
    <row r="19" spans="1:3" outlineLevel="1">
      <c r="A19" s="366">
        <v>5</v>
      </c>
      <c r="B19" s="10" t="s">
        <v>86</v>
      </c>
      <c r="C19" s="351" t="s">
        <v>28</v>
      </c>
    </row>
    <row r="20" spans="1:3" outlineLevel="1">
      <c r="A20" s="367"/>
      <c r="B20" s="365" t="s">
        <v>85</v>
      </c>
      <c r="C20" s="351"/>
    </row>
    <row r="21" spans="1:3" outlineLevel="1">
      <c r="A21" s="367"/>
      <c r="B21" s="365"/>
      <c r="C21" s="351"/>
    </row>
    <row r="22" spans="1:3" outlineLevel="1">
      <c r="A22" s="367"/>
      <c r="B22" s="365"/>
      <c r="C22" s="351"/>
    </row>
    <row r="23" spans="1:3">
      <c r="A23" s="366">
        <v>6</v>
      </c>
      <c r="B23" s="10" t="s">
        <v>86</v>
      </c>
      <c r="C23" s="351" t="s">
        <v>28</v>
      </c>
    </row>
    <row r="24" spans="1:3">
      <c r="A24" s="367"/>
      <c r="B24" s="365" t="s">
        <v>85</v>
      </c>
      <c r="C24" s="351"/>
    </row>
    <row r="25" spans="1:3">
      <c r="A25" s="367"/>
      <c r="B25" s="365"/>
      <c r="C25" s="351"/>
    </row>
    <row r="26" spans="1:3">
      <c r="A26" s="367"/>
      <c r="B26" s="365"/>
      <c r="C26" s="351"/>
    </row>
    <row r="27" spans="1:3">
      <c r="A27" s="368">
        <v>7</v>
      </c>
      <c r="B27" s="7" t="s">
        <v>14</v>
      </c>
    </row>
    <row r="28" spans="1:3">
      <c r="A28" s="368"/>
      <c r="B28" s="6" t="s">
        <v>87</v>
      </c>
    </row>
    <row r="29" spans="1:3">
      <c r="A29" s="368"/>
      <c r="B29" s="11" t="s">
        <v>88</v>
      </c>
    </row>
    <row r="30" spans="1:3">
      <c r="A30" s="366">
        <v>8</v>
      </c>
      <c r="B30" s="10" t="s">
        <v>86</v>
      </c>
      <c r="C30" s="351" t="s">
        <v>28</v>
      </c>
    </row>
    <row r="31" spans="1:3">
      <c r="A31" s="367"/>
      <c r="B31" s="365" t="s">
        <v>85</v>
      </c>
      <c r="C31" s="351"/>
    </row>
    <row r="32" spans="1:3">
      <c r="A32" s="367"/>
      <c r="B32" s="365"/>
      <c r="C32" s="351"/>
    </row>
    <row r="33" spans="1:3">
      <c r="A33" s="367"/>
      <c r="B33" s="365"/>
      <c r="C33" s="351"/>
    </row>
    <row r="34" spans="1:3" outlineLevel="1">
      <c r="A34" s="366">
        <v>9</v>
      </c>
      <c r="B34" s="10" t="s">
        <v>86</v>
      </c>
      <c r="C34" s="351" t="s">
        <v>28</v>
      </c>
    </row>
    <row r="35" spans="1:3" outlineLevel="1">
      <c r="A35" s="367"/>
      <c r="B35" s="365" t="s">
        <v>85</v>
      </c>
      <c r="C35" s="351"/>
    </row>
    <row r="36" spans="1:3" outlineLevel="1">
      <c r="A36" s="367"/>
      <c r="B36" s="365"/>
      <c r="C36" s="351"/>
    </row>
    <row r="37" spans="1:3" outlineLevel="1">
      <c r="A37" s="367"/>
      <c r="B37" s="365"/>
      <c r="C37" s="351"/>
    </row>
    <row r="38" spans="1:3" outlineLevel="1">
      <c r="A38" s="366">
        <v>10</v>
      </c>
      <c r="B38" s="10" t="s">
        <v>86</v>
      </c>
      <c r="C38" s="351" t="s">
        <v>28</v>
      </c>
    </row>
    <row r="39" spans="1:3" outlineLevel="1">
      <c r="A39" s="367"/>
      <c r="B39" s="365" t="s">
        <v>85</v>
      </c>
      <c r="C39" s="351"/>
    </row>
    <row r="40" spans="1:3" outlineLevel="1">
      <c r="A40" s="367"/>
      <c r="B40" s="365"/>
      <c r="C40" s="351"/>
    </row>
    <row r="41" spans="1:3" outlineLevel="1">
      <c r="A41" s="367"/>
      <c r="B41" s="365"/>
      <c r="C41" s="351"/>
    </row>
    <row r="42" spans="1:3" outlineLevel="1">
      <c r="A42" s="366">
        <v>11</v>
      </c>
      <c r="B42" s="10" t="s">
        <v>86</v>
      </c>
      <c r="C42" s="351" t="s">
        <v>28</v>
      </c>
    </row>
    <row r="43" spans="1:3" outlineLevel="1">
      <c r="A43" s="367"/>
      <c r="B43" s="365" t="s">
        <v>85</v>
      </c>
      <c r="C43" s="351"/>
    </row>
    <row r="44" spans="1:3" outlineLevel="1">
      <c r="A44" s="367"/>
      <c r="B44" s="365"/>
      <c r="C44" s="351"/>
    </row>
    <row r="45" spans="1:3" outlineLevel="1">
      <c r="A45" s="367"/>
      <c r="B45" s="365"/>
      <c r="C45" s="351"/>
    </row>
    <row r="46" spans="1:3" outlineLevel="1">
      <c r="A46" s="366">
        <v>12</v>
      </c>
      <c r="B46" s="10" t="s">
        <v>86</v>
      </c>
      <c r="C46" s="351" t="s">
        <v>28</v>
      </c>
    </row>
    <row r="47" spans="1:3" outlineLevel="1">
      <c r="A47" s="367"/>
      <c r="B47" s="365" t="s">
        <v>85</v>
      </c>
      <c r="C47" s="351"/>
    </row>
    <row r="48" spans="1:3" outlineLevel="1">
      <c r="A48" s="367"/>
      <c r="B48" s="365"/>
      <c r="C48" s="351"/>
    </row>
    <row r="49" spans="1:3" outlineLevel="1">
      <c r="A49" s="367"/>
      <c r="B49" s="365"/>
      <c r="C49" s="351"/>
    </row>
    <row r="50" spans="1:3">
      <c r="A50" s="366">
        <v>13</v>
      </c>
      <c r="B50" s="10" t="s">
        <v>86</v>
      </c>
      <c r="C50" s="351" t="s">
        <v>28</v>
      </c>
    </row>
    <row r="51" spans="1:3">
      <c r="A51" s="367"/>
      <c r="B51" s="365" t="s">
        <v>85</v>
      </c>
      <c r="C51" s="351"/>
    </row>
    <row r="52" spans="1:3">
      <c r="A52" s="367"/>
      <c r="B52" s="365"/>
      <c r="C52" s="351"/>
    </row>
    <row r="53" spans="1:3">
      <c r="A53" s="367"/>
      <c r="B53" s="365"/>
      <c r="C53" s="351"/>
    </row>
    <row r="54" spans="1:3">
      <c r="A54" s="369">
        <v>14</v>
      </c>
      <c r="B54" s="10" t="s">
        <v>14</v>
      </c>
    </row>
    <row r="55" spans="1:3">
      <c r="A55" s="370"/>
      <c r="B55" s="6" t="s">
        <v>87</v>
      </c>
    </row>
    <row r="56" spans="1:3">
      <c r="A56" s="370"/>
      <c r="B56" s="11" t="s">
        <v>88</v>
      </c>
    </row>
    <row r="57" spans="1:3">
      <c r="A57" s="366">
        <v>15</v>
      </c>
      <c r="B57" s="10" t="s">
        <v>86</v>
      </c>
      <c r="C57" s="351" t="s">
        <v>28</v>
      </c>
    </row>
    <row r="58" spans="1:3" ht="13.5" customHeight="1">
      <c r="A58" s="367"/>
      <c r="B58" s="365" t="s">
        <v>85</v>
      </c>
      <c r="C58" s="351"/>
    </row>
    <row r="59" spans="1:3">
      <c r="A59" s="367"/>
      <c r="B59" s="365"/>
      <c r="C59" s="351"/>
    </row>
    <row r="60" spans="1:3">
      <c r="A60" s="367"/>
      <c r="B60" s="365"/>
      <c r="C60" s="351"/>
    </row>
    <row r="61" spans="1:3" ht="13.5" customHeight="1" outlineLevel="1">
      <c r="A61" s="366">
        <v>16</v>
      </c>
      <c r="B61" s="10" t="s">
        <v>86</v>
      </c>
      <c r="C61" s="351" t="s">
        <v>28</v>
      </c>
    </row>
    <row r="62" spans="1:3" ht="13.5" customHeight="1" outlineLevel="1">
      <c r="A62" s="367"/>
      <c r="B62" s="365" t="s">
        <v>85</v>
      </c>
      <c r="C62" s="351"/>
    </row>
    <row r="63" spans="1:3" ht="13.5" customHeight="1" outlineLevel="1">
      <c r="A63" s="367"/>
      <c r="B63" s="365"/>
      <c r="C63" s="351"/>
    </row>
    <row r="64" spans="1:3" ht="13.5" customHeight="1" outlineLevel="1">
      <c r="A64" s="367"/>
      <c r="B64" s="365"/>
      <c r="C64" s="351"/>
    </row>
    <row r="65" spans="1:3" ht="13.5" customHeight="1" outlineLevel="1">
      <c r="A65" s="366">
        <v>17</v>
      </c>
      <c r="B65" s="10" t="s">
        <v>86</v>
      </c>
      <c r="C65" s="351" t="s">
        <v>28</v>
      </c>
    </row>
    <row r="66" spans="1:3" ht="13.5" customHeight="1" outlineLevel="1">
      <c r="A66" s="367"/>
      <c r="B66" s="365" t="s">
        <v>85</v>
      </c>
      <c r="C66" s="351"/>
    </row>
    <row r="67" spans="1:3" ht="13.5" customHeight="1" outlineLevel="1">
      <c r="A67" s="367"/>
      <c r="B67" s="365"/>
      <c r="C67" s="351"/>
    </row>
    <row r="68" spans="1:3" ht="13.5" customHeight="1" outlineLevel="1">
      <c r="A68" s="367"/>
      <c r="B68" s="365"/>
      <c r="C68" s="351"/>
    </row>
    <row r="69" spans="1:3" ht="13.5" customHeight="1" outlineLevel="1">
      <c r="A69" s="366">
        <v>18</v>
      </c>
      <c r="B69" s="10" t="s">
        <v>86</v>
      </c>
      <c r="C69" s="351" t="s">
        <v>28</v>
      </c>
    </row>
    <row r="70" spans="1:3" ht="13.5" customHeight="1" outlineLevel="1">
      <c r="A70" s="367"/>
      <c r="B70" s="365" t="s">
        <v>85</v>
      </c>
      <c r="C70" s="351"/>
    </row>
    <row r="71" spans="1:3" ht="13.5" customHeight="1" outlineLevel="1">
      <c r="A71" s="367"/>
      <c r="B71" s="365"/>
      <c r="C71" s="351"/>
    </row>
    <row r="72" spans="1:3" ht="13.5" customHeight="1" outlineLevel="1">
      <c r="A72" s="367"/>
      <c r="B72" s="365"/>
      <c r="C72" s="351"/>
    </row>
    <row r="73" spans="1:3" ht="13.5" customHeight="1" outlineLevel="1">
      <c r="A73" s="366">
        <v>19</v>
      </c>
      <c r="B73" s="10" t="s">
        <v>86</v>
      </c>
      <c r="C73" s="351" t="s">
        <v>28</v>
      </c>
    </row>
    <row r="74" spans="1:3" outlineLevel="1">
      <c r="A74" s="367"/>
      <c r="B74" s="365" t="s">
        <v>85</v>
      </c>
      <c r="C74" s="351"/>
    </row>
    <row r="75" spans="1:3" ht="13.5" customHeight="1" outlineLevel="1">
      <c r="A75" s="367"/>
      <c r="B75" s="365"/>
      <c r="C75" s="351"/>
    </row>
    <row r="76" spans="1:3" outlineLevel="1">
      <c r="A76" s="367"/>
      <c r="B76" s="365"/>
      <c r="C76" s="351"/>
    </row>
    <row r="77" spans="1:3">
      <c r="A77" s="366">
        <v>20</v>
      </c>
      <c r="B77" s="10" t="s">
        <v>86</v>
      </c>
      <c r="C77" s="351" t="s">
        <v>28</v>
      </c>
    </row>
    <row r="78" spans="1:3">
      <c r="A78" s="367"/>
      <c r="B78" s="365" t="s">
        <v>85</v>
      </c>
      <c r="C78" s="351"/>
    </row>
    <row r="79" spans="1:3">
      <c r="A79" s="367"/>
      <c r="B79" s="365"/>
      <c r="C79" s="351"/>
    </row>
    <row r="80" spans="1:3">
      <c r="A80" s="367"/>
      <c r="B80" s="365"/>
      <c r="C80" s="351"/>
    </row>
    <row r="81" spans="1:6">
      <c r="A81" s="28"/>
      <c r="B81" s="13" t="s">
        <v>16</v>
      </c>
    </row>
    <row r="82" spans="1:6">
      <c r="D82" s="27" t="s">
        <v>38</v>
      </c>
      <c r="E82" s="27" t="s">
        <v>39</v>
      </c>
      <c r="F82" s="27">
        <v>9975</v>
      </c>
    </row>
    <row r="83" spans="1:6">
      <c r="D83" s="27" t="s">
        <v>40</v>
      </c>
      <c r="E83" s="27" t="s">
        <v>41</v>
      </c>
      <c r="F83" s="27">
        <v>80</v>
      </c>
    </row>
    <row r="84" spans="1:6">
      <c r="D84" s="27" t="s">
        <v>42</v>
      </c>
      <c r="E84" s="27" t="s">
        <v>43</v>
      </c>
      <c r="F84" s="27">
        <v>35</v>
      </c>
    </row>
    <row r="85" spans="1:6">
      <c r="D85" s="27" t="s">
        <v>44</v>
      </c>
      <c r="E85" s="27" t="s">
        <v>45</v>
      </c>
      <c r="F85" s="27">
        <v>128</v>
      </c>
    </row>
    <row r="86" spans="1:6">
      <c r="D86" s="27" t="s">
        <v>46</v>
      </c>
      <c r="E86" s="27" t="s">
        <v>47</v>
      </c>
      <c r="F86" s="27">
        <f>CEILING(F84/4,1)</f>
        <v>9</v>
      </c>
    </row>
    <row r="87" spans="1:6">
      <c r="D87" s="28" t="s">
        <v>48</v>
      </c>
      <c r="E87" s="28" t="s">
        <v>49</v>
      </c>
      <c r="F87" s="28">
        <f>FLOOR(F82/F85,1)</f>
        <v>77</v>
      </c>
    </row>
    <row r="88" spans="1:6">
      <c r="D88" s="28" t="s">
        <v>50</v>
      </c>
      <c r="E88" s="28" t="s">
        <v>51</v>
      </c>
      <c r="F88" s="28">
        <f>MOD(F82,F85)</f>
        <v>119</v>
      </c>
    </row>
    <row r="89" spans="1:6">
      <c r="D89" s="28" t="s">
        <v>52</v>
      </c>
      <c r="E89" s="28" t="s">
        <v>53</v>
      </c>
      <c r="F89" s="28">
        <f>FLOOR(F83/F84,1)</f>
        <v>2</v>
      </c>
    </row>
    <row r="90" spans="1:6">
      <c r="D90" s="28" t="s">
        <v>54</v>
      </c>
      <c r="E90" s="28" t="s">
        <v>55</v>
      </c>
      <c r="F90" s="28">
        <f>MOD(F83,F84)</f>
        <v>10</v>
      </c>
    </row>
    <row r="91" spans="1:6">
      <c r="D91" s="28" t="s">
        <v>56</v>
      </c>
      <c r="E91" s="28" t="s">
        <v>57</v>
      </c>
      <c r="F91" s="28">
        <f>IF(F89=0,0,F84)</f>
        <v>35</v>
      </c>
    </row>
    <row r="92" spans="1:6">
      <c r="D92" s="28" t="s">
        <v>58</v>
      </c>
      <c r="E92" s="28" t="s">
        <v>59</v>
      </c>
      <c r="F92" s="28">
        <f>F90</f>
        <v>10</v>
      </c>
    </row>
    <row r="93" spans="1:6">
      <c r="D93" s="28"/>
      <c r="E93" s="28"/>
      <c r="F93" s="29"/>
    </row>
    <row r="94" spans="1:6">
      <c r="D94" s="12" t="s">
        <v>60</v>
      </c>
      <c r="E94" s="30" t="s">
        <v>61</v>
      </c>
      <c r="F94" s="31">
        <f>(F97+F100)</f>
        <v>38037</v>
      </c>
    </row>
    <row r="95" spans="1:6">
      <c r="D95" s="12"/>
      <c r="E95" s="12" t="s">
        <v>62</v>
      </c>
      <c r="F95" s="29">
        <f>IF(F87=0,0,((F91+(MIN(F82,F85)-1)+F86)*F89))</f>
        <v>342</v>
      </c>
    </row>
    <row r="96" spans="1:6">
      <c r="D96" s="12"/>
      <c r="E96" s="12"/>
      <c r="F96" s="29">
        <f>IF(F87=0,0,IF(F90=0,0,(F92+(MIN(F82,F85)-1)+F86)))</f>
        <v>146</v>
      </c>
    </row>
    <row r="97" spans="4:6">
      <c r="D97" s="12"/>
      <c r="E97" s="12"/>
      <c r="F97" s="29">
        <f>(F95+F96)*F87</f>
        <v>37576</v>
      </c>
    </row>
    <row r="98" spans="4:6">
      <c r="D98" s="12"/>
      <c r="E98" s="12" t="s">
        <v>50</v>
      </c>
      <c r="F98" s="29">
        <f>IF(F88=0,0,(F91+(F88-1)+F86)*F89)</f>
        <v>324</v>
      </c>
    </row>
    <row r="99" spans="4:6">
      <c r="D99" s="12"/>
      <c r="E99" s="12"/>
      <c r="F99" s="29">
        <f>IF(F88=0,0,IF(F90=0,0,(F92+(F88-1)+F86)))</f>
        <v>137</v>
      </c>
    </row>
    <row r="100" spans="4:6">
      <c r="D100" s="12"/>
      <c r="E100" s="12"/>
      <c r="F100" s="29">
        <f>F98+F99</f>
        <v>461</v>
      </c>
    </row>
    <row r="101" spans="4:6">
      <c r="D101" s="28"/>
      <c r="E101" s="28"/>
      <c r="F101" s="29"/>
    </row>
    <row r="102" spans="4:6">
      <c r="D102" s="12" t="s">
        <v>60</v>
      </c>
      <c r="E102" s="30" t="s">
        <v>61</v>
      </c>
      <c r="F102" s="32">
        <f>(F103+F104+F105)</f>
        <v>30029</v>
      </c>
    </row>
    <row r="103" spans="4:6">
      <c r="D103" s="12"/>
      <c r="E103" s="33" t="s">
        <v>52</v>
      </c>
      <c r="F103" s="29">
        <f>((F91+(F82-1))*F89)</f>
        <v>20018</v>
      </c>
    </row>
    <row r="104" spans="4:6">
      <c r="D104" s="12"/>
      <c r="E104" s="33" t="s">
        <v>63</v>
      </c>
      <c r="F104" s="29">
        <f>F86*F89</f>
        <v>18</v>
      </c>
    </row>
    <row r="105" spans="4:6">
      <c r="D105" s="12"/>
      <c r="E105" s="33" t="s">
        <v>54</v>
      </c>
      <c r="F105" s="29">
        <f>IF(F92=0,0,F92+(F82-1)+F86)</f>
        <v>9993</v>
      </c>
    </row>
    <row r="106" spans="4:6">
      <c r="D106" s="28"/>
      <c r="E106" s="28"/>
      <c r="F106" s="29"/>
    </row>
    <row r="107" spans="4:6">
      <c r="D107" s="34" t="s">
        <v>64</v>
      </c>
      <c r="E107" s="34" t="s">
        <v>65</v>
      </c>
      <c r="F107" s="10">
        <f>IF(F84&gt;=F83,F82/F102,F82/F94)</f>
        <v>0.26224465651865286</v>
      </c>
    </row>
    <row r="108" spans="4:6">
      <c r="D108" s="34" t="s">
        <v>37</v>
      </c>
      <c r="E108" s="34" t="s">
        <v>66</v>
      </c>
      <c r="F108" s="10">
        <f>F82/F102</f>
        <v>0.33217889373605514</v>
      </c>
    </row>
  </sheetData>
  <mergeCells count="56">
    <mergeCell ref="A77:A80"/>
    <mergeCell ref="C77:C80"/>
    <mergeCell ref="B78:B80"/>
    <mergeCell ref="C3:C6"/>
    <mergeCell ref="C7:C10"/>
    <mergeCell ref="A7:A10"/>
    <mergeCell ref="C11:C14"/>
    <mergeCell ref="A11:A14"/>
    <mergeCell ref="A54:A56"/>
    <mergeCell ref="B58:B60"/>
    <mergeCell ref="A42:A45"/>
    <mergeCell ref="C42:C45"/>
    <mergeCell ref="C15:C18"/>
    <mergeCell ref="A15:A18"/>
    <mergeCell ref="C19:C22"/>
    <mergeCell ref="A19:A22"/>
    <mergeCell ref="A50:A53"/>
    <mergeCell ref="C50:C53"/>
    <mergeCell ref="B51:B53"/>
    <mergeCell ref="A38:A41"/>
    <mergeCell ref="C38:C41"/>
    <mergeCell ref="B39:B41"/>
    <mergeCell ref="B43:B45"/>
    <mergeCell ref="A46:A49"/>
    <mergeCell ref="C46:C49"/>
    <mergeCell ref="B47:B49"/>
    <mergeCell ref="A57:A60"/>
    <mergeCell ref="C57:C60"/>
    <mergeCell ref="A65:A68"/>
    <mergeCell ref="C65:C68"/>
    <mergeCell ref="B66:B68"/>
    <mergeCell ref="A61:A64"/>
    <mergeCell ref="C61:C64"/>
    <mergeCell ref="B62:B64"/>
    <mergeCell ref="A69:A72"/>
    <mergeCell ref="C69:C72"/>
    <mergeCell ref="B70:B72"/>
    <mergeCell ref="A73:A76"/>
    <mergeCell ref="C73:C76"/>
    <mergeCell ref="B74:B76"/>
    <mergeCell ref="B20:B22"/>
    <mergeCell ref="B24:B26"/>
    <mergeCell ref="A34:A37"/>
    <mergeCell ref="C34:C37"/>
    <mergeCell ref="B35:B37"/>
    <mergeCell ref="A30:A33"/>
    <mergeCell ref="A27:A29"/>
    <mergeCell ref="A23:A26"/>
    <mergeCell ref="C23:C26"/>
    <mergeCell ref="B31:B33"/>
    <mergeCell ref="C30:C33"/>
    <mergeCell ref="B4:B6"/>
    <mergeCell ref="B8:B10"/>
    <mergeCell ref="B12:B14"/>
    <mergeCell ref="B16:B18"/>
    <mergeCell ref="A3:A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E1" zoomScale="145" zoomScaleNormal="145" workbookViewId="0">
      <selection activeCell="M26" sqref="M26"/>
    </sheetView>
  </sheetViews>
  <sheetFormatPr defaultRowHeight="13.5" outlineLevelRow="1"/>
  <cols>
    <col min="2" max="2" width="15.125" customWidth="1"/>
  </cols>
  <sheetData>
    <row r="1" spans="1:3">
      <c r="A1" s="2" t="s">
        <v>0</v>
      </c>
      <c r="B1" s="17" t="s">
        <v>1</v>
      </c>
      <c r="C1" s="1" t="s">
        <v>2</v>
      </c>
    </row>
    <row r="2" spans="1:3">
      <c r="A2" s="366">
        <v>1</v>
      </c>
      <c r="B2" s="18" t="s">
        <v>90</v>
      </c>
      <c r="C2" s="372"/>
    </row>
    <row r="3" spans="1:3">
      <c r="A3" s="367"/>
      <c r="B3" s="11" t="s">
        <v>18</v>
      </c>
      <c r="C3" s="359"/>
    </row>
    <row r="4" spans="1:3">
      <c r="A4" s="367"/>
      <c r="B4" s="10" t="s">
        <v>20</v>
      </c>
      <c r="C4" s="359"/>
    </row>
    <row r="5" spans="1:3">
      <c r="A5" s="367"/>
      <c r="B5" s="20" t="s">
        <v>92</v>
      </c>
      <c r="C5" s="359"/>
    </row>
    <row r="6" spans="1:3">
      <c r="A6" s="371"/>
      <c r="B6" s="10" t="s">
        <v>20</v>
      </c>
      <c r="C6" s="360"/>
    </row>
    <row r="7" spans="1:3">
      <c r="A7" s="366">
        <v>2</v>
      </c>
      <c r="B7" s="10" t="s">
        <v>110</v>
      </c>
      <c r="C7" s="372"/>
    </row>
    <row r="8" spans="1:3">
      <c r="A8" s="367"/>
      <c r="B8" s="19" t="s">
        <v>17</v>
      </c>
      <c r="C8" s="359"/>
    </row>
    <row r="9" spans="1:3">
      <c r="A9" s="367"/>
      <c r="B9" s="10" t="s">
        <v>18</v>
      </c>
      <c r="C9" s="359"/>
    </row>
    <row r="10" spans="1:3">
      <c r="A10" s="367"/>
      <c r="B10" s="20" t="s">
        <v>92</v>
      </c>
      <c r="C10" s="359"/>
    </row>
    <row r="11" spans="1:3">
      <c r="A11" s="367"/>
      <c r="B11" s="10" t="s">
        <v>20</v>
      </c>
      <c r="C11" s="359"/>
    </row>
    <row r="12" spans="1:3">
      <c r="A12" s="371"/>
      <c r="B12" s="10" t="s">
        <v>20</v>
      </c>
      <c r="C12" s="360"/>
    </row>
    <row r="13" spans="1:3">
      <c r="A13" s="366">
        <v>3</v>
      </c>
      <c r="B13" s="20" t="s">
        <v>21</v>
      </c>
      <c r="C13" s="372"/>
    </row>
    <row r="14" spans="1:3">
      <c r="A14" s="367"/>
      <c r="B14" s="19" t="s">
        <v>17</v>
      </c>
      <c r="C14" s="359"/>
    </row>
    <row r="15" spans="1:3">
      <c r="A15" s="367"/>
      <c r="B15" s="10" t="s">
        <v>112</v>
      </c>
      <c r="C15" s="359"/>
    </row>
    <row r="16" spans="1:3">
      <c r="A16" s="367"/>
      <c r="B16" s="10" t="s">
        <v>20</v>
      </c>
      <c r="C16" s="359"/>
    </row>
    <row r="17" spans="1:3">
      <c r="A17" s="367"/>
      <c r="B17" s="20" t="s">
        <v>21</v>
      </c>
      <c r="C17" s="359"/>
    </row>
    <row r="18" spans="1:3">
      <c r="A18" s="371"/>
      <c r="B18" s="10" t="s">
        <v>20</v>
      </c>
      <c r="C18" s="360"/>
    </row>
    <row r="19" spans="1:3" outlineLevel="1">
      <c r="A19" s="366">
        <v>4</v>
      </c>
      <c r="B19" s="75" t="s">
        <v>90</v>
      </c>
      <c r="C19" s="372"/>
    </row>
    <row r="20" spans="1:3" outlineLevel="1">
      <c r="A20" s="367"/>
      <c r="B20" s="73" t="s">
        <v>18</v>
      </c>
      <c r="C20" s="359"/>
    </row>
    <row r="21" spans="1:3" outlineLevel="1">
      <c r="A21" s="367"/>
      <c r="B21" s="71" t="s">
        <v>20</v>
      </c>
      <c r="C21" s="359"/>
    </row>
    <row r="22" spans="1:3" outlineLevel="1">
      <c r="A22" s="367"/>
      <c r="B22" s="77" t="s">
        <v>92</v>
      </c>
      <c r="C22" s="359"/>
    </row>
    <row r="23" spans="1:3" outlineLevel="1">
      <c r="A23" s="371"/>
      <c r="B23" s="71" t="s">
        <v>20</v>
      </c>
      <c r="C23" s="360"/>
    </row>
    <row r="24" spans="1:3" outlineLevel="1">
      <c r="A24" s="366">
        <v>5</v>
      </c>
      <c r="B24" s="71" t="s">
        <v>110</v>
      </c>
      <c r="C24" s="372"/>
    </row>
    <row r="25" spans="1:3" outlineLevel="1">
      <c r="A25" s="367"/>
      <c r="B25" s="76" t="s">
        <v>17</v>
      </c>
      <c r="C25" s="359"/>
    </row>
    <row r="26" spans="1:3" outlineLevel="1">
      <c r="A26" s="367"/>
      <c r="B26" s="71" t="s">
        <v>18</v>
      </c>
      <c r="C26" s="359"/>
    </row>
    <row r="27" spans="1:3" outlineLevel="1">
      <c r="A27" s="367"/>
      <c r="B27" s="77" t="s">
        <v>92</v>
      </c>
      <c r="C27" s="359"/>
    </row>
    <row r="28" spans="1:3" outlineLevel="1">
      <c r="A28" s="367"/>
      <c r="B28" s="71" t="s">
        <v>20</v>
      </c>
      <c r="C28" s="359"/>
    </row>
    <row r="29" spans="1:3" outlineLevel="1">
      <c r="A29" s="371"/>
      <c r="B29" s="71" t="s">
        <v>20</v>
      </c>
      <c r="C29" s="360"/>
    </row>
    <row r="30" spans="1:3" outlineLevel="1">
      <c r="A30" s="366">
        <v>6</v>
      </c>
      <c r="B30" s="77" t="s">
        <v>21</v>
      </c>
      <c r="C30" s="372"/>
    </row>
    <row r="31" spans="1:3" outlineLevel="1">
      <c r="A31" s="367"/>
      <c r="B31" s="76" t="s">
        <v>17</v>
      </c>
      <c r="C31" s="359"/>
    </row>
    <row r="32" spans="1:3" outlineLevel="1">
      <c r="A32" s="367"/>
      <c r="B32" s="71" t="s">
        <v>112</v>
      </c>
      <c r="C32" s="359"/>
    </row>
    <row r="33" spans="1:3" outlineLevel="1">
      <c r="A33" s="367"/>
      <c r="B33" s="71" t="s">
        <v>20</v>
      </c>
      <c r="C33" s="359"/>
    </row>
    <row r="34" spans="1:3" outlineLevel="1">
      <c r="A34" s="367"/>
      <c r="B34" s="77" t="s">
        <v>21</v>
      </c>
      <c r="C34" s="359"/>
    </row>
    <row r="35" spans="1:3" outlineLevel="1">
      <c r="A35" s="371"/>
      <c r="B35" s="71" t="s">
        <v>20</v>
      </c>
      <c r="C35" s="360"/>
    </row>
    <row r="36" spans="1:3" outlineLevel="1">
      <c r="A36" s="366">
        <v>7</v>
      </c>
      <c r="B36" s="83" t="s">
        <v>89</v>
      </c>
      <c r="C36" s="372"/>
    </row>
    <row r="37" spans="1:3" outlineLevel="1">
      <c r="A37" s="367"/>
      <c r="B37" s="82" t="s">
        <v>113</v>
      </c>
      <c r="C37" s="359"/>
    </row>
    <row r="38" spans="1:3" outlineLevel="1">
      <c r="A38" s="367"/>
      <c r="B38" s="81" t="s">
        <v>109</v>
      </c>
      <c r="C38" s="359"/>
    </row>
    <row r="39" spans="1:3" outlineLevel="1">
      <c r="A39" s="367"/>
      <c r="B39" s="85" t="s">
        <v>91</v>
      </c>
      <c r="C39" s="359"/>
    </row>
    <row r="40" spans="1:3" outlineLevel="1">
      <c r="A40" s="371"/>
      <c r="B40" s="81" t="s">
        <v>109</v>
      </c>
      <c r="C40" s="360"/>
    </row>
    <row r="41" spans="1:3" outlineLevel="1">
      <c r="A41" s="366">
        <v>8</v>
      </c>
      <c r="B41" s="81" t="s">
        <v>109</v>
      </c>
      <c r="C41" s="372"/>
    </row>
    <row r="42" spans="1:3" outlineLevel="1">
      <c r="A42" s="367"/>
      <c r="B42" s="84" t="s">
        <v>98</v>
      </c>
      <c r="C42" s="359"/>
    </row>
    <row r="43" spans="1:3" outlineLevel="1">
      <c r="A43" s="367"/>
      <c r="B43" s="81" t="s">
        <v>113</v>
      </c>
      <c r="C43" s="359"/>
    </row>
    <row r="44" spans="1:3" outlineLevel="1">
      <c r="A44" s="367"/>
      <c r="B44" s="85" t="s">
        <v>91</v>
      </c>
      <c r="C44" s="359"/>
    </row>
    <row r="45" spans="1:3" outlineLevel="1">
      <c r="A45" s="367"/>
      <c r="B45" s="81" t="s">
        <v>109</v>
      </c>
      <c r="C45" s="359"/>
    </row>
    <row r="46" spans="1:3" outlineLevel="1">
      <c r="A46" s="371"/>
      <c r="B46" s="81" t="s">
        <v>109</v>
      </c>
      <c r="C46" s="360"/>
    </row>
    <row r="47" spans="1:3" outlineLevel="1">
      <c r="A47" s="366">
        <v>9</v>
      </c>
      <c r="B47" s="85" t="s">
        <v>114</v>
      </c>
      <c r="C47" s="372"/>
    </row>
    <row r="48" spans="1:3" outlineLevel="1">
      <c r="A48" s="367"/>
      <c r="B48" s="84" t="s">
        <v>98</v>
      </c>
      <c r="C48" s="359"/>
    </row>
    <row r="49" spans="1:3" outlineLevel="1">
      <c r="A49" s="367"/>
      <c r="B49" s="81" t="s">
        <v>111</v>
      </c>
      <c r="C49" s="359"/>
    </row>
    <row r="50" spans="1:3" outlineLevel="1">
      <c r="A50" s="367"/>
      <c r="B50" s="81" t="s">
        <v>109</v>
      </c>
      <c r="C50" s="359"/>
    </row>
    <row r="51" spans="1:3" outlineLevel="1">
      <c r="A51" s="367"/>
      <c r="B51" s="85" t="s">
        <v>114</v>
      </c>
      <c r="C51" s="359"/>
    </row>
    <row r="52" spans="1:3" outlineLevel="1">
      <c r="A52" s="371"/>
      <c r="B52" s="81" t="s">
        <v>109</v>
      </c>
      <c r="C52" s="360"/>
    </row>
    <row r="53" spans="1:3" outlineLevel="1">
      <c r="A53" s="366">
        <v>10</v>
      </c>
      <c r="B53" s="88" t="s">
        <v>89</v>
      </c>
      <c r="C53" s="372"/>
    </row>
    <row r="54" spans="1:3" outlineLevel="1">
      <c r="A54" s="367"/>
      <c r="B54" s="87" t="s">
        <v>113</v>
      </c>
      <c r="C54" s="359"/>
    </row>
    <row r="55" spans="1:3" outlineLevel="1">
      <c r="A55" s="367"/>
      <c r="B55" s="86" t="s">
        <v>109</v>
      </c>
      <c r="C55" s="359"/>
    </row>
    <row r="56" spans="1:3" outlineLevel="1">
      <c r="A56" s="367"/>
      <c r="B56" s="90" t="s">
        <v>91</v>
      </c>
      <c r="C56" s="359"/>
    </row>
    <row r="57" spans="1:3" outlineLevel="1">
      <c r="A57" s="371"/>
      <c r="B57" s="86" t="s">
        <v>109</v>
      </c>
      <c r="C57" s="360"/>
    </row>
    <row r="58" spans="1:3" outlineLevel="1">
      <c r="A58" s="366">
        <v>11</v>
      </c>
      <c r="B58" s="86" t="s">
        <v>109</v>
      </c>
      <c r="C58" s="372"/>
    </row>
    <row r="59" spans="1:3" outlineLevel="1">
      <c r="A59" s="367"/>
      <c r="B59" s="89" t="s">
        <v>98</v>
      </c>
      <c r="C59" s="359"/>
    </row>
    <row r="60" spans="1:3" outlineLevel="1">
      <c r="A60" s="367"/>
      <c r="B60" s="86" t="s">
        <v>113</v>
      </c>
      <c r="C60" s="359"/>
    </row>
    <row r="61" spans="1:3" outlineLevel="1">
      <c r="A61" s="367"/>
      <c r="B61" s="90" t="s">
        <v>91</v>
      </c>
      <c r="C61" s="359"/>
    </row>
    <row r="62" spans="1:3" outlineLevel="1">
      <c r="A62" s="367"/>
      <c r="B62" s="86" t="s">
        <v>109</v>
      </c>
      <c r="C62" s="359"/>
    </row>
    <row r="63" spans="1:3" outlineLevel="1">
      <c r="A63" s="371"/>
      <c r="B63" s="86" t="s">
        <v>109</v>
      </c>
      <c r="C63" s="360"/>
    </row>
    <row r="64" spans="1:3" outlineLevel="1">
      <c r="A64" s="366">
        <v>12</v>
      </c>
      <c r="B64" s="90" t="s">
        <v>114</v>
      </c>
      <c r="C64" s="372"/>
    </row>
    <row r="65" spans="1:3" outlineLevel="1">
      <c r="A65" s="367"/>
      <c r="B65" s="89" t="s">
        <v>98</v>
      </c>
      <c r="C65" s="359"/>
    </row>
    <row r="66" spans="1:3" outlineLevel="1">
      <c r="A66" s="367"/>
      <c r="B66" s="86" t="s">
        <v>111</v>
      </c>
      <c r="C66" s="359"/>
    </row>
    <row r="67" spans="1:3" outlineLevel="1">
      <c r="A67" s="367"/>
      <c r="B67" s="86" t="s">
        <v>109</v>
      </c>
      <c r="C67" s="359"/>
    </row>
    <row r="68" spans="1:3" outlineLevel="1">
      <c r="A68" s="367"/>
      <c r="B68" s="90" t="s">
        <v>114</v>
      </c>
      <c r="C68" s="359"/>
    </row>
    <row r="69" spans="1:3" outlineLevel="1">
      <c r="A69" s="371"/>
      <c r="B69" s="86" t="s">
        <v>109</v>
      </c>
      <c r="C69" s="360"/>
    </row>
    <row r="70" spans="1:3" outlineLevel="1">
      <c r="A70" s="366">
        <v>13</v>
      </c>
      <c r="B70" s="100" t="s">
        <v>89</v>
      </c>
      <c r="C70" s="372"/>
    </row>
    <row r="71" spans="1:3" outlineLevel="1">
      <c r="A71" s="367"/>
      <c r="B71" s="97" t="s">
        <v>113</v>
      </c>
      <c r="C71" s="359"/>
    </row>
    <row r="72" spans="1:3" outlineLevel="1">
      <c r="A72" s="367"/>
      <c r="B72" s="95" t="s">
        <v>109</v>
      </c>
      <c r="C72" s="359"/>
    </row>
    <row r="73" spans="1:3" outlineLevel="1">
      <c r="A73" s="367"/>
      <c r="B73" s="102" t="s">
        <v>91</v>
      </c>
      <c r="C73" s="359"/>
    </row>
    <row r="74" spans="1:3" outlineLevel="1">
      <c r="A74" s="371"/>
      <c r="B74" s="95" t="s">
        <v>109</v>
      </c>
      <c r="C74" s="360"/>
    </row>
    <row r="75" spans="1:3" outlineLevel="1">
      <c r="A75" s="366">
        <v>14</v>
      </c>
      <c r="B75" s="95" t="s">
        <v>109</v>
      </c>
      <c r="C75" s="372"/>
    </row>
    <row r="76" spans="1:3" outlineLevel="1">
      <c r="A76" s="367"/>
      <c r="B76" s="101" t="s">
        <v>98</v>
      </c>
      <c r="C76" s="359"/>
    </row>
    <row r="77" spans="1:3" outlineLevel="1">
      <c r="A77" s="367"/>
      <c r="B77" s="95" t="s">
        <v>113</v>
      </c>
      <c r="C77" s="359"/>
    </row>
    <row r="78" spans="1:3" outlineLevel="1">
      <c r="A78" s="367"/>
      <c r="B78" s="102" t="s">
        <v>91</v>
      </c>
      <c r="C78" s="359"/>
    </row>
    <row r="79" spans="1:3" outlineLevel="1">
      <c r="A79" s="367"/>
      <c r="B79" s="95" t="s">
        <v>109</v>
      </c>
      <c r="C79" s="359"/>
    </row>
    <row r="80" spans="1:3" outlineLevel="1">
      <c r="A80" s="371"/>
      <c r="B80" s="95" t="s">
        <v>109</v>
      </c>
      <c r="C80" s="360"/>
    </row>
    <row r="81" spans="1:3" outlineLevel="1">
      <c r="A81" s="366">
        <v>15</v>
      </c>
      <c r="B81" s="102" t="s">
        <v>114</v>
      </c>
      <c r="C81" s="372"/>
    </row>
    <row r="82" spans="1:3" outlineLevel="1">
      <c r="A82" s="367"/>
      <c r="B82" s="101" t="s">
        <v>98</v>
      </c>
      <c r="C82" s="359"/>
    </row>
    <row r="83" spans="1:3" outlineLevel="1">
      <c r="A83" s="367"/>
      <c r="B83" s="95" t="s">
        <v>111</v>
      </c>
      <c r="C83" s="359"/>
    </row>
    <row r="84" spans="1:3" outlineLevel="1">
      <c r="A84" s="367"/>
      <c r="B84" s="95" t="s">
        <v>109</v>
      </c>
      <c r="C84" s="359"/>
    </row>
    <row r="85" spans="1:3" outlineLevel="1">
      <c r="A85" s="367"/>
      <c r="B85" s="102" t="s">
        <v>114</v>
      </c>
      <c r="C85" s="359"/>
    </row>
    <row r="86" spans="1:3" outlineLevel="1">
      <c r="A86" s="371"/>
      <c r="B86" s="95" t="s">
        <v>109</v>
      </c>
      <c r="C86" s="360"/>
    </row>
    <row r="87" spans="1:3" outlineLevel="1">
      <c r="A87" s="366">
        <v>16</v>
      </c>
      <c r="B87" s="100" t="s">
        <v>89</v>
      </c>
      <c r="C87" s="372"/>
    </row>
    <row r="88" spans="1:3" outlineLevel="1">
      <c r="A88" s="367"/>
      <c r="B88" s="97" t="s">
        <v>113</v>
      </c>
      <c r="C88" s="359"/>
    </row>
    <row r="89" spans="1:3" outlineLevel="1">
      <c r="A89" s="367"/>
      <c r="B89" s="95" t="s">
        <v>109</v>
      </c>
      <c r="C89" s="359"/>
    </row>
    <row r="90" spans="1:3" outlineLevel="1">
      <c r="A90" s="367"/>
      <c r="B90" s="102" t="s">
        <v>91</v>
      </c>
      <c r="C90" s="359"/>
    </row>
    <row r="91" spans="1:3" outlineLevel="1">
      <c r="A91" s="371"/>
      <c r="B91" s="95" t="s">
        <v>109</v>
      </c>
      <c r="C91" s="360"/>
    </row>
    <row r="92" spans="1:3" outlineLevel="1">
      <c r="A92" s="69"/>
      <c r="B92" s="69"/>
      <c r="C92" s="69"/>
    </row>
    <row r="93" spans="1:3" outlineLevel="1">
      <c r="A93" s="69"/>
      <c r="B93" s="69"/>
      <c r="C93" s="69"/>
    </row>
    <row r="94" spans="1:3" outlineLevel="1">
      <c r="A94" s="69"/>
      <c r="B94" s="69"/>
      <c r="C94" s="69"/>
    </row>
    <row r="95" spans="1:3" outlineLevel="1">
      <c r="A95" s="69"/>
      <c r="B95" s="69"/>
      <c r="C95" s="69"/>
    </row>
    <row r="96" spans="1:3" outlineLevel="1">
      <c r="A96" s="69"/>
      <c r="B96" s="69"/>
      <c r="C96" s="69"/>
    </row>
    <row r="97" spans="1:6" outlineLevel="1">
      <c r="A97" s="69"/>
      <c r="B97" s="69"/>
      <c r="C97" s="69"/>
    </row>
    <row r="98" spans="1:6" outlineLevel="1">
      <c r="A98" s="69"/>
      <c r="B98" s="69"/>
      <c r="C98" s="69"/>
    </row>
    <row r="99" spans="1:6" outlineLevel="1">
      <c r="A99" s="69"/>
      <c r="B99" s="69"/>
      <c r="C99" s="69"/>
    </row>
    <row r="100" spans="1:6" outlineLevel="1">
      <c r="A100" s="69"/>
      <c r="B100" s="69"/>
      <c r="C100" s="69"/>
    </row>
    <row r="101" spans="1:6" outlineLevel="1">
      <c r="A101" s="69"/>
      <c r="B101" s="69"/>
      <c r="C101" s="69"/>
    </row>
    <row r="102" spans="1:6" outlineLevel="1">
      <c r="A102" s="69"/>
      <c r="B102" s="69"/>
      <c r="C102" s="69"/>
    </row>
    <row r="103" spans="1:6">
      <c r="A103" s="69"/>
      <c r="B103" s="69"/>
      <c r="C103" s="69"/>
    </row>
    <row r="104" spans="1:6">
      <c r="A104" s="69"/>
      <c r="B104" s="69"/>
      <c r="C104" s="69"/>
    </row>
    <row r="105" spans="1:6">
      <c r="A105" s="69"/>
      <c r="B105" s="69"/>
      <c r="C105" s="69"/>
    </row>
    <row r="106" spans="1:6">
      <c r="A106" s="69"/>
      <c r="B106" s="69"/>
      <c r="C106" s="69"/>
    </row>
    <row r="107" spans="1:6">
      <c r="A107" s="69"/>
      <c r="B107" s="69"/>
      <c r="C107" s="69"/>
    </row>
    <row r="108" spans="1:6">
      <c r="A108" s="69"/>
      <c r="B108" s="69"/>
      <c r="C108" s="69"/>
    </row>
    <row r="109" spans="1:6">
      <c r="A109" s="69"/>
      <c r="B109" s="69"/>
      <c r="C109" s="69"/>
    </row>
    <row r="110" spans="1:6">
      <c r="D110" s="27" t="s">
        <v>38</v>
      </c>
      <c r="E110" s="27" t="s">
        <v>39</v>
      </c>
      <c r="F110" s="27">
        <v>9975</v>
      </c>
    </row>
    <row r="111" spans="1:6">
      <c r="D111" s="27" t="s">
        <v>40</v>
      </c>
      <c r="E111" s="27" t="s">
        <v>41</v>
      </c>
      <c r="F111" s="27">
        <v>90</v>
      </c>
    </row>
    <row r="112" spans="1:6">
      <c r="D112" s="27" t="s">
        <v>42</v>
      </c>
      <c r="E112" s="27" t="s">
        <v>43</v>
      </c>
      <c r="F112" s="27">
        <v>35</v>
      </c>
    </row>
    <row r="113" spans="4:6">
      <c r="D113" s="27" t="s">
        <v>44</v>
      </c>
      <c r="E113" s="27" t="s">
        <v>45</v>
      </c>
      <c r="F113" s="27">
        <v>128</v>
      </c>
    </row>
    <row r="114" spans="4:6">
      <c r="D114" s="27" t="s">
        <v>46</v>
      </c>
      <c r="E114" s="27" t="s">
        <v>47</v>
      </c>
      <c r="F114" s="27">
        <f>CEILING(F112/4,1)</f>
        <v>9</v>
      </c>
    </row>
    <row r="115" spans="4:6">
      <c r="D115" s="28" t="s">
        <v>48</v>
      </c>
      <c r="E115" s="28" t="s">
        <v>49</v>
      </c>
      <c r="F115" s="28">
        <f>FLOOR(F110/F113,1)</f>
        <v>77</v>
      </c>
    </row>
    <row r="116" spans="4:6">
      <c r="D116" s="28" t="s">
        <v>50</v>
      </c>
      <c r="E116" s="28" t="s">
        <v>51</v>
      </c>
      <c r="F116" s="28">
        <f>MOD(F110,F113)</f>
        <v>119</v>
      </c>
    </row>
    <row r="117" spans="4:6">
      <c r="D117" s="28" t="s">
        <v>52</v>
      </c>
      <c r="E117" s="28" t="s">
        <v>53</v>
      </c>
      <c r="F117" s="28">
        <f>FLOOR(F111/F112,1)</f>
        <v>2</v>
      </c>
    </row>
    <row r="118" spans="4:6">
      <c r="D118" s="28" t="s">
        <v>54</v>
      </c>
      <c r="E118" s="28" t="s">
        <v>55</v>
      </c>
      <c r="F118" s="28">
        <f>MOD(F111,F112)</f>
        <v>20</v>
      </c>
    </row>
    <row r="119" spans="4:6">
      <c r="D119" s="28" t="s">
        <v>56</v>
      </c>
      <c r="E119" s="28" t="s">
        <v>57</v>
      </c>
      <c r="F119" s="28">
        <f>IF(F117=0,0,F112)</f>
        <v>35</v>
      </c>
    </row>
    <row r="120" spans="4:6">
      <c r="D120" s="28" t="s">
        <v>58</v>
      </c>
      <c r="E120" s="28" t="s">
        <v>59</v>
      </c>
      <c r="F120" s="28">
        <f>F118</f>
        <v>20</v>
      </c>
    </row>
    <row r="121" spans="4:6">
      <c r="D121" s="28"/>
      <c r="E121" s="28"/>
      <c r="F121" s="29"/>
    </row>
    <row r="122" spans="4:6">
      <c r="D122" s="12" t="s">
        <v>60</v>
      </c>
      <c r="E122" s="30" t="s">
        <v>61</v>
      </c>
      <c r="F122" s="31">
        <f>(F125+F128)</f>
        <v>38817</v>
      </c>
    </row>
    <row r="123" spans="4:6">
      <c r="D123" s="12"/>
      <c r="E123" s="12" t="s">
        <v>62</v>
      </c>
      <c r="F123" s="29">
        <f>IF(F115=0,0,((F119+(MIN(F110,F113)-1)+F114)*F117))</f>
        <v>342</v>
      </c>
    </row>
    <row r="124" spans="4:6">
      <c r="D124" s="12"/>
      <c r="E124" s="12"/>
      <c r="F124" s="29">
        <f>IF(F115=0,0,IF(F118=0,0,(F120+(MIN(F110,F113)-1)+F114)))</f>
        <v>156</v>
      </c>
    </row>
    <row r="125" spans="4:6">
      <c r="D125" s="12"/>
      <c r="E125" s="12"/>
      <c r="F125" s="29">
        <f>(F123+F124)*F115</f>
        <v>38346</v>
      </c>
    </row>
    <row r="126" spans="4:6">
      <c r="D126" s="12"/>
      <c r="E126" s="12" t="s">
        <v>50</v>
      </c>
      <c r="F126" s="29">
        <f>IF(F116=0,0,(F119+(F116-1)+F114)*F117)</f>
        <v>324</v>
      </c>
    </row>
    <row r="127" spans="4:6">
      <c r="D127" s="12"/>
      <c r="E127" s="12"/>
      <c r="F127" s="29">
        <f>IF(F116=0,0,IF(F118=0,0,(F120+(F116-1)+F114)))</f>
        <v>147</v>
      </c>
    </row>
    <row r="128" spans="4:6">
      <c r="D128" s="12"/>
      <c r="E128" s="12"/>
      <c r="F128" s="29">
        <f>F126+F127</f>
        <v>471</v>
      </c>
    </row>
    <row r="129" spans="4:6">
      <c r="D129" s="28"/>
      <c r="E129" s="28"/>
      <c r="F129" s="29"/>
    </row>
    <row r="130" spans="4:6">
      <c r="D130" s="12" t="s">
        <v>60</v>
      </c>
      <c r="E130" s="30" t="s">
        <v>61</v>
      </c>
      <c r="F130" s="32">
        <f>(F131+F132+F133)</f>
        <v>30039</v>
      </c>
    </row>
    <row r="131" spans="4:6">
      <c r="D131" s="12"/>
      <c r="E131" s="33" t="s">
        <v>52</v>
      </c>
      <c r="F131" s="29">
        <f>((F119+(F110-1))*F117)</f>
        <v>20018</v>
      </c>
    </row>
    <row r="132" spans="4:6">
      <c r="D132" s="12"/>
      <c r="E132" s="33" t="s">
        <v>63</v>
      </c>
      <c r="F132" s="29">
        <f>F114*F117</f>
        <v>18</v>
      </c>
    </row>
    <row r="133" spans="4:6">
      <c r="D133" s="12"/>
      <c r="E133" s="33" t="s">
        <v>54</v>
      </c>
      <c r="F133" s="29">
        <f>IF(F120=0,0,F120+(F110-1)+F114)</f>
        <v>10003</v>
      </c>
    </row>
    <row r="134" spans="4:6">
      <c r="D134" s="28"/>
      <c r="E134" s="28"/>
      <c r="F134" s="29"/>
    </row>
    <row r="135" spans="4:6">
      <c r="D135" s="34" t="s">
        <v>64</v>
      </c>
      <c r="E135" s="34" t="s">
        <v>65</v>
      </c>
      <c r="F135" s="10">
        <f>IF(F112&gt;=F111,F110/F130,F110/F122)</f>
        <v>0.25697503671071953</v>
      </c>
    </row>
    <row r="136" spans="4:6">
      <c r="D136" s="34" t="s">
        <v>37</v>
      </c>
      <c r="E136" s="34" t="s">
        <v>66</v>
      </c>
      <c r="F136" s="10">
        <f>F110/F130</f>
        <v>0.33206831119544594</v>
      </c>
    </row>
  </sheetData>
  <mergeCells count="32">
    <mergeCell ref="A53:A57"/>
    <mergeCell ref="C53:C57"/>
    <mergeCell ref="A58:A63"/>
    <mergeCell ref="A64:A69"/>
    <mergeCell ref="C58:C63"/>
    <mergeCell ref="C64:C69"/>
    <mergeCell ref="A2:A6"/>
    <mergeCell ref="C2:C6"/>
    <mergeCell ref="A7:A12"/>
    <mergeCell ref="A13:A18"/>
    <mergeCell ref="C7:C12"/>
    <mergeCell ref="C13:C18"/>
    <mergeCell ref="A36:A40"/>
    <mergeCell ref="C36:C40"/>
    <mergeCell ref="A41:A46"/>
    <mergeCell ref="A47:A52"/>
    <mergeCell ref="C41:C46"/>
    <mergeCell ref="C47:C52"/>
    <mergeCell ref="A19:A23"/>
    <mergeCell ref="C19:C23"/>
    <mergeCell ref="A24:A29"/>
    <mergeCell ref="C24:C29"/>
    <mergeCell ref="A30:A35"/>
    <mergeCell ref="C30:C35"/>
    <mergeCell ref="A87:A91"/>
    <mergeCell ref="C87:C91"/>
    <mergeCell ref="A70:A74"/>
    <mergeCell ref="C70:C74"/>
    <mergeCell ref="A75:A80"/>
    <mergeCell ref="A81:A86"/>
    <mergeCell ref="C75:C80"/>
    <mergeCell ref="C81:C8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zoomScaleNormal="100" workbookViewId="0">
      <selection activeCell="F164" sqref="F164"/>
    </sheetView>
  </sheetViews>
  <sheetFormatPr defaultRowHeight="13.5" outlineLevelRow="1"/>
  <cols>
    <col min="2" max="2" width="19.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2"/>
      <c r="B2" s="3" t="s">
        <v>12</v>
      </c>
      <c r="C2" s="5"/>
    </row>
    <row r="3" spans="1:3" ht="13.5" customHeight="1">
      <c r="A3" s="366">
        <v>1</v>
      </c>
      <c r="B3" s="7" t="s">
        <v>10</v>
      </c>
      <c r="C3" s="372"/>
    </row>
    <row r="4" spans="1:3" ht="13.5" customHeight="1">
      <c r="A4" s="367"/>
      <c r="B4" s="8" t="s">
        <v>77</v>
      </c>
      <c r="C4" s="359"/>
    </row>
    <row r="5" spans="1:3" ht="13.5" customHeight="1">
      <c r="A5" s="367"/>
      <c r="B5" s="7" t="s">
        <v>93</v>
      </c>
      <c r="C5" s="359"/>
    </row>
    <row r="6" spans="1:3" ht="13.5" customHeight="1" outlineLevel="1">
      <c r="A6" s="366">
        <v>2</v>
      </c>
      <c r="B6" s="10" t="s">
        <v>10</v>
      </c>
      <c r="C6" s="372"/>
    </row>
    <row r="7" spans="1:3" ht="13.5" customHeight="1" outlineLevel="1">
      <c r="A7" s="367"/>
      <c r="B7" s="39" t="s">
        <v>77</v>
      </c>
      <c r="C7" s="359"/>
    </row>
    <row r="8" spans="1:3" ht="13.5" customHeight="1" outlineLevel="1">
      <c r="A8" s="367"/>
      <c r="B8" s="10" t="s">
        <v>93</v>
      </c>
      <c r="C8" s="359"/>
    </row>
    <row r="9" spans="1:3" ht="13.5" customHeight="1" outlineLevel="1">
      <c r="A9" s="366">
        <v>3</v>
      </c>
      <c r="B9" s="10" t="s">
        <v>10</v>
      </c>
      <c r="C9" s="359"/>
    </row>
    <row r="10" spans="1:3" ht="13.5" customHeight="1" outlineLevel="1">
      <c r="A10" s="367"/>
      <c r="B10" s="39" t="s">
        <v>77</v>
      </c>
      <c r="C10" s="360"/>
    </row>
    <row r="11" spans="1:3" ht="13.5" customHeight="1" outlineLevel="1">
      <c r="A11" s="367"/>
      <c r="B11" s="10" t="s">
        <v>93</v>
      </c>
      <c r="C11" s="372"/>
    </row>
    <row r="12" spans="1:3" ht="13.5" customHeight="1" outlineLevel="1">
      <c r="A12" s="366">
        <v>4</v>
      </c>
      <c r="B12" s="10" t="s">
        <v>10</v>
      </c>
      <c r="C12" s="359"/>
    </row>
    <row r="13" spans="1:3" ht="13.5" customHeight="1" outlineLevel="1">
      <c r="A13" s="367"/>
      <c r="B13" s="39" t="s">
        <v>77</v>
      </c>
      <c r="C13" s="359"/>
    </row>
    <row r="14" spans="1:3" ht="13.5" customHeight="1" outlineLevel="1">
      <c r="A14" s="367"/>
      <c r="B14" s="10" t="s">
        <v>93</v>
      </c>
      <c r="C14" s="359"/>
    </row>
    <row r="15" spans="1:3" ht="13.5" customHeight="1" outlineLevel="1">
      <c r="A15" s="366">
        <v>5</v>
      </c>
      <c r="B15" s="10" t="s">
        <v>10</v>
      </c>
      <c r="C15" s="360"/>
    </row>
    <row r="16" spans="1:3" ht="13.5" customHeight="1" outlineLevel="1">
      <c r="A16" s="367"/>
      <c r="B16" s="39" t="s">
        <v>77</v>
      </c>
      <c r="C16" s="372"/>
    </row>
    <row r="17" spans="1:3" ht="13.5" customHeight="1" outlineLevel="1">
      <c r="A17" s="367"/>
      <c r="B17" s="10" t="s">
        <v>93</v>
      </c>
      <c r="C17" s="359"/>
    </row>
    <row r="18" spans="1:3" ht="13.5" customHeight="1" outlineLevel="1">
      <c r="A18" s="366">
        <v>6</v>
      </c>
      <c r="B18" s="10" t="s">
        <v>10</v>
      </c>
      <c r="C18" s="359"/>
    </row>
    <row r="19" spans="1:3" ht="13.5" customHeight="1" outlineLevel="1">
      <c r="A19" s="367"/>
      <c r="B19" s="39" t="s">
        <v>77</v>
      </c>
      <c r="C19" s="359"/>
    </row>
    <row r="20" spans="1:3" ht="13.5" customHeight="1" outlineLevel="1">
      <c r="A20" s="367"/>
      <c r="B20" s="10" t="s">
        <v>93</v>
      </c>
      <c r="C20" s="360"/>
    </row>
    <row r="21" spans="1:3" ht="13.5" customHeight="1" outlineLevel="1">
      <c r="A21" s="366">
        <v>7</v>
      </c>
      <c r="B21" s="10" t="s">
        <v>10</v>
      </c>
      <c r="C21" s="372"/>
    </row>
    <row r="22" spans="1:3" ht="13.5" customHeight="1" outlineLevel="1">
      <c r="A22" s="367"/>
      <c r="B22" s="39" t="s">
        <v>77</v>
      </c>
      <c r="C22" s="359"/>
    </row>
    <row r="23" spans="1:3" ht="13.5" customHeight="1" outlineLevel="1">
      <c r="A23" s="367"/>
      <c r="B23" s="10" t="s">
        <v>93</v>
      </c>
      <c r="C23" s="359"/>
    </row>
    <row r="24" spans="1:3" ht="13.5" customHeight="1" outlineLevel="1">
      <c r="A24" s="366">
        <v>8</v>
      </c>
      <c r="B24" s="10" t="s">
        <v>10</v>
      </c>
      <c r="C24" s="359"/>
    </row>
    <row r="25" spans="1:3" ht="13.5" customHeight="1" outlineLevel="1">
      <c r="A25" s="367"/>
      <c r="B25" s="39" t="s">
        <v>77</v>
      </c>
      <c r="C25" s="360"/>
    </row>
    <row r="26" spans="1:3" ht="13.5" customHeight="1" outlineLevel="1">
      <c r="A26" s="367"/>
      <c r="B26" s="10" t="s">
        <v>93</v>
      </c>
      <c r="C26" s="372"/>
    </row>
    <row r="27" spans="1:3" ht="13.5" customHeight="1" outlineLevel="1">
      <c r="A27" s="366">
        <v>9</v>
      </c>
      <c r="B27" s="10" t="s">
        <v>10</v>
      </c>
      <c r="C27" s="359"/>
    </row>
    <row r="28" spans="1:3" ht="13.5" customHeight="1" outlineLevel="1">
      <c r="A28" s="367"/>
      <c r="B28" s="39" t="s">
        <v>77</v>
      </c>
      <c r="C28" s="359"/>
    </row>
    <row r="29" spans="1:3" ht="13.5" customHeight="1" outlineLevel="1">
      <c r="A29" s="367"/>
      <c r="B29" s="10" t="s">
        <v>93</v>
      </c>
      <c r="C29" s="359"/>
    </row>
    <row r="30" spans="1:3" ht="13.5" customHeight="1" outlineLevel="1">
      <c r="A30" s="366">
        <v>10</v>
      </c>
      <c r="B30" s="10" t="s">
        <v>10</v>
      </c>
      <c r="C30" s="360"/>
    </row>
    <row r="31" spans="1:3" ht="13.5" customHeight="1" outlineLevel="1">
      <c r="A31" s="367"/>
      <c r="B31" s="39" t="s">
        <v>77</v>
      </c>
      <c r="C31" s="372"/>
    </row>
    <row r="32" spans="1:3" ht="13.5" customHeight="1" outlineLevel="1">
      <c r="A32" s="367"/>
      <c r="B32" s="10" t="s">
        <v>93</v>
      </c>
      <c r="C32" s="359"/>
    </row>
    <row r="33" spans="1:3" ht="13.5" customHeight="1" outlineLevel="1">
      <c r="A33" s="366">
        <v>11</v>
      </c>
      <c r="B33" s="10" t="s">
        <v>10</v>
      </c>
      <c r="C33" s="359"/>
    </row>
    <row r="34" spans="1:3" ht="13.5" customHeight="1" outlineLevel="1">
      <c r="A34" s="367"/>
      <c r="B34" s="39" t="s">
        <v>77</v>
      </c>
      <c r="C34" s="359"/>
    </row>
    <row r="35" spans="1:3" ht="13.5" customHeight="1" outlineLevel="1">
      <c r="A35" s="367"/>
      <c r="B35" s="10" t="s">
        <v>93</v>
      </c>
      <c r="C35" s="360"/>
    </row>
    <row r="36" spans="1:3" ht="13.5" customHeight="1" outlineLevel="1">
      <c r="A36" s="366">
        <v>12</v>
      </c>
      <c r="B36" s="10" t="s">
        <v>10</v>
      </c>
      <c r="C36" s="372"/>
    </row>
    <row r="37" spans="1:3" ht="13.5" customHeight="1" outlineLevel="1">
      <c r="A37" s="367"/>
      <c r="B37" s="39" t="s">
        <v>77</v>
      </c>
      <c r="C37" s="359"/>
    </row>
    <row r="38" spans="1:3" ht="13.5" customHeight="1" outlineLevel="1">
      <c r="A38" s="367"/>
      <c r="B38" s="10" t="s">
        <v>93</v>
      </c>
      <c r="C38" s="359"/>
    </row>
    <row r="39" spans="1:3" ht="13.5" customHeight="1" outlineLevel="1">
      <c r="A39" s="366">
        <v>13</v>
      </c>
      <c r="B39" s="10" t="s">
        <v>10</v>
      </c>
      <c r="C39" s="359"/>
    </row>
    <row r="40" spans="1:3" ht="13.5" customHeight="1" outlineLevel="1">
      <c r="A40" s="367"/>
      <c r="B40" s="39" t="s">
        <v>77</v>
      </c>
      <c r="C40" s="360"/>
    </row>
    <row r="41" spans="1:3" ht="13.5" customHeight="1" outlineLevel="1">
      <c r="A41" s="367"/>
      <c r="B41" s="10" t="s">
        <v>93</v>
      </c>
      <c r="C41" s="372"/>
    </row>
    <row r="42" spans="1:3" ht="13.5" customHeight="1" outlineLevel="1">
      <c r="A42" s="366">
        <v>14</v>
      </c>
      <c r="B42" s="10" t="s">
        <v>10</v>
      </c>
      <c r="C42" s="359"/>
    </row>
    <row r="43" spans="1:3" ht="13.5" customHeight="1" outlineLevel="1">
      <c r="A43" s="367"/>
      <c r="B43" s="39" t="s">
        <v>77</v>
      </c>
      <c r="C43" s="359"/>
    </row>
    <row r="44" spans="1:3" ht="13.5" customHeight="1" outlineLevel="1">
      <c r="A44" s="367"/>
      <c r="B44" s="10" t="s">
        <v>93</v>
      </c>
      <c r="C44" s="359"/>
    </row>
    <row r="45" spans="1:3" ht="13.5" customHeight="1" outlineLevel="1">
      <c r="A45" s="366">
        <v>15</v>
      </c>
      <c r="B45" s="10" t="s">
        <v>10</v>
      </c>
      <c r="C45" s="360"/>
    </row>
    <row r="46" spans="1:3" ht="13.5" customHeight="1" outlineLevel="1">
      <c r="A46" s="367"/>
      <c r="B46" s="39" t="s">
        <v>77</v>
      </c>
      <c r="C46" s="372"/>
    </row>
    <row r="47" spans="1:3" ht="13.5" customHeight="1" outlineLevel="1">
      <c r="A47" s="367"/>
      <c r="B47" s="10" t="s">
        <v>93</v>
      </c>
      <c r="C47" s="359"/>
    </row>
    <row r="48" spans="1:3" ht="13.5" customHeight="1" outlineLevel="1">
      <c r="A48" s="366">
        <v>16</v>
      </c>
      <c r="B48" s="10" t="s">
        <v>10</v>
      </c>
      <c r="C48" s="359"/>
    </row>
    <row r="49" spans="1:3" ht="13.5" customHeight="1" outlineLevel="1">
      <c r="A49" s="367"/>
      <c r="B49" s="39" t="s">
        <v>77</v>
      </c>
      <c r="C49" s="359"/>
    </row>
    <row r="50" spans="1:3" ht="13.5" customHeight="1" outlineLevel="1">
      <c r="A50" s="367"/>
      <c r="B50" s="10" t="s">
        <v>93</v>
      </c>
      <c r="C50" s="360"/>
    </row>
    <row r="51" spans="1:3" ht="13.5" customHeight="1" outlineLevel="1">
      <c r="A51" s="266"/>
      <c r="B51" s="284" t="s">
        <v>71</v>
      </c>
      <c r="C51" s="283"/>
    </row>
    <row r="52" spans="1:3" ht="13.5" customHeight="1" outlineLevel="1">
      <c r="A52" s="283"/>
      <c r="B52" s="283"/>
      <c r="C52" s="283"/>
    </row>
    <row r="53" spans="1:3" ht="13.5" customHeight="1" outlineLevel="1">
      <c r="A53" s="283"/>
      <c r="B53" s="283"/>
      <c r="C53" s="283"/>
    </row>
    <row r="54" spans="1:3" ht="13.5" customHeight="1" outlineLevel="1">
      <c r="A54" s="283"/>
      <c r="B54" s="283"/>
      <c r="C54" s="283"/>
    </row>
    <row r="55" spans="1:3" ht="13.5" customHeight="1" outlineLevel="1">
      <c r="A55" s="283"/>
      <c r="B55" s="283"/>
      <c r="C55" s="283"/>
    </row>
    <row r="56" spans="1:3" ht="13.5" customHeight="1" outlineLevel="1">
      <c r="A56" s="283"/>
      <c r="B56" s="283"/>
      <c r="C56" s="283"/>
    </row>
    <row r="57" spans="1:3" ht="13.5" customHeight="1" outlineLevel="1">
      <c r="A57" s="283"/>
      <c r="B57" s="283"/>
      <c r="C57" s="283"/>
    </row>
    <row r="58" spans="1:3" ht="13.5" customHeight="1" outlineLevel="1">
      <c r="A58" s="283"/>
      <c r="B58" s="283"/>
      <c r="C58" s="283"/>
    </row>
    <row r="59" spans="1:3" ht="13.5" customHeight="1" outlineLevel="1">
      <c r="A59" s="283"/>
      <c r="B59" s="283"/>
      <c r="C59" s="283"/>
    </row>
    <row r="60" spans="1:3" ht="13.5" customHeight="1" outlineLevel="1">
      <c r="A60" s="283"/>
      <c r="B60" s="283"/>
      <c r="C60" s="283"/>
    </row>
    <row r="61" spans="1:3" ht="13.5" customHeight="1" outlineLevel="1">
      <c r="A61" s="283"/>
      <c r="B61" s="283"/>
      <c r="C61" s="283"/>
    </row>
    <row r="62" spans="1:3" ht="13.5" customHeight="1" outlineLevel="1">
      <c r="A62" s="283"/>
      <c r="B62" s="283"/>
      <c r="C62" s="283"/>
    </row>
    <row r="63" spans="1:3" ht="13.5" customHeight="1" outlineLevel="1">
      <c r="A63" s="283"/>
      <c r="B63" s="283"/>
      <c r="C63" s="283"/>
    </row>
    <row r="64" spans="1:3" ht="13.5" customHeight="1" outlineLevel="1">
      <c r="A64" s="283"/>
      <c r="B64" s="283"/>
      <c r="C64" s="283"/>
    </row>
    <row r="65" spans="1:3" ht="13.5" customHeight="1" outlineLevel="1">
      <c r="A65" s="283"/>
      <c r="B65" s="283"/>
      <c r="C65" s="283"/>
    </row>
    <row r="66" spans="1:3" ht="13.5" customHeight="1" outlineLevel="1">
      <c r="A66" s="283"/>
      <c r="B66" s="283"/>
      <c r="C66" s="283"/>
    </row>
    <row r="67" spans="1:3" ht="13.5" customHeight="1" outlineLevel="1">
      <c r="A67" s="283"/>
      <c r="B67" s="283"/>
      <c r="C67" s="283"/>
    </row>
    <row r="68" spans="1:3" ht="13.5" customHeight="1" outlineLevel="1">
      <c r="A68" s="283"/>
      <c r="B68" s="283"/>
      <c r="C68" s="283"/>
    </row>
    <row r="69" spans="1:3" ht="13.5" customHeight="1" outlineLevel="1">
      <c r="A69" s="283"/>
      <c r="B69" s="283"/>
      <c r="C69" s="283"/>
    </row>
    <row r="70" spans="1:3" ht="13.5" customHeight="1" outlineLevel="1">
      <c r="A70" s="283"/>
      <c r="B70" s="283"/>
      <c r="C70" s="283"/>
    </row>
    <row r="71" spans="1:3" ht="13.5" customHeight="1" outlineLevel="1">
      <c r="A71" s="283"/>
      <c r="B71" s="283"/>
      <c r="C71" s="283"/>
    </row>
    <row r="72" spans="1:3" ht="13.5" customHeight="1" outlineLevel="1">
      <c r="A72" s="283"/>
      <c r="B72" s="283"/>
      <c r="C72" s="283"/>
    </row>
    <row r="73" spans="1:3" ht="13.5" customHeight="1" outlineLevel="1">
      <c r="A73" s="283"/>
      <c r="B73" s="283"/>
      <c r="C73" s="283"/>
    </row>
    <row r="74" spans="1:3" ht="13.5" customHeight="1" outlineLevel="1">
      <c r="A74" s="283"/>
      <c r="B74" s="283"/>
      <c r="C74" s="283"/>
    </row>
    <row r="75" spans="1:3" ht="13.5" customHeight="1" outlineLevel="1">
      <c r="A75" s="283"/>
      <c r="B75" s="283"/>
      <c r="C75" s="283"/>
    </row>
    <row r="76" spans="1:3" ht="13.5" customHeight="1" outlineLevel="1">
      <c r="A76" s="283"/>
      <c r="B76" s="283"/>
      <c r="C76" s="283"/>
    </row>
    <row r="77" spans="1:3" ht="13.5" customHeight="1" outlineLevel="1">
      <c r="A77" s="283"/>
      <c r="B77" s="283"/>
      <c r="C77" s="283"/>
    </row>
    <row r="78" spans="1:3" ht="13.5" customHeight="1" outlineLevel="1">
      <c r="A78" s="283"/>
      <c r="B78" s="283"/>
      <c r="C78" s="283"/>
    </row>
    <row r="79" spans="1:3" ht="13.5" customHeight="1" outlineLevel="1">
      <c r="A79" s="283"/>
      <c r="B79" s="283"/>
      <c r="C79" s="283"/>
    </row>
    <row r="80" spans="1:3" ht="13.5" customHeight="1" outlineLevel="1">
      <c r="A80" s="283"/>
      <c r="B80" s="283"/>
      <c r="C80" s="283"/>
    </row>
    <row r="81" spans="1:3" ht="13.5" customHeight="1" outlineLevel="1">
      <c r="A81" s="283"/>
      <c r="B81" s="283"/>
      <c r="C81" s="283"/>
    </row>
    <row r="82" spans="1:3" ht="13.5" customHeight="1" outlineLevel="1">
      <c r="A82" s="283"/>
      <c r="B82" s="283"/>
      <c r="C82" s="283"/>
    </row>
    <row r="83" spans="1:3" ht="13.5" customHeight="1" outlineLevel="1">
      <c r="A83" s="283"/>
      <c r="B83" s="283"/>
      <c r="C83" s="283"/>
    </row>
    <row r="84" spans="1:3" ht="13.5" customHeight="1" outlineLevel="1">
      <c r="A84" s="283"/>
      <c r="B84" s="283"/>
      <c r="C84" s="283"/>
    </row>
    <row r="85" spans="1:3" ht="13.5" customHeight="1" outlineLevel="1">
      <c r="A85" s="283"/>
      <c r="B85" s="283"/>
      <c r="C85" s="283"/>
    </row>
    <row r="86" spans="1:3" ht="13.5" customHeight="1" outlineLevel="1">
      <c r="A86" s="283"/>
      <c r="B86" s="283"/>
      <c r="C86" s="283"/>
    </row>
    <row r="87" spans="1:3" ht="13.5" customHeight="1" outlineLevel="1">
      <c r="A87" s="283"/>
      <c r="B87" s="283"/>
      <c r="C87" s="283"/>
    </row>
    <row r="88" spans="1:3" ht="13.5" customHeight="1" outlineLevel="1">
      <c r="A88" s="283"/>
      <c r="B88" s="283"/>
      <c r="C88" s="283"/>
    </row>
    <row r="89" spans="1:3" ht="13.5" customHeight="1" outlineLevel="1">
      <c r="A89" s="283"/>
      <c r="B89" s="283"/>
      <c r="C89" s="283"/>
    </row>
    <row r="90" spans="1:3" ht="13.5" customHeight="1" outlineLevel="1">
      <c r="A90" s="283"/>
      <c r="B90" s="283"/>
      <c r="C90" s="283"/>
    </row>
    <row r="91" spans="1:3" ht="13.5" customHeight="1" outlineLevel="1">
      <c r="A91" s="283"/>
      <c r="B91" s="283"/>
      <c r="C91" s="283"/>
    </row>
    <row r="92" spans="1:3" ht="13.5" customHeight="1" outlineLevel="1">
      <c r="A92" s="283"/>
      <c r="B92" s="283"/>
      <c r="C92" s="283"/>
    </row>
    <row r="93" spans="1:3" ht="13.5" customHeight="1" outlineLevel="1">
      <c r="A93" s="283"/>
      <c r="B93" s="283"/>
      <c r="C93" s="283"/>
    </row>
    <row r="94" spans="1:3" ht="13.5" customHeight="1" outlineLevel="1">
      <c r="A94" s="283"/>
      <c r="B94" s="283"/>
      <c r="C94" s="283"/>
    </row>
    <row r="95" spans="1:3" ht="13.5" customHeight="1" outlineLevel="1">
      <c r="A95" s="283"/>
      <c r="B95" s="283"/>
      <c r="C95" s="283"/>
    </row>
    <row r="96" spans="1:3" ht="13.5" customHeight="1" outlineLevel="1">
      <c r="A96" s="283"/>
      <c r="B96" s="283"/>
      <c r="C96" s="283"/>
    </row>
    <row r="97" spans="1:3" ht="13.5" customHeight="1" outlineLevel="1">
      <c r="A97" s="283"/>
      <c r="B97" s="283"/>
      <c r="C97" s="283"/>
    </row>
    <row r="98" spans="1:3" ht="13.5" customHeight="1" outlineLevel="1">
      <c r="A98" s="283"/>
      <c r="B98" s="283"/>
      <c r="C98" s="283"/>
    </row>
    <row r="99" spans="1:3" ht="13.5" customHeight="1" outlineLevel="1">
      <c r="A99" s="283"/>
      <c r="B99" s="283"/>
      <c r="C99" s="283"/>
    </row>
    <row r="100" spans="1:3" ht="13.5" customHeight="1" outlineLevel="1">
      <c r="A100" s="283"/>
      <c r="B100" s="283"/>
      <c r="C100" s="283"/>
    </row>
    <row r="101" spans="1:3" ht="13.5" customHeight="1" outlineLevel="1">
      <c r="A101" s="283"/>
      <c r="B101" s="283"/>
      <c r="C101" s="283"/>
    </row>
    <row r="102" spans="1:3" ht="13.5" customHeight="1" outlineLevel="1">
      <c r="A102" s="283"/>
      <c r="B102" s="283"/>
      <c r="C102" s="283"/>
    </row>
    <row r="103" spans="1:3" ht="13.5" customHeight="1" outlineLevel="1">
      <c r="A103" s="283"/>
      <c r="B103" s="283"/>
      <c r="C103" s="283"/>
    </row>
    <row r="104" spans="1:3" ht="13.5" customHeight="1" outlineLevel="1">
      <c r="A104" s="283"/>
      <c r="B104" s="283"/>
      <c r="C104" s="283"/>
    </row>
    <row r="105" spans="1:3" ht="13.5" customHeight="1" outlineLevel="1">
      <c r="A105" s="283"/>
      <c r="B105" s="283"/>
      <c r="C105" s="283"/>
    </row>
    <row r="106" spans="1:3" ht="13.5" customHeight="1" outlineLevel="1">
      <c r="A106" s="283"/>
      <c r="B106" s="283"/>
      <c r="C106" s="283"/>
    </row>
    <row r="107" spans="1:3" ht="13.5" customHeight="1" outlineLevel="1">
      <c r="A107" s="283"/>
      <c r="B107" s="283"/>
      <c r="C107" s="283"/>
    </row>
    <row r="108" spans="1:3" ht="13.5" customHeight="1" outlineLevel="1">
      <c r="A108" s="283"/>
      <c r="B108" s="283"/>
      <c r="C108" s="283"/>
    </row>
    <row r="109" spans="1:3" ht="13.5" customHeight="1" outlineLevel="1">
      <c r="A109" s="283"/>
      <c r="B109" s="283"/>
      <c r="C109" s="283"/>
    </row>
    <row r="110" spans="1:3" ht="13.5" customHeight="1" outlineLevel="1">
      <c r="A110" s="283"/>
      <c r="B110" s="283"/>
      <c r="C110" s="283"/>
    </row>
    <row r="111" spans="1:3" ht="13.5" customHeight="1" outlineLevel="1"/>
    <row r="112" spans="1:3" ht="13.5" customHeight="1" outlineLevel="1"/>
    <row r="113" ht="13.5" customHeight="1" outlineLevel="1"/>
    <row r="114" ht="13.5" customHeight="1" outlineLevel="1"/>
    <row r="115" ht="13.5" customHeight="1" outlineLevel="1"/>
    <row r="116" ht="13.5" customHeight="1" outlineLevel="1"/>
    <row r="117" ht="13.5" customHeight="1" outlineLevel="1"/>
    <row r="118" ht="13.5" customHeight="1" outlineLevel="1"/>
    <row r="119" ht="13.5" customHeight="1" outlineLevel="1"/>
    <row r="120" ht="13.5" customHeight="1" outlineLevel="1"/>
    <row r="121" ht="13.5" customHeight="1" outlineLevel="1"/>
    <row r="122" ht="13.5" customHeight="1" outlineLevel="1"/>
    <row r="123" ht="13.5" customHeight="1" outlineLevel="1"/>
    <row r="124" ht="13.5" customHeight="1" outlineLevel="1"/>
    <row r="125" ht="13.5" customHeight="1" outlineLevel="1"/>
    <row r="126" ht="13.5" customHeight="1" outlineLevel="1"/>
    <row r="127" ht="13.5" customHeight="1" outlineLevel="1"/>
    <row r="128" ht="13.5" customHeight="1" outlineLevel="1"/>
    <row r="129" ht="13.5" customHeight="1" outlineLevel="1"/>
    <row r="130" ht="13.5" customHeight="1" outlineLevel="1"/>
    <row r="131" ht="13.5" customHeight="1" outlineLevel="1"/>
    <row r="132" ht="13.5" customHeight="1" outlineLevel="1"/>
    <row r="133" ht="13.5" customHeight="1" outlineLevel="1"/>
    <row r="134" ht="13.5" customHeight="1" outlineLevel="1"/>
    <row r="135" ht="13.5" customHeight="1" outlineLevel="1"/>
    <row r="136" ht="13.5" customHeight="1" outlineLevel="1"/>
    <row r="137" ht="13.5" customHeight="1" outlineLevel="1"/>
    <row r="138" ht="13.5" customHeight="1" outlineLevel="1"/>
    <row r="139" ht="13.5" customHeight="1" outlineLevel="1"/>
    <row r="140" ht="13.5" customHeight="1" outlineLevel="1"/>
    <row r="141" ht="13.5" customHeight="1" outlineLevel="1"/>
    <row r="142" ht="13.5" customHeight="1" outlineLevel="1"/>
    <row r="143" ht="13.5" customHeight="1" outlineLevel="1"/>
    <row r="144" ht="13.5" customHeight="1" outlineLevel="1"/>
    <row r="145" ht="13.5" customHeight="1" outlineLevel="1"/>
    <row r="146" ht="13.5" customHeight="1" outlineLevel="1"/>
    <row r="147" ht="13.5" customHeight="1" outlineLevel="1"/>
    <row r="148" ht="13.5" customHeight="1" outlineLevel="1"/>
    <row r="149" ht="13.5" customHeight="1" outlineLevel="1"/>
    <row r="150" ht="13.5" customHeight="1" outlineLevel="1"/>
    <row r="151" ht="13.5" customHeight="1" outlineLevel="1"/>
    <row r="152" ht="13.5" customHeight="1" outlineLevel="1"/>
    <row r="153" ht="13.5" customHeight="1" outlineLevel="1"/>
    <row r="154" ht="13.5" customHeight="1" outlineLevel="1"/>
    <row r="155" ht="13.5" customHeight="1" outlineLevel="1"/>
    <row r="156" ht="13.5" customHeight="1"/>
    <row r="157" ht="13.5" customHeight="1"/>
    <row r="158" ht="13.5" customHeight="1"/>
    <row r="159" ht="13.5" customHeight="1"/>
    <row r="160" ht="13.5" customHeight="1"/>
    <row r="161" spans="4:6" collapsed="1"/>
    <row r="162" spans="4:6">
      <c r="D162" s="27" t="s">
        <v>38</v>
      </c>
      <c r="E162" s="27" t="s">
        <v>39</v>
      </c>
      <c r="F162" s="27">
        <v>9975</v>
      </c>
    </row>
    <row r="163" spans="4:6">
      <c r="D163" s="27" t="s">
        <v>40</v>
      </c>
      <c r="E163" s="27" t="s">
        <v>41</v>
      </c>
      <c r="F163" s="27">
        <v>50</v>
      </c>
    </row>
    <row r="164" spans="4:6">
      <c r="D164" s="27" t="s">
        <v>42</v>
      </c>
      <c r="E164" s="27" t="s">
        <v>43</v>
      </c>
      <c r="F164" s="27">
        <v>35</v>
      </c>
    </row>
    <row r="165" spans="4:6">
      <c r="D165" s="27" t="s">
        <v>44</v>
      </c>
      <c r="E165" s="27" t="s">
        <v>45</v>
      </c>
      <c r="F165" s="27">
        <v>128</v>
      </c>
    </row>
    <row r="166" spans="4:6">
      <c r="D166" s="27" t="s">
        <v>46</v>
      </c>
      <c r="E166" s="27" t="s">
        <v>47</v>
      </c>
      <c r="F166" s="27">
        <f>CEILING(F164/4,1)</f>
        <v>9</v>
      </c>
    </row>
    <row r="167" spans="4:6">
      <c r="D167" s="28" t="s">
        <v>48</v>
      </c>
      <c r="E167" s="28" t="s">
        <v>49</v>
      </c>
      <c r="F167" s="28">
        <f>FLOOR(F162/F165,1)</f>
        <v>77</v>
      </c>
    </row>
    <row r="168" spans="4:6">
      <c r="D168" s="28" t="s">
        <v>50</v>
      </c>
      <c r="E168" s="28" t="s">
        <v>51</v>
      </c>
      <c r="F168" s="28">
        <f>MOD(F162,F165)</f>
        <v>119</v>
      </c>
    </row>
    <row r="169" spans="4:6">
      <c r="D169" s="28" t="s">
        <v>52</v>
      </c>
      <c r="E169" s="28" t="s">
        <v>53</v>
      </c>
      <c r="F169" s="28">
        <f>FLOOR(F163/F164,1)</f>
        <v>1</v>
      </c>
    </row>
    <row r="170" spans="4:6">
      <c r="D170" s="28" t="s">
        <v>54</v>
      </c>
      <c r="E170" s="28" t="s">
        <v>55</v>
      </c>
      <c r="F170" s="28">
        <f>MOD(F163,F164)</f>
        <v>15</v>
      </c>
    </row>
    <row r="171" spans="4:6">
      <c r="D171" s="28" t="s">
        <v>56</v>
      </c>
      <c r="E171" s="28" t="s">
        <v>57</v>
      </c>
      <c r="F171" s="28">
        <f>IF(F169=0,0,F164)</f>
        <v>35</v>
      </c>
    </row>
    <row r="172" spans="4:6">
      <c r="D172" s="28" t="s">
        <v>58</v>
      </c>
      <c r="E172" s="28" t="s">
        <v>59</v>
      </c>
      <c r="F172" s="28">
        <f>F170</f>
        <v>15</v>
      </c>
    </row>
    <row r="173" spans="4:6">
      <c r="D173" s="28"/>
      <c r="E173" s="28"/>
      <c r="F173" s="29"/>
    </row>
    <row r="174" spans="4:6">
      <c r="D174" s="12" t="s">
        <v>60</v>
      </c>
      <c r="E174" s="30" t="s">
        <v>61</v>
      </c>
      <c r="F174" s="31">
        <f>(F177+F180)</f>
        <v>25098</v>
      </c>
    </row>
    <row r="175" spans="4:6">
      <c r="D175" s="12"/>
      <c r="E175" s="12" t="s">
        <v>62</v>
      </c>
      <c r="F175" s="29">
        <f>IF(F167=0,0,((F171+(MIN(F162,F165)-1)+F166)*F169))</f>
        <v>171</v>
      </c>
    </row>
    <row r="176" spans="4:6">
      <c r="D176" s="12"/>
      <c r="E176" s="12"/>
      <c r="F176" s="29">
        <f>IF(F167=0,0,IF(F170=0,0,(F172+(MIN(F162,F165)-1)+F166)))</f>
        <v>151</v>
      </c>
    </row>
    <row r="177" spans="4:6">
      <c r="D177" s="12"/>
      <c r="E177" s="12"/>
      <c r="F177" s="29">
        <f>(F175+F176)*F167</f>
        <v>24794</v>
      </c>
    </row>
    <row r="178" spans="4:6">
      <c r="D178" s="12"/>
      <c r="E178" s="12" t="s">
        <v>50</v>
      </c>
      <c r="F178" s="29">
        <f>IF(F168=0,0,(F171+(F168-1)+F166)*F169)</f>
        <v>162</v>
      </c>
    </row>
    <row r="179" spans="4:6">
      <c r="D179" s="12"/>
      <c r="E179" s="12"/>
      <c r="F179" s="29">
        <f>IF(F168=0,0,IF(F170=0,0,(F172+(F168-1)+F166)))</f>
        <v>142</v>
      </c>
    </row>
    <row r="180" spans="4:6">
      <c r="D180" s="12"/>
      <c r="E180" s="12"/>
      <c r="F180" s="29">
        <f>F178+F179</f>
        <v>304</v>
      </c>
    </row>
    <row r="181" spans="4:6">
      <c r="D181" s="28"/>
      <c r="E181" s="28"/>
      <c r="F181" s="29"/>
    </row>
    <row r="182" spans="4:6">
      <c r="D182" s="12" t="s">
        <v>60</v>
      </c>
      <c r="E182" s="30" t="s">
        <v>61</v>
      </c>
      <c r="F182" s="32">
        <f>(F183+F184+F185)</f>
        <v>20016</v>
      </c>
    </row>
    <row r="183" spans="4:6">
      <c r="D183" s="12"/>
      <c r="E183" s="33" t="s">
        <v>52</v>
      </c>
      <c r="F183" s="29">
        <f>((F171+(F162-1))*F169)</f>
        <v>10009</v>
      </c>
    </row>
    <row r="184" spans="4:6">
      <c r="D184" s="12"/>
      <c r="E184" s="33" t="s">
        <v>63</v>
      </c>
      <c r="F184" s="29">
        <f>F166*F169</f>
        <v>9</v>
      </c>
    </row>
    <row r="185" spans="4:6">
      <c r="D185" s="12"/>
      <c r="E185" s="33" t="s">
        <v>54</v>
      </c>
      <c r="F185" s="29">
        <f>IF(F172=0,0,F172+(F162-1)+F166)</f>
        <v>9998</v>
      </c>
    </row>
    <row r="186" spans="4:6">
      <c r="D186" s="28"/>
      <c r="E186" s="28"/>
      <c r="F186" s="29"/>
    </row>
    <row r="187" spans="4:6">
      <c r="D187" s="34" t="s">
        <v>64</v>
      </c>
      <c r="E187" s="34" t="s">
        <v>65</v>
      </c>
      <c r="F187" s="10">
        <f>IF(F164&gt;=F163,F162/F182,F162/F174)</f>
        <v>0.39744202725316757</v>
      </c>
    </row>
    <row r="188" spans="4:6">
      <c r="D188" s="34" t="s">
        <v>37</v>
      </c>
      <c r="E188" s="34" t="s">
        <v>66</v>
      </c>
      <c r="F188" s="10">
        <f>F162/F182</f>
        <v>0.49835131894484413</v>
      </c>
    </row>
  </sheetData>
  <mergeCells count="26">
    <mergeCell ref="C26:C30"/>
    <mergeCell ref="C31:C35"/>
    <mergeCell ref="C16:C20"/>
    <mergeCell ref="C21:C25"/>
    <mergeCell ref="A18:A20"/>
    <mergeCell ref="A21:A23"/>
    <mergeCell ref="A24:A26"/>
    <mergeCell ref="A27:A29"/>
    <mergeCell ref="A30:A32"/>
    <mergeCell ref="A33:A35"/>
    <mergeCell ref="A3:A5"/>
    <mergeCell ref="C3:C5"/>
    <mergeCell ref="C6:C10"/>
    <mergeCell ref="C11:C15"/>
    <mergeCell ref="A6:A8"/>
    <mergeCell ref="A9:A11"/>
    <mergeCell ref="A12:A14"/>
    <mergeCell ref="A15:A17"/>
    <mergeCell ref="C36:C40"/>
    <mergeCell ref="C41:C45"/>
    <mergeCell ref="C46:C50"/>
    <mergeCell ref="A36:A38"/>
    <mergeCell ref="A39:A41"/>
    <mergeCell ref="A42:A44"/>
    <mergeCell ref="A45:A47"/>
    <mergeCell ref="A48:A50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zoomScale="115" zoomScaleNormal="115" workbookViewId="0">
      <selection activeCell="J5" sqref="J5"/>
    </sheetView>
  </sheetViews>
  <sheetFormatPr defaultRowHeight="13.5" outlineLevelRow="1"/>
  <cols>
    <col min="2" max="2" width="16.375" customWidth="1"/>
  </cols>
  <sheetData>
    <row r="1" spans="1:3">
      <c r="A1" s="2" t="s">
        <v>0</v>
      </c>
      <c r="B1" s="17" t="s">
        <v>1</v>
      </c>
      <c r="C1" s="1" t="s">
        <v>2</v>
      </c>
    </row>
    <row r="2" spans="1:3">
      <c r="A2" s="361">
        <v>1</v>
      </c>
      <c r="B2" s="10" t="s">
        <v>95</v>
      </c>
      <c r="C2" s="364"/>
    </row>
    <row r="3" spans="1:3">
      <c r="A3" s="361"/>
      <c r="B3" s="10" t="s">
        <v>97</v>
      </c>
      <c r="C3" s="364"/>
    </row>
    <row r="4" spans="1:3" outlineLevel="1">
      <c r="A4" s="361">
        <v>2</v>
      </c>
      <c r="B4" s="10" t="s">
        <v>95</v>
      </c>
      <c r="C4" s="364"/>
    </row>
    <row r="5" spans="1:3" ht="13.5" customHeight="1" outlineLevel="1">
      <c r="A5" s="361"/>
      <c r="B5" s="10" t="s">
        <v>97</v>
      </c>
      <c r="C5" s="364"/>
    </row>
    <row r="6" spans="1:3" outlineLevel="1">
      <c r="A6" s="361">
        <v>3</v>
      </c>
      <c r="B6" s="10" t="s">
        <v>95</v>
      </c>
      <c r="C6" s="364"/>
    </row>
    <row r="7" spans="1:3" outlineLevel="1">
      <c r="A7" s="361"/>
      <c r="B7" s="10" t="s">
        <v>97</v>
      </c>
      <c r="C7" s="364"/>
    </row>
    <row r="8" spans="1:3" outlineLevel="1">
      <c r="A8" s="361">
        <v>4</v>
      </c>
      <c r="B8" s="10" t="s">
        <v>95</v>
      </c>
      <c r="C8" s="364"/>
    </row>
    <row r="9" spans="1:3" ht="13.5" customHeight="1" outlineLevel="1">
      <c r="A9" s="361"/>
      <c r="B9" s="10" t="s">
        <v>97</v>
      </c>
      <c r="C9" s="364"/>
    </row>
    <row r="10" spans="1:3" outlineLevel="1">
      <c r="A10" s="361">
        <v>5</v>
      </c>
      <c r="B10" s="42" t="s">
        <v>94</v>
      </c>
      <c r="C10" s="364"/>
    </row>
    <row r="11" spans="1:3" outlineLevel="1">
      <c r="A11" s="361"/>
      <c r="B11" s="42" t="s">
        <v>96</v>
      </c>
      <c r="C11" s="364"/>
    </row>
    <row r="12" spans="1:3" outlineLevel="1">
      <c r="A12" s="361">
        <v>6</v>
      </c>
      <c r="B12" s="43" t="s">
        <v>94</v>
      </c>
      <c r="C12" s="364"/>
    </row>
    <row r="13" spans="1:3" ht="13.5" customHeight="1" outlineLevel="1">
      <c r="A13" s="361"/>
      <c r="B13" s="43" t="s">
        <v>96</v>
      </c>
      <c r="C13" s="364"/>
    </row>
    <row r="14" spans="1:3" outlineLevel="1">
      <c r="A14" s="361">
        <v>7</v>
      </c>
      <c r="B14" s="44" t="s">
        <v>94</v>
      </c>
      <c r="C14" s="364"/>
    </row>
    <row r="15" spans="1:3" outlineLevel="1">
      <c r="A15" s="361"/>
      <c r="B15" s="44" t="s">
        <v>96</v>
      </c>
      <c r="C15" s="364"/>
    </row>
    <row r="16" spans="1:3" outlineLevel="1">
      <c r="A16" s="361">
        <v>8</v>
      </c>
      <c r="B16" s="45" t="s">
        <v>94</v>
      </c>
      <c r="C16" s="364"/>
    </row>
    <row r="17" spans="1:3" ht="13.5" customHeight="1" outlineLevel="1">
      <c r="A17" s="361"/>
      <c r="B17" s="45" t="s">
        <v>96</v>
      </c>
      <c r="C17" s="364"/>
    </row>
    <row r="18" spans="1:3" outlineLevel="1">
      <c r="A18" s="361">
        <v>9</v>
      </c>
      <c r="B18" s="46" t="s">
        <v>94</v>
      </c>
      <c r="C18" s="364"/>
    </row>
    <row r="19" spans="1:3" outlineLevel="1">
      <c r="A19" s="361"/>
      <c r="B19" s="46" t="s">
        <v>96</v>
      </c>
      <c r="C19" s="364"/>
    </row>
    <row r="20" spans="1:3" outlineLevel="1">
      <c r="A20" s="361">
        <v>10</v>
      </c>
      <c r="B20" s="47" t="s">
        <v>94</v>
      </c>
      <c r="C20" s="364"/>
    </row>
    <row r="21" spans="1:3" ht="13.5" customHeight="1" outlineLevel="1">
      <c r="A21" s="361"/>
      <c r="B21" s="47" t="s">
        <v>96</v>
      </c>
      <c r="C21" s="364"/>
    </row>
    <row r="22" spans="1:3" outlineLevel="1">
      <c r="A22" s="361">
        <v>11</v>
      </c>
      <c r="B22" s="48" t="s">
        <v>94</v>
      </c>
      <c r="C22" s="364"/>
    </row>
    <row r="23" spans="1:3" outlineLevel="1">
      <c r="A23" s="361"/>
      <c r="B23" s="48" t="s">
        <v>96</v>
      </c>
      <c r="C23" s="364"/>
    </row>
    <row r="24" spans="1:3" outlineLevel="1">
      <c r="A24" s="361">
        <v>12</v>
      </c>
      <c r="B24" s="49" t="s">
        <v>94</v>
      </c>
      <c r="C24" s="364"/>
    </row>
    <row r="25" spans="1:3" ht="13.5" customHeight="1" outlineLevel="1">
      <c r="A25" s="361"/>
      <c r="B25" s="49" t="s">
        <v>96</v>
      </c>
      <c r="C25" s="364"/>
    </row>
    <row r="26" spans="1:3" outlineLevel="1">
      <c r="A26" s="361">
        <v>13</v>
      </c>
      <c r="B26" s="50" t="s">
        <v>94</v>
      </c>
      <c r="C26" s="364"/>
    </row>
    <row r="27" spans="1:3" outlineLevel="1">
      <c r="A27" s="361"/>
      <c r="B27" s="50" t="s">
        <v>96</v>
      </c>
      <c r="C27" s="364"/>
    </row>
    <row r="28" spans="1:3" outlineLevel="1">
      <c r="A28" s="361">
        <v>14</v>
      </c>
      <c r="B28" s="51" t="s">
        <v>94</v>
      </c>
      <c r="C28" s="364"/>
    </row>
    <row r="29" spans="1:3" ht="13.5" customHeight="1" outlineLevel="1">
      <c r="A29" s="361"/>
      <c r="B29" s="51" t="s">
        <v>96</v>
      </c>
      <c r="C29" s="364"/>
    </row>
    <row r="30" spans="1:3" outlineLevel="1">
      <c r="A30" s="361">
        <v>15</v>
      </c>
      <c r="B30" s="52" t="s">
        <v>94</v>
      </c>
      <c r="C30" s="364"/>
    </row>
    <row r="31" spans="1:3" outlineLevel="1">
      <c r="A31" s="361"/>
      <c r="B31" s="52" t="s">
        <v>96</v>
      </c>
      <c r="C31" s="364"/>
    </row>
    <row r="32" spans="1:3" outlineLevel="1">
      <c r="A32" s="361">
        <v>16</v>
      </c>
      <c r="B32" s="53" t="s">
        <v>94</v>
      </c>
      <c r="C32" s="364"/>
    </row>
    <row r="33" spans="1:3" ht="13.5" customHeight="1" outlineLevel="1">
      <c r="A33" s="361"/>
      <c r="B33" s="53" t="s">
        <v>96</v>
      </c>
      <c r="C33" s="364"/>
    </row>
    <row r="34" spans="1:3" outlineLevel="1">
      <c r="A34" s="361">
        <v>17</v>
      </c>
      <c r="B34" s="54" t="s">
        <v>94</v>
      </c>
      <c r="C34" s="364"/>
    </row>
    <row r="35" spans="1:3" outlineLevel="1">
      <c r="A35" s="361"/>
      <c r="B35" s="54" t="s">
        <v>96</v>
      </c>
      <c r="C35" s="364"/>
    </row>
    <row r="36" spans="1:3" outlineLevel="1">
      <c r="A36" s="361">
        <v>18</v>
      </c>
      <c r="B36" s="55" t="s">
        <v>94</v>
      </c>
      <c r="C36" s="364"/>
    </row>
    <row r="37" spans="1:3" outlineLevel="1">
      <c r="A37" s="361"/>
      <c r="B37" s="55" t="s">
        <v>96</v>
      </c>
      <c r="C37" s="364"/>
    </row>
    <row r="38" spans="1:3" outlineLevel="1">
      <c r="A38" s="361">
        <v>19</v>
      </c>
      <c r="B38" s="56" t="s">
        <v>94</v>
      </c>
      <c r="C38" s="364"/>
    </row>
    <row r="39" spans="1:3" outlineLevel="1">
      <c r="A39" s="361"/>
      <c r="B39" s="56" t="s">
        <v>96</v>
      </c>
      <c r="C39" s="364"/>
    </row>
    <row r="40" spans="1:3" outlineLevel="1">
      <c r="A40" s="361">
        <v>20</v>
      </c>
      <c r="B40" s="57" t="s">
        <v>94</v>
      </c>
      <c r="C40" s="364"/>
    </row>
    <row r="41" spans="1:3" outlineLevel="1">
      <c r="A41" s="361"/>
      <c r="B41" s="57" t="s">
        <v>96</v>
      </c>
      <c r="C41" s="364"/>
    </row>
    <row r="42" spans="1:3" outlineLevel="1">
      <c r="A42" s="361">
        <v>21</v>
      </c>
      <c r="B42" s="58" t="s">
        <v>94</v>
      </c>
      <c r="C42" s="364"/>
    </row>
    <row r="43" spans="1:3" outlineLevel="1">
      <c r="A43" s="361"/>
      <c r="B43" s="58" t="s">
        <v>96</v>
      </c>
      <c r="C43" s="364"/>
    </row>
    <row r="44" spans="1:3" outlineLevel="1">
      <c r="A44" s="361">
        <v>22</v>
      </c>
      <c r="B44" s="59" t="s">
        <v>94</v>
      </c>
      <c r="C44" s="364"/>
    </row>
    <row r="45" spans="1:3" outlineLevel="1">
      <c r="A45" s="361"/>
      <c r="B45" s="59" t="s">
        <v>96</v>
      </c>
      <c r="C45" s="364"/>
    </row>
    <row r="46" spans="1:3" outlineLevel="1">
      <c r="A46" s="361">
        <v>23</v>
      </c>
      <c r="B46" s="60" t="s">
        <v>94</v>
      </c>
      <c r="C46" s="364"/>
    </row>
    <row r="47" spans="1:3" outlineLevel="1">
      <c r="A47" s="361"/>
      <c r="B47" s="60" t="s">
        <v>96</v>
      </c>
      <c r="C47" s="364"/>
    </row>
    <row r="48" spans="1:3" outlineLevel="1">
      <c r="A48" s="361">
        <v>24</v>
      </c>
      <c r="B48" s="61" t="s">
        <v>94</v>
      </c>
      <c r="C48" s="364"/>
    </row>
    <row r="49" spans="1:3" outlineLevel="1">
      <c r="A49" s="361"/>
      <c r="B49" s="61" t="s">
        <v>96</v>
      </c>
      <c r="C49" s="364"/>
    </row>
    <row r="50" spans="1:3" outlineLevel="1">
      <c r="A50" s="361">
        <v>25</v>
      </c>
      <c r="B50" s="62" t="s">
        <v>94</v>
      </c>
      <c r="C50" s="364"/>
    </row>
    <row r="51" spans="1:3" outlineLevel="1">
      <c r="A51" s="361"/>
      <c r="B51" s="62" t="s">
        <v>96</v>
      </c>
      <c r="C51" s="364"/>
    </row>
    <row r="52" spans="1:3" outlineLevel="1">
      <c r="A52" s="361">
        <v>26</v>
      </c>
      <c r="B52" s="63" t="s">
        <v>94</v>
      </c>
      <c r="C52" s="364"/>
    </row>
    <row r="53" spans="1:3" outlineLevel="1">
      <c r="A53" s="361"/>
      <c r="B53" s="63" t="s">
        <v>96</v>
      </c>
      <c r="C53" s="364"/>
    </row>
    <row r="54" spans="1:3" outlineLevel="1">
      <c r="A54" s="361">
        <v>27</v>
      </c>
      <c r="B54" s="64" t="s">
        <v>94</v>
      </c>
      <c r="C54" s="364"/>
    </row>
    <row r="55" spans="1:3" outlineLevel="1">
      <c r="A55" s="361"/>
      <c r="B55" s="64" t="s">
        <v>96</v>
      </c>
      <c r="C55" s="364"/>
    </row>
    <row r="56" spans="1:3" outlineLevel="1">
      <c r="A56" s="361">
        <v>28</v>
      </c>
      <c r="B56" s="65" t="s">
        <v>94</v>
      </c>
      <c r="C56" s="364"/>
    </row>
    <row r="57" spans="1:3" outlineLevel="1">
      <c r="A57" s="361"/>
      <c r="B57" s="65" t="s">
        <v>96</v>
      </c>
      <c r="C57" s="364"/>
    </row>
    <row r="58" spans="1:3" outlineLevel="1">
      <c r="A58" s="361">
        <v>29</v>
      </c>
      <c r="B58" s="66" t="s">
        <v>94</v>
      </c>
      <c r="C58" s="364"/>
    </row>
    <row r="59" spans="1:3" outlineLevel="1">
      <c r="A59" s="361"/>
      <c r="B59" s="66" t="s">
        <v>96</v>
      </c>
      <c r="C59" s="364"/>
    </row>
    <row r="60" spans="1:3" outlineLevel="1">
      <c r="A60" s="361">
        <v>30</v>
      </c>
      <c r="B60" s="67" t="s">
        <v>94</v>
      </c>
      <c r="C60" s="364"/>
    </row>
    <row r="61" spans="1:3" outlineLevel="1">
      <c r="A61" s="361"/>
      <c r="B61" s="67" t="s">
        <v>96</v>
      </c>
      <c r="C61" s="364"/>
    </row>
    <row r="62" spans="1:3" outlineLevel="1">
      <c r="A62" s="361">
        <v>31</v>
      </c>
      <c r="B62" s="68" t="s">
        <v>94</v>
      </c>
      <c r="C62" s="364"/>
    </row>
    <row r="63" spans="1:3" outlineLevel="1">
      <c r="A63" s="361"/>
      <c r="B63" s="68" t="s">
        <v>96</v>
      </c>
      <c r="C63" s="364"/>
    </row>
    <row r="64" spans="1:3" outlineLevel="1">
      <c r="A64" s="361">
        <v>32</v>
      </c>
      <c r="B64" s="71" t="s">
        <v>94</v>
      </c>
      <c r="C64" s="364"/>
    </row>
    <row r="65" spans="1:3" outlineLevel="1">
      <c r="A65" s="361"/>
      <c r="B65" s="71" t="s">
        <v>96</v>
      </c>
      <c r="C65" s="364"/>
    </row>
    <row r="66" spans="1:3" outlineLevel="1"/>
    <row r="67" spans="1:3" outlineLevel="1"/>
    <row r="68" spans="1:3" outlineLevel="1"/>
    <row r="69" spans="1:3" outlineLevel="1"/>
    <row r="70" spans="1:3" outlineLevel="1"/>
    <row r="71" spans="1:3" outlineLevel="1"/>
    <row r="72" spans="1:3" outlineLevel="1"/>
    <row r="73" spans="1:3" outlineLevel="1"/>
    <row r="74" spans="1:3" outlineLevel="1"/>
    <row r="75" spans="1:3" outlineLevel="1"/>
    <row r="76" spans="1:3" outlineLevel="1"/>
    <row r="77" spans="1:3" outlineLevel="1"/>
    <row r="78" spans="1:3" outlineLevel="1"/>
    <row r="79" spans="1:3" outlineLevel="1"/>
    <row r="80" spans="1:3" outlineLevel="1"/>
    <row r="81" outlineLevel="1"/>
    <row r="82" outlineLevel="1"/>
    <row r="83" outlineLevel="1"/>
    <row r="84" outlineLevel="1"/>
    <row r="85" outlineLevel="1"/>
    <row r="86" outlineLevel="1"/>
    <row r="87" outlineLevel="1"/>
    <row r="88" outlineLevel="1"/>
    <row r="89" outlineLevel="1"/>
    <row r="90" outlineLevel="1"/>
    <row r="91" outlineLevel="1"/>
    <row r="92" outlineLevel="1"/>
    <row r="93" outlineLevel="1"/>
    <row r="94" outlineLevel="1"/>
    <row r="95" outlineLevel="1"/>
    <row r="96" outlineLevel="1"/>
    <row r="97" outlineLevel="1"/>
    <row r="98" outlineLevel="1"/>
    <row r="99" outlineLevel="1"/>
    <row r="100" outlineLevel="1"/>
    <row r="101" outlineLevel="1"/>
    <row r="102" outlineLevel="1"/>
    <row r="103" outlineLevel="1"/>
    <row r="104" outlineLevel="1"/>
    <row r="105" outlineLevel="1"/>
    <row r="106" outlineLevel="1"/>
    <row r="107" outlineLevel="1"/>
    <row r="108" outlineLevel="1"/>
    <row r="109" outlineLevel="1"/>
    <row r="110" outlineLevel="1"/>
    <row r="111" outlineLevel="1"/>
    <row r="112" outlineLevel="1"/>
    <row r="113" spans="4:6" outlineLevel="1"/>
    <row r="114" spans="4:6" outlineLevel="1"/>
    <row r="115" spans="4:6" outlineLevel="1"/>
    <row r="116" spans="4:6" outlineLevel="1"/>
    <row r="117" spans="4:6" outlineLevel="1"/>
    <row r="118" spans="4:6" outlineLevel="1"/>
    <row r="119" spans="4:6" outlineLevel="1"/>
    <row r="120" spans="4:6" outlineLevel="1"/>
    <row r="121" spans="4:6" outlineLevel="1"/>
    <row r="122" spans="4:6" outlineLevel="1"/>
    <row r="123" spans="4:6" outlineLevel="1"/>
    <row r="128" spans="4:6">
      <c r="D128" s="27" t="s">
        <v>38</v>
      </c>
      <c r="E128" s="27" t="s">
        <v>39</v>
      </c>
      <c r="F128" s="27">
        <v>9975</v>
      </c>
    </row>
    <row r="129" spans="4:6">
      <c r="D129" s="27" t="s">
        <v>40</v>
      </c>
      <c r="E129" s="27" t="s">
        <v>41</v>
      </c>
      <c r="F129" s="27">
        <v>64</v>
      </c>
    </row>
    <row r="130" spans="4:6">
      <c r="D130" s="27" t="s">
        <v>42</v>
      </c>
      <c r="E130" s="27" t="s">
        <v>43</v>
      </c>
      <c r="F130" s="27">
        <v>40</v>
      </c>
    </row>
    <row r="131" spans="4:6">
      <c r="D131" s="27" t="s">
        <v>44</v>
      </c>
      <c r="E131" s="27" t="s">
        <v>45</v>
      </c>
      <c r="F131" s="27">
        <v>128</v>
      </c>
    </row>
    <row r="132" spans="4:6">
      <c r="D132" s="27" t="s">
        <v>46</v>
      </c>
      <c r="E132" s="27" t="s">
        <v>47</v>
      </c>
      <c r="F132" s="27">
        <f>CEILING(F130/4,1)</f>
        <v>10</v>
      </c>
    </row>
    <row r="133" spans="4:6">
      <c r="D133" s="28" t="s">
        <v>48</v>
      </c>
      <c r="E133" s="28" t="s">
        <v>49</v>
      </c>
      <c r="F133" s="28">
        <f>FLOOR(F128/F131,1)</f>
        <v>77</v>
      </c>
    </row>
    <row r="134" spans="4:6">
      <c r="D134" s="28" t="s">
        <v>50</v>
      </c>
      <c r="E134" s="28" t="s">
        <v>51</v>
      </c>
      <c r="F134" s="28">
        <f>MOD(F128,F131)</f>
        <v>119</v>
      </c>
    </row>
    <row r="135" spans="4:6">
      <c r="D135" s="28" t="s">
        <v>52</v>
      </c>
      <c r="E135" s="28" t="s">
        <v>53</v>
      </c>
      <c r="F135" s="28">
        <f>FLOOR(F129/F130,1)</f>
        <v>1</v>
      </c>
    </row>
    <row r="136" spans="4:6">
      <c r="D136" s="28" t="s">
        <v>54</v>
      </c>
      <c r="E136" s="28" t="s">
        <v>55</v>
      </c>
      <c r="F136" s="28">
        <f>MOD(F129,F130)</f>
        <v>24</v>
      </c>
    </row>
    <row r="137" spans="4:6">
      <c r="D137" s="28" t="s">
        <v>56</v>
      </c>
      <c r="E137" s="28" t="s">
        <v>57</v>
      </c>
      <c r="F137" s="28">
        <f>IF(F135=0,0,F130)</f>
        <v>40</v>
      </c>
    </row>
    <row r="138" spans="4:6">
      <c r="D138" s="28" t="s">
        <v>58</v>
      </c>
      <c r="E138" s="28" t="s">
        <v>59</v>
      </c>
      <c r="F138" s="28">
        <f>F136</f>
        <v>24</v>
      </c>
    </row>
    <row r="139" spans="4:6">
      <c r="D139" s="28"/>
      <c r="E139" s="28"/>
      <c r="F139" s="29"/>
    </row>
    <row r="140" spans="4:6">
      <c r="D140" s="12" t="s">
        <v>60</v>
      </c>
      <c r="E140" s="30" t="s">
        <v>61</v>
      </c>
      <c r="F140" s="31">
        <f>(F143+F146)</f>
        <v>26346</v>
      </c>
    </row>
    <row r="141" spans="4:6">
      <c r="D141" s="12"/>
      <c r="E141" s="12" t="s">
        <v>62</v>
      </c>
      <c r="F141" s="29">
        <f>IF(F133=0,0,((F137+(MIN(F128,F131)-1)+F132)*F135))</f>
        <v>177</v>
      </c>
    </row>
    <row r="142" spans="4:6">
      <c r="D142" s="12"/>
      <c r="E142" s="12"/>
      <c r="F142" s="29">
        <f>IF(F133=0,0,IF(F136=0,0,(F138+(MIN(F128,F131)-1)+F132)))</f>
        <v>161</v>
      </c>
    </row>
    <row r="143" spans="4:6">
      <c r="D143" s="12"/>
      <c r="E143" s="12"/>
      <c r="F143" s="29">
        <f>(F141+F142)*F133</f>
        <v>26026</v>
      </c>
    </row>
    <row r="144" spans="4:6">
      <c r="D144" s="12"/>
      <c r="E144" s="12" t="s">
        <v>50</v>
      </c>
      <c r="F144" s="29">
        <f>IF(F134=0,0,(F137+(F134-1)+F132)*F135)</f>
        <v>168</v>
      </c>
    </row>
    <row r="145" spans="4:6">
      <c r="D145" s="12"/>
      <c r="E145" s="12"/>
      <c r="F145" s="29">
        <f>IF(F134=0,0,IF(F136=0,0,(F138+(F134-1)+F132)))</f>
        <v>152</v>
      </c>
    </row>
    <row r="146" spans="4:6">
      <c r="D146" s="12"/>
      <c r="E146" s="12"/>
      <c r="F146" s="29">
        <f>F144+F145</f>
        <v>320</v>
      </c>
    </row>
    <row r="147" spans="4:6">
      <c r="D147" s="28"/>
      <c r="E147" s="28"/>
      <c r="F147" s="29"/>
    </row>
    <row r="148" spans="4:6">
      <c r="D148" s="12" t="s">
        <v>60</v>
      </c>
      <c r="E148" s="30" t="s">
        <v>61</v>
      </c>
      <c r="F148" s="32">
        <f>(F149+F150+F151)</f>
        <v>20032</v>
      </c>
    </row>
    <row r="149" spans="4:6">
      <c r="D149" s="12"/>
      <c r="E149" s="33" t="s">
        <v>52</v>
      </c>
      <c r="F149" s="29">
        <f>((F137+(F128-1))*F135)</f>
        <v>10014</v>
      </c>
    </row>
    <row r="150" spans="4:6">
      <c r="D150" s="12"/>
      <c r="E150" s="33" t="s">
        <v>63</v>
      </c>
      <c r="F150" s="29">
        <f>F132*F135</f>
        <v>10</v>
      </c>
    </row>
    <row r="151" spans="4:6">
      <c r="D151" s="12"/>
      <c r="E151" s="33" t="s">
        <v>54</v>
      </c>
      <c r="F151" s="29">
        <f>IF(F138=0,0,F138+(F128-1)+F132)</f>
        <v>10008</v>
      </c>
    </row>
    <row r="152" spans="4:6">
      <c r="D152" s="28"/>
      <c r="E152" s="28"/>
      <c r="F152" s="29"/>
    </row>
    <row r="153" spans="4:6">
      <c r="D153" s="34" t="s">
        <v>64</v>
      </c>
      <c r="E153" s="34" t="s">
        <v>65</v>
      </c>
      <c r="F153" s="10">
        <f>IF(F130&gt;=F129,F128/F148,F128/F140)</f>
        <v>0.37861534957868365</v>
      </c>
    </row>
    <row r="154" spans="4:6">
      <c r="D154" s="34" t="s">
        <v>37</v>
      </c>
      <c r="E154" s="34" t="s">
        <v>66</v>
      </c>
      <c r="F154" s="10">
        <f>F128/F148</f>
        <v>0.49795327476038337</v>
      </c>
    </row>
  </sheetData>
  <mergeCells count="64">
    <mergeCell ref="A58:A59"/>
    <mergeCell ref="C58:C59"/>
    <mergeCell ref="A60:A61"/>
    <mergeCell ref="C60:C61"/>
    <mergeCell ref="A62:A63"/>
    <mergeCell ref="C62:C63"/>
    <mergeCell ref="A52:A53"/>
    <mergeCell ref="C52:C53"/>
    <mergeCell ref="A54:A55"/>
    <mergeCell ref="C54:C55"/>
    <mergeCell ref="A56:A57"/>
    <mergeCell ref="C56:C57"/>
    <mergeCell ref="A46:A47"/>
    <mergeCell ref="C46:C47"/>
    <mergeCell ref="A48:A49"/>
    <mergeCell ref="C48:C49"/>
    <mergeCell ref="A50:A51"/>
    <mergeCell ref="C50:C51"/>
    <mergeCell ref="A40:A41"/>
    <mergeCell ref="C40:C41"/>
    <mergeCell ref="A42:A43"/>
    <mergeCell ref="C42:C43"/>
    <mergeCell ref="A44:A45"/>
    <mergeCell ref="C44:C45"/>
    <mergeCell ref="A34:A35"/>
    <mergeCell ref="C34:C35"/>
    <mergeCell ref="A36:A37"/>
    <mergeCell ref="C36:C37"/>
    <mergeCell ref="A38:A39"/>
    <mergeCell ref="C38:C39"/>
    <mergeCell ref="A28:A29"/>
    <mergeCell ref="C28:C29"/>
    <mergeCell ref="A30:A31"/>
    <mergeCell ref="C30:C31"/>
    <mergeCell ref="A32:A33"/>
    <mergeCell ref="C32:C33"/>
    <mergeCell ref="A22:A23"/>
    <mergeCell ref="C22:C23"/>
    <mergeCell ref="A24:A25"/>
    <mergeCell ref="C24:C25"/>
    <mergeCell ref="A26:A27"/>
    <mergeCell ref="C26:C27"/>
    <mergeCell ref="A16:A17"/>
    <mergeCell ref="C16:C17"/>
    <mergeCell ref="A18:A19"/>
    <mergeCell ref="C18:C19"/>
    <mergeCell ref="A20:A21"/>
    <mergeCell ref="C20:C21"/>
    <mergeCell ref="A64:A65"/>
    <mergeCell ref="C64:C65"/>
    <mergeCell ref="A2:A3"/>
    <mergeCell ref="C2:C3"/>
    <mergeCell ref="A4:A5"/>
    <mergeCell ref="C4:C5"/>
    <mergeCell ref="A6:A7"/>
    <mergeCell ref="C6:C7"/>
    <mergeCell ref="A8:A9"/>
    <mergeCell ref="C8:C9"/>
    <mergeCell ref="A10:A11"/>
    <mergeCell ref="C10:C11"/>
    <mergeCell ref="A12:A13"/>
    <mergeCell ref="C12:C13"/>
    <mergeCell ref="A14:A15"/>
    <mergeCell ref="C14:C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abSelected="1" topLeftCell="D1" workbookViewId="0">
      <selection activeCell="B2" sqref="B2"/>
    </sheetView>
  </sheetViews>
  <sheetFormatPr defaultRowHeight="13.5" outlineLevelRow="1"/>
  <cols>
    <col min="2" max="2" width="20" customWidth="1"/>
  </cols>
  <sheetData>
    <row r="1" spans="1:5">
      <c r="A1" s="2" t="s">
        <v>0</v>
      </c>
      <c r="B1" s="4" t="s">
        <v>1</v>
      </c>
      <c r="E1" s="1" t="s">
        <v>2</v>
      </c>
    </row>
    <row r="2" spans="1:5">
      <c r="A2" s="373">
        <v>1</v>
      </c>
      <c r="B2" s="11" t="s">
        <v>23</v>
      </c>
      <c r="C2" s="351" t="s">
        <v>24</v>
      </c>
      <c r="E2" s="14"/>
    </row>
    <row r="3" spans="1:5">
      <c r="A3" s="374"/>
      <c r="B3" s="11" t="s">
        <v>100</v>
      </c>
      <c r="C3" s="351"/>
      <c r="E3" s="15"/>
    </row>
    <row r="4" spans="1:5">
      <c r="A4" s="374"/>
      <c r="B4" s="11" t="s">
        <v>101</v>
      </c>
      <c r="C4" s="351"/>
      <c r="E4" s="16"/>
    </row>
    <row r="5" spans="1:5">
      <c r="A5" s="374"/>
      <c r="B5" s="11" t="s">
        <v>103</v>
      </c>
      <c r="C5" s="351"/>
    </row>
    <row r="6" spans="1:5">
      <c r="A6" s="374"/>
      <c r="B6" s="23" t="s">
        <v>104</v>
      </c>
      <c r="C6" s="375"/>
      <c r="D6" s="351" t="s">
        <v>25</v>
      </c>
    </row>
    <row r="7" spans="1:5">
      <c r="A7" s="374"/>
      <c r="B7" s="23" t="s">
        <v>105</v>
      </c>
      <c r="C7" s="375"/>
      <c r="D7" s="351"/>
    </row>
    <row r="8" spans="1:5">
      <c r="A8" s="374"/>
      <c r="B8" s="23" t="s">
        <v>103</v>
      </c>
      <c r="C8" s="375"/>
      <c r="D8" s="351"/>
    </row>
    <row r="9" spans="1:5">
      <c r="A9" s="374"/>
      <c r="B9" s="11" t="s">
        <v>103</v>
      </c>
      <c r="C9" s="375"/>
      <c r="D9" s="22"/>
    </row>
    <row r="10" spans="1:5">
      <c r="A10" s="374"/>
      <c r="B10" s="23" t="s">
        <v>104</v>
      </c>
      <c r="C10" s="375"/>
      <c r="D10" s="351" t="s">
        <v>25</v>
      </c>
    </row>
    <row r="11" spans="1:5">
      <c r="A11" s="374"/>
      <c r="B11" s="23" t="s">
        <v>105</v>
      </c>
      <c r="C11" s="375"/>
      <c r="D11" s="351"/>
    </row>
    <row r="12" spans="1:5">
      <c r="A12" s="374"/>
      <c r="B12" s="23" t="s">
        <v>103</v>
      </c>
      <c r="C12" s="375"/>
      <c r="D12" s="351"/>
    </row>
    <row r="13" spans="1:5">
      <c r="A13" s="374"/>
      <c r="B13" s="11" t="s">
        <v>103</v>
      </c>
      <c r="C13" s="376"/>
    </row>
    <row r="14" spans="1:5" outlineLevel="1">
      <c r="A14" s="373">
        <v>2</v>
      </c>
      <c r="B14" s="73" t="s">
        <v>23</v>
      </c>
      <c r="C14" s="351" t="s">
        <v>24</v>
      </c>
      <c r="D14" s="69"/>
    </row>
    <row r="15" spans="1:5" outlineLevel="1">
      <c r="A15" s="374"/>
      <c r="B15" s="73" t="s">
        <v>100</v>
      </c>
      <c r="C15" s="351"/>
      <c r="D15" s="69"/>
    </row>
    <row r="16" spans="1:5" outlineLevel="1">
      <c r="A16" s="374"/>
      <c r="B16" s="73" t="s">
        <v>101</v>
      </c>
      <c r="C16" s="351"/>
      <c r="D16" s="69"/>
    </row>
    <row r="17" spans="1:4" outlineLevel="1">
      <c r="A17" s="374"/>
      <c r="B17" s="73" t="s">
        <v>103</v>
      </c>
      <c r="C17" s="351"/>
      <c r="D17" s="69"/>
    </row>
    <row r="18" spans="1:4" outlineLevel="1">
      <c r="A18" s="374"/>
      <c r="B18" s="80" t="s">
        <v>104</v>
      </c>
      <c r="C18" s="375"/>
      <c r="D18" s="351" t="s">
        <v>25</v>
      </c>
    </row>
    <row r="19" spans="1:4" outlineLevel="1">
      <c r="A19" s="374"/>
      <c r="B19" s="80" t="s">
        <v>105</v>
      </c>
      <c r="C19" s="375"/>
      <c r="D19" s="351"/>
    </row>
    <row r="20" spans="1:4" outlineLevel="1">
      <c r="A20" s="374"/>
      <c r="B20" s="80" t="s">
        <v>103</v>
      </c>
      <c r="C20" s="375"/>
      <c r="D20" s="351"/>
    </row>
    <row r="21" spans="1:4" outlineLevel="1">
      <c r="A21" s="374"/>
      <c r="B21" s="73" t="s">
        <v>103</v>
      </c>
      <c r="C21" s="375"/>
      <c r="D21" s="79"/>
    </row>
    <row r="22" spans="1:4" outlineLevel="1">
      <c r="A22" s="374"/>
      <c r="B22" s="80" t="s">
        <v>104</v>
      </c>
      <c r="C22" s="375"/>
      <c r="D22" s="351" t="s">
        <v>25</v>
      </c>
    </row>
    <row r="23" spans="1:4" outlineLevel="1">
      <c r="A23" s="374"/>
      <c r="B23" s="80" t="s">
        <v>105</v>
      </c>
      <c r="C23" s="375"/>
      <c r="D23" s="351"/>
    </row>
    <row r="24" spans="1:4" outlineLevel="1">
      <c r="A24" s="374"/>
      <c r="B24" s="80" t="s">
        <v>103</v>
      </c>
      <c r="C24" s="375"/>
      <c r="D24" s="351"/>
    </row>
    <row r="25" spans="1:4" outlineLevel="1">
      <c r="A25" s="374"/>
      <c r="B25" s="73" t="s">
        <v>103</v>
      </c>
      <c r="C25" s="376"/>
      <c r="D25" s="69"/>
    </row>
    <row r="26" spans="1:4" outlineLevel="1">
      <c r="A26" s="373">
        <v>3</v>
      </c>
      <c r="B26" s="73" t="s">
        <v>23</v>
      </c>
      <c r="C26" s="351" t="s">
        <v>24</v>
      </c>
      <c r="D26" s="69"/>
    </row>
    <row r="27" spans="1:4" outlineLevel="1">
      <c r="A27" s="374"/>
      <c r="B27" s="73" t="s">
        <v>100</v>
      </c>
      <c r="C27" s="351"/>
      <c r="D27" s="69"/>
    </row>
    <row r="28" spans="1:4" outlineLevel="1">
      <c r="A28" s="374"/>
      <c r="B28" s="73" t="s">
        <v>101</v>
      </c>
      <c r="C28" s="351"/>
      <c r="D28" s="69"/>
    </row>
    <row r="29" spans="1:4" outlineLevel="1">
      <c r="A29" s="374"/>
      <c r="B29" s="73" t="s">
        <v>103</v>
      </c>
      <c r="C29" s="351"/>
      <c r="D29" s="69"/>
    </row>
    <row r="30" spans="1:4" outlineLevel="1">
      <c r="A30" s="374"/>
      <c r="B30" s="80" t="s">
        <v>104</v>
      </c>
      <c r="C30" s="375"/>
      <c r="D30" s="351" t="s">
        <v>25</v>
      </c>
    </row>
    <row r="31" spans="1:4" outlineLevel="1">
      <c r="A31" s="374"/>
      <c r="B31" s="80" t="s">
        <v>105</v>
      </c>
      <c r="C31" s="375"/>
      <c r="D31" s="351"/>
    </row>
    <row r="32" spans="1:4" outlineLevel="1">
      <c r="A32" s="374"/>
      <c r="B32" s="80" t="s">
        <v>103</v>
      </c>
      <c r="C32" s="375"/>
      <c r="D32" s="351"/>
    </row>
    <row r="33" spans="1:4" outlineLevel="1">
      <c r="A33" s="374"/>
      <c r="B33" s="73" t="s">
        <v>103</v>
      </c>
      <c r="C33" s="375"/>
      <c r="D33" s="79"/>
    </row>
    <row r="34" spans="1:4" outlineLevel="1">
      <c r="A34" s="374"/>
      <c r="B34" s="80" t="s">
        <v>104</v>
      </c>
      <c r="C34" s="375"/>
      <c r="D34" s="351" t="s">
        <v>25</v>
      </c>
    </row>
    <row r="35" spans="1:4" outlineLevel="1">
      <c r="A35" s="374"/>
      <c r="B35" s="80" t="s">
        <v>105</v>
      </c>
      <c r="C35" s="375"/>
      <c r="D35" s="351"/>
    </row>
    <row r="36" spans="1:4" outlineLevel="1">
      <c r="A36" s="374"/>
      <c r="B36" s="80" t="s">
        <v>103</v>
      </c>
      <c r="C36" s="375"/>
      <c r="D36" s="351"/>
    </row>
    <row r="37" spans="1:4" outlineLevel="1">
      <c r="A37" s="374"/>
      <c r="B37" s="73" t="s">
        <v>103</v>
      </c>
      <c r="C37" s="376"/>
      <c r="D37" s="69"/>
    </row>
    <row r="38" spans="1:4" outlineLevel="1">
      <c r="A38" s="373">
        <v>4</v>
      </c>
      <c r="B38" s="73" t="s">
        <v>23</v>
      </c>
      <c r="C38" s="351" t="s">
        <v>24</v>
      </c>
      <c r="D38" s="69"/>
    </row>
    <row r="39" spans="1:4" outlineLevel="1">
      <c r="A39" s="374"/>
      <c r="B39" s="73" t="s">
        <v>100</v>
      </c>
      <c r="C39" s="351"/>
      <c r="D39" s="69"/>
    </row>
    <row r="40" spans="1:4" outlineLevel="1">
      <c r="A40" s="374"/>
      <c r="B40" s="73" t="s">
        <v>101</v>
      </c>
      <c r="C40" s="351"/>
      <c r="D40" s="69"/>
    </row>
    <row r="41" spans="1:4" outlineLevel="1">
      <c r="A41" s="374"/>
      <c r="B41" s="73" t="s">
        <v>103</v>
      </c>
      <c r="C41" s="351"/>
      <c r="D41" s="69"/>
    </row>
    <row r="42" spans="1:4" outlineLevel="1">
      <c r="A42" s="374"/>
      <c r="B42" s="80" t="s">
        <v>104</v>
      </c>
      <c r="C42" s="375"/>
      <c r="D42" s="351" t="s">
        <v>25</v>
      </c>
    </row>
    <row r="43" spans="1:4" outlineLevel="1">
      <c r="A43" s="374"/>
      <c r="B43" s="80" t="s">
        <v>105</v>
      </c>
      <c r="C43" s="375"/>
      <c r="D43" s="351"/>
    </row>
    <row r="44" spans="1:4" outlineLevel="1">
      <c r="A44" s="374"/>
      <c r="B44" s="80" t="s">
        <v>103</v>
      </c>
      <c r="C44" s="375"/>
      <c r="D44" s="351"/>
    </row>
    <row r="45" spans="1:4" outlineLevel="1">
      <c r="A45" s="374"/>
      <c r="B45" s="73" t="s">
        <v>103</v>
      </c>
      <c r="C45" s="375"/>
      <c r="D45" s="79"/>
    </row>
    <row r="46" spans="1:4" outlineLevel="1">
      <c r="A46" s="374"/>
      <c r="B46" s="80" t="s">
        <v>104</v>
      </c>
      <c r="C46" s="375"/>
      <c r="D46" s="351" t="s">
        <v>25</v>
      </c>
    </row>
    <row r="47" spans="1:4" outlineLevel="1">
      <c r="A47" s="374"/>
      <c r="B47" s="80" t="s">
        <v>105</v>
      </c>
      <c r="C47" s="375"/>
      <c r="D47" s="351"/>
    </row>
    <row r="48" spans="1:4" outlineLevel="1">
      <c r="A48" s="374"/>
      <c r="B48" s="80" t="s">
        <v>103</v>
      </c>
      <c r="C48" s="375"/>
      <c r="D48" s="351"/>
    </row>
    <row r="49" spans="1:4" outlineLevel="1">
      <c r="A49" s="374"/>
      <c r="B49" s="73" t="s">
        <v>103</v>
      </c>
      <c r="C49" s="376"/>
      <c r="D49" s="69"/>
    </row>
    <row r="50" spans="1:4" outlineLevel="1">
      <c r="A50" s="373">
        <v>5</v>
      </c>
      <c r="B50" s="73" t="s">
        <v>23</v>
      </c>
      <c r="C50" s="351" t="s">
        <v>24</v>
      </c>
      <c r="D50" s="69"/>
    </row>
    <row r="51" spans="1:4" outlineLevel="1">
      <c r="A51" s="374"/>
      <c r="B51" s="73" t="s">
        <v>100</v>
      </c>
      <c r="C51" s="351"/>
      <c r="D51" s="69"/>
    </row>
    <row r="52" spans="1:4" outlineLevel="1">
      <c r="A52" s="374"/>
      <c r="B52" s="73" t="s">
        <v>101</v>
      </c>
      <c r="C52" s="351"/>
      <c r="D52" s="69"/>
    </row>
    <row r="53" spans="1:4" outlineLevel="1">
      <c r="A53" s="374"/>
      <c r="B53" s="73" t="s">
        <v>103</v>
      </c>
      <c r="C53" s="351"/>
      <c r="D53" s="69"/>
    </row>
    <row r="54" spans="1:4" outlineLevel="1">
      <c r="A54" s="374"/>
      <c r="B54" s="80" t="s">
        <v>104</v>
      </c>
      <c r="C54" s="375"/>
      <c r="D54" s="351" t="s">
        <v>25</v>
      </c>
    </row>
    <row r="55" spans="1:4" outlineLevel="1">
      <c r="A55" s="374"/>
      <c r="B55" s="80" t="s">
        <v>105</v>
      </c>
      <c r="C55" s="375"/>
      <c r="D55" s="351"/>
    </row>
    <row r="56" spans="1:4" outlineLevel="1">
      <c r="A56" s="374"/>
      <c r="B56" s="80" t="s">
        <v>103</v>
      </c>
      <c r="C56" s="375"/>
      <c r="D56" s="351"/>
    </row>
    <row r="57" spans="1:4" outlineLevel="1">
      <c r="A57" s="374"/>
      <c r="B57" s="73" t="s">
        <v>103</v>
      </c>
      <c r="C57" s="375"/>
      <c r="D57" s="79"/>
    </row>
    <row r="58" spans="1:4" outlineLevel="1">
      <c r="A58" s="374"/>
      <c r="B58" s="80" t="s">
        <v>104</v>
      </c>
      <c r="C58" s="375"/>
      <c r="D58" s="351" t="s">
        <v>25</v>
      </c>
    </row>
    <row r="59" spans="1:4" outlineLevel="1">
      <c r="A59" s="374"/>
      <c r="B59" s="80" t="s">
        <v>105</v>
      </c>
      <c r="C59" s="375"/>
      <c r="D59" s="351"/>
    </row>
    <row r="60" spans="1:4" outlineLevel="1">
      <c r="A60" s="374"/>
      <c r="B60" s="80" t="s">
        <v>103</v>
      </c>
      <c r="C60" s="375"/>
      <c r="D60" s="351"/>
    </row>
    <row r="61" spans="1:4" outlineLevel="1">
      <c r="A61" s="374"/>
      <c r="B61" s="73" t="s">
        <v>103</v>
      </c>
      <c r="C61" s="376"/>
      <c r="D61" s="69"/>
    </row>
    <row r="62" spans="1:4" outlineLevel="1">
      <c r="A62" s="373">
        <v>6</v>
      </c>
      <c r="B62" s="73" t="s">
        <v>23</v>
      </c>
      <c r="C62" s="351" t="s">
        <v>24</v>
      </c>
      <c r="D62" s="69"/>
    </row>
    <row r="63" spans="1:4" outlineLevel="1">
      <c r="A63" s="374"/>
      <c r="B63" s="73" t="s">
        <v>100</v>
      </c>
      <c r="C63" s="351"/>
      <c r="D63" s="69"/>
    </row>
    <row r="64" spans="1:4" outlineLevel="1">
      <c r="A64" s="374"/>
      <c r="B64" s="73" t="s">
        <v>101</v>
      </c>
      <c r="C64" s="351"/>
      <c r="D64" s="69"/>
    </row>
    <row r="65" spans="1:4" outlineLevel="1">
      <c r="A65" s="374"/>
      <c r="B65" s="73" t="s">
        <v>103</v>
      </c>
      <c r="C65" s="351"/>
      <c r="D65" s="69"/>
    </row>
    <row r="66" spans="1:4" outlineLevel="1">
      <c r="A66" s="374"/>
      <c r="B66" s="80" t="s">
        <v>104</v>
      </c>
      <c r="C66" s="375"/>
      <c r="D66" s="351" t="s">
        <v>25</v>
      </c>
    </row>
    <row r="67" spans="1:4" outlineLevel="1">
      <c r="A67" s="374"/>
      <c r="B67" s="80" t="s">
        <v>105</v>
      </c>
      <c r="C67" s="375"/>
      <c r="D67" s="351"/>
    </row>
    <row r="68" spans="1:4" outlineLevel="1">
      <c r="A68" s="374"/>
      <c r="B68" s="80" t="s">
        <v>103</v>
      </c>
      <c r="C68" s="375"/>
      <c r="D68" s="351"/>
    </row>
    <row r="69" spans="1:4" outlineLevel="1">
      <c r="A69" s="374"/>
      <c r="B69" s="73" t="s">
        <v>103</v>
      </c>
      <c r="C69" s="375"/>
      <c r="D69" s="79"/>
    </row>
    <row r="70" spans="1:4" outlineLevel="1">
      <c r="A70" s="374"/>
      <c r="B70" s="80" t="s">
        <v>104</v>
      </c>
      <c r="C70" s="375"/>
      <c r="D70" s="351" t="s">
        <v>25</v>
      </c>
    </row>
    <row r="71" spans="1:4" outlineLevel="1">
      <c r="A71" s="374"/>
      <c r="B71" s="80" t="s">
        <v>105</v>
      </c>
      <c r="C71" s="375"/>
      <c r="D71" s="351"/>
    </row>
    <row r="72" spans="1:4" outlineLevel="1">
      <c r="A72" s="374"/>
      <c r="B72" s="80" t="s">
        <v>103</v>
      </c>
      <c r="C72" s="375"/>
      <c r="D72" s="351"/>
    </row>
    <row r="73" spans="1:4" outlineLevel="1">
      <c r="A73" s="374"/>
      <c r="B73" s="73" t="s">
        <v>103</v>
      </c>
      <c r="C73" s="376"/>
      <c r="D73" s="69"/>
    </row>
    <row r="74" spans="1:4" outlineLevel="1">
      <c r="A74" s="69"/>
      <c r="B74" s="69"/>
      <c r="C74" s="69"/>
      <c r="D74" s="69"/>
    </row>
    <row r="75" spans="1:4" outlineLevel="1">
      <c r="A75" s="69"/>
      <c r="B75" s="69"/>
      <c r="C75" s="69"/>
      <c r="D75" s="69"/>
    </row>
    <row r="76" spans="1:4" outlineLevel="1">
      <c r="A76" s="69"/>
      <c r="B76" s="69"/>
      <c r="C76" s="69"/>
      <c r="D76" s="69"/>
    </row>
    <row r="77" spans="1:4" outlineLevel="1">
      <c r="A77" s="69"/>
      <c r="B77" s="69"/>
      <c r="C77" s="69"/>
      <c r="D77" s="69"/>
    </row>
    <row r="78" spans="1:4" outlineLevel="1">
      <c r="A78" s="69"/>
      <c r="B78" s="69"/>
      <c r="C78" s="69"/>
      <c r="D78" s="69"/>
    </row>
    <row r="79" spans="1:4" outlineLevel="1">
      <c r="A79" s="69"/>
      <c r="B79" s="69"/>
      <c r="C79" s="69"/>
      <c r="D79" s="69"/>
    </row>
    <row r="80" spans="1:4" outlineLevel="1">
      <c r="A80" s="69"/>
      <c r="B80" s="69"/>
      <c r="C80" s="69"/>
      <c r="D80" s="69"/>
    </row>
    <row r="81" spans="1:4" outlineLevel="1">
      <c r="A81" s="69"/>
      <c r="B81" s="69"/>
      <c r="C81" s="69"/>
      <c r="D81" s="69"/>
    </row>
    <row r="82" spans="1:4" outlineLevel="1">
      <c r="A82" s="69"/>
      <c r="B82" s="69"/>
      <c r="C82" s="69"/>
      <c r="D82" s="69"/>
    </row>
    <row r="83" spans="1:4" outlineLevel="1">
      <c r="A83" s="69"/>
      <c r="B83" s="69"/>
      <c r="C83" s="69"/>
      <c r="D83" s="69"/>
    </row>
    <row r="84" spans="1:4" outlineLevel="1">
      <c r="A84" s="69"/>
      <c r="B84" s="69"/>
      <c r="C84" s="69"/>
      <c r="D84" s="69"/>
    </row>
    <row r="85" spans="1:4" outlineLevel="1">
      <c r="A85" s="69"/>
      <c r="B85" s="69"/>
      <c r="C85" s="69"/>
      <c r="D85" s="69"/>
    </row>
    <row r="86" spans="1:4" outlineLevel="1">
      <c r="A86" s="69"/>
      <c r="B86" s="69"/>
      <c r="C86" s="69"/>
      <c r="D86" s="69"/>
    </row>
    <row r="87" spans="1:4" outlineLevel="1">
      <c r="A87" s="69"/>
      <c r="B87" s="69"/>
      <c r="C87" s="69"/>
      <c r="D87" s="69"/>
    </row>
    <row r="88" spans="1:4" outlineLevel="1">
      <c r="A88" s="69"/>
      <c r="B88" s="69"/>
      <c r="C88" s="69"/>
      <c r="D88" s="69"/>
    </row>
    <row r="89" spans="1:4" outlineLevel="1">
      <c r="A89" s="69"/>
      <c r="B89" s="69"/>
      <c r="C89" s="69"/>
      <c r="D89" s="69"/>
    </row>
    <row r="90" spans="1:4" outlineLevel="1">
      <c r="A90" s="69"/>
      <c r="B90" s="69"/>
      <c r="C90" s="69"/>
      <c r="D90" s="69"/>
    </row>
    <row r="91" spans="1:4" outlineLevel="1">
      <c r="A91" s="69"/>
      <c r="B91" s="69"/>
      <c r="C91" s="69"/>
      <c r="D91" s="69"/>
    </row>
    <row r="92" spans="1:4" outlineLevel="1">
      <c r="A92" s="69"/>
      <c r="B92" s="69"/>
      <c r="C92" s="69"/>
      <c r="D92" s="69"/>
    </row>
    <row r="93" spans="1:4" outlineLevel="1">
      <c r="A93" s="69"/>
      <c r="B93" s="69"/>
      <c r="C93" s="69"/>
      <c r="D93" s="69"/>
    </row>
    <row r="94" spans="1:4" outlineLevel="1">
      <c r="A94" s="69"/>
      <c r="B94" s="69"/>
      <c r="C94" s="69"/>
      <c r="D94" s="69"/>
    </row>
    <row r="95" spans="1:4" outlineLevel="1">
      <c r="A95" s="69"/>
      <c r="B95" s="69"/>
      <c r="C95" s="69"/>
      <c r="D95" s="69"/>
    </row>
    <row r="96" spans="1:4" outlineLevel="1">
      <c r="A96" s="69"/>
      <c r="B96" s="69"/>
      <c r="C96" s="69"/>
      <c r="D96" s="69"/>
    </row>
    <row r="97" spans="1:4" outlineLevel="1">
      <c r="A97" s="69"/>
      <c r="B97" s="69"/>
      <c r="C97" s="69"/>
      <c r="D97" s="69"/>
    </row>
    <row r="98" spans="1:4" outlineLevel="1">
      <c r="A98" s="69"/>
      <c r="B98" s="69"/>
      <c r="C98" s="69"/>
      <c r="D98" s="69"/>
    </row>
    <row r="99" spans="1:4" outlineLevel="1">
      <c r="A99" s="69"/>
      <c r="B99" s="69"/>
      <c r="C99" s="69"/>
      <c r="D99" s="69"/>
    </row>
    <row r="100" spans="1:4" outlineLevel="1">
      <c r="A100" s="69"/>
      <c r="B100" s="69"/>
      <c r="C100" s="69"/>
      <c r="D100" s="69"/>
    </row>
    <row r="101" spans="1:4" outlineLevel="1">
      <c r="A101" s="69"/>
      <c r="B101" s="69"/>
      <c r="C101" s="69"/>
      <c r="D101" s="69"/>
    </row>
    <row r="102" spans="1:4" outlineLevel="1">
      <c r="A102" s="69"/>
      <c r="B102" s="69"/>
      <c r="C102" s="69"/>
      <c r="D102" s="69"/>
    </row>
    <row r="103" spans="1:4" outlineLevel="1">
      <c r="A103" s="69"/>
      <c r="B103" s="69"/>
      <c r="C103" s="69"/>
      <c r="D103" s="69"/>
    </row>
    <row r="104" spans="1:4" outlineLevel="1">
      <c r="A104" s="69"/>
      <c r="B104" s="69"/>
      <c r="C104" s="69"/>
      <c r="D104" s="69"/>
    </row>
    <row r="105" spans="1:4" outlineLevel="1">
      <c r="A105" s="69"/>
      <c r="B105" s="69"/>
      <c r="C105" s="69"/>
      <c r="D105" s="69"/>
    </row>
    <row r="106" spans="1:4">
      <c r="A106" s="69"/>
      <c r="B106" s="69"/>
      <c r="C106" s="69"/>
      <c r="D106" s="69"/>
    </row>
    <row r="107" spans="1:4">
      <c r="A107" s="69"/>
      <c r="B107" s="69"/>
      <c r="C107" s="69"/>
      <c r="D107" s="69"/>
    </row>
    <row r="108" spans="1:4">
      <c r="A108" s="69"/>
      <c r="B108" s="69"/>
      <c r="C108" s="69"/>
      <c r="D108" s="69"/>
    </row>
    <row r="109" spans="1:4">
      <c r="A109" s="69"/>
      <c r="B109" s="69"/>
      <c r="C109" s="69"/>
      <c r="D109" s="69"/>
    </row>
    <row r="110" spans="1:4">
      <c r="A110" s="69"/>
      <c r="B110" s="69"/>
      <c r="C110" s="69"/>
      <c r="D110" s="69"/>
    </row>
    <row r="111" spans="1:4">
      <c r="A111" s="69"/>
      <c r="B111" s="69"/>
      <c r="C111" s="69"/>
      <c r="D111" s="69"/>
    </row>
    <row r="112" spans="1:4">
      <c r="A112" s="69"/>
      <c r="B112" s="69"/>
      <c r="C112" s="69"/>
      <c r="D112" s="69"/>
    </row>
    <row r="113" spans="1:4">
      <c r="A113" s="69"/>
      <c r="B113" s="69"/>
      <c r="C113" s="69"/>
      <c r="D113" s="69"/>
    </row>
    <row r="114" spans="1:4">
      <c r="A114" s="69"/>
      <c r="B114" s="69"/>
      <c r="C114" s="69"/>
      <c r="D114" s="69"/>
    </row>
    <row r="115" spans="1:4">
      <c r="A115" s="69"/>
      <c r="B115" s="69"/>
      <c r="C115" s="69"/>
      <c r="D115" s="69"/>
    </row>
    <row r="116" spans="1:4">
      <c r="A116" s="69"/>
      <c r="B116" s="69"/>
      <c r="C116" s="69"/>
      <c r="D116" s="69"/>
    </row>
    <row r="117" spans="1:4">
      <c r="A117" s="69"/>
      <c r="B117" s="69"/>
      <c r="C117" s="69"/>
      <c r="D117" s="69"/>
    </row>
    <row r="118" spans="1:4">
      <c r="A118" s="69"/>
      <c r="B118" s="69"/>
      <c r="C118" s="69"/>
      <c r="D118" s="69"/>
    </row>
    <row r="119" spans="1:4">
      <c r="A119" s="69"/>
      <c r="B119" s="69"/>
      <c r="C119" s="69"/>
      <c r="D119" s="69"/>
    </row>
    <row r="120" spans="1:4">
      <c r="A120" s="69"/>
      <c r="B120" s="69"/>
      <c r="C120" s="69"/>
      <c r="D120" s="69"/>
    </row>
    <row r="121" spans="1:4">
      <c r="A121" s="69"/>
      <c r="B121" s="69"/>
      <c r="C121" s="69"/>
      <c r="D121" s="69"/>
    </row>
    <row r="122" spans="1:4">
      <c r="A122" s="69"/>
      <c r="B122" s="69"/>
      <c r="C122" s="69"/>
      <c r="D122" s="69"/>
    </row>
    <row r="123" spans="1:4">
      <c r="A123" s="69"/>
      <c r="B123" s="69"/>
      <c r="C123" s="69"/>
      <c r="D123" s="69"/>
    </row>
    <row r="124" spans="1:4">
      <c r="A124" s="69"/>
      <c r="B124" s="69"/>
      <c r="C124" s="69"/>
      <c r="D124" s="69"/>
    </row>
    <row r="125" spans="1:4">
      <c r="A125" s="69"/>
      <c r="B125" s="69"/>
      <c r="C125" s="69"/>
      <c r="D125" s="69"/>
    </row>
    <row r="126" spans="1:4">
      <c r="A126" s="69"/>
      <c r="B126" s="69"/>
      <c r="C126" s="69"/>
      <c r="D126" s="69"/>
    </row>
    <row r="127" spans="1:4">
      <c r="A127" s="69"/>
      <c r="B127" s="69"/>
      <c r="C127" s="69"/>
      <c r="D127" s="69"/>
    </row>
    <row r="128" spans="1:4">
      <c r="A128" s="69"/>
      <c r="B128" s="69"/>
      <c r="C128" s="69"/>
      <c r="D128" s="69"/>
    </row>
    <row r="129" spans="1:7">
      <c r="A129" s="69"/>
      <c r="B129" s="69"/>
      <c r="C129" s="69"/>
      <c r="D129" s="69"/>
      <c r="E129" s="27" t="s">
        <v>38</v>
      </c>
      <c r="F129" s="27" t="s">
        <v>39</v>
      </c>
      <c r="G129" s="27">
        <v>9975</v>
      </c>
    </row>
    <row r="130" spans="1:7">
      <c r="E130" s="27" t="s">
        <v>40</v>
      </c>
      <c r="F130" s="27" t="s">
        <v>41</v>
      </c>
      <c r="G130" s="27">
        <v>72</v>
      </c>
    </row>
    <row r="131" spans="1:7">
      <c r="E131" s="27" t="s">
        <v>42</v>
      </c>
      <c r="F131" s="27" t="s">
        <v>43</v>
      </c>
      <c r="G131" s="27">
        <v>23</v>
      </c>
    </row>
    <row r="132" spans="1:7">
      <c r="E132" s="27" t="s">
        <v>44</v>
      </c>
      <c r="F132" s="27" t="s">
        <v>45</v>
      </c>
      <c r="G132" s="27">
        <v>128</v>
      </c>
    </row>
    <row r="133" spans="1:7">
      <c r="E133" s="27" t="s">
        <v>46</v>
      </c>
      <c r="F133" s="27" t="s">
        <v>47</v>
      </c>
      <c r="G133" s="27">
        <f>CEILING(G131/4,1)</f>
        <v>6</v>
      </c>
    </row>
    <row r="134" spans="1:7">
      <c r="E134" s="28" t="s">
        <v>48</v>
      </c>
      <c r="F134" s="28" t="s">
        <v>49</v>
      </c>
      <c r="G134" s="28">
        <f>FLOOR(G129/G132,1)</f>
        <v>77</v>
      </c>
    </row>
    <row r="135" spans="1:7">
      <c r="E135" s="28" t="s">
        <v>50</v>
      </c>
      <c r="F135" s="28" t="s">
        <v>51</v>
      </c>
      <c r="G135" s="28">
        <f>MOD(G129,G132)</f>
        <v>119</v>
      </c>
    </row>
    <row r="136" spans="1:7">
      <c r="E136" s="28" t="s">
        <v>52</v>
      </c>
      <c r="F136" s="28" t="s">
        <v>53</v>
      </c>
      <c r="G136" s="28">
        <f>FLOOR(G130/G131,1)</f>
        <v>3</v>
      </c>
    </row>
    <row r="137" spans="1:7">
      <c r="E137" s="28" t="s">
        <v>54</v>
      </c>
      <c r="F137" s="28" t="s">
        <v>55</v>
      </c>
      <c r="G137" s="28">
        <f>MOD(G130,G131)</f>
        <v>3</v>
      </c>
    </row>
    <row r="138" spans="1:7">
      <c r="E138" s="28" t="s">
        <v>56</v>
      </c>
      <c r="F138" s="28" t="s">
        <v>57</v>
      </c>
      <c r="G138" s="28">
        <f>IF(G136=0,0,G131)</f>
        <v>23</v>
      </c>
    </row>
    <row r="139" spans="1:7">
      <c r="E139" s="28" t="s">
        <v>58</v>
      </c>
      <c r="F139" s="28" t="s">
        <v>59</v>
      </c>
      <c r="G139" s="28">
        <f>G137</f>
        <v>3</v>
      </c>
    </row>
    <row r="140" spans="1:7">
      <c r="E140" s="28"/>
      <c r="F140" s="28"/>
      <c r="G140" s="29"/>
    </row>
    <row r="141" spans="1:7">
      <c r="E141" s="12" t="s">
        <v>60</v>
      </c>
      <c r="F141" s="30" t="s">
        <v>61</v>
      </c>
      <c r="G141" s="31">
        <f>(G144+G147)</f>
        <v>47076</v>
      </c>
    </row>
    <row r="142" spans="1:7">
      <c r="E142" s="12"/>
      <c r="F142" s="12" t="s">
        <v>62</v>
      </c>
      <c r="G142" s="29">
        <f>IF(G134=0,0,((G138+(MIN(G129,G132)-1)+G133)*G136))</f>
        <v>468</v>
      </c>
    </row>
    <row r="143" spans="1:7">
      <c r="E143" s="12"/>
      <c r="F143" s="12"/>
      <c r="G143" s="29">
        <f>IF(G134=0,0,IF(G137=0,0,(G139+(MIN(G129,G132)-1)+G133)))</f>
        <v>136</v>
      </c>
    </row>
    <row r="144" spans="1:7">
      <c r="E144" s="12"/>
      <c r="F144" s="12"/>
      <c r="G144" s="29">
        <f>(G142+G143)*G134</f>
        <v>46508</v>
      </c>
    </row>
    <row r="145" spans="5:7">
      <c r="E145" s="12"/>
      <c r="F145" s="12" t="s">
        <v>50</v>
      </c>
      <c r="G145" s="29">
        <f>IF(G135=0,0,(G138+(G135-1)+G133)*G136)</f>
        <v>441</v>
      </c>
    </row>
    <row r="146" spans="5:7">
      <c r="E146" s="12"/>
      <c r="F146" s="12"/>
      <c r="G146" s="29">
        <f>IF(G135=0,0,IF(G137=0,0,(G139+(G135-1)+G133)))</f>
        <v>127</v>
      </c>
    </row>
    <row r="147" spans="5:7">
      <c r="E147" s="12"/>
      <c r="F147" s="12"/>
      <c r="G147" s="29">
        <f>G145+G146</f>
        <v>568</v>
      </c>
    </row>
    <row r="148" spans="5:7">
      <c r="E148" s="28"/>
      <c r="F148" s="28"/>
      <c r="G148" s="29"/>
    </row>
    <row r="149" spans="5:7">
      <c r="E149" s="12" t="s">
        <v>60</v>
      </c>
      <c r="F149" s="30" t="s">
        <v>61</v>
      </c>
      <c r="G149" s="32">
        <f>(G150+G151+G152)</f>
        <v>39992</v>
      </c>
    </row>
    <row r="150" spans="5:7">
      <c r="E150" s="12"/>
      <c r="F150" s="33" t="s">
        <v>52</v>
      </c>
      <c r="G150" s="29">
        <f>((G138+(G129-1))*G136)</f>
        <v>29991</v>
      </c>
    </row>
    <row r="151" spans="5:7">
      <c r="E151" s="12"/>
      <c r="F151" s="33" t="s">
        <v>63</v>
      </c>
      <c r="G151" s="29">
        <f>G133*G136</f>
        <v>18</v>
      </c>
    </row>
    <row r="152" spans="5:7">
      <c r="E152" s="12"/>
      <c r="F152" s="33" t="s">
        <v>54</v>
      </c>
      <c r="G152" s="29">
        <f>IF(G139=0,0,G139+(G129-1)+G133)</f>
        <v>9983</v>
      </c>
    </row>
    <row r="153" spans="5:7">
      <c r="E153" s="28"/>
      <c r="F153" s="28"/>
      <c r="G153" s="29"/>
    </row>
    <row r="154" spans="5:7">
      <c r="E154" s="34" t="s">
        <v>64</v>
      </c>
      <c r="F154" s="34" t="s">
        <v>65</v>
      </c>
      <c r="G154" s="10">
        <f>IF(G131&gt;=G130,G129/G149,G129/G141)</f>
        <v>0.21189140963548306</v>
      </c>
    </row>
    <row r="155" spans="5:7">
      <c r="E155" s="34" t="s">
        <v>37</v>
      </c>
      <c r="F155" s="34" t="s">
        <v>66</v>
      </c>
      <c r="G155" s="10">
        <f>G129/G149</f>
        <v>0.24942488497699539</v>
      </c>
    </row>
  </sheetData>
  <mergeCells count="30">
    <mergeCell ref="A14:A25"/>
    <mergeCell ref="C14:C17"/>
    <mergeCell ref="C18:C25"/>
    <mergeCell ref="D18:D20"/>
    <mergeCell ref="D22:D24"/>
    <mergeCell ref="D10:D12"/>
    <mergeCell ref="D6:D8"/>
    <mergeCell ref="C6:C13"/>
    <mergeCell ref="C2:C5"/>
    <mergeCell ref="A2:A13"/>
    <mergeCell ref="A26:A37"/>
    <mergeCell ref="C26:C29"/>
    <mergeCell ref="C30:C37"/>
    <mergeCell ref="D30:D32"/>
    <mergeCell ref="D34:D36"/>
    <mergeCell ref="A38:A49"/>
    <mergeCell ref="C38:C41"/>
    <mergeCell ref="C42:C49"/>
    <mergeCell ref="D42:D44"/>
    <mergeCell ref="D46:D48"/>
    <mergeCell ref="A50:A61"/>
    <mergeCell ref="C50:C53"/>
    <mergeCell ref="C54:C61"/>
    <mergeCell ref="D54:D56"/>
    <mergeCell ref="D58:D60"/>
    <mergeCell ref="A62:A73"/>
    <mergeCell ref="C62:C65"/>
    <mergeCell ref="C66:C73"/>
    <mergeCell ref="D66:D68"/>
    <mergeCell ref="D70:D7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算子叠加方案</vt:lpstr>
      <vt:lpstr>Algorithm</vt:lpstr>
      <vt:lpstr>AES</vt:lpstr>
      <vt:lpstr>Blowfish</vt:lpstr>
      <vt:lpstr>Camellia</vt:lpstr>
      <vt:lpstr>CAST128</vt:lpstr>
      <vt:lpstr>DES</vt:lpstr>
      <vt:lpstr>GOST</vt:lpstr>
      <vt:lpstr>KASUMI</vt:lpstr>
      <vt:lpstr>RC5</vt:lpstr>
      <vt:lpstr>SEED</vt:lpstr>
      <vt:lpstr>Twofish</vt:lpstr>
      <vt:lpstr>SM4</vt:lpstr>
      <vt:lpstr>RC6</vt:lpstr>
      <vt:lpstr>IDEA</vt:lpstr>
      <vt:lpstr>Serpent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2016-04-06T09:42:03Z</dcterms:modified>
</cp:coreProperties>
</file>