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算法分析" sheetId="1" r:id="rId1"/>
    <sheet name="单元面积" sheetId="3" r:id="rId2"/>
    <sheet name="架构比较" sheetId="2" r:id="rId3"/>
    <sheet name="架构面积" sheetId="7" r:id="rId4"/>
    <sheet name="映射分析" sheetId="5" r:id="rId5"/>
    <sheet name="资源数比较" sheetId="6" r:id="rId6"/>
    <sheet name="Sheet1" sheetId="8" r:id="rId7"/>
    <sheet name="面积比较" sheetId="4" r:id="rId8"/>
  </sheets>
  <calcPr calcId="152511"/>
</workbook>
</file>

<file path=xl/calcChain.xml><?xml version="1.0" encoding="utf-8"?>
<calcChain xmlns="http://schemas.openxmlformats.org/spreadsheetml/2006/main">
  <c r="K27" i="6" l="1"/>
  <c r="L27" i="6"/>
  <c r="M27" i="6"/>
  <c r="N27" i="6"/>
  <c r="O27" i="6"/>
  <c r="P27" i="6"/>
  <c r="K28" i="6"/>
  <c r="L28" i="6"/>
  <c r="M28" i="6"/>
  <c r="N28" i="6"/>
  <c r="O28" i="6"/>
  <c r="P28" i="6"/>
  <c r="K29" i="6"/>
  <c r="L29" i="6"/>
  <c r="M29" i="6"/>
  <c r="N29" i="6"/>
  <c r="O29" i="6"/>
  <c r="P29" i="6"/>
  <c r="K30" i="6"/>
  <c r="L30" i="6"/>
  <c r="M30" i="6"/>
  <c r="N30" i="6"/>
  <c r="O30" i="6"/>
  <c r="P30" i="6"/>
  <c r="K31" i="6"/>
  <c r="L31" i="6"/>
  <c r="M31" i="6"/>
  <c r="N31" i="6"/>
  <c r="O31" i="6"/>
  <c r="P31" i="6"/>
  <c r="L26" i="6"/>
  <c r="M26" i="6"/>
  <c r="N26" i="6"/>
  <c r="O26" i="6"/>
  <c r="P26" i="6"/>
  <c r="K26" i="6"/>
  <c r="L18" i="6"/>
  <c r="M18" i="6"/>
  <c r="N18" i="6"/>
  <c r="O18" i="6"/>
  <c r="L19" i="6"/>
  <c r="M19" i="6"/>
  <c r="N19" i="6"/>
  <c r="O19" i="6"/>
  <c r="L20" i="6"/>
  <c r="M20" i="6"/>
  <c r="N20" i="6"/>
  <c r="O20" i="6"/>
  <c r="L21" i="6"/>
  <c r="M21" i="6"/>
  <c r="N21" i="6"/>
  <c r="O21" i="6"/>
  <c r="L22" i="6"/>
  <c r="M22" i="6"/>
  <c r="N22" i="6"/>
  <c r="O22" i="6"/>
  <c r="L23" i="6"/>
  <c r="M23" i="6"/>
  <c r="N23" i="6"/>
  <c r="O23" i="6"/>
  <c r="K19" i="6"/>
  <c r="K20" i="6"/>
  <c r="K21" i="6"/>
  <c r="K22" i="6"/>
  <c r="K23" i="6"/>
  <c r="K18" i="6"/>
  <c r="K11" i="6"/>
  <c r="L11" i="6"/>
  <c r="M11" i="6"/>
  <c r="N11" i="6"/>
  <c r="O11" i="6"/>
  <c r="K12" i="6"/>
  <c r="L12" i="6"/>
  <c r="M12" i="6"/>
  <c r="N12" i="6"/>
  <c r="O12" i="6"/>
  <c r="K13" i="6"/>
  <c r="L13" i="6"/>
  <c r="M13" i="6"/>
  <c r="N13" i="6"/>
  <c r="O13" i="6"/>
  <c r="K14" i="6"/>
  <c r="L14" i="6"/>
  <c r="M14" i="6"/>
  <c r="N14" i="6"/>
  <c r="O14" i="6"/>
  <c r="K15" i="6"/>
  <c r="L15" i="6"/>
  <c r="M15" i="6"/>
  <c r="N15" i="6"/>
  <c r="O15" i="6"/>
  <c r="L10" i="6"/>
  <c r="M10" i="6"/>
  <c r="N10" i="6"/>
  <c r="O10" i="6"/>
  <c r="K10" i="6"/>
  <c r="K2" i="6"/>
  <c r="K3" i="6"/>
  <c r="K4" i="6"/>
  <c r="K5" i="6"/>
  <c r="K6" i="6"/>
  <c r="K7" i="6"/>
  <c r="K9" i="6"/>
  <c r="F2" i="7" l="1"/>
  <c r="F9" i="3" l="1"/>
  <c r="F5" i="3"/>
  <c r="F2" i="3" l="1"/>
  <c r="F4" i="3"/>
  <c r="A8" i="7" l="1"/>
  <c r="A6" i="7"/>
  <c r="A4" i="7"/>
  <c r="A2" i="7"/>
  <c r="C1" i="7"/>
  <c r="D1" i="7"/>
  <c r="E1" i="7"/>
  <c r="F1" i="7"/>
  <c r="G1" i="7"/>
  <c r="H1" i="7"/>
  <c r="I1" i="7"/>
  <c r="B1" i="7"/>
  <c r="C6" i="7"/>
  <c r="D8" i="7"/>
  <c r="E6" i="7"/>
  <c r="F8" i="7"/>
  <c r="G9" i="3"/>
  <c r="G6" i="7" s="1"/>
  <c r="H9" i="3"/>
  <c r="H8" i="7" s="1"/>
  <c r="I9" i="3"/>
  <c r="I6" i="7" s="1"/>
  <c r="K9" i="3"/>
  <c r="J6" i="7" s="1"/>
  <c r="B8" i="7"/>
  <c r="C5" i="3"/>
  <c r="D5" i="3"/>
  <c r="E5" i="3"/>
  <c r="G5" i="3"/>
  <c r="H5" i="3"/>
  <c r="I5" i="3"/>
  <c r="K5" i="3"/>
  <c r="B5" i="3"/>
  <c r="J4" i="3"/>
  <c r="J9" i="3" s="1"/>
  <c r="J26" i="6"/>
  <c r="J27" i="6"/>
  <c r="J28" i="6"/>
  <c r="J29" i="6"/>
  <c r="J30" i="6"/>
  <c r="J31" i="6"/>
  <c r="J18" i="6"/>
  <c r="J18" i="4" s="1"/>
  <c r="J19" i="6"/>
  <c r="J19" i="4" s="1"/>
  <c r="J20" i="6"/>
  <c r="J20" i="4" s="1"/>
  <c r="J21" i="6"/>
  <c r="J22" i="6"/>
  <c r="J22" i="4" s="1"/>
  <c r="J23" i="6"/>
  <c r="J23" i="4" s="1"/>
  <c r="J10" i="6"/>
  <c r="J10" i="4" s="1"/>
  <c r="J11" i="6"/>
  <c r="J12" i="6"/>
  <c r="J12" i="4" s="1"/>
  <c r="J13" i="6"/>
  <c r="J13" i="4" s="1"/>
  <c r="J14" i="6"/>
  <c r="J14" i="4" s="1"/>
  <c r="J15" i="6"/>
  <c r="B12" i="2"/>
  <c r="B10" i="2"/>
  <c r="B7" i="2"/>
  <c r="J8" i="7" l="1"/>
  <c r="J2" i="7"/>
  <c r="J5" i="3"/>
  <c r="I2" i="7"/>
  <c r="G2" i="7"/>
  <c r="E2" i="7"/>
  <c r="C2" i="7"/>
  <c r="I4" i="7"/>
  <c r="G4" i="7"/>
  <c r="E4" i="7"/>
  <c r="C4" i="7"/>
  <c r="B6" i="7"/>
  <c r="H6" i="7"/>
  <c r="F6" i="7"/>
  <c r="D6" i="7"/>
  <c r="I8" i="7"/>
  <c r="G8" i="7"/>
  <c r="E8" i="7"/>
  <c r="C8" i="7"/>
  <c r="K8" i="7" s="1"/>
  <c r="J21" i="4"/>
  <c r="B2" i="7"/>
  <c r="H2" i="7"/>
  <c r="D2" i="7"/>
  <c r="B4" i="7"/>
  <c r="H4" i="7"/>
  <c r="F4" i="7"/>
  <c r="D4" i="7"/>
  <c r="J4" i="7"/>
  <c r="J15" i="4"/>
  <c r="J11" i="4"/>
  <c r="D9" i="7" l="1"/>
  <c r="B9" i="7"/>
  <c r="F9" i="7"/>
  <c r="H9" i="7"/>
  <c r="E9" i="7"/>
  <c r="I9" i="7"/>
  <c r="K6" i="7"/>
  <c r="B7" i="7" s="1"/>
  <c r="K4" i="7"/>
  <c r="D5" i="7" s="1"/>
  <c r="K2" i="7"/>
  <c r="J3" i="7" s="1"/>
  <c r="C9" i="7"/>
  <c r="G9" i="7"/>
  <c r="D7" i="7"/>
  <c r="J9" i="7"/>
  <c r="S9" i="6"/>
  <c r="J31" i="4"/>
  <c r="J30" i="4"/>
  <c r="J29" i="4"/>
  <c r="J28" i="4"/>
  <c r="J27" i="4"/>
  <c r="J26" i="4"/>
  <c r="J2" i="3"/>
  <c r="J3" i="3" s="1"/>
  <c r="J1" i="4"/>
  <c r="V9" i="4" s="1"/>
  <c r="H2" i="6"/>
  <c r="I2" i="6"/>
  <c r="H3" i="6"/>
  <c r="I3" i="6"/>
  <c r="H4" i="6"/>
  <c r="I4" i="6"/>
  <c r="H5" i="6"/>
  <c r="I5" i="6"/>
  <c r="H7" i="6"/>
  <c r="I7" i="6"/>
  <c r="C26" i="6"/>
  <c r="D26" i="6"/>
  <c r="D26" i="4" s="1"/>
  <c r="E26" i="6"/>
  <c r="E26" i="4" s="1"/>
  <c r="F26" i="6"/>
  <c r="F26" i="4" s="1"/>
  <c r="G26" i="6"/>
  <c r="G26" i="4" s="1"/>
  <c r="H26" i="6"/>
  <c r="Q26" i="6" s="1"/>
  <c r="I26" i="6"/>
  <c r="R26" i="6" s="1"/>
  <c r="C27" i="6"/>
  <c r="D27" i="6"/>
  <c r="D27" i="4" s="1"/>
  <c r="E27" i="6"/>
  <c r="E27" i="4" s="1"/>
  <c r="F27" i="6"/>
  <c r="G27" i="6"/>
  <c r="H27" i="6"/>
  <c r="I27" i="6"/>
  <c r="I27" i="4" s="1"/>
  <c r="C28" i="6"/>
  <c r="C28" i="4" s="1"/>
  <c r="D28" i="6"/>
  <c r="E28" i="6"/>
  <c r="F28" i="6"/>
  <c r="F28" i="4" s="1"/>
  <c r="G28" i="6"/>
  <c r="G28" i="4" s="1"/>
  <c r="H28" i="6"/>
  <c r="Q28" i="6" s="1"/>
  <c r="I28" i="6"/>
  <c r="R28" i="6" s="1"/>
  <c r="C29" i="6"/>
  <c r="D29" i="6"/>
  <c r="D29" i="4" s="1"/>
  <c r="E29" i="6"/>
  <c r="F29" i="6"/>
  <c r="G29" i="6"/>
  <c r="H29" i="6"/>
  <c r="H29" i="4" s="1"/>
  <c r="I29" i="6"/>
  <c r="R29" i="6" s="1"/>
  <c r="C30" i="6"/>
  <c r="C30" i="4" s="1"/>
  <c r="D30" i="6"/>
  <c r="E30" i="6"/>
  <c r="E30" i="4" s="1"/>
  <c r="F30" i="6"/>
  <c r="G30" i="6"/>
  <c r="H30" i="6"/>
  <c r="Q30" i="6" s="1"/>
  <c r="I30" i="6"/>
  <c r="R30" i="6" s="1"/>
  <c r="C31" i="6"/>
  <c r="D31" i="6"/>
  <c r="E31" i="6"/>
  <c r="E31" i="4" s="1"/>
  <c r="F31" i="6"/>
  <c r="G31" i="6"/>
  <c r="H31" i="6"/>
  <c r="Q31" i="6" s="1"/>
  <c r="I31" i="6"/>
  <c r="R31" i="6" s="1"/>
  <c r="B26" i="6"/>
  <c r="B27" i="6"/>
  <c r="B28" i="6"/>
  <c r="B29" i="6"/>
  <c r="B30" i="6"/>
  <c r="B31" i="6"/>
  <c r="B31" i="4" s="1"/>
  <c r="C18" i="6"/>
  <c r="D18" i="6"/>
  <c r="D18" i="4" s="1"/>
  <c r="E18" i="6"/>
  <c r="E18" i="4" s="1"/>
  <c r="F18" i="6"/>
  <c r="G18" i="6"/>
  <c r="P18" i="6" s="1"/>
  <c r="H18" i="6"/>
  <c r="Q18" i="6" s="1"/>
  <c r="I18" i="6"/>
  <c r="I18" i="4" s="1"/>
  <c r="C19" i="6"/>
  <c r="C19" i="4" s="1"/>
  <c r="D19" i="6"/>
  <c r="D19" i="4" s="1"/>
  <c r="E19" i="6"/>
  <c r="E19" i="4" s="1"/>
  <c r="F19" i="6"/>
  <c r="F19" i="4" s="1"/>
  <c r="G19" i="6"/>
  <c r="H19" i="6"/>
  <c r="Q19" i="6" s="1"/>
  <c r="I19" i="6"/>
  <c r="I19" i="4" s="1"/>
  <c r="C20" i="6"/>
  <c r="D20" i="6"/>
  <c r="E20" i="6"/>
  <c r="E20" i="4" s="1"/>
  <c r="F20" i="6"/>
  <c r="G20" i="6"/>
  <c r="H20" i="6"/>
  <c r="Q20" i="6" s="1"/>
  <c r="I20" i="6"/>
  <c r="I20" i="4" s="1"/>
  <c r="C21" i="6"/>
  <c r="C21" i="4" s="1"/>
  <c r="D21" i="6"/>
  <c r="E21" i="6"/>
  <c r="F21" i="6"/>
  <c r="F21" i="4" s="1"/>
  <c r="G21" i="6"/>
  <c r="H21" i="6"/>
  <c r="Q21" i="6" s="1"/>
  <c r="I21" i="6"/>
  <c r="C22" i="6"/>
  <c r="D22" i="6"/>
  <c r="E22" i="6"/>
  <c r="E22" i="4" s="1"/>
  <c r="F22" i="6"/>
  <c r="G22" i="6"/>
  <c r="P22" i="6" s="1"/>
  <c r="H22" i="6"/>
  <c r="Q22" i="6" s="1"/>
  <c r="I22" i="6"/>
  <c r="C23" i="6"/>
  <c r="C23" i="4" s="1"/>
  <c r="D23" i="6"/>
  <c r="D23" i="4" s="1"/>
  <c r="E23" i="6"/>
  <c r="E23" i="4" s="1"/>
  <c r="F23" i="6"/>
  <c r="G23" i="6"/>
  <c r="H23" i="6"/>
  <c r="Q23" i="6" s="1"/>
  <c r="I23" i="6"/>
  <c r="I23" i="4" s="1"/>
  <c r="B18" i="6"/>
  <c r="B19" i="6"/>
  <c r="B20" i="6"/>
  <c r="B21" i="6"/>
  <c r="B22" i="6"/>
  <c r="B23" i="6"/>
  <c r="B23" i="4" s="1"/>
  <c r="H10" i="6"/>
  <c r="I10" i="6"/>
  <c r="R10" i="6" s="1"/>
  <c r="H11" i="6"/>
  <c r="I11" i="6"/>
  <c r="R11" i="6" s="1"/>
  <c r="H12" i="6"/>
  <c r="I12" i="6"/>
  <c r="I12" i="4" s="1"/>
  <c r="H13" i="6"/>
  <c r="I13" i="6"/>
  <c r="R13" i="6" s="1"/>
  <c r="H14" i="6"/>
  <c r="I14" i="6"/>
  <c r="R14" i="6" s="1"/>
  <c r="H15" i="6"/>
  <c r="I15" i="6"/>
  <c r="R15" i="6" s="1"/>
  <c r="C10" i="6"/>
  <c r="D10" i="6"/>
  <c r="E10" i="6"/>
  <c r="F10" i="6"/>
  <c r="G10" i="6"/>
  <c r="C11" i="6"/>
  <c r="D11" i="6"/>
  <c r="D11" i="4" s="1"/>
  <c r="E11" i="6"/>
  <c r="E11" i="4" s="1"/>
  <c r="F11" i="6"/>
  <c r="G11" i="6"/>
  <c r="G11" i="4" s="1"/>
  <c r="C12" i="6"/>
  <c r="D12" i="6"/>
  <c r="E12" i="6"/>
  <c r="F12" i="6"/>
  <c r="F12" i="4" s="1"/>
  <c r="G12" i="6"/>
  <c r="C13" i="6"/>
  <c r="D13" i="6"/>
  <c r="E13" i="6"/>
  <c r="E13" i="4" s="1"/>
  <c r="F13" i="6"/>
  <c r="G13" i="6"/>
  <c r="G13" i="4" s="1"/>
  <c r="C14" i="6"/>
  <c r="C14" i="4" s="1"/>
  <c r="D14" i="6"/>
  <c r="D14" i="4" s="1"/>
  <c r="E14" i="6"/>
  <c r="F14" i="6"/>
  <c r="G14" i="6"/>
  <c r="C15" i="6"/>
  <c r="D15" i="6"/>
  <c r="E15" i="6"/>
  <c r="E15" i="4" s="1"/>
  <c r="F15" i="6"/>
  <c r="F15" i="4" s="1"/>
  <c r="G15" i="6"/>
  <c r="B10" i="6"/>
  <c r="B10" i="4" s="1"/>
  <c r="B11" i="6"/>
  <c r="B12" i="6"/>
  <c r="B13" i="6"/>
  <c r="B13" i="4" s="1"/>
  <c r="B14" i="6"/>
  <c r="B15" i="6"/>
  <c r="J7" i="6"/>
  <c r="J7" i="4" s="1"/>
  <c r="J6" i="6"/>
  <c r="S22" i="6" s="1"/>
  <c r="J5" i="6"/>
  <c r="S13" i="6" s="1"/>
  <c r="J4" i="6"/>
  <c r="S28" i="6" s="1"/>
  <c r="J3" i="6"/>
  <c r="S27" i="6" s="1"/>
  <c r="J2" i="6"/>
  <c r="C2" i="6"/>
  <c r="D2" i="6"/>
  <c r="E2" i="6"/>
  <c r="F2" i="6"/>
  <c r="G2" i="6"/>
  <c r="C3" i="6"/>
  <c r="L3" i="6" s="1"/>
  <c r="D3" i="6"/>
  <c r="E3" i="6"/>
  <c r="F3" i="6"/>
  <c r="G3" i="6"/>
  <c r="C4" i="6"/>
  <c r="D4" i="6"/>
  <c r="E4" i="6"/>
  <c r="F4" i="6"/>
  <c r="G4" i="6"/>
  <c r="C5" i="6"/>
  <c r="L5" i="6" s="1"/>
  <c r="D5" i="6"/>
  <c r="E5" i="6"/>
  <c r="F5" i="6"/>
  <c r="G5" i="6"/>
  <c r="C7" i="6"/>
  <c r="D7" i="6"/>
  <c r="E7" i="6"/>
  <c r="F7" i="6"/>
  <c r="G7" i="6"/>
  <c r="B2" i="6"/>
  <c r="B3" i="6"/>
  <c r="B4" i="6"/>
  <c r="B5" i="6"/>
  <c r="B7" i="6"/>
  <c r="B12" i="5"/>
  <c r="K3" i="3"/>
  <c r="B10" i="5"/>
  <c r="B7" i="5"/>
  <c r="G6" i="5"/>
  <c r="G5" i="5"/>
  <c r="G4" i="5"/>
  <c r="G3" i="5"/>
  <c r="G2" i="5"/>
  <c r="I6" i="6" s="1"/>
  <c r="A25" i="4"/>
  <c r="A17" i="4"/>
  <c r="A9" i="4"/>
  <c r="A31" i="4"/>
  <c r="A30" i="4"/>
  <c r="A29" i="4"/>
  <c r="A28" i="4"/>
  <c r="A27" i="4"/>
  <c r="A26" i="4"/>
  <c r="A23" i="4"/>
  <c r="A22" i="4"/>
  <c r="A21" i="4"/>
  <c r="A20" i="4"/>
  <c r="A19" i="4"/>
  <c r="A18" i="4"/>
  <c r="A15" i="4"/>
  <c r="A14" i="4"/>
  <c r="A13" i="4"/>
  <c r="A12" i="4"/>
  <c r="A11" i="4"/>
  <c r="A10" i="4"/>
  <c r="A7" i="4"/>
  <c r="A6" i="4"/>
  <c r="A5" i="4"/>
  <c r="A4" i="4"/>
  <c r="A3" i="4"/>
  <c r="A2" i="4"/>
  <c r="A31" i="6"/>
  <c r="A23" i="6"/>
  <c r="A15" i="6"/>
  <c r="A7" i="6"/>
  <c r="A30" i="6"/>
  <c r="A29" i="6"/>
  <c r="A28" i="6"/>
  <c r="A27" i="6"/>
  <c r="A26" i="6"/>
  <c r="A22" i="6"/>
  <c r="A21" i="6"/>
  <c r="A20" i="6"/>
  <c r="A19" i="6"/>
  <c r="A18" i="6"/>
  <c r="A14" i="6"/>
  <c r="A13" i="6"/>
  <c r="A12" i="6"/>
  <c r="A11" i="6"/>
  <c r="A10" i="6"/>
  <c r="A6" i="6"/>
  <c r="A5" i="6"/>
  <c r="A4" i="6"/>
  <c r="A3" i="6"/>
  <c r="A2" i="6"/>
  <c r="C1" i="6"/>
  <c r="D1" i="6"/>
  <c r="E1" i="6"/>
  <c r="F1" i="6"/>
  <c r="G1" i="6"/>
  <c r="H1" i="6"/>
  <c r="I1" i="6"/>
  <c r="B1" i="6"/>
  <c r="B9" i="5"/>
  <c r="B6" i="5"/>
  <c r="H1" i="5"/>
  <c r="G1" i="5"/>
  <c r="F1" i="5"/>
  <c r="E1" i="5"/>
  <c r="D1" i="5"/>
  <c r="C1" i="5"/>
  <c r="B3" i="5"/>
  <c r="B4" i="5"/>
  <c r="B5" i="5"/>
  <c r="A8" i="5"/>
  <c r="A9" i="6" s="1"/>
  <c r="B8" i="5"/>
  <c r="A11" i="5"/>
  <c r="A17" i="6" s="1"/>
  <c r="A13" i="5"/>
  <c r="A25" i="6" s="1"/>
  <c r="B2" i="5"/>
  <c r="A2" i="5"/>
  <c r="A1" i="6" s="1"/>
  <c r="A1" i="4"/>
  <c r="H3" i="3"/>
  <c r="I3" i="3"/>
  <c r="H1" i="3"/>
  <c r="I1" i="3"/>
  <c r="I1" i="2"/>
  <c r="J1" i="2"/>
  <c r="H1" i="2"/>
  <c r="G1" i="2"/>
  <c r="F1" i="2"/>
  <c r="E1" i="2"/>
  <c r="D1" i="2"/>
  <c r="C1" i="2"/>
  <c r="F7" i="3"/>
  <c r="E7" i="3"/>
  <c r="D7" i="3"/>
  <c r="C7" i="3"/>
  <c r="B7" i="3"/>
  <c r="E3" i="3"/>
  <c r="F3" i="3"/>
  <c r="G3" i="3"/>
  <c r="D3" i="3"/>
  <c r="B3" i="3"/>
  <c r="C3" i="3"/>
  <c r="C5" i="7" l="1"/>
  <c r="G5" i="7"/>
  <c r="B5" i="7"/>
  <c r="H7" i="7"/>
  <c r="F5" i="7"/>
  <c r="E5" i="7"/>
  <c r="R9" i="6"/>
  <c r="R1" i="6"/>
  <c r="G1" i="4"/>
  <c r="S9" i="4" s="1"/>
  <c r="P1" i="6"/>
  <c r="N9" i="6"/>
  <c r="N1" i="6"/>
  <c r="C1" i="4"/>
  <c r="O9" i="4" s="1"/>
  <c r="L1" i="6"/>
  <c r="B6" i="6"/>
  <c r="G6" i="6"/>
  <c r="E6" i="6"/>
  <c r="C6" i="6"/>
  <c r="R22" i="6"/>
  <c r="H6" i="6"/>
  <c r="E1" i="4"/>
  <c r="Q9" i="4" s="1"/>
  <c r="H5" i="7"/>
  <c r="K1" i="6"/>
  <c r="Q9" i="6"/>
  <c r="Q1" i="6"/>
  <c r="O9" i="6"/>
  <c r="O1" i="6"/>
  <c r="M9" i="6"/>
  <c r="M1" i="6"/>
  <c r="F6" i="6"/>
  <c r="D6" i="6"/>
  <c r="S18" i="6"/>
  <c r="J2" i="4"/>
  <c r="S19" i="6"/>
  <c r="G3" i="7"/>
  <c r="I3" i="7"/>
  <c r="H3" i="7"/>
  <c r="B3" i="7"/>
  <c r="C3" i="7"/>
  <c r="F3" i="7"/>
  <c r="E3" i="7"/>
  <c r="D3" i="7"/>
  <c r="J5" i="7"/>
  <c r="I5" i="7"/>
  <c r="J7" i="7"/>
  <c r="I7" i="7"/>
  <c r="E7" i="7"/>
  <c r="G7" i="7"/>
  <c r="C7" i="7"/>
  <c r="F7" i="7"/>
  <c r="B6" i="4"/>
  <c r="B2" i="4"/>
  <c r="D7" i="4"/>
  <c r="M7" i="6"/>
  <c r="E6" i="4"/>
  <c r="N6" i="6"/>
  <c r="F5" i="4"/>
  <c r="O5" i="6"/>
  <c r="G4" i="4"/>
  <c r="P4" i="6"/>
  <c r="C4" i="4"/>
  <c r="L4" i="6"/>
  <c r="D3" i="4"/>
  <c r="M3" i="6"/>
  <c r="E2" i="4"/>
  <c r="N2" i="6"/>
  <c r="H6" i="4"/>
  <c r="Q6" i="6"/>
  <c r="H4" i="4"/>
  <c r="Q4" i="6"/>
  <c r="H2" i="4"/>
  <c r="Q2" i="6"/>
  <c r="B5" i="4"/>
  <c r="G7" i="4"/>
  <c r="P7" i="6"/>
  <c r="C7" i="4"/>
  <c r="L7" i="6"/>
  <c r="D6" i="4"/>
  <c r="M6" i="6"/>
  <c r="E5" i="4"/>
  <c r="N5" i="6"/>
  <c r="F4" i="4"/>
  <c r="O4" i="6"/>
  <c r="G3" i="4"/>
  <c r="P3" i="6"/>
  <c r="D2" i="4"/>
  <c r="M2" i="6"/>
  <c r="I7" i="4"/>
  <c r="R7" i="6"/>
  <c r="I5" i="4"/>
  <c r="R5" i="6"/>
  <c r="I3" i="4"/>
  <c r="R3" i="6"/>
  <c r="B4" i="4"/>
  <c r="F7" i="4"/>
  <c r="O7" i="6"/>
  <c r="G6" i="4"/>
  <c r="P6" i="6"/>
  <c r="C6" i="4"/>
  <c r="L6" i="6"/>
  <c r="D5" i="4"/>
  <c r="M5" i="6"/>
  <c r="E4" i="4"/>
  <c r="N4" i="6"/>
  <c r="F3" i="4"/>
  <c r="O3" i="6"/>
  <c r="G2" i="4"/>
  <c r="P2" i="6"/>
  <c r="C2" i="4"/>
  <c r="L2" i="6"/>
  <c r="H7" i="4"/>
  <c r="Q7" i="6"/>
  <c r="H5" i="4"/>
  <c r="Q5" i="6"/>
  <c r="H3" i="4"/>
  <c r="Q3" i="6"/>
  <c r="B7" i="4"/>
  <c r="B3" i="4"/>
  <c r="E7" i="4"/>
  <c r="N7" i="6"/>
  <c r="F6" i="4"/>
  <c r="O6" i="6"/>
  <c r="G5" i="4"/>
  <c r="P5" i="6"/>
  <c r="D4" i="4"/>
  <c r="M4" i="6"/>
  <c r="E3" i="4"/>
  <c r="N3" i="6"/>
  <c r="F2" i="4"/>
  <c r="O2" i="6"/>
  <c r="I6" i="4"/>
  <c r="R6" i="6"/>
  <c r="I4" i="4"/>
  <c r="R4" i="6"/>
  <c r="I2" i="4"/>
  <c r="R2" i="6"/>
  <c r="L9" i="6"/>
  <c r="S29" i="6"/>
  <c r="D1" i="4"/>
  <c r="P9" i="4" s="1"/>
  <c r="S12" i="6"/>
  <c r="I1" i="4"/>
  <c r="U9" i="4" s="1"/>
  <c r="J4" i="4"/>
  <c r="P9" i="6"/>
  <c r="S20" i="6"/>
  <c r="H1" i="4"/>
  <c r="T9" i="4" s="1"/>
  <c r="B1" i="4"/>
  <c r="N9" i="4" s="1"/>
  <c r="J3" i="4"/>
  <c r="S11" i="6"/>
  <c r="S23" i="6"/>
  <c r="S30" i="6"/>
  <c r="R21" i="6"/>
  <c r="S10" i="6"/>
  <c r="S14" i="6"/>
  <c r="S21" i="6"/>
  <c r="S31" i="6"/>
  <c r="S15" i="6"/>
  <c r="S26" i="6"/>
  <c r="J5" i="4"/>
  <c r="F1" i="4"/>
  <c r="R9" i="4" s="1"/>
  <c r="I30" i="4"/>
  <c r="Q29" i="6"/>
  <c r="H26" i="4"/>
  <c r="I31" i="4"/>
  <c r="H23" i="4"/>
  <c r="I28" i="4"/>
  <c r="R27" i="6"/>
  <c r="Q14" i="6"/>
  <c r="Q12" i="6"/>
  <c r="Q10" i="6"/>
  <c r="H18" i="4"/>
  <c r="P13" i="6"/>
  <c r="C3" i="4"/>
  <c r="H14" i="4"/>
  <c r="H21" i="4"/>
  <c r="H12" i="4"/>
  <c r="R18" i="6"/>
  <c r="Q15" i="6"/>
  <c r="Q13" i="6"/>
  <c r="Q11" i="6"/>
  <c r="I15" i="4"/>
  <c r="H22" i="4"/>
  <c r="I26" i="4"/>
  <c r="E12" i="4"/>
  <c r="H10" i="4"/>
  <c r="R20" i="6"/>
  <c r="I11" i="4"/>
  <c r="I13" i="4"/>
  <c r="H19" i="4"/>
  <c r="E21" i="4"/>
  <c r="H30" i="4"/>
  <c r="R12" i="6"/>
  <c r="P12" i="6"/>
  <c r="G12" i="4"/>
  <c r="E10" i="4"/>
  <c r="C15" i="4"/>
  <c r="F18" i="4"/>
  <c r="G30" i="4"/>
  <c r="Q27" i="6"/>
  <c r="H27" i="4"/>
  <c r="C5" i="4"/>
  <c r="H11" i="4"/>
  <c r="H13" i="4"/>
  <c r="H15" i="4"/>
  <c r="H20" i="4"/>
  <c r="H31" i="4"/>
  <c r="B12" i="4"/>
  <c r="P10" i="6"/>
  <c r="G10" i="4"/>
  <c r="C10" i="4"/>
  <c r="B18" i="4"/>
  <c r="B27" i="4"/>
  <c r="C31" i="4"/>
  <c r="E29" i="4"/>
  <c r="D28" i="4"/>
  <c r="I10" i="4"/>
  <c r="I14" i="4"/>
  <c r="I21" i="4"/>
  <c r="B28" i="4"/>
  <c r="B14" i="4"/>
  <c r="F13" i="4"/>
  <c r="C12" i="4"/>
  <c r="E14" i="4"/>
  <c r="P15" i="6"/>
  <c r="G15" i="4"/>
  <c r="C11" i="4"/>
  <c r="B19" i="4"/>
  <c r="P23" i="6"/>
  <c r="G23" i="4"/>
  <c r="F22" i="4"/>
  <c r="P19" i="6"/>
  <c r="G19" i="4"/>
  <c r="D31" i="4"/>
  <c r="F29" i="4"/>
  <c r="E28" i="4"/>
  <c r="C26" i="4"/>
  <c r="P14" i="6"/>
  <c r="G14" i="4"/>
  <c r="F11" i="4"/>
  <c r="B22" i="4"/>
  <c r="F23" i="4"/>
  <c r="P20" i="6"/>
  <c r="G20" i="4"/>
  <c r="C20" i="4"/>
  <c r="G31" i="4"/>
  <c r="F30" i="4"/>
  <c r="G27" i="4"/>
  <c r="C27" i="4"/>
  <c r="I22" i="4"/>
  <c r="I29" i="4"/>
  <c r="B15" i="4"/>
  <c r="B11" i="4"/>
  <c r="F14" i="4"/>
  <c r="C13" i="4"/>
  <c r="F10" i="4"/>
  <c r="B21" i="4"/>
  <c r="R23" i="6"/>
  <c r="P21" i="6"/>
  <c r="G21" i="4"/>
  <c r="F20" i="4"/>
  <c r="R19" i="6"/>
  <c r="B30" i="4"/>
  <c r="B26" i="4"/>
  <c r="F31" i="4"/>
  <c r="D10" i="4"/>
  <c r="D12" i="4"/>
  <c r="D13" i="4"/>
  <c r="D15" i="4"/>
  <c r="D20" i="4"/>
  <c r="D21" i="4"/>
  <c r="D22" i="4"/>
  <c r="H28" i="4"/>
  <c r="P11" i="6"/>
  <c r="B29" i="4"/>
  <c r="G29" i="4"/>
  <c r="C29" i="4"/>
  <c r="C18" i="4"/>
  <c r="G18" i="4"/>
  <c r="C22" i="4"/>
  <c r="G22" i="4"/>
  <c r="B20" i="4"/>
  <c r="F27" i="4"/>
  <c r="D30" i="4"/>
  <c r="J6" i="4"/>
  <c r="K4" i="4" l="1"/>
  <c r="K3" i="4"/>
  <c r="K7" i="4"/>
  <c r="K2" i="4"/>
  <c r="L2" i="4" s="1"/>
  <c r="K6" i="4"/>
  <c r="K5" i="4"/>
  <c r="L5" i="4" s="1"/>
  <c r="K23" i="4"/>
  <c r="T23" i="4" s="1"/>
  <c r="K13" i="4"/>
  <c r="K14" i="4"/>
  <c r="U14" i="4" s="1"/>
  <c r="K15" i="4"/>
  <c r="P15" i="4" s="1"/>
  <c r="K12" i="4"/>
  <c r="R12" i="4" s="1"/>
  <c r="K10" i="4"/>
  <c r="K21" i="4"/>
  <c r="K11" i="4"/>
  <c r="K27" i="4"/>
  <c r="K30" i="4"/>
  <c r="S30" i="4" s="1"/>
  <c r="K22" i="4"/>
  <c r="S22" i="4" s="1"/>
  <c r="K26" i="4"/>
  <c r="K31" i="4"/>
  <c r="R31" i="4" s="1"/>
  <c r="K20" i="4"/>
  <c r="P20" i="4" s="1"/>
  <c r="K28" i="4"/>
  <c r="P28" i="4" s="1"/>
  <c r="K19" i="4"/>
  <c r="V23" i="4"/>
  <c r="K29" i="4"/>
  <c r="K18" i="4"/>
  <c r="L3" i="4" l="1"/>
  <c r="N26" i="4"/>
  <c r="R10" i="4"/>
  <c r="L4" i="4"/>
  <c r="S19" i="4"/>
  <c r="O27" i="4"/>
  <c r="L7" i="4"/>
  <c r="L6" i="4"/>
  <c r="U23" i="4"/>
  <c r="P12" i="4"/>
  <c r="P23" i="4"/>
  <c r="N23" i="4"/>
  <c r="S23" i="4"/>
  <c r="L23" i="4"/>
  <c r="W23" i="4"/>
  <c r="U13" i="4"/>
  <c r="R30" i="4"/>
  <c r="Q13" i="4"/>
  <c r="T13" i="4"/>
  <c r="V13" i="4"/>
  <c r="P13" i="4"/>
  <c r="O13" i="4"/>
  <c r="Q12" i="4"/>
  <c r="R23" i="4"/>
  <c r="N13" i="4"/>
  <c r="W13" i="4"/>
  <c r="N12" i="4"/>
  <c r="R27" i="4"/>
  <c r="W21" i="4"/>
  <c r="S13" i="4"/>
  <c r="R13" i="4"/>
  <c r="W12" i="4"/>
  <c r="O23" i="4"/>
  <c r="Q23" i="4"/>
  <c r="T11" i="4"/>
  <c r="R11" i="4"/>
  <c r="U11" i="4"/>
  <c r="N11" i="4"/>
  <c r="S11" i="4"/>
  <c r="P11" i="4"/>
  <c r="S15" i="4"/>
  <c r="Q11" i="4"/>
  <c r="O11" i="4"/>
  <c r="V11" i="4"/>
  <c r="W11" i="4"/>
  <c r="Q15" i="4"/>
  <c r="U15" i="4"/>
  <c r="Q14" i="4"/>
  <c r="N10" i="4"/>
  <c r="L11" i="4"/>
  <c r="L10" i="4"/>
  <c r="L15" i="4"/>
  <c r="L14" i="4"/>
  <c r="O22" i="4"/>
  <c r="U22" i="4"/>
  <c r="P22" i="4"/>
  <c r="N22" i="4"/>
  <c r="V21" i="4"/>
  <c r="N20" i="4"/>
  <c r="V15" i="4"/>
  <c r="S21" i="4"/>
  <c r="Q10" i="4"/>
  <c r="L12" i="4"/>
  <c r="R15" i="4"/>
  <c r="T15" i="4"/>
  <c r="R22" i="4"/>
  <c r="U21" i="4"/>
  <c r="O21" i="4"/>
  <c r="R21" i="4"/>
  <c r="W15" i="4"/>
  <c r="T21" i="4"/>
  <c r="W14" i="4"/>
  <c r="N15" i="4"/>
  <c r="O15" i="4"/>
  <c r="O20" i="4"/>
  <c r="P21" i="4"/>
  <c r="N19" i="4"/>
  <c r="N21" i="4"/>
  <c r="Q21" i="4"/>
  <c r="L13" i="4"/>
  <c r="N14" i="4"/>
  <c r="R20" i="4"/>
  <c r="R18" i="4"/>
  <c r="T31" i="4"/>
  <c r="T10" i="4"/>
  <c r="S10" i="4"/>
  <c r="V10" i="4"/>
  <c r="T14" i="4"/>
  <c r="S14" i="4"/>
  <c r="V14" i="4"/>
  <c r="S12" i="4"/>
  <c r="V12" i="4"/>
  <c r="P31" i="4"/>
  <c r="S31" i="4"/>
  <c r="S20" i="4"/>
  <c r="T20" i="4"/>
  <c r="L21" i="4"/>
  <c r="S18" i="4"/>
  <c r="W10" i="4"/>
  <c r="U10" i="4"/>
  <c r="U12" i="4"/>
  <c r="P10" i="4"/>
  <c r="O10" i="4"/>
  <c r="P14" i="4"/>
  <c r="O14" i="4"/>
  <c r="R14" i="4"/>
  <c r="T12" i="4"/>
  <c r="O12" i="4"/>
  <c r="O26" i="4"/>
  <c r="T28" i="4"/>
  <c r="V29" i="4"/>
  <c r="L29" i="4"/>
  <c r="W29" i="4"/>
  <c r="T29" i="4"/>
  <c r="P29" i="4"/>
  <c r="Q28" i="4"/>
  <c r="W30" i="4"/>
  <c r="L30" i="4"/>
  <c r="V30" i="4"/>
  <c r="T30" i="4"/>
  <c r="Q30" i="4"/>
  <c r="U30" i="4"/>
  <c r="O30" i="4"/>
  <c r="V27" i="4"/>
  <c r="L27" i="4"/>
  <c r="W27" i="4"/>
  <c r="Q27" i="4"/>
  <c r="U27" i="4"/>
  <c r="P27" i="4"/>
  <c r="V18" i="4"/>
  <c r="W18" i="4"/>
  <c r="L18" i="4"/>
  <c r="U18" i="4"/>
  <c r="P18" i="4"/>
  <c r="Q18" i="4"/>
  <c r="T18" i="4"/>
  <c r="S27" i="4"/>
  <c r="P30" i="4"/>
  <c r="R29" i="4"/>
  <c r="O18" i="4"/>
  <c r="N18" i="4"/>
  <c r="T27" i="4"/>
  <c r="V31" i="4"/>
  <c r="W31" i="4"/>
  <c r="L31" i="4"/>
  <c r="Q31" i="4"/>
  <c r="N31" i="4"/>
  <c r="U31" i="4"/>
  <c r="L26" i="4"/>
  <c r="W26" i="4"/>
  <c r="V26" i="4"/>
  <c r="R26" i="4"/>
  <c r="T26" i="4"/>
  <c r="U26" i="4"/>
  <c r="S26" i="4"/>
  <c r="Q26" i="4"/>
  <c r="P26" i="4"/>
  <c r="N29" i="4"/>
  <c r="L28" i="4"/>
  <c r="V28" i="4"/>
  <c r="W28" i="4"/>
  <c r="R28" i="4"/>
  <c r="S28" i="4"/>
  <c r="U28" i="4"/>
  <c r="O28" i="4"/>
  <c r="S29" i="4"/>
  <c r="Q29" i="4"/>
  <c r="O29" i="4"/>
  <c r="W19" i="4"/>
  <c r="V19" i="4"/>
  <c r="U19" i="4"/>
  <c r="Q19" i="4"/>
  <c r="T19" i="4"/>
  <c r="P19" i="4"/>
  <c r="R19" i="4"/>
  <c r="O19" i="4"/>
  <c r="L19" i="4"/>
  <c r="N28" i="4"/>
  <c r="U29" i="4"/>
  <c r="V20" i="4"/>
  <c r="W20" i="4"/>
  <c r="L20" i="4"/>
  <c r="Q20" i="4"/>
  <c r="U20" i="4"/>
  <c r="V22" i="4"/>
  <c r="W22" i="4"/>
  <c r="T22" i="4"/>
  <c r="L22" i="4"/>
  <c r="Q22" i="4"/>
  <c r="O31" i="4"/>
  <c r="N30" i="4"/>
  <c r="N27" i="4"/>
  <c r="C1" i="3"/>
  <c r="D1" i="3"/>
  <c r="E1" i="3"/>
  <c r="F1" i="3"/>
  <c r="G1" i="3"/>
  <c r="B1" i="3"/>
</calcChain>
</file>

<file path=xl/sharedStrings.xml><?xml version="1.0" encoding="utf-8"?>
<sst xmlns="http://schemas.openxmlformats.org/spreadsheetml/2006/main" count="41" uniqueCount="38">
  <si>
    <t>AES</t>
  </si>
  <si>
    <t>AU</t>
  </si>
  <si>
    <t>SH</t>
  </si>
  <si>
    <t>PER</t>
  </si>
  <si>
    <t>LOU</t>
  </si>
  <si>
    <t>GFM</t>
  </si>
  <si>
    <t>DES</t>
  </si>
  <si>
    <t>SM4</t>
  </si>
  <si>
    <t>TWOFISH</t>
  </si>
  <si>
    <t>RC5</t>
  </si>
  <si>
    <t>BLOWFISH</t>
  </si>
  <si>
    <t>TH</t>
    <phoneticPr fontId="2" type="noConversion"/>
  </si>
  <si>
    <t>TH/GE</t>
    <phoneticPr fontId="2" type="noConversion"/>
  </si>
  <si>
    <t>ICCAD/mm2</t>
    <phoneticPr fontId="2" type="noConversion"/>
  </si>
  <si>
    <t>T1</t>
    <phoneticPr fontId="2" type="noConversion"/>
  </si>
  <si>
    <t>T2</t>
  </si>
  <si>
    <t>T3</t>
  </si>
  <si>
    <t>T4</t>
  </si>
  <si>
    <t>T5</t>
  </si>
  <si>
    <t>CR</t>
    <phoneticPr fontId="2" type="noConversion"/>
  </si>
  <si>
    <t>T2</t>
    <phoneticPr fontId="2" type="noConversion"/>
  </si>
  <si>
    <r>
      <rPr>
        <sz val="11"/>
        <color theme="1"/>
        <rFont val="宋体"/>
        <family val="2"/>
      </rPr>
      <t>本文</t>
    </r>
    <phoneticPr fontId="2" type="noConversion"/>
  </si>
  <si>
    <t>BR</t>
    <phoneticPr fontId="2" type="noConversion"/>
  </si>
  <si>
    <t>X2</t>
    <phoneticPr fontId="2" type="noConversion"/>
  </si>
  <si>
    <t>Cyptoraptor</t>
  </si>
  <si>
    <t>RCPA</t>
    <phoneticPr fontId="2" type="noConversion"/>
  </si>
  <si>
    <t>CR</t>
    <phoneticPr fontId="2" type="noConversion"/>
  </si>
  <si>
    <t>T</t>
    <phoneticPr fontId="2" type="noConversion"/>
  </si>
  <si>
    <t>CR32*8to16</t>
    <phoneticPr fontId="2" type="noConversion"/>
  </si>
  <si>
    <t>CR32*48to80</t>
    <phoneticPr fontId="2" type="noConversion"/>
  </si>
  <si>
    <t>总体</t>
    <phoneticPr fontId="2" type="noConversion"/>
  </si>
  <si>
    <t>总体归一化</t>
    <phoneticPr fontId="2" type="noConversion"/>
  </si>
  <si>
    <r>
      <rPr>
        <sz val="11"/>
        <color theme="1"/>
        <rFont val="宋体"/>
        <family val="3"/>
        <charset val="134"/>
      </rPr>
      <t>阵列块</t>
    </r>
    <phoneticPr fontId="2" type="noConversion"/>
  </si>
  <si>
    <t>总体减少了</t>
    <phoneticPr fontId="2" type="noConversion"/>
  </si>
  <si>
    <r>
      <rPr>
        <sz val="11"/>
        <color theme="1"/>
        <rFont val="宋体"/>
        <family val="3"/>
        <charset val="134"/>
      </rPr>
      <t>计算采用值</t>
    </r>
    <phoneticPr fontId="2" type="noConversion"/>
  </si>
  <si>
    <r>
      <rPr>
        <sz val="11"/>
        <color theme="1"/>
        <rFont val="宋体"/>
        <family val="2"/>
      </rPr>
      <t>总体</t>
    </r>
    <phoneticPr fontId="2" type="noConversion"/>
  </si>
  <si>
    <t>TH/GE</t>
    <phoneticPr fontId="2" type="noConversion"/>
  </si>
  <si>
    <t>4*LUT256*8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</si>
</sst>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"/>
    <numFmt numFmtId="177" formatCode="#,##0.0_ "/>
    <numFmt numFmtId="178" formatCode="0.0%"/>
  </numFmts>
  <fonts count="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0.5"/>
      <color theme="1"/>
      <name val="Times New Roman"/>
      <family val="1"/>
    </font>
    <font>
      <sz val="11"/>
      <color theme="1"/>
      <name val="宋体"/>
      <family val="2"/>
    </font>
    <font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/>
    <xf numFmtId="2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/>
    </xf>
    <xf numFmtId="0" fontId="3" fillId="0" borderId="1" xfId="0" applyNumberFormat="1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9" fontId="3" fillId="0" borderId="1" xfId="1" applyFont="1" applyBorder="1" applyAlignment="1">
      <alignment vertical="center"/>
    </xf>
    <xf numFmtId="9" fontId="3" fillId="0" borderId="1" xfId="1" applyFont="1" applyBorder="1" applyAlignment="1"/>
    <xf numFmtId="9" fontId="3" fillId="0" borderId="5" xfId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77" fontId="6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vertical="center"/>
    </xf>
    <xf numFmtId="177" fontId="3" fillId="0" borderId="0" xfId="0" applyNumberFormat="1" applyFont="1" applyAlignment="1">
      <alignment vertical="center"/>
    </xf>
    <xf numFmtId="176" fontId="3" fillId="0" borderId="1" xfId="0" applyNumberFormat="1" applyFont="1" applyBorder="1"/>
    <xf numFmtId="176" fontId="3" fillId="0" borderId="1" xfId="0" applyNumberFormat="1" applyFont="1" applyFill="1" applyBorder="1"/>
    <xf numFmtId="9" fontId="3" fillId="2" borderId="1" xfId="1" applyFont="1" applyFill="1" applyBorder="1" applyAlignment="1"/>
    <xf numFmtId="0" fontId="3" fillId="2" borderId="1" xfId="0" applyFont="1" applyFill="1" applyBorder="1" applyAlignment="1">
      <alignment horizontal="center"/>
    </xf>
    <xf numFmtId="178" fontId="3" fillId="0" borderId="1" xfId="1" applyNumberFormat="1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G11" sqref="G10:G11"/>
    </sheetView>
  </sheetViews>
  <sheetFormatPr defaultRowHeight="15" x14ac:dyDescent="0.15"/>
  <cols>
    <col min="1" max="1" width="10.5" style="2" customWidth="1"/>
    <col min="2" max="8" width="9" style="2"/>
    <col min="9" max="9" width="11.5" style="2" customWidth="1"/>
    <col min="10" max="10" width="17.375" style="2" customWidth="1"/>
    <col min="11" max="16384" width="9" style="2"/>
  </cols>
  <sheetData>
    <row r="1" spans="1:10" s="3" customFormat="1" ht="27" x14ac:dyDescent="0.15">
      <c r="B1" s="4" t="s">
        <v>1</v>
      </c>
      <c r="C1" s="4" t="s">
        <v>2</v>
      </c>
      <c r="D1" s="4" t="s">
        <v>3</v>
      </c>
      <c r="E1" s="4" t="s">
        <v>4</v>
      </c>
      <c r="F1" s="4" t="s">
        <v>37</v>
      </c>
      <c r="G1" s="4" t="s">
        <v>5</v>
      </c>
      <c r="H1" s="8" t="s">
        <v>23</v>
      </c>
      <c r="I1" s="8" t="s">
        <v>22</v>
      </c>
      <c r="J1" s="9"/>
    </row>
    <row r="2" spans="1:10" x14ac:dyDescent="0.15">
      <c r="A2" s="5" t="s">
        <v>0</v>
      </c>
      <c r="B2" s="5">
        <v>0</v>
      </c>
      <c r="C2" s="5">
        <v>0</v>
      </c>
      <c r="D2" s="5">
        <v>0</v>
      </c>
      <c r="E2" s="5">
        <v>4</v>
      </c>
      <c r="F2" s="5">
        <v>4</v>
      </c>
      <c r="G2" s="5">
        <v>4</v>
      </c>
      <c r="H2" s="5"/>
      <c r="I2" s="5"/>
    </row>
    <row r="3" spans="1:10" x14ac:dyDescent="0.15">
      <c r="A3" s="5" t="s">
        <v>6</v>
      </c>
      <c r="B3" s="5">
        <v>0</v>
      </c>
      <c r="C3" s="5">
        <v>0</v>
      </c>
      <c r="D3" s="5">
        <v>2</v>
      </c>
      <c r="E3" s="5">
        <v>2</v>
      </c>
      <c r="F3" s="5">
        <v>2</v>
      </c>
      <c r="G3" s="5">
        <v>0</v>
      </c>
      <c r="H3" s="5"/>
      <c r="I3" s="5"/>
    </row>
    <row r="4" spans="1:10" x14ac:dyDescent="0.15">
      <c r="A4" s="5" t="s">
        <v>7</v>
      </c>
      <c r="B4" s="5">
        <v>0</v>
      </c>
      <c r="C4" s="5">
        <v>4</v>
      </c>
      <c r="D4" s="5">
        <v>0</v>
      </c>
      <c r="E4" s="5">
        <v>4</v>
      </c>
      <c r="F4" s="5">
        <v>1</v>
      </c>
      <c r="G4" s="5">
        <v>0</v>
      </c>
      <c r="H4" s="5"/>
      <c r="I4" s="5"/>
    </row>
    <row r="5" spans="1:10" x14ac:dyDescent="0.15">
      <c r="A5" s="5" t="s">
        <v>8</v>
      </c>
      <c r="B5" s="5">
        <v>4</v>
      </c>
      <c r="C5" s="5">
        <v>1</v>
      </c>
      <c r="D5" s="5">
        <v>0</v>
      </c>
      <c r="E5" s="5">
        <v>6</v>
      </c>
      <c r="F5" s="5">
        <v>2</v>
      </c>
      <c r="G5" s="5">
        <v>2</v>
      </c>
      <c r="H5" s="5"/>
      <c r="I5" s="5"/>
    </row>
    <row r="6" spans="1:10" x14ac:dyDescent="0.15">
      <c r="A6" s="5" t="s">
        <v>9</v>
      </c>
      <c r="B6" s="5">
        <v>2</v>
      </c>
      <c r="C6" s="5">
        <v>2</v>
      </c>
      <c r="D6" s="5">
        <v>0</v>
      </c>
      <c r="E6" s="5">
        <v>2</v>
      </c>
      <c r="F6" s="5">
        <v>0</v>
      </c>
      <c r="G6" s="5">
        <v>0</v>
      </c>
      <c r="H6" s="5"/>
      <c r="I6" s="5"/>
    </row>
    <row r="7" spans="1:10" x14ac:dyDescent="0.15">
      <c r="A7" s="5" t="s">
        <v>10</v>
      </c>
      <c r="B7" s="5">
        <v>3</v>
      </c>
      <c r="C7" s="5">
        <v>0</v>
      </c>
      <c r="D7" s="5">
        <v>0</v>
      </c>
      <c r="E7" s="5">
        <v>3</v>
      </c>
      <c r="F7" s="5">
        <v>1</v>
      </c>
      <c r="G7" s="5">
        <v>0</v>
      </c>
      <c r="H7" s="5"/>
      <c r="I7" s="5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F7" sqref="F7"/>
    </sheetView>
  </sheetViews>
  <sheetFormatPr defaultRowHeight="15" x14ac:dyDescent="0.15"/>
  <cols>
    <col min="1" max="1" width="14.125" style="2" customWidth="1"/>
    <col min="2" max="5" width="9" style="2"/>
    <col min="6" max="6" width="11.75" style="2" customWidth="1"/>
    <col min="7" max="9" width="9" style="2"/>
    <col min="10" max="11" width="11.625" style="2" customWidth="1"/>
    <col min="12" max="16384" width="9" style="2"/>
  </cols>
  <sheetData>
    <row r="1" spans="1:11" s="3" customFormat="1" x14ac:dyDescent="0.15">
      <c r="A1" s="8"/>
      <c r="B1" s="8" t="str">
        <f>算法分析!B1</f>
        <v>AU</v>
      </c>
      <c r="C1" s="8" t="str">
        <f>算法分析!C1</f>
        <v>SH</v>
      </c>
      <c r="D1" s="8" t="str">
        <f>算法分析!D1</f>
        <v>PER</v>
      </c>
      <c r="E1" s="8" t="str">
        <f>算法分析!E1</f>
        <v>LOU</v>
      </c>
      <c r="F1" s="8" t="str">
        <f>算法分析!F1</f>
        <v>4*LUT256*8</v>
      </c>
      <c r="G1" s="8" t="str">
        <f>算法分析!G1</f>
        <v>GFM</v>
      </c>
      <c r="H1" s="11" t="str">
        <f>算法分析!H1</f>
        <v>X2</v>
      </c>
      <c r="I1" s="11" t="str">
        <f>算法分析!I1</f>
        <v>BR</v>
      </c>
      <c r="J1" s="8" t="s">
        <v>28</v>
      </c>
      <c r="K1" s="8" t="s">
        <v>29</v>
      </c>
    </row>
    <row r="2" spans="1:11" x14ac:dyDescent="0.15">
      <c r="A2" s="31" t="s">
        <v>12</v>
      </c>
      <c r="B2" s="5">
        <v>1278</v>
      </c>
      <c r="C2" s="5">
        <v>3549.5</v>
      </c>
      <c r="D2" s="5">
        <v>2298</v>
      </c>
      <c r="E2" s="5">
        <v>1614</v>
      </c>
      <c r="F2" s="5">
        <f>51191/4</f>
        <v>12797.75</v>
      </c>
      <c r="G2" s="5">
        <v>8000</v>
      </c>
      <c r="H2" s="5">
        <v>500</v>
      </c>
      <c r="I2" s="5">
        <v>400</v>
      </c>
      <c r="J2" s="5">
        <f>K2/5</f>
        <v>140</v>
      </c>
      <c r="K2" s="5">
        <v>700</v>
      </c>
    </row>
    <row r="3" spans="1:11" x14ac:dyDescent="0.15">
      <c r="A3" s="32"/>
      <c r="B3" s="7">
        <f>B2/$B2</f>
        <v>1</v>
      </c>
      <c r="C3" s="7">
        <f>C2/$B2</f>
        <v>2.7773865414710484</v>
      </c>
      <c r="D3" s="7">
        <f>D2/$B2</f>
        <v>1.7981220657276995</v>
      </c>
      <c r="E3" s="7">
        <f t="shared" ref="E3:G3" si="0">E2/$B2</f>
        <v>1.2629107981220657</v>
      </c>
      <c r="F3" s="7">
        <f t="shared" si="0"/>
        <v>10.013888888888889</v>
      </c>
      <c r="G3" s="7">
        <f t="shared" si="0"/>
        <v>6.2597809076682314</v>
      </c>
      <c r="H3" s="7">
        <f t="shared" ref="H3" si="1">H2/$B2</f>
        <v>0.39123630672926446</v>
      </c>
      <c r="I3" s="7">
        <f t="shared" ref="I3:K3" si="2">I2/$B2</f>
        <v>0.3129890453834116</v>
      </c>
      <c r="J3" s="7">
        <f t="shared" si="2"/>
        <v>0.10954616588419405</v>
      </c>
      <c r="K3" s="7">
        <f t="shared" si="2"/>
        <v>0.54773082942097029</v>
      </c>
    </row>
    <row r="4" spans="1:11" x14ac:dyDescent="0.25">
      <c r="A4" s="31" t="s">
        <v>36</v>
      </c>
      <c r="B4" s="7">
        <v>1682.5</v>
      </c>
      <c r="C4" s="25">
        <v>5390.2777777777783</v>
      </c>
      <c r="D4" s="25">
        <v>2973.3333333333335</v>
      </c>
      <c r="E4" s="25">
        <v>369.16666666666669</v>
      </c>
      <c r="F4" s="25">
        <f>155052.417569444/4</f>
        <v>38763.104392360998</v>
      </c>
      <c r="G4" s="26">
        <v>8000</v>
      </c>
      <c r="H4" s="7">
        <v>500</v>
      </c>
      <c r="I4" s="7">
        <v>400</v>
      </c>
      <c r="J4" s="6">
        <f>38714/5</f>
        <v>7742.8</v>
      </c>
      <c r="K4" s="26">
        <v>38714</v>
      </c>
    </row>
    <row r="5" spans="1:11" x14ac:dyDescent="0.15">
      <c r="A5" s="32"/>
      <c r="B5" s="7">
        <f>B4/$B4</f>
        <v>1</v>
      </c>
      <c r="C5" s="7">
        <f t="shared" ref="C5:K5" si="3">C4/$B4</f>
        <v>3.2037312200759454</v>
      </c>
      <c r="D5" s="7">
        <f t="shared" si="3"/>
        <v>1.7672114908370482</v>
      </c>
      <c r="E5" s="7">
        <f t="shared" si="3"/>
        <v>0.21941555225359088</v>
      </c>
      <c r="F5" s="7">
        <f>F4/$B4</f>
        <v>23.038992209427043</v>
      </c>
      <c r="G5" s="7">
        <f t="shared" si="3"/>
        <v>4.7548291233283804</v>
      </c>
      <c r="H5" s="7">
        <f t="shared" si="3"/>
        <v>0.29717682020802377</v>
      </c>
      <c r="I5" s="7">
        <f t="shared" si="3"/>
        <v>0.23774145616641901</v>
      </c>
      <c r="J5" s="7">
        <f t="shared" si="3"/>
        <v>4.6019613670133728</v>
      </c>
      <c r="K5" s="7">
        <f t="shared" si="3"/>
        <v>23.009806835066865</v>
      </c>
    </row>
    <row r="6" spans="1:11" x14ac:dyDescent="0.15">
      <c r="A6" s="31" t="s">
        <v>13</v>
      </c>
      <c r="B6" s="5">
        <v>1.0699999999999999E-2</v>
      </c>
      <c r="C6" s="5">
        <v>9.2999999999999992E-3</v>
      </c>
      <c r="D6" s="5">
        <v>1.5599999999999999E-2</v>
      </c>
      <c r="E6" s="5">
        <v>8.0000000000000002E-3</v>
      </c>
      <c r="F6" s="5">
        <v>1.0999999999999999E-2</v>
      </c>
      <c r="G6" s="5"/>
      <c r="H6" s="5"/>
      <c r="I6" s="5"/>
      <c r="J6" s="5"/>
      <c r="K6" s="5"/>
    </row>
    <row r="7" spans="1:11" x14ac:dyDescent="0.15">
      <c r="A7" s="32"/>
      <c r="B7" s="7">
        <f>B6/$B6</f>
        <v>1</v>
      </c>
      <c r="C7" s="7">
        <f>C6/$B6</f>
        <v>0.86915887850467288</v>
      </c>
      <c r="D7" s="7">
        <f>D6/$B6</f>
        <v>1.4579439252336448</v>
      </c>
      <c r="E7" s="7">
        <f t="shared" ref="E7" si="4">E6/$B6</f>
        <v>0.74766355140186924</v>
      </c>
      <c r="F7" s="7">
        <f t="shared" ref="F7" si="5">F6/$B6</f>
        <v>1.02803738317757</v>
      </c>
      <c r="G7" s="7"/>
      <c r="H7" s="7"/>
      <c r="I7" s="7"/>
      <c r="J7" s="5"/>
      <c r="K7" s="5"/>
    </row>
    <row r="9" spans="1:11" x14ac:dyDescent="0.15">
      <c r="A9" s="5" t="s">
        <v>34</v>
      </c>
      <c r="B9" s="5">
        <v>1278</v>
      </c>
      <c r="C9" s="5">
        <v>3549.5</v>
      </c>
      <c r="D9" s="5">
        <v>2298</v>
      </c>
      <c r="E9" s="5">
        <v>1614</v>
      </c>
      <c r="F9" s="5">
        <f>51191/4</f>
        <v>12797.75</v>
      </c>
      <c r="G9" s="7">
        <f t="shared" ref="G9:K9" si="6">G4</f>
        <v>8000</v>
      </c>
      <c r="H9" s="7">
        <f t="shared" si="6"/>
        <v>500</v>
      </c>
      <c r="I9" s="7">
        <f t="shared" si="6"/>
        <v>400</v>
      </c>
      <c r="J9" s="7">
        <f t="shared" si="6"/>
        <v>7742.8</v>
      </c>
      <c r="K9" s="7">
        <f t="shared" si="6"/>
        <v>38714</v>
      </c>
    </row>
  </sheetData>
  <mergeCells count="3">
    <mergeCell ref="A2:A3"/>
    <mergeCell ref="A6:A7"/>
    <mergeCell ref="A4:A5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H20" sqref="H20"/>
    </sheetView>
  </sheetViews>
  <sheetFormatPr defaultRowHeight="15" x14ac:dyDescent="0.15"/>
  <cols>
    <col min="1" max="1" width="10.375" style="2" customWidth="1"/>
    <col min="2" max="2" width="12.375" style="2" customWidth="1"/>
    <col min="3" max="6" width="9" style="2"/>
    <col min="7" max="7" width="11.75" style="2" customWidth="1"/>
    <col min="8" max="16384" width="9" style="2"/>
  </cols>
  <sheetData>
    <row r="1" spans="1:11" s="3" customFormat="1" x14ac:dyDescent="0.15">
      <c r="A1" s="8"/>
      <c r="B1" s="8"/>
      <c r="C1" s="8" t="str">
        <f>算法分析!B1</f>
        <v>AU</v>
      </c>
      <c r="D1" s="8" t="str">
        <f>算法分析!C1</f>
        <v>SH</v>
      </c>
      <c r="E1" s="8" t="str">
        <f>算法分析!D1</f>
        <v>PER</v>
      </c>
      <c r="F1" s="8" t="str">
        <f>算法分析!E1</f>
        <v>LOU</v>
      </c>
      <c r="G1" s="8" t="str">
        <f>算法分析!F1</f>
        <v>4*LUT256*8</v>
      </c>
      <c r="H1" s="8" t="str">
        <f>算法分析!G1</f>
        <v>GFM</v>
      </c>
      <c r="I1" s="8" t="str">
        <f>算法分析!H1</f>
        <v>X2</v>
      </c>
      <c r="J1" s="8" t="str">
        <f>算法分析!I1</f>
        <v>BR</v>
      </c>
      <c r="K1" s="8" t="s">
        <v>32</v>
      </c>
    </row>
    <row r="2" spans="1:11" x14ac:dyDescent="0.25">
      <c r="A2" s="31" t="s">
        <v>21</v>
      </c>
      <c r="B2" s="5" t="s">
        <v>14</v>
      </c>
      <c r="C2" s="5">
        <v>1</v>
      </c>
      <c r="D2" s="5">
        <v>1</v>
      </c>
      <c r="E2" s="5">
        <v>1</v>
      </c>
      <c r="F2" s="5">
        <v>1</v>
      </c>
      <c r="G2" s="5">
        <v>0</v>
      </c>
      <c r="H2" s="5">
        <v>0</v>
      </c>
      <c r="I2" s="5"/>
      <c r="J2" s="5"/>
      <c r="K2" s="6">
        <v>2</v>
      </c>
    </row>
    <row r="3" spans="1:11" x14ac:dyDescent="0.25">
      <c r="A3" s="33"/>
      <c r="B3" s="5" t="s">
        <v>15</v>
      </c>
      <c r="C3" s="5">
        <v>1</v>
      </c>
      <c r="D3" s="5">
        <v>1</v>
      </c>
      <c r="E3" s="5">
        <v>0</v>
      </c>
      <c r="F3" s="5">
        <v>1</v>
      </c>
      <c r="G3" s="5">
        <v>0</v>
      </c>
      <c r="H3" s="5">
        <v>0</v>
      </c>
      <c r="I3" s="5"/>
      <c r="J3" s="5"/>
      <c r="K3" s="6">
        <v>2</v>
      </c>
    </row>
    <row r="4" spans="1:11" x14ac:dyDescent="0.25">
      <c r="A4" s="33"/>
      <c r="B4" s="5" t="s">
        <v>16</v>
      </c>
      <c r="C4" s="5">
        <v>1</v>
      </c>
      <c r="D4" s="5">
        <v>1</v>
      </c>
      <c r="E4" s="5">
        <v>0</v>
      </c>
      <c r="F4" s="5">
        <v>1</v>
      </c>
      <c r="G4" s="30">
        <v>1</v>
      </c>
      <c r="H4" s="5">
        <v>0</v>
      </c>
      <c r="I4" s="5"/>
      <c r="J4" s="5"/>
      <c r="K4" s="6">
        <v>4</v>
      </c>
    </row>
    <row r="5" spans="1:11" x14ac:dyDescent="0.25">
      <c r="A5" s="33"/>
      <c r="B5" s="5" t="s">
        <v>17</v>
      </c>
      <c r="C5" s="5">
        <v>1</v>
      </c>
      <c r="D5" s="5">
        <v>1</v>
      </c>
      <c r="E5" s="5">
        <v>1</v>
      </c>
      <c r="F5" s="5">
        <v>1</v>
      </c>
      <c r="G5" s="5">
        <v>0</v>
      </c>
      <c r="H5" s="5">
        <v>1</v>
      </c>
      <c r="I5" s="5"/>
      <c r="J5" s="5"/>
      <c r="K5" s="6">
        <v>2</v>
      </c>
    </row>
    <row r="6" spans="1:11" x14ac:dyDescent="0.25">
      <c r="A6" s="33"/>
      <c r="B6" s="5" t="s">
        <v>18</v>
      </c>
      <c r="C6" s="5">
        <v>1</v>
      </c>
      <c r="D6" s="5">
        <v>1</v>
      </c>
      <c r="E6" s="5">
        <v>0</v>
      </c>
      <c r="F6" s="5">
        <v>1</v>
      </c>
      <c r="G6" s="5">
        <v>0</v>
      </c>
      <c r="H6" s="5">
        <v>1</v>
      </c>
      <c r="I6" s="5"/>
      <c r="J6" s="5"/>
      <c r="K6" s="6">
        <v>2</v>
      </c>
    </row>
    <row r="7" spans="1:11" x14ac:dyDescent="0.25">
      <c r="A7" s="32"/>
      <c r="B7" s="5" t="str">
        <f>单元面积!J1</f>
        <v>CR32*8to16</v>
      </c>
      <c r="C7" s="5"/>
      <c r="D7" s="5"/>
      <c r="E7" s="5"/>
      <c r="F7" s="5"/>
      <c r="G7" s="5"/>
      <c r="H7" s="5"/>
      <c r="I7" s="5"/>
      <c r="J7" s="5"/>
      <c r="K7" s="6">
        <v>3</v>
      </c>
    </row>
    <row r="8" spans="1:11" x14ac:dyDescent="0.15">
      <c r="A8" s="31" t="s">
        <v>11</v>
      </c>
      <c r="B8" s="5" t="s">
        <v>14</v>
      </c>
      <c r="C8" s="5">
        <v>1</v>
      </c>
      <c r="D8" s="5">
        <v>1</v>
      </c>
      <c r="E8" s="5">
        <v>0</v>
      </c>
      <c r="F8" s="5">
        <v>6</v>
      </c>
      <c r="G8" s="30">
        <v>4</v>
      </c>
      <c r="H8" s="5"/>
      <c r="I8" s="5">
        <v>1</v>
      </c>
      <c r="J8" s="5"/>
      <c r="K8" s="5">
        <v>4</v>
      </c>
    </row>
    <row r="9" spans="1:11" x14ac:dyDescent="0.15">
      <c r="A9" s="33"/>
      <c r="B9" s="5" t="s">
        <v>20</v>
      </c>
      <c r="C9" s="5">
        <v>1</v>
      </c>
      <c r="D9" s="5">
        <v>1</v>
      </c>
      <c r="E9" s="5">
        <v>1</v>
      </c>
      <c r="F9" s="5">
        <v>6</v>
      </c>
      <c r="G9" s="5">
        <v>0</v>
      </c>
      <c r="H9" s="5"/>
      <c r="I9" s="5">
        <v>1</v>
      </c>
      <c r="J9" s="5"/>
      <c r="K9" s="5">
        <v>4</v>
      </c>
    </row>
    <row r="10" spans="1:11" x14ac:dyDescent="0.15">
      <c r="A10" s="32"/>
      <c r="B10" s="21" t="str">
        <f>单元面积!K1</f>
        <v>CR32*48to80</v>
      </c>
      <c r="C10" s="5"/>
      <c r="D10" s="5"/>
      <c r="E10" s="5"/>
      <c r="F10" s="5"/>
      <c r="G10" s="5"/>
      <c r="H10" s="5"/>
      <c r="I10" s="5"/>
      <c r="J10" s="5"/>
      <c r="K10" s="5">
        <v>1</v>
      </c>
    </row>
    <row r="11" spans="1:11" x14ac:dyDescent="0.15">
      <c r="A11" s="31" t="s">
        <v>24</v>
      </c>
      <c r="B11" s="5"/>
      <c r="C11" s="5">
        <v>1</v>
      </c>
      <c r="D11" s="5">
        <v>1</v>
      </c>
      <c r="E11" s="5">
        <v>1</v>
      </c>
      <c r="F11" s="5">
        <v>1</v>
      </c>
      <c r="G11" s="5">
        <v>7</v>
      </c>
      <c r="H11" s="5">
        <v>0</v>
      </c>
      <c r="I11" s="5">
        <v>0</v>
      </c>
      <c r="J11" s="5">
        <v>3</v>
      </c>
      <c r="K11" s="5">
        <v>4</v>
      </c>
    </row>
    <row r="12" spans="1:11" x14ac:dyDescent="0.15">
      <c r="A12" s="32"/>
      <c r="B12" s="5" t="str">
        <f>单元面积!K1</f>
        <v>CR32*48to80</v>
      </c>
      <c r="C12" s="5"/>
      <c r="D12" s="5"/>
      <c r="E12" s="5"/>
      <c r="F12" s="5"/>
      <c r="G12" s="5"/>
      <c r="H12" s="5"/>
      <c r="I12" s="5"/>
      <c r="J12" s="5"/>
      <c r="K12" s="5">
        <v>1</v>
      </c>
    </row>
    <row r="13" spans="1:11" x14ac:dyDescent="0.15">
      <c r="A13" s="34" t="s">
        <v>25</v>
      </c>
      <c r="B13" s="5"/>
      <c r="C13" s="5">
        <v>1</v>
      </c>
      <c r="D13" s="5">
        <v>1</v>
      </c>
      <c r="E13" s="5">
        <v>1</v>
      </c>
      <c r="F13" s="5">
        <v>2</v>
      </c>
      <c r="G13" s="5">
        <v>2</v>
      </c>
      <c r="H13" s="5">
        <v>1</v>
      </c>
      <c r="I13" s="5">
        <v>0</v>
      </c>
      <c r="J13" s="5">
        <v>0</v>
      </c>
      <c r="K13" s="5">
        <v>4</v>
      </c>
    </row>
    <row r="14" spans="1:11" x14ac:dyDescent="0.15">
      <c r="A14" s="34"/>
      <c r="B14" s="5"/>
      <c r="C14" s="5"/>
      <c r="D14" s="5"/>
      <c r="E14" s="5"/>
      <c r="F14" s="5"/>
      <c r="G14" s="5"/>
      <c r="H14" s="5"/>
      <c r="I14" s="5"/>
      <c r="J14" s="5"/>
      <c r="K14" s="5">
        <v>1</v>
      </c>
    </row>
  </sheetData>
  <mergeCells count="4">
    <mergeCell ref="A2:A7"/>
    <mergeCell ref="A8:A10"/>
    <mergeCell ref="A11:A12"/>
    <mergeCell ref="A13:A1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H12" sqref="H12"/>
    </sheetView>
  </sheetViews>
  <sheetFormatPr defaultRowHeight="15" x14ac:dyDescent="0.15"/>
  <cols>
    <col min="1" max="5" width="9" style="2"/>
    <col min="6" max="6" width="13.375" style="2" customWidth="1"/>
    <col min="7" max="16384" width="9" style="2"/>
  </cols>
  <sheetData>
    <row r="1" spans="1:11" s="3" customFormat="1" x14ac:dyDescent="0.15">
      <c r="A1" s="8"/>
      <c r="B1" s="8" t="str">
        <f>算法分析!B1</f>
        <v>AU</v>
      </c>
      <c r="C1" s="8" t="str">
        <f>算法分析!C1</f>
        <v>SH</v>
      </c>
      <c r="D1" s="8" t="str">
        <f>算法分析!D1</f>
        <v>PER</v>
      </c>
      <c r="E1" s="8" t="str">
        <f>算法分析!E1</f>
        <v>LOU</v>
      </c>
      <c r="F1" s="8" t="str">
        <f>算法分析!F1</f>
        <v>4*LUT256*8</v>
      </c>
      <c r="G1" s="8" t="str">
        <f>算法分析!G1</f>
        <v>GFM</v>
      </c>
      <c r="H1" s="8" t="str">
        <f>算法分析!H1</f>
        <v>X2</v>
      </c>
      <c r="I1" s="8" t="str">
        <f>算法分析!I1</f>
        <v>BR</v>
      </c>
      <c r="J1" s="8" t="s">
        <v>26</v>
      </c>
      <c r="K1" s="8" t="s">
        <v>35</v>
      </c>
    </row>
    <row r="2" spans="1:11" x14ac:dyDescent="0.15">
      <c r="A2" s="31" t="str">
        <f>架构比较!A2</f>
        <v>本文</v>
      </c>
      <c r="B2" s="5">
        <f>SUMPRODUCT(架构比较!C2:C6,架构比较!$K2:$K6)*单元面积!B9</f>
        <v>15336</v>
      </c>
      <c r="C2" s="5">
        <f>SUMPRODUCT(架构比较!D2:D6,架构比较!$K2:$K6)*单元面积!C9</f>
        <v>42594</v>
      </c>
      <c r="D2" s="5">
        <f>SUMPRODUCT(架构比较!E2:E6,架构比较!$K2:$K6)*单元面积!D9</f>
        <v>9192</v>
      </c>
      <c r="E2" s="5">
        <f>SUMPRODUCT(架构比较!F2:F6,架构比较!$K2:$K6)*单元面积!E9</f>
        <v>19368</v>
      </c>
      <c r="F2" s="5">
        <f>SUMPRODUCT(架构比较!G2:G6,架构比较!$K2:$K6)*单元面积!F9</f>
        <v>51191</v>
      </c>
      <c r="G2" s="5">
        <f>SUMPRODUCT(架构比较!H2:H6,架构比较!$K2:$K6)*单元面积!G9</f>
        <v>32000</v>
      </c>
      <c r="H2" s="5">
        <f>SUMPRODUCT(架构比较!I2:I6,架构比较!$K2:$K6)*单元面积!H9</f>
        <v>0</v>
      </c>
      <c r="I2" s="5">
        <f>SUMPRODUCT(架构比较!J2:J6,架构比较!$K2:$K6)*单元面积!I9</f>
        <v>0</v>
      </c>
      <c r="J2" s="5">
        <f>架构比较!K7*单元面积!J9</f>
        <v>23228.400000000001</v>
      </c>
      <c r="K2" s="5">
        <f>SUM(B2:I2)</f>
        <v>169681</v>
      </c>
    </row>
    <row r="3" spans="1:11" x14ac:dyDescent="0.15">
      <c r="A3" s="32"/>
      <c r="B3" s="29">
        <f>B2/$K2</f>
        <v>9.0381362674665996E-2</v>
      </c>
      <c r="C3" s="29">
        <f t="shared" ref="C3:J3" si="0">C2/$K2</f>
        <v>0.25102398029243111</v>
      </c>
      <c r="D3" s="29">
        <f t="shared" si="0"/>
        <v>5.4172240851951603E-2</v>
      </c>
      <c r="E3" s="29">
        <f t="shared" si="0"/>
        <v>0.1141435988708223</v>
      </c>
      <c r="F3" s="29">
        <f t="shared" si="0"/>
        <v>0.30168964115015823</v>
      </c>
      <c r="G3" s="29">
        <f t="shared" si="0"/>
        <v>0.18858917615997076</v>
      </c>
      <c r="H3" s="29">
        <f t="shared" si="0"/>
        <v>0</v>
      </c>
      <c r="I3" s="29">
        <f t="shared" si="0"/>
        <v>0</v>
      </c>
      <c r="J3" s="29">
        <f t="shared" si="0"/>
        <v>0.13689452560982079</v>
      </c>
      <c r="K3" s="5"/>
    </row>
    <row r="4" spans="1:11" x14ac:dyDescent="0.15">
      <c r="A4" s="31" t="str">
        <f>架构比较!A8</f>
        <v>TH</v>
      </c>
      <c r="B4" s="5">
        <f>SUMPRODUCT(架构比较!C8:C9,架构比较!$K8:$K9)*单元面积!B9</f>
        <v>10224</v>
      </c>
      <c r="C4" s="5">
        <f>SUMPRODUCT(架构比较!D8:D9,架构比较!$K8:$K9)*单元面积!C9</f>
        <v>28396</v>
      </c>
      <c r="D4" s="5">
        <f>SUMPRODUCT(架构比较!E8:E9,架构比较!$K8:$K9)*单元面积!D9</f>
        <v>9192</v>
      </c>
      <c r="E4" s="5">
        <f>SUMPRODUCT(架构比较!F8:F9,架构比较!$K8:$K9)*单元面积!E9</f>
        <v>77472</v>
      </c>
      <c r="F4" s="5">
        <f>SUMPRODUCT(架构比较!G8:G9,架构比较!$K8:$K9)*单元面积!F9</f>
        <v>204764</v>
      </c>
      <c r="G4" s="5">
        <f>SUMPRODUCT(架构比较!H8:H9,架构比较!$K8:$K9)*单元面积!G9</f>
        <v>0</v>
      </c>
      <c r="H4" s="5">
        <f>SUMPRODUCT(架构比较!I8:I9,架构比较!$K8:$K9)*单元面积!H9</f>
        <v>4000</v>
      </c>
      <c r="I4" s="5">
        <f>SUMPRODUCT(架构比较!J8:J9,架构比较!$K8:$K9)*单元面积!I9</f>
        <v>0</v>
      </c>
      <c r="J4" s="5">
        <f>架构比较!K10*单元面积!K9</f>
        <v>38714</v>
      </c>
      <c r="K4" s="5">
        <f>SUM(B4:I4)</f>
        <v>334048</v>
      </c>
    </row>
    <row r="5" spans="1:11" x14ac:dyDescent="0.15">
      <c r="A5" s="32"/>
      <c r="B5" s="29">
        <f>B4/$K4</f>
        <v>3.0606379921448414E-2</v>
      </c>
      <c r="C5" s="29">
        <f t="shared" ref="C5:J5" si="1">C4/$K4</f>
        <v>8.5005747676980548E-2</v>
      </c>
      <c r="D5" s="29">
        <f t="shared" si="1"/>
        <v>2.7517003544400804E-2</v>
      </c>
      <c r="E5" s="29">
        <f t="shared" si="1"/>
        <v>0.23191876616534152</v>
      </c>
      <c r="F5" s="29">
        <f t="shared" si="1"/>
        <v>0.61297777564900857</v>
      </c>
      <c r="G5" s="29">
        <f t="shared" si="1"/>
        <v>0</v>
      </c>
      <c r="H5" s="29">
        <f t="shared" si="1"/>
        <v>1.1974327042820193E-2</v>
      </c>
      <c r="I5" s="29">
        <f t="shared" si="1"/>
        <v>0</v>
      </c>
      <c r="J5" s="29">
        <f t="shared" si="1"/>
        <v>0.11589352428393525</v>
      </c>
      <c r="K5" s="5"/>
    </row>
    <row r="6" spans="1:11" x14ac:dyDescent="0.15">
      <c r="A6" s="31" t="str">
        <f>架构比较!A11</f>
        <v>Cyptoraptor</v>
      </c>
      <c r="B6" s="5">
        <f>架构比较!C11*架构比较!$K11*单元面积!B9</f>
        <v>5112</v>
      </c>
      <c r="C6" s="5">
        <f>架构比较!D11*架构比较!$K11*单元面积!C9</f>
        <v>14198</v>
      </c>
      <c r="D6" s="5">
        <f>架构比较!E11*架构比较!$K11*单元面积!D9</f>
        <v>9192</v>
      </c>
      <c r="E6" s="5">
        <f>架构比较!F11*架构比较!$K11*单元面积!E9</f>
        <v>6456</v>
      </c>
      <c r="F6" s="5">
        <f>架构比较!G11*架构比较!$K11*单元面积!F9</f>
        <v>358337</v>
      </c>
      <c r="G6" s="5">
        <f>架构比较!H11*架构比较!$K11*单元面积!G9</f>
        <v>0</v>
      </c>
      <c r="H6" s="5">
        <f>架构比较!I11*架构比较!$K11*单元面积!H9</f>
        <v>0</v>
      </c>
      <c r="I6" s="5">
        <f>架构比较!J11*架构比较!$K11*单元面积!I9</f>
        <v>4800</v>
      </c>
      <c r="J6" s="5">
        <f>架构比较!K12*单元面积!K9</f>
        <v>38714</v>
      </c>
      <c r="K6" s="5">
        <f>SUM(B6:I6)</f>
        <v>398095</v>
      </c>
    </row>
    <row r="7" spans="1:11" x14ac:dyDescent="0.15">
      <c r="A7" s="32"/>
      <c r="B7" s="29">
        <f>B6/$K6</f>
        <v>1.2841156005476079E-2</v>
      </c>
      <c r="C7" s="29">
        <f t="shared" ref="C7:J7" si="2">C6/$K6</f>
        <v>3.5664853866539392E-2</v>
      </c>
      <c r="D7" s="29">
        <f t="shared" si="2"/>
        <v>2.3089965962898303E-2</v>
      </c>
      <c r="E7" s="29">
        <f t="shared" si="2"/>
        <v>1.6217234579685755E-2</v>
      </c>
      <c r="F7" s="29">
        <f t="shared" si="2"/>
        <v>0.90012936610608019</v>
      </c>
      <c r="G7" s="29">
        <f t="shared" si="2"/>
        <v>0</v>
      </c>
      <c r="H7" s="29">
        <f t="shared" si="2"/>
        <v>0</v>
      </c>
      <c r="I7" s="29">
        <f t="shared" si="2"/>
        <v>1.2057423479320263E-2</v>
      </c>
      <c r="J7" s="29">
        <f t="shared" si="2"/>
        <v>9.7248144287167632E-2</v>
      </c>
      <c r="K7" s="5"/>
    </row>
    <row r="8" spans="1:11" x14ac:dyDescent="0.15">
      <c r="A8" s="34" t="str">
        <f>架构比较!A13</f>
        <v>RCPA</v>
      </c>
      <c r="B8" s="5">
        <f>架构比较!C13*架构比较!$K13*单元面积!B9</f>
        <v>5112</v>
      </c>
      <c r="C8" s="5">
        <f>架构比较!D13*架构比较!$K13*单元面积!C9</f>
        <v>14198</v>
      </c>
      <c r="D8" s="5">
        <f>架构比较!E13*架构比较!$K13*单元面积!D9</f>
        <v>9192</v>
      </c>
      <c r="E8" s="5">
        <f>架构比较!F13*架构比较!$K13*单元面积!E9</f>
        <v>12912</v>
      </c>
      <c r="F8" s="5">
        <f>架构比较!G13*架构比较!$K13*单元面积!F9</f>
        <v>102382</v>
      </c>
      <c r="G8" s="5">
        <f>架构比较!H13*架构比较!$K13*单元面积!G9</f>
        <v>32000</v>
      </c>
      <c r="H8" s="5">
        <f>架构比较!I13*架构比较!$K13*单元面积!H9</f>
        <v>0</v>
      </c>
      <c r="I8" s="5">
        <f>架构比较!J13*架构比较!$K13*单元面积!I9</f>
        <v>0</v>
      </c>
      <c r="J8" s="5">
        <f>架构比较!K14*单元面积!J9</f>
        <v>7742.8</v>
      </c>
      <c r="K8" s="5">
        <f>SUM(B8:I8)</f>
        <v>175796</v>
      </c>
    </row>
    <row r="9" spans="1:11" x14ac:dyDescent="0.15">
      <c r="A9" s="34"/>
      <c r="B9" s="29">
        <f>B8/$K8</f>
        <v>2.9079159935379646E-2</v>
      </c>
      <c r="C9" s="29">
        <f t="shared" ref="C9:J9" si="3">C8/$K8</f>
        <v>8.0764067441807544E-2</v>
      </c>
      <c r="D9" s="29">
        <f t="shared" si="3"/>
        <v>5.2287879132631006E-2</v>
      </c>
      <c r="E9" s="29">
        <f t="shared" si="3"/>
        <v>7.3448770165419008E-2</v>
      </c>
      <c r="F9" s="29">
        <f t="shared" si="3"/>
        <v>0.58239095315024236</v>
      </c>
      <c r="G9" s="29">
        <f t="shared" si="3"/>
        <v>0.18202917017452047</v>
      </c>
      <c r="H9" s="29">
        <f t="shared" si="3"/>
        <v>0</v>
      </c>
      <c r="I9" s="29">
        <f t="shared" si="3"/>
        <v>0</v>
      </c>
      <c r="J9" s="29">
        <f t="shared" si="3"/>
        <v>4.4044233088352411E-2</v>
      </c>
      <c r="K9" s="5"/>
    </row>
  </sheetData>
  <mergeCells count="4">
    <mergeCell ref="A2:A3"/>
    <mergeCell ref="A4:A5"/>
    <mergeCell ref="A6:A7"/>
    <mergeCell ref="A8:A9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E18" sqref="E18"/>
    </sheetView>
  </sheetViews>
  <sheetFormatPr defaultRowHeight="15" x14ac:dyDescent="0.15"/>
  <cols>
    <col min="1" max="1" width="11.375" style="2" customWidth="1"/>
    <col min="2" max="2" width="14.625" style="2" customWidth="1"/>
    <col min="3" max="7" width="9" style="2"/>
    <col min="8" max="8" width="15" style="2" customWidth="1"/>
    <col min="9" max="16384" width="9" style="2"/>
  </cols>
  <sheetData>
    <row r="1" spans="1:8" s="3" customFormat="1" x14ac:dyDescent="0.15">
      <c r="A1" s="8"/>
      <c r="B1" s="8"/>
      <c r="C1" s="8" t="str">
        <f>算法分析!A2</f>
        <v>AES</v>
      </c>
      <c r="D1" s="8" t="str">
        <f>算法分析!A3</f>
        <v>DES</v>
      </c>
      <c r="E1" s="8" t="str">
        <f>算法分析!A4</f>
        <v>SM4</v>
      </c>
      <c r="F1" s="8" t="str">
        <f>算法分析!A5</f>
        <v>TWOFISH</v>
      </c>
      <c r="G1" s="8" t="str">
        <f>算法分析!A6</f>
        <v>RC5</v>
      </c>
      <c r="H1" s="8" t="str">
        <f>算法分析!A7</f>
        <v>BLOWFISH</v>
      </c>
    </row>
    <row r="2" spans="1:8" x14ac:dyDescent="0.15">
      <c r="A2" s="34" t="str">
        <f>架构比较!A2</f>
        <v>本文</v>
      </c>
      <c r="B2" s="5" t="str">
        <f>架构比较!B2</f>
        <v>T1</v>
      </c>
      <c r="C2" s="5">
        <v>2</v>
      </c>
      <c r="D2" s="5">
        <v>2</v>
      </c>
      <c r="E2" s="5">
        <v>2</v>
      </c>
      <c r="F2" s="5">
        <v>4</v>
      </c>
      <c r="G2" s="12">
        <f>C2*4/3</f>
        <v>2.6666666666666665</v>
      </c>
      <c r="H2" s="5">
        <v>2</v>
      </c>
    </row>
    <row r="3" spans="1:8" x14ac:dyDescent="0.15">
      <c r="A3" s="34"/>
      <c r="B3" s="5" t="str">
        <f>架构比较!B3</f>
        <v>T2</v>
      </c>
      <c r="C3" s="5">
        <v>2</v>
      </c>
      <c r="D3" s="5">
        <v>2</v>
      </c>
      <c r="E3" s="5">
        <v>2</v>
      </c>
      <c r="F3" s="5">
        <v>4</v>
      </c>
      <c r="G3" s="12">
        <f>C3*4/3</f>
        <v>2.6666666666666665</v>
      </c>
      <c r="H3" s="5">
        <v>2</v>
      </c>
    </row>
    <row r="4" spans="1:8" x14ac:dyDescent="0.15">
      <c r="A4" s="34"/>
      <c r="B4" s="5" t="str">
        <f>架构比较!B4</f>
        <v>T3</v>
      </c>
      <c r="C4" s="5">
        <v>4</v>
      </c>
      <c r="D4" s="5">
        <v>4</v>
      </c>
      <c r="E4" s="5">
        <v>4</v>
      </c>
      <c r="F4" s="5">
        <v>8</v>
      </c>
      <c r="G4" s="12">
        <f>C4*4/3</f>
        <v>5.333333333333333</v>
      </c>
      <c r="H4" s="5">
        <v>4</v>
      </c>
    </row>
    <row r="5" spans="1:8" x14ac:dyDescent="0.15">
      <c r="A5" s="34"/>
      <c r="B5" s="5" t="str">
        <f>架构比较!B5</f>
        <v>T4</v>
      </c>
      <c r="C5" s="5">
        <v>2</v>
      </c>
      <c r="D5" s="5">
        <v>2</v>
      </c>
      <c r="E5" s="5">
        <v>2</v>
      </c>
      <c r="F5" s="5">
        <v>4</v>
      </c>
      <c r="G5" s="12">
        <f>C5*4/3</f>
        <v>2.6666666666666665</v>
      </c>
      <c r="H5" s="5">
        <v>2</v>
      </c>
    </row>
    <row r="6" spans="1:8" x14ac:dyDescent="0.15">
      <c r="A6" s="34"/>
      <c r="B6" s="5" t="str">
        <f>架构比较!B6</f>
        <v>T5</v>
      </c>
      <c r="C6" s="5">
        <v>2</v>
      </c>
      <c r="D6" s="5">
        <v>2</v>
      </c>
      <c r="E6" s="5">
        <v>2</v>
      </c>
      <c r="F6" s="5">
        <v>4</v>
      </c>
      <c r="G6" s="12">
        <f>C6*4/3</f>
        <v>2.6666666666666665</v>
      </c>
      <c r="H6" s="5">
        <v>2</v>
      </c>
    </row>
    <row r="7" spans="1:8" x14ac:dyDescent="0.15">
      <c r="A7" s="34"/>
      <c r="B7" s="5" t="str">
        <f>单元面积!J1</f>
        <v>CR32*8to16</v>
      </c>
      <c r="C7" s="5">
        <v>3</v>
      </c>
      <c r="D7" s="5">
        <v>3</v>
      </c>
      <c r="E7" s="5">
        <v>3</v>
      </c>
      <c r="F7" s="5">
        <v>6</v>
      </c>
      <c r="G7" s="5">
        <v>4</v>
      </c>
      <c r="H7" s="5">
        <v>3</v>
      </c>
    </row>
    <row r="8" spans="1:8" x14ac:dyDescent="0.15">
      <c r="A8" s="34" t="str">
        <f>架构比较!A8</f>
        <v>TH</v>
      </c>
      <c r="B8" s="5" t="str">
        <f>架构比较!B8</f>
        <v>T1</v>
      </c>
      <c r="C8" s="5">
        <v>4</v>
      </c>
      <c r="D8" s="5">
        <v>8</v>
      </c>
      <c r="E8" s="5">
        <v>8</v>
      </c>
      <c r="F8" s="5">
        <v>12</v>
      </c>
      <c r="G8" s="5">
        <v>8</v>
      </c>
      <c r="H8" s="5">
        <v>8</v>
      </c>
    </row>
    <row r="9" spans="1:8" x14ac:dyDescent="0.15">
      <c r="A9" s="34"/>
      <c r="B9" s="5" t="str">
        <f>架构比较!B9</f>
        <v>T2</v>
      </c>
      <c r="C9" s="5">
        <v>4</v>
      </c>
      <c r="D9" s="5">
        <v>8</v>
      </c>
      <c r="E9" s="5">
        <v>8</v>
      </c>
      <c r="F9" s="5">
        <v>12</v>
      </c>
      <c r="G9" s="5">
        <v>8</v>
      </c>
      <c r="H9" s="5">
        <v>8</v>
      </c>
    </row>
    <row r="10" spans="1:8" x14ac:dyDescent="0.15">
      <c r="A10" s="34"/>
      <c r="B10" s="5" t="str">
        <f>单元面积!K1</f>
        <v>CR32*48to80</v>
      </c>
      <c r="C10" s="5">
        <v>2</v>
      </c>
      <c r="D10" s="5">
        <v>4</v>
      </c>
      <c r="E10" s="5">
        <v>4</v>
      </c>
      <c r="F10" s="5">
        <v>6</v>
      </c>
      <c r="G10" s="5">
        <v>4</v>
      </c>
      <c r="H10" s="5">
        <v>4</v>
      </c>
    </row>
    <row r="11" spans="1:8" x14ac:dyDescent="0.15">
      <c r="A11" s="31" t="str">
        <f>架构比较!A11</f>
        <v>Cyptoraptor</v>
      </c>
      <c r="B11" s="5" t="s">
        <v>27</v>
      </c>
      <c r="C11" s="5">
        <v>8</v>
      </c>
      <c r="D11" s="5">
        <v>12</v>
      </c>
      <c r="E11" s="5">
        <v>16</v>
      </c>
      <c r="F11" s="5">
        <v>20</v>
      </c>
      <c r="G11" s="5">
        <v>16</v>
      </c>
      <c r="H11" s="5">
        <v>12</v>
      </c>
    </row>
    <row r="12" spans="1:8" x14ac:dyDescent="0.15">
      <c r="A12" s="32"/>
      <c r="B12" s="5" t="str">
        <f>单元面积!K1</f>
        <v>CR32*48to80</v>
      </c>
      <c r="C12" s="5">
        <v>2</v>
      </c>
      <c r="D12" s="5">
        <v>3</v>
      </c>
      <c r="E12" s="5">
        <v>4</v>
      </c>
      <c r="F12" s="5">
        <v>5</v>
      </c>
      <c r="G12" s="5">
        <v>4</v>
      </c>
      <c r="H12" s="5">
        <v>3</v>
      </c>
    </row>
    <row r="13" spans="1:8" x14ac:dyDescent="0.15">
      <c r="A13" s="31" t="str">
        <f>架构比较!A13</f>
        <v>RCPA</v>
      </c>
      <c r="B13" s="5" t="s">
        <v>27</v>
      </c>
      <c r="C13" s="5">
        <v>8</v>
      </c>
      <c r="D13" s="5">
        <v>12</v>
      </c>
      <c r="E13" s="5">
        <v>16</v>
      </c>
      <c r="F13" s="5">
        <v>20</v>
      </c>
      <c r="G13" s="5">
        <v>16</v>
      </c>
      <c r="H13" s="5">
        <v>12</v>
      </c>
    </row>
    <row r="14" spans="1:8" x14ac:dyDescent="0.15">
      <c r="A14" s="32"/>
      <c r="B14" s="5" t="s">
        <v>19</v>
      </c>
      <c r="C14" s="5">
        <v>2</v>
      </c>
      <c r="D14" s="5">
        <v>3</v>
      </c>
      <c r="E14" s="5">
        <v>4</v>
      </c>
      <c r="F14" s="5">
        <v>5</v>
      </c>
      <c r="G14" s="5">
        <v>4</v>
      </c>
      <c r="H14" s="5">
        <v>3</v>
      </c>
    </row>
  </sheetData>
  <mergeCells count="4">
    <mergeCell ref="A8:A10"/>
    <mergeCell ref="A2:A7"/>
    <mergeCell ref="A11:A12"/>
    <mergeCell ref="A13:A14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topLeftCell="A16" workbookViewId="0">
      <selection activeCell="A9" sqref="A9:A31"/>
    </sheetView>
  </sheetViews>
  <sheetFormatPr defaultRowHeight="15" x14ac:dyDescent="0.25"/>
  <cols>
    <col min="1" max="1" width="10.375" style="1" customWidth="1"/>
    <col min="2" max="9" width="9" style="1"/>
    <col min="10" max="10" width="12.5" style="1" customWidth="1"/>
    <col min="11" max="18" width="9" style="1"/>
    <col min="19" max="19" width="12.125" style="1" customWidth="1"/>
    <col min="20" max="16384" width="9" style="1"/>
  </cols>
  <sheetData>
    <row r="1" spans="1:19" s="13" customFormat="1" x14ac:dyDescent="0.25">
      <c r="A1" s="8" t="str">
        <f>映射分析!A2</f>
        <v>本文</v>
      </c>
      <c r="B1" s="8" t="str">
        <f>算法分析!B1</f>
        <v>AU</v>
      </c>
      <c r="C1" s="8" t="str">
        <f>算法分析!C1</f>
        <v>SH</v>
      </c>
      <c r="D1" s="8" t="str">
        <f>算法分析!D1</f>
        <v>PER</v>
      </c>
      <c r="E1" s="8" t="str">
        <f>算法分析!E1</f>
        <v>LOU</v>
      </c>
      <c r="F1" s="8" t="str">
        <f>算法分析!F1</f>
        <v>4*LUT256*8</v>
      </c>
      <c r="G1" s="8" t="str">
        <f>算法分析!G1</f>
        <v>GFM</v>
      </c>
      <c r="H1" s="8" t="str">
        <f>算法分析!H1</f>
        <v>X2</v>
      </c>
      <c r="I1" s="8" t="str">
        <f>算法分析!I1</f>
        <v>BR</v>
      </c>
      <c r="J1" s="8" t="s">
        <v>19</v>
      </c>
      <c r="K1" s="28" t="str">
        <f>B1</f>
        <v>AU</v>
      </c>
      <c r="L1" s="28" t="str">
        <f t="shared" ref="L1:R1" si="0">C1</f>
        <v>SH</v>
      </c>
      <c r="M1" s="28" t="str">
        <f t="shared" si="0"/>
        <v>PER</v>
      </c>
      <c r="N1" s="28" t="str">
        <f t="shared" si="0"/>
        <v>LOU</v>
      </c>
      <c r="O1" s="28" t="str">
        <f t="shared" si="0"/>
        <v>4*LUT256*8</v>
      </c>
      <c r="P1" s="28" t="str">
        <f t="shared" si="0"/>
        <v>GFM</v>
      </c>
      <c r="Q1" s="28" t="str">
        <f t="shared" si="0"/>
        <v>X2</v>
      </c>
      <c r="R1" s="28" t="str">
        <f t="shared" si="0"/>
        <v>BR</v>
      </c>
      <c r="S1" s="28"/>
    </row>
    <row r="2" spans="1:19" x14ac:dyDescent="0.25">
      <c r="A2" s="5" t="str">
        <f>算法分析!A$2</f>
        <v>AES</v>
      </c>
      <c r="B2" s="14">
        <f>SUMPRODUCT(架构比较!C$2:C$6,映射分析!$C$2:$C$6)</f>
        <v>12</v>
      </c>
      <c r="C2" s="14">
        <f>SUMPRODUCT(架构比较!D$2:D$6,映射分析!$C$2:$C$6)</f>
        <v>12</v>
      </c>
      <c r="D2" s="14">
        <f>SUMPRODUCT(架构比较!E$2:E$6,映射分析!$C$2:$C$6)</f>
        <v>4</v>
      </c>
      <c r="E2" s="14">
        <f>SUMPRODUCT(架构比较!F$2:F$6,映射分析!$C$2:$C$6)</f>
        <v>12</v>
      </c>
      <c r="F2" s="14">
        <f>SUMPRODUCT(架构比较!G$2:G$6,映射分析!$C$2:$C$6)</f>
        <v>4</v>
      </c>
      <c r="G2" s="14">
        <f>SUMPRODUCT(架构比较!H$2:H$6,映射分析!$C$2:$C$6)</f>
        <v>4</v>
      </c>
      <c r="H2" s="14">
        <f>SUMPRODUCT(架构比较!I$2:I$6,映射分析!$C$2:$C$6)</f>
        <v>0</v>
      </c>
      <c r="I2" s="14">
        <f>SUMPRODUCT(架构比较!J$2:J$6,映射分析!$C$2:$C$6)</f>
        <v>0</v>
      </c>
      <c r="J2" s="15">
        <f>映射分析!C$7</f>
        <v>3</v>
      </c>
      <c r="K2" s="27">
        <f>IF(资源数比较!B2&lt;&gt;0,算法分析!B2/资源数比较!B2,"")</f>
        <v>0</v>
      </c>
      <c r="L2" s="27">
        <f>IF(资源数比较!C2&lt;&gt;0,算法分析!C2/资源数比较!C2,"")</f>
        <v>0</v>
      </c>
      <c r="M2" s="27">
        <f>IF(资源数比较!D2&lt;&gt;0,算法分析!D2/资源数比较!D2,"")</f>
        <v>0</v>
      </c>
      <c r="N2" s="27">
        <f>IF(资源数比较!E2&lt;&gt;0,算法分析!E2/资源数比较!E2,"")</f>
        <v>0.33333333333333331</v>
      </c>
      <c r="O2" s="27">
        <f>IF(资源数比较!F2&lt;&gt;0,算法分析!F2/资源数比较!F2,"")</f>
        <v>1</v>
      </c>
      <c r="P2" s="27">
        <f>IF(资源数比较!G2&lt;&gt;0,算法分析!G2/资源数比较!G2,"")</f>
        <v>1</v>
      </c>
      <c r="Q2" s="27" t="str">
        <f>IF(资源数比较!H2&lt;&gt;0,算法分析!H2/资源数比较!H2,"")</f>
        <v/>
      </c>
      <c r="R2" s="27" t="str">
        <f>IF(资源数比较!I2&lt;&gt;0,算法分析!I2/资源数比较!I2,"")</f>
        <v/>
      </c>
      <c r="S2" s="27"/>
    </row>
    <row r="3" spans="1:19" x14ac:dyDescent="0.25">
      <c r="A3" s="5" t="str">
        <f>算法分析!A$3</f>
        <v>DES</v>
      </c>
      <c r="B3" s="14">
        <f>SUMPRODUCT(架构比较!C$2:C$6,映射分析!$D$2:$D$6)</f>
        <v>12</v>
      </c>
      <c r="C3" s="14">
        <f>SUMPRODUCT(架构比较!D$2:D$6,映射分析!$D$2:$D$6)</f>
        <v>12</v>
      </c>
      <c r="D3" s="14">
        <f>SUMPRODUCT(架构比较!E$2:E$6,映射分析!$D$2:$D$6)</f>
        <v>4</v>
      </c>
      <c r="E3" s="14">
        <f>SUMPRODUCT(架构比较!F$2:F$6,映射分析!$D$2:$D$6)</f>
        <v>12</v>
      </c>
      <c r="F3" s="14">
        <f>SUMPRODUCT(架构比较!G$2:G$6,映射分析!$D$2:$D$6)</f>
        <v>4</v>
      </c>
      <c r="G3" s="14">
        <f>SUMPRODUCT(架构比较!H$2:H$6,映射分析!$D$2:$D$6)</f>
        <v>4</v>
      </c>
      <c r="H3" s="14">
        <f>SUMPRODUCT(架构比较!I$2:I$6,映射分析!$D$2:$D$6)</f>
        <v>0</v>
      </c>
      <c r="I3" s="14">
        <f>SUMPRODUCT(架构比较!J$2:J$6,映射分析!$D$2:$D$6)</f>
        <v>0</v>
      </c>
      <c r="J3" s="15">
        <f>映射分析!D$7</f>
        <v>3</v>
      </c>
      <c r="K3" s="27">
        <f>IF(资源数比较!B3&lt;&gt;0,算法分析!B3/资源数比较!B3,"")</f>
        <v>0</v>
      </c>
      <c r="L3" s="27">
        <f>IF(资源数比较!C3&lt;&gt;0,算法分析!C3/资源数比较!C3,"")</f>
        <v>0</v>
      </c>
      <c r="M3" s="27">
        <f>IF(资源数比较!D3&lt;&gt;0,算法分析!D3/资源数比较!D3,"")</f>
        <v>0.5</v>
      </c>
      <c r="N3" s="27">
        <f>IF(资源数比较!E3&lt;&gt;0,算法分析!E3/资源数比较!E3,"")</f>
        <v>0.16666666666666666</v>
      </c>
      <c r="O3" s="27">
        <f>IF(资源数比较!F3&lt;&gt;0,算法分析!F3/资源数比较!F3,"")</f>
        <v>0.5</v>
      </c>
      <c r="P3" s="27">
        <f>IF(资源数比较!G3&lt;&gt;0,算法分析!G3/资源数比较!G3,"")</f>
        <v>0</v>
      </c>
      <c r="Q3" s="27" t="str">
        <f>IF(资源数比较!H3&lt;&gt;0,算法分析!H3/资源数比较!H3,"")</f>
        <v/>
      </c>
      <c r="R3" s="27" t="str">
        <f>IF(资源数比较!I3&lt;&gt;0,算法分析!I3/资源数比较!I3,"")</f>
        <v/>
      </c>
      <c r="S3" s="27"/>
    </row>
    <row r="4" spans="1:19" x14ac:dyDescent="0.25">
      <c r="A4" s="5" t="str">
        <f>算法分析!A$4</f>
        <v>SM4</v>
      </c>
      <c r="B4" s="14">
        <f>SUMPRODUCT(架构比较!C$2:C$6,映射分析!$E$2:$E$6)</f>
        <v>12</v>
      </c>
      <c r="C4" s="14">
        <f>SUMPRODUCT(架构比较!D$2:D$6,映射分析!$E$2:$E$6)</f>
        <v>12</v>
      </c>
      <c r="D4" s="14">
        <f>SUMPRODUCT(架构比较!E$2:E$6,映射分析!$E$2:$E$6)</f>
        <v>4</v>
      </c>
      <c r="E4" s="14">
        <f>SUMPRODUCT(架构比较!F$2:F$6,映射分析!$E$2:$E$6)</f>
        <v>12</v>
      </c>
      <c r="F4" s="14">
        <f>SUMPRODUCT(架构比较!G$2:G$6,映射分析!$E$2:$E$6)</f>
        <v>4</v>
      </c>
      <c r="G4" s="14">
        <f>SUMPRODUCT(架构比较!H$2:H$6,映射分析!$E$2:$E$6)</f>
        <v>4</v>
      </c>
      <c r="H4" s="14">
        <f>SUMPRODUCT(架构比较!I$2:I$6,映射分析!$E$2:$E$6)</f>
        <v>0</v>
      </c>
      <c r="I4" s="14">
        <f>SUMPRODUCT(架构比较!J$2:J$6,映射分析!$E$2:$E$6)</f>
        <v>0</v>
      </c>
      <c r="J4" s="15">
        <f>映射分析!E$7</f>
        <v>3</v>
      </c>
      <c r="K4" s="27">
        <f>IF(资源数比较!B4&lt;&gt;0,算法分析!B4/资源数比较!B4,"")</f>
        <v>0</v>
      </c>
      <c r="L4" s="27">
        <f>IF(资源数比较!C4&lt;&gt;0,算法分析!C4/资源数比较!C4,"")</f>
        <v>0.33333333333333331</v>
      </c>
      <c r="M4" s="27">
        <f>IF(资源数比较!D4&lt;&gt;0,算法分析!D4/资源数比较!D4,"")</f>
        <v>0</v>
      </c>
      <c r="N4" s="27">
        <f>IF(资源数比较!E4&lt;&gt;0,算法分析!E4/资源数比较!E4,"")</f>
        <v>0.33333333333333331</v>
      </c>
      <c r="O4" s="27">
        <f>IF(资源数比较!F4&lt;&gt;0,算法分析!F4/资源数比较!F4,"")</f>
        <v>0.25</v>
      </c>
      <c r="P4" s="27">
        <f>IF(资源数比较!G4&lt;&gt;0,算法分析!G4/资源数比较!G4,"")</f>
        <v>0</v>
      </c>
      <c r="Q4" s="27" t="str">
        <f>IF(资源数比较!H4&lt;&gt;0,算法分析!H4/资源数比较!H4,"")</f>
        <v/>
      </c>
      <c r="R4" s="27" t="str">
        <f>IF(资源数比较!I4&lt;&gt;0,算法分析!I4/资源数比较!I4,"")</f>
        <v/>
      </c>
      <c r="S4" s="27"/>
    </row>
    <row r="5" spans="1:19" x14ac:dyDescent="0.25">
      <c r="A5" s="5" t="str">
        <f>算法分析!A$5</f>
        <v>TWOFISH</v>
      </c>
      <c r="B5" s="14">
        <f>SUMPRODUCT(架构比较!C$2:C$6,映射分析!$F$2:$F$6)</f>
        <v>24</v>
      </c>
      <c r="C5" s="14">
        <f>SUMPRODUCT(架构比较!D$2:D$6,映射分析!$F$2:$F$6)</f>
        <v>24</v>
      </c>
      <c r="D5" s="14">
        <f>SUMPRODUCT(架构比较!E$2:E$6,映射分析!$F$2:$F$6)</f>
        <v>8</v>
      </c>
      <c r="E5" s="14">
        <f>SUMPRODUCT(架构比较!F$2:F$6,映射分析!$F$2:$F$6)</f>
        <v>24</v>
      </c>
      <c r="F5" s="14">
        <f>SUMPRODUCT(架构比较!G$2:G$6,映射分析!$F$2:$F$6)</f>
        <v>8</v>
      </c>
      <c r="G5" s="14">
        <f>SUMPRODUCT(架构比较!H$2:H$6,映射分析!$F$2:$F$6)</f>
        <v>8</v>
      </c>
      <c r="H5" s="14">
        <f>SUMPRODUCT(架构比较!I$2:I$6,映射分析!$F$2:$F$6)</f>
        <v>0</v>
      </c>
      <c r="I5" s="14">
        <f>SUMPRODUCT(架构比较!J$2:J$6,映射分析!$F$2:$F$6)</f>
        <v>0</v>
      </c>
      <c r="J5" s="15">
        <f>映射分析!F$7</f>
        <v>6</v>
      </c>
      <c r="K5" s="27">
        <f>IF(资源数比较!B5&lt;&gt;0,算法分析!B5/资源数比较!B5,"")</f>
        <v>0.16666666666666666</v>
      </c>
      <c r="L5" s="27">
        <f>IF(资源数比较!C5&lt;&gt;0,算法分析!C5/资源数比较!C5,"")</f>
        <v>4.1666666666666664E-2</v>
      </c>
      <c r="M5" s="27">
        <f>IF(资源数比较!D5&lt;&gt;0,算法分析!D5/资源数比较!D5,"")</f>
        <v>0</v>
      </c>
      <c r="N5" s="27">
        <f>IF(资源数比较!E5&lt;&gt;0,算法分析!E5/资源数比较!E5,"")</f>
        <v>0.25</v>
      </c>
      <c r="O5" s="27">
        <f>IF(资源数比较!F5&lt;&gt;0,算法分析!F5/资源数比较!F5,"")</f>
        <v>0.25</v>
      </c>
      <c r="P5" s="27">
        <f>IF(资源数比较!G5&lt;&gt;0,算法分析!G5/资源数比较!G5,"")</f>
        <v>0.25</v>
      </c>
      <c r="Q5" s="27" t="str">
        <f>IF(资源数比较!H5&lt;&gt;0,算法分析!H5/资源数比较!H5,"")</f>
        <v/>
      </c>
      <c r="R5" s="27" t="str">
        <f>IF(资源数比较!I5&lt;&gt;0,算法分析!I5/资源数比较!I5,"")</f>
        <v/>
      </c>
      <c r="S5" s="27"/>
    </row>
    <row r="6" spans="1:19" x14ac:dyDescent="0.25">
      <c r="A6" s="5" t="str">
        <f>算法分析!A$6</f>
        <v>RC5</v>
      </c>
      <c r="B6" s="14">
        <f>SUMPRODUCT(架构比较!C$2:C$6,映射分析!$G$2:$G$6)</f>
        <v>15.999999999999998</v>
      </c>
      <c r="C6" s="14">
        <f>SUMPRODUCT(架构比较!D$2:D$6,映射分析!$G$2:$G$6)</f>
        <v>15.999999999999998</v>
      </c>
      <c r="D6" s="12">
        <f>SUMPRODUCT(架构比较!E$2:E$6,映射分析!$G$2:$G$6)</f>
        <v>5.333333333333333</v>
      </c>
      <c r="E6" s="14">
        <f>SUMPRODUCT(架构比较!F$2:F$6,映射分析!$G$2:$G$6)</f>
        <v>15.999999999999998</v>
      </c>
      <c r="F6" s="12">
        <f>SUMPRODUCT(架构比较!G$2:G$6,映射分析!$G$2:$G$6)</f>
        <v>5.333333333333333</v>
      </c>
      <c r="G6" s="12">
        <f>SUMPRODUCT(架构比较!H$2:H$6,映射分析!$G$2:$G$6)</f>
        <v>5.333333333333333</v>
      </c>
      <c r="H6" s="14">
        <f>SUMPRODUCT(架构比较!I$2:I$6,映射分析!$G$2:$G$6)</f>
        <v>0</v>
      </c>
      <c r="I6" s="14">
        <f>SUMPRODUCT(架构比较!J$2:J$6,映射分析!$G$2:$G$6)</f>
        <v>0</v>
      </c>
      <c r="J6" s="15">
        <f>映射分析!G$7</f>
        <v>4</v>
      </c>
      <c r="K6" s="27">
        <f>IF(资源数比较!B6&lt;&gt;0,算法分析!B6/资源数比较!B6,"")</f>
        <v>0.125</v>
      </c>
      <c r="L6" s="27">
        <f>IF(资源数比较!C6&lt;&gt;0,算法分析!C6/资源数比较!C6,"")</f>
        <v>0.125</v>
      </c>
      <c r="M6" s="27">
        <f>IF(资源数比较!D6&lt;&gt;0,算法分析!D6/资源数比较!D6,"")</f>
        <v>0</v>
      </c>
      <c r="N6" s="27">
        <f>IF(资源数比较!E6&lt;&gt;0,算法分析!E6/资源数比较!E6,"")</f>
        <v>0.125</v>
      </c>
      <c r="O6" s="27">
        <f>IF(资源数比较!F6&lt;&gt;0,算法分析!F6/资源数比较!F6,"")</f>
        <v>0</v>
      </c>
      <c r="P6" s="27">
        <f>IF(资源数比较!G6&lt;&gt;0,算法分析!G6/资源数比较!G6,"")</f>
        <v>0</v>
      </c>
      <c r="Q6" s="27" t="str">
        <f>IF(资源数比较!H6&lt;&gt;0,算法分析!H6/资源数比较!H6,"")</f>
        <v/>
      </c>
      <c r="R6" s="27" t="str">
        <f>IF(资源数比较!I6&lt;&gt;0,算法分析!I6/资源数比较!I6,"")</f>
        <v/>
      </c>
      <c r="S6" s="27"/>
    </row>
    <row r="7" spans="1:19" x14ac:dyDescent="0.25">
      <c r="A7" s="5" t="str">
        <f>算法分析!A$7</f>
        <v>BLOWFISH</v>
      </c>
      <c r="B7" s="14">
        <f>SUMPRODUCT(架构比较!C$2:C$6,映射分析!$H$2:$H$6)</f>
        <v>12</v>
      </c>
      <c r="C7" s="14">
        <f>SUMPRODUCT(架构比较!D$2:D$6,映射分析!$H$2:$H$6)</f>
        <v>12</v>
      </c>
      <c r="D7" s="14">
        <f>SUMPRODUCT(架构比较!E$2:E$6,映射分析!$H$2:$H$6)</f>
        <v>4</v>
      </c>
      <c r="E7" s="14">
        <f>SUMPRODUCT(架构比较!F$2:F$6,映射分析!$H$2:$H$6)</f>
        <v>12</v>
      </c>
      <c r="F7" s="14">
        <f>SUMPRODUCT(架构比较!G$2:G$6,映射分析!$H$2:$H$6)</f>
        <v>4</v>
      </c>
      <c r="G7" s="14">
        <f>SUMPRODUCT(架构比较!H$2:H$6,映射分析!$H$2:$H$6)</f>
        <v>4</v>
      </c>
      <c r="H7" s="14">
        <f>SUMPRODUCT(架构比较!I$2:I$6,映射分析!$H$2:$H$6)</f>
        <v>0</v>
      </c>
      <c r="I7" s="14">
        <f>SUMPRODUCT(架构比较!J$2:J$6,映射分析!$H$2:$H$6)</f>
        <v>0</v>
      </c>
      <c r="J7" s="15">
        <f>映射分析!H$7</f>
        <v>3</v>
      </c>
      <c r="K7" s="27">
        <f>IF(资源数比较!B7&lt;&gt;0,算法分析!B7/资源数比较!B7,"")</f>
        <v>0.25</v>
      </c>
      <c r="L7" s="27">
        <f>IF(资源数比较!C7&lt;&gt;0,算法分析!C7/资源数比较!C7,"")</f>
        <v>0</v>
      </c>
      <c r="M7" s="27">
        <f>IF(资源数比较!D7&lt;&gt;0,算法分析!D7/资源数比较!D7,"")</f>
        <v>0</v>
      </c>
      <c r="N7" s="27">
        <f>IF(资源数比较!E7&lt;&gt;0,算法分析!E7/资源数比较!E7,"")</f>
        <v>0.25</v>
      </c>
      <c r="O7" s="27">
        <f>IF(资源数比较!F7&lt;&gt;0,算法分析!F7/资源数比较!F7,"")</f>
        <v>0.25</v>
      </c>
      <c r="P7" s="27">
        <f>IF(资源数比较!G7&lt;&gt;0,算法分析!G7/资源数比较!G7,"")</f>
        <v>0</v>
      </c>
      <c r="Q7" s="27" t="str">
        <f>IF(资源数比较!H7&lt;&gt;0,算法分析!H7/资源数比较!H7,"")</f>
        <v/>
      </c>
      <c r="R7" s="27" t="str">
        <f>IF(资源数比较!I7&lt;&gt;0,算法分析!I7/资源数比较!I7,"")</f>
        <v/>
      </c>
      <c r="S7" s="27"/>
    </row>
    <row r="8" spans="1:19" x14ac:dyDescent="0.25">
      <c r="A8" s="2"/>
    </row>
    <row r="9" spans="1:19" x14ac:dyDescent="0.25">
      <c r="A9" s="5" t="str">
        <f>映射分析!A8</f>
        <v>TH</v>
      </c>
      <c r="K9" s="8" t="str">
        <f>资源数比较!B1</f>
        <v>AU</v>
      </c>
      <c r="L9" s="8" t="str">
        <f>资源数比较!C1</f>
        <v>SH</v>
      </c>
      <c r="M9" s="8" t="str">
        <f>资源数比较!D1</f>
        <v>PER</v>
      </c>
      <c r="N9" s="8" t="str">
        <f>资源数比较!E1</f>
        <v>LOU</v>
      </c>
      <c r="O9" s="8" t="str">
        <f>资源数比较!F1</f>
        <v>4*LUT256*8</v>
      </c>
      <c r="P9" s="8" t="str">
        <f>资源数比较!G1</f>
        <v>GFM</v>
      </c>
      <c r="Q9" s="8" t="str">
        <f>资源数比较!H1</f>
        <v>X2</v>
      </c>
      <c r="R9" s="8" t="str">
        <f>资源数比较!I1</f>
        <v>BR</v>
      </c>
      <c r="S9" s="8" t="str">
        <f>资源数比较!J1</f>
        <v>CR</v>
      </c>
    </row>
    <row r="10" spans="1:19" x14ac:dyDescent="0.25">
      <c r="A10" s="5" t="str">
        <f>算法分析!A$2</f>
        <v>AES</v>
      </c>
      <c r="B10" s="6">
        <f>SUMPRODUCT(架构比较!C$8:C$9,映射分析!$C$8:$C$9)</f>
        <v>8</v>
      </c>
      <c r="C10" s="6">
        <f>SUMPRODUCT(架构比较!D$8:D$9,映射分析!$C$8:$C$9)</f>
        <v>8</v>
      </c>
      <c r="D10" s="6">
        <f>SUMPRODUCT(架构比较!E$8:E$9,映射分析!$C$8:$C$9)</f>
        <v>4</v>
      </c>
      <c r="E10" s="6">
        <f>SUMPRODUCT(架构比较!F$8:F$9,映射分析!$C$8:$C$9)</f>
        <v>48</v>
      </c>
      <c r="F10" s="6">
        <f>SUMPRODUCT(架构比较!G$8:G$9,映射分析!$C$8:$C$9)</f>
        <v>16</v>
      </c>
      <c r="G10" s="6">
        <f>SUMPRODUCT(架构比较!H$8:H$9,映射分析!$C$8:$C$9)</f>
        <v>0</v>
      </c>
      <c r="H10" s="6">
        <f>SUMPRODUCT(架构比较!I$8:I$9,映射分析!$C$8:$C$9)</f>
        <v>8</v>
      </c>
      <c r="I10" s="6">
        <f>SUMPRODUCT(架构比较!J$8:J$9,映射分析!$C$8:$C$9)</f>
        <v>0</v>
      </c>
      <c r="J10" s="6">
        <f>映射分析!C$10</f>
        <v>2</v>
      </c>
      <c r="K10" s="16">
        <f>IF(资源数比较!B2&lt;&gt;0,算法分析!B2/资源数比较!B10,"")</f>
        <v>0</v>
      </c>
      <c r="L10" s="16">
        <f>IF(资源数比较!C2&lt;&gt;0,算法分析!C2/资源数比较!C10,"")</f>
        <v>0</v>
      </c>
      <c r="M10" s="16">
        <f>IF(资源数比较!D2&lt;&gt;0,算法分析!D2/资源数比较!D10,"")</f>
        <v>0</v>
      </c>
      <c r="N10" s="16">
        <f>IF(资源数比较!E2&lt;&gt;0,算法分析!E2/资源数比较!E10,"")</f>
        <v>8.3333333333333329E-2</v>
      </c>
      <c r="O10" s="16">
        <f>IF(资源数比较!F2&lt;&gt;0,算法分析!F2/资源数比较!F10,"")</f>
        <v>0.25</v>
      </c>
      <c r="P10" s="16" t="str">
        <f t="shared" ref="K10:S15" si="1">IF(G10&lt;&gt;0,(G2-G10)/G10,"")</f>
        <v/>
      </c>
      <c r="Q10" s="16">
        <f t="shared" si="1"/>
        <v>-1</v>
      </c>
      <c r="R10" s="16" t="str">
        <f t="shared" si="1"/>
        <v/>
      </c>
      <c r="S10" s="16">
        <f t="shared" si="1"/>
        <v>0.5</v>
      </c>
    </row>
    <row r="11" spans="1:19" x14ac:dyDescent="0.25">
      <c r="A11" s="5" t="str">
        <f>算法分析!A$3</f>
        <v>DES</v>
      </c>
      <c r="B11" s="6">
        <f>SUMPRODUCT(架构比较!C$8:C$9,映射分析!$D$8:$D$9)</f>
        <v>16</v>
      </c>
      <c r="C11" s="6">
        <f>SUMPRODUCT(架构比较!D$8:D$9,映射分析!$D$8:$D$9)</f>
        <v>16</v>
      </c>
      <c r="D11" s="6">
        <f>SUMPRODUCT(架构比较!E$8:E$9,映射分析!$D$8:$D$9)</f>
        <v>8</v>
      </c>
      <c r="E11" s="6">
        <f>SUMPRODUCT(架构比较!F$8:F$9,映射分析!$D$8:$D$9)</f>
        <v>96</v>
      </c>
      <c r="F11" s="6">
        <f>SUMPRODUCT(架构比较!G$8:G$9,映射分析!$D$8:$D$9)</f>
        <v>32</v>
      </c>
      <c r="G11" s="6">
        <f>SUMPRODUCT(架构比较!H$8:H$9,映射分析!$D$8:$D$9)</f>
        <v>0</v>
      </c>
      <c r="H11" s="6">
        <f>SUMPRODUCT(架构比较!I$8:I$9,映射分析!$D$8:$D$9)</f>
        <v>16</v>
      </c>
      <c r="I11" s="6">
        <f>SUMPRODUCT(架构比较!J$8:J$9,映射分析!$D$8:$D$9)</f>
        <v>0</v>
      </c>
      <c r="J11" s="6">
        <f>映射分析!D$10</f>
        <v>4</v>
      </c>
      <c r="K11" s="16">
        <f>IF(资源数比较!B3&lt;&gt;0,算法分析!B3/资源数比较!B11,"")</f>
        <v>0</v>
      </c>
      <c r="L11" s="16">
        <f>IF(资源数比较!C3&lt;&gt;0,算法分析!C3/资源数比较!C11,"")</f>
        <v>0</v>
      </c>
      <c r="M11" s="16">
        <f>IF(资源数比较!D3&lt;&gt;0,算法分析!D3/资源数比较!D11,"")</f>
        <v>0.25</v>
      </c>
      <c r="N11" s="16">
        <f>IF(资源数比较!E3&lt;&gt;0,算法分析!E3/资源数比较!E11,"")</f>
        <v>2.0833333333333332E-2</v>
      </c>
      <c r="O11" s="16">
        <f>IF(资源数比较!F3&lt;&gt;0,算法分析!F3/资源数比较!F11,"")</f>
        <v>6.25E-2</v>
      </c>
      <c r="P11" s="16" t="str">
        <f t="shared" si="1"/>
        <v/>
      </c>
      <c r="Q11" s="16">
        <f t="shared" si="1"/>
        <v>-1</v>
      </c>
      <c r="R11" s="16" t="str">
        <f t="shared" si="1"/>
        <v/>
      </c>
      <c r="S11" s="16">
        <f t="shared" si="1"/>
        <v>-0.25</v>
      </c>
    </row>
    <row r="12" spans="1:19" x14ac:dyDescent="0.25">
      <c r="A12" s="5" t="str">
        <f>算法分析!A$4</f>
        <v>SM4</v>
      </c>
      <c r="B12" s="6">
        <f>SUMPRODUCT(架构比较!C$8:C$9,映射分析!$E$8:$E$9)</f>
        <v>16</v>
      </c>
      <c r="C12" s="6">
        <f>SUMPRODUCT(架构比较!D$8:D$9,映射分析!$E$8:$E$9)</f>
        <v>16</v>
      </c>
      <c r="D12" s="6">
        <f>SUMPRODUCT(架构比较!E$8:E$9,映射分析!$E$8:$E$9)</f>
        <v>8</v>
      </c>
      <c r="E12" s="6">
        <f>SUMPRODUCT(架构比较!F$8:F$9,映射分析!$E$8:$E$9)</f>
        <v>96</v>
      </c>
      <c r="F12" s="6">
        <f>SUMPRODUCT(架构比较!G$8:G$9,映射分析!$E$8:$E$9)</f>
        <v>32</v>
      </c>
      <c r="G12" s="6">
        <f>SUMPRODUCT(架构比较!H$8:H$9,映射分析!$E$8:$E$9)</f>
        <v>0</v>
      </c>
      <c r="H12" s="6">
        <f>SUMPRODUCT(架构比较!I$8:I$9,映射分析!$E$8:$E$9)</f>
        <v>16</v>
      </c>
      <c r="I12" s="6">
        <f>SUMPRODUCT(架构比较!J$8:J$9,映射分析!$E$8:$E$9)</f>
        <v>0</v>
      </c>
      <c r="J12" s="6">
        <f>映射分析!E$10</f>
        <v>4</v>
      </c>
      <c r="K12" s="16">
        <f>IF(资源数比较!B4&lt;&gt;0,算法分析!B4/资源数比较!B12,"")</f>
        <v>0</v>
      </c>
      <c r="L12" s="16">
        <f>IF(资源数比较!C4&lt;&gt;0,算法分析!C4/资源数比较!C12,"")</f>
        <v>0.25</v>
      </c>
      <c r="M12" s="16">
        <f>IF(资源数比较!D4&lt;&gt;0,算法分析!D4/资源数比较!D12,"")</f>
        <v>0</v>
      </c>
      <c r="N12" s="16">
        <f>IF(资源数比较!E4&lt;&gt;0,算法分析!E4/资源数比较!E12,"")</f>
        <v>4.1666666666666664E-2</v>
      </c>
      <c r="O12" s="16">
        <f>IF(资源数比较!F4&lt;&gt;0,算法分析!F4/资源数比较!F12,"")</f>
        <v>3.125E-2</v>
      </c>
      <c r="P12" s="16" t="str">
        <f t="shared" si="1"/>
        <v/>
      </c>
      <c r="Q12" s="16">
        <f t="shared" si="1"/>
        <v>-1</v>
      </c>
      <c r="R12" s="16" t="str">
        <f t="shared" si="1"/>
        <v/>
      </c>
      <c r="S12" s="16">
        <f t="shared" si="1"/>
        <v>-0.25</v>
      </c>
    </row>
    <row r="13" spans="1:19" x14ac:dyDescent="0.25">
      <c r="A13" s="5" t="str">
        <f>算法分析!A$5</f>
        <v>TWOFISH</v>
      </c>
      <c r="B13" s="6">
        <f>SUMPRODUCT(架构比较!C$8:C$9,映射分析!$F$8:$F$9)</f>
        <v>24</v>
      </c>
      <c r="C13" s="6">
        <f>SUMPRODUCT(架构比较!D$8:D$9,映射分析!$F$8:$F$9)</f>
        <v>24</v>
      </c>
      <c r="D13" s="6">
        <f>SUMPRODUCT(架构比较!E$8:E$9,映射分析!$F$8:$F$9)</f>
        <v>12</v>
      </c>
      <c r="E13" s="6">
        <f>SUMPRODUCT(架构比较!F$8:F$9,映射分析!$F$8:$F$9)</f>
        <v>144</v>
      </c>
      <c r="F13" s="6">
        <f>SUMPRODUCT(架构比较!G$8:G$9,映射分析!$F$8:$F$9)</f>
        <v>48</v>
      </c>
      <c r="G13" s="6">
        <f>SUMPRODUCT(架构比较!H$8:H$9,映射分析!$F$8:$F$9)</f>
        <v>0</v>
      </c>
      <c r="H13" s="6">
        <f>SUMPRODUCT(架构比较!I$8:I$9,映射分析!$F$8:$F$9)</f>
        <v>24</v>
      </c>
      <c r="I13" s="6">
        <f>SUMPRODUCT(架构比较!J$8:J$9,映射分析!$F$8:$F$9)</f>
        <v>0</v>
      </c>
      <c r="J13" s="6">
        <f>映射分析!F$10</f>
        <v>6</v>
      </c>
      <c r="K13" s="16">
        <f>IF(资源数比较!B5&lt;&gt;0,算法分析!B5/资源数比较!B13,"")</f>
        <v>0.16666666666666666</v>
      </c>
      <c r="L13" s="16">
        <f>IF(资源数比较!C5&lt;&gt;0,算法分析!C5/资源数比较!C13,"")</f>
        <v>4.1666666666666664E-2</v>
      </c>
      <c r="M13" s="16">
        <f>IF(资源数比较!D5&lt;&gt;0,算法分析!D5/资源数比较!D13,"")</f>
        <v>0</v>
      </c>
      <c r="N13" s="16">
        <f>IF(资源数比较!E5&lt;&gt;0,算法分析!E5/资源数比较!E13,"")</f>
        <v>4.1666666666666664E-2</v>
      </c>
      <c r="O13" s="16">
        <f>IF(资源数比较!F5&lt;&gt;0,算法分析!F5/资源数比较!F13,"")</f>
        <v>4.1666666666666664E-2</v>
      </c>
      <c r="P13" s="16" t="str">
        <f t="shared" si="1"/>
        <v/>
      </c>
      <c r="Q13" s="16">
        <f t="shared" si="1"/>
        <v>-1</v>
      </c>
      <c r="R13" s="16" t="str">
        <f t="shared" si="1"/>
        <v/>
      </c>
      <c r="S13" s="16">
        <f t="shared" si="1"/>
        <v>0</v>
      </c>
    </row>
    <row r="14" spans="1:19" x14ac:dyDescent="0.25">
      <c r="A14" s="5" t="str">
        <f>算法分析!A$6</f>
        <v>RC5</v>
      </c>
      <c r="B14" s="6">
        <f>SUMPRODUCT(架构比较!C$8:C$9,映射分析!$G$8:$G$9)</f>
        <v>16</v>
      </c>
      <c r="C14" s="6">
        <f>SUMPRODUCT(架构比较!D$8:D$9,映射分析!$G$8:$G$9)</f>
        <v>16</v>
      </c>
      <c r="D14" s="6">
        <f>SUMPRODUCT(架构比较!E$8:E$9,映射分析!$G$8:$G$9)</f>
        <v>8</v>
      </c>
      <c r="E14" s="6">
        <f>SUMPRODUCT(架构比较!F$8:F$9,映射分析!$G$8:$G$9)</f>
        <v>96</v>
      </c>
      <c r="F14" s="6">
        <f>SUMPRODUCT(架构比较!G$8:G$9,映射分析!$G$8:$G$9)</f>
        <v>32</v>
      </c>
      <c r="G14" s="6">
        <f>SUMPRODUCT(架构比较!H$8:H$9,映射分析!$G$8:$G$9)</f>
        <v>0</v>
      </c>
      <c r="H14" s="6">
        <f>SUMPRODUCT(架构比较!I$8:I$9,映射分析!$G$8:$G$9)</f>
        <v>16</v>
      </c>
      <c r="I14" s="6">
        <f>SUMPRODUCT(架构比较!J$8:J$9,映射分析!$G$8:$G$9)</f>
        <v>0</v>
      </c>
      <c r="J14" s="6">
        <f>映射分析!G$10</f>
        <v>4</v>
      </c>
      <c r="K14" s="16">
        <f>IF(资源数比较!B6&lt;&gt;0,算法分析!B6/资源数比较!B14,"")</f>
        <v>0.125</v>
      </c>
      <c r="L14" s="16">
        <f>IF(资源数比较!C6&lt;&gt;0,算法分析!C6/资源数比较!C14,"")</f>
        <v>0.125</v>
      </c>
      <c r="M14" s="16">
        <f>IF(资源数比较!D6&lt;&gt;0,算法分析!D6/资源数比较!D14,"")</f>
        <v>0</v>
      </c>
      <c r="N14" s="16">
        <f>IF(资源数比较!E6&lt;&gt;0,算法分析!E6/资源数比较!E14,"")</f>
        <v>2.0833333333333332E-2</v>
      </c>
      <c r="O14" s="16">
        <f>IF(资源数比较!F6&lt;&gt;0,算法分析!F6/资源数比较!F14,"")</f>
        <v>0</v>
      </c>
      <c r="P14" s="16" t="str">
        <f t="shared" si="1"/>
        <v/>
      </c>
      <c r="Q14" s="16">
        <f t="shared" si="1"/>
        <v>-1</v>
      </c>
      <c r="R14" s="16" t="str">
        <f t="shared" si="1"/>
        <v/>
      </c>
      <c r="S14" s="16">
        <f t="shared" si="1"/>
        <v>0</v>
      </c>
    </row>
    <row r="15" spans="1:19" x14ac:dyDescent="0.25">
      <c r="A15" s="5" t="str">
        <f>算法分析!A$7</f>
        <v>BLOWFISH</v>
      </c>
      <c r="B15" s="6">
        <f>SUMPRODUCT(架构比较!C$8:C$9,映射分析!$H$8:$H$9)</f>
        <v>16</v>
      </c>
      <c r="C15" s="6">
        <f>SUMPRODUCT(架构比较!D$8:D$9,映射分析!$H$8:$H$9)</f>
        <v>16</v>
      </c>
      <c r="D15" s="6">
        <f>SUMPRODUCT(架构比较!E$8:E$9,映射分析!$H$8:$H$9)</f>
        <v>8</v>
      </c>
      <c r="E15" s="6">
        <f>SUMPRODUCT(架构比较!F$8:F$9,映射分析!$H$8:$H$9)</f>
        <v>96</v>
      </c>
      <c r="F15" s="6">
        <f>SUMPRODUCT(架构比较!G$8:G$9,映射分析!$H$8:$H$9)</f>
        <v>32</v>
      </c>
      <c r="G15" s="6">
        <f>SUMPRODUCT(架构比较!H$8:H$9,映射分析!$H$8:$H$9)</f>
        <v>0</v>
      </c>
      <c r="H15" s="6">
        <f>SUMPRODUCT(架构比较!I$8:I$9,映射分析!$H$8:$H$9)</f>
        <v>16</v>
      </c>
      <c r="I15" s="6">
        <f>SUMPRODUCT(架构比较!J$8:J$9,映射分析!$H$8:$H$9)</f>
        <v>0</v>
      </c>
      <c r="J15" s="6">
        <f>映射分析!H$10</f>
        <v>4</v>
      </c>
      <c r="K15" s="16">
        <f>IF(资源数比较!B7&lt;&gt;0,算法分析!B7/资源数比较!B15,"")</f>
        <v>0.1875</v>
      </c>
      <c r="L15" s="16">
        <f>IF(资源数比较!C7&lt;&gt;0,算法分析!C7/资源数比较!C15,"")</f>
        <v>0</v>
      </c>
      <c r="M15" s="16">
        <f>IF(资源数比较!D7&lt;&gt;0,算法分析!D7/资源数比较!D15,"")</f>
        <v>0</v>
      </c>
      <c r="N15" s="16">
        <f>IF(资源数比较!E7&lt;&gt;0,算法分析!E7/资源数比较!E15,"")</f>
        <v>3.125E-2</v>
      </c>
      <c r="O15" s="16">
        <f>IF(资源数比较!F7&lt;&gt;0,算法分析!F7/资源数比较!F15,"")</f>
        <v>3.125E-2</v>
      </c>
      <c r="P15" s="16" t="str">
        <f t="shared" si="1"/>
        <v/>
      </c>
      <c r="Q15" s="16">
        <f t="shared" si="1"/>
        <v>-1</v>
      </c>
      <c r="R15" s="16" t="str">
        <f t="shared" si="1"/>
        <v/>
      </c>
      <c r="S15" s="16">
        <f t="shared" si="1"/>
        <v>-0.25</v>
      </c>
    </row>
    <row r="16" spans="1:19" x14ac:dyDescent="0.25">
      <c r="A16" s="2"/>
    </row>
    <row r="17" spans="1:19" x14ac:dyDescent="0.25">
      <c r="A17" s="5" t="str">
        <f>映射分析!A11</f>
        <v>Cyptoraptor</v>
      </c>
    </row>
    <row r="18" spans="1:19" x14ac:dyDescent="0.25">
      <c r="A18" s="5" t="str">
        <f>算法分析!A$2</f>
        <v>AES</v>
      </c>
      <c r="B18" s="6">
        <f>SUMPRODUCT(架构比较!C$11:C$11,映射分析!$C$11:$C$11)</f>
        <v>8</v>
      </c>
      <c r="C18" s="6">
        <f>SUMPRODUCT(架构比较!D$11:D$11,映射分析!$C$11:$C$11)</f>
        <v>8</v>
      </c>
      <c r="D18" s="6">
        <f>SUMPRODUCT(架构比较!E$11:E$11,映射分析!$C$11:$C$11)</f>
        <v>8</v>
      </c>
      <c r="E18" s="6">
        <f>SUMPRODUCT(架构比较!F$11:F$11,映射分析!$C$11:$C$11)</f>
        <v>8</v>
      </c>
      <c r="F18" s="6">
        <f>SUMPRODUCT(架构比较!G$11:G$11,映射分析!$C$11:$C$11)</f>
        <v>56</v>
      </c>
      <c r="G18" s="6">
        <f>SUMPRODUCT(架构比较!H$11:H$11,映射分析!$C$11:$C$11)</f>
        <v>0</v>
      </c>
      <c r="H18" s="6">
        <f>SUMPRODUCT(架构比较!I$11:I$11,映射分析!$C$11:$C$11)</f>
        <v>0</v>
      </c>
      <c r="I18" s="6">
        <f>SUMPRODUCT(架构比较!J$11:J$11,映射分析!$C$11:$C$11)</f>
        <v>24</v>
      </c>
      <c r="J18" s="6">
        <f>映射分析!C$12</f>
        <v>2</v>
      </c>
      <c r="K18" s="17">
        <f>IF(资源数比较!B2&lt;&gt;0,算法分析!B2/资源数比较!B18,"")</f>
        <v>0</v>
      </c>
      <c r="L18" s="17">
        <f>IF(资源数比较!C2&lt;&gt;0,算法分析!C2/资源数比较!C18,"")</f>
        <v>0</v>
      </c>
      <c r="M18" s="17">
        <f>IF(资源数比较!D2&lt;&gt;0,算法分析!D2/资源数比较!D18,"")</f>
        <v>0</v>
      </c>
      <c r="N18" s="17">
        <f>IF(资源数比较!E2&lt;&gt;0,算法分析!E2/资源数比较!E18,"")</f>
        <v>0.5</v>
      </c>
      <c r="O18" s="17">
        <f>IF(资源数比较!F2&lt;&gt;0,算法分析!F2/资源数比较!F18,"")</f>
        <v>7.1428571428571425E-2</v>
      </c>
      <c r="P18" s="17" t="str">
        <f t="shared" ref="K18:S23" si="2">IF(G18&lt;&gt;0,(G2-G18)/G18,"")</f>
        <v/>
      </c>
      <c r="Q18" s="17" t="str">
        <f t="shared" si="2"/>
        <v/>
      </c>
      <c r="R18" s="17">
        <f t="shared" si="2"/>
        <v>-1</v>
      </c>
      <c r="S18" s="17">
        <f t="shared" si="2"/>
        <v>0.5</v>
      </c>
    </row>
    <row r="19" spans="1:19" x14ac:dyDescent="0.25">
      <c r="A19" s="5" t="str">
        <f>算法分析!A$3</f>
        <v>DES</v>
      </c>
      <c r="B19" s="6">
        <f>SUMPRODUCT(架构比较!C$11:C$11,映射分析!$D$11:$D$11)</f>
        <v>12</v>
      </c>
      <c r="C19" s="6">
        <f>SUMPRODUCT(架构比较!D$11:D$11,映射分析!$D$11:$D$11)</f>
        <v>12</v>
      </c>
      <c r="D19" s="6">
        <f>SUMPRODUCT(架构比较!E$11:E$11,映射分析!$D$11:$D$11)</f>
        <v>12</v>
      </c>
      <c r="E19" s="6">
        <f>SUMPRODUCT(架构比较!F$11:F$11,映射分析!$D$11:$D$11)</f>
        <v>12</v>
      </c>
      <c r="F19" s="6">
        <f>SUMPRODUCT(架构比较!G$11:G$11,映射分析!$D$11:$D$11)</f>
        <v>84</v>
      </c>
      <c r="G19" s="6">
        <f>SUMPRODUCT(架构比较!H$11:H$11,映射分析!$D$11:$D$11)</f>
        <v>0</v>
      </c>
      <c r="H19" s="6">
        <f>SUMPRODUCT(架构比较!I$11:I$11,映射分析!$D$11:$D$11)</f>
        <v>0</v>
      </c>
      <c r="I19" s="6">
        <f>SUMPRODUCT(架构比较!J$11:J$11,映射分析!$D$11:$D$11)</f>
        <v>36</v>
      </c>
      <c r="J19" s="6">
        <f>映射分析!D$12</f>
        <v>3</v>
      </c>
      <c r="K19" s="17">
        <f>IF(资源数比较!B3&lt;&gt;0,算法分析!B3/资源数比较!B19,"")</f>
        <v>0</v>
      </c>
      <c r="L19" s="17">
        <f>IF(资源数比较!C3&lt;&gt;0,算法分析!C3/资源数比较!C19,"")</f>
        <v>0</v>
      </c>
      <c r="M19" s="17">
        <f>IF(资源数比较!D3&lt;&gt;0,算法分析!D3/资源数比较!D19,"")</f>
        <v>0.16666666666666666</v>
      </c>
      <c r="N19" s="17">
        <f>IF(资源数比较!E3&lt;&gt;0,算法分析!E3/资源数比较!E19,"")</f>
        <v>0.16666666666666666</v>
      </c>
      <c r="O19" s="17">
        <f>IF(资源数比较!F3&lt;&gt;0,算法分析!F3/资源数比较!F19,"")</f>
        <v>2.3809523809523808E-2</v>
      </c>
      <c r="P19" s="17" t="str">
        <f t="shared" si="2"/>
        <v/>
      </c>
      <c r="Q19" s="17" t="str">
        <f t="shared" si="2"/>
        <v/>
      </c>
      <c r="R19" s="17">
        <f t="shared" si="2"/>
        <v>-1</v>
      </c>
      <c r="S19" s="17">
        <f t="shared" si="2"/>
        <v>0</v>
      </c>
    </row>
    <row r="20" spans="1:19" x14ac:dyDescent="0.25">
      <c r="A20" s="5" t="str">
        <f>算法分析!A$4</f>
        <v>SM4</v>
      </c>
      <c r="B20" s="6">
        <f>SUMPRODUCT(架构比较!C$11:C$11,映射分析!$E$11:$E$11)</f>
        <v>16</v>
      </c>
      <c r="C20" s="6">
        <f>SUMPRODUCT(架构比较!D$11:D$11,映射分析!$E$11:$E$11)</f>
        <v>16</v>
      </c>
      <c r="D20" s="6">
        <f>SUMPRODUCT(架构比较!E$11:E$11,映射分析!$E$11:$E$11)</f>
        <v>16</v>
      </c>
      <c r="E20" s="6">
        <f>SUMPRODUCT(架构比较!F$11:F$11,映射分析!$E$11:$E$11)</f>
        <v>16</v>
      </c>
      <c r="F20" s="6">
        <f>SUMPRODUCT(架构比较!G$11:G$11,映射分析!$E$11:$E$11)</f>
        <v>112</v>
      </c>
      <c r="G20" s="6">
        <f>SUMPRODUCT(架构比较!H$11:H$11,映射分析!$E$11:$E$11)</f>
        <v>0</v>
      </c>
      <c r="H20" s="6">
        <f>SUMPRODUCT(架构比较!I$11:I$11,映射分析!$E$11:$E$11)</f>
        <v>0</v>
      </c>
      <c r="I20" s="6">
        <f>SUMPRODUCT(架构比较!J$11:J$11,映射分析!$E$11:$E$11)</f>
        <v>48</v>
      </c>
      <c r="J20" s="6">
        <f>映射分析!E$12</f>
        <v>4</v>
      </c>
      <c r="K20" s="17">
        <f>IF(资源数比较!B4&lt;&gt;0,算法分析!B4/资源数比较!B20,"")</f>
        <v>0</v>
      </c>
      <c r="L20" s="17">
        <f>IF(资源数比较!C4&lt;&gt;0,算法分析!C4/资源数比较!C20,"")</f>
        <v>0.25</v>
      </c>
      <c r="M20" s="17">
        <f>IF(资源数比较!D4&lt;&gt;0,算法分析!D4/资源数比较!D20,"")</f>
        <v>0</v>
      </c>
      <c r="N20" s="17">
        <f>IF(资源数比较!E4&lt;&gt;0,算法分析!E4/资源数比较!E20,"")</f>
        <v>0.25</v>
      </c>
      <c r="O20" s="17">
        <f>IF(资源数比较!F4&lt;&gt;0,算法分析!F4/资源数比较!F20,"")</f>
        <v>8.9285714285714281E-3</v>
      </c>
      <c r="P20" s="17" t="str">
        <f t="shared" si="2"/>
        <v/>
      </c>
      <c r="Q20" s="17" t="str">
        <f t="shared" si="2"/>
        <v/>
      </c>
      <c r="R20" s="17">
        <f t="shared" si="2"/>
        <v>-1</v>
      </c>
      <c r="S20" s="17">
        <f t="shared" si="2"/>
        <v>-0.25</v>
      </c>
    </row>
    <row r="21" spans="1:19" x14ac:dyDescent="0.25">
      <c r="A21" s="5" t="str">
        <f>算法分析!A$5</f>
        <v>TWOFISH</v>
      </c>
      <c r="B21" s="6">
        <f>SUMPRODUCT(架构比较!C$11:C$11,映射分析!$F$11:$F$11)</f>
        <v>20</v>
      </c>
      <c r="C21" s="6">
        <f>SUMPRODUCT(架构比较!D$11:D$11,映射分析!$F$11:$F$11)</f>
        <v>20</v>
      </c>
      <c r="D21" s="6">
        <f>SUMPRODUCT(架构比较!E$11:E$11,映射分析!$F$11:$F$11)</f>
        <v>20</v>
      </c>
      <c r="E21" s="6">
        <f>SUMPRODUCT(架构比较!F$11:F$11,映射分析!$F$11:$F$11)</f>
        <v>20</v>
      </c>
      <c r="F21" s="6">
        <f>SUMPRODUCT(架构比较!G$11:G$11,映射分析!$F$11:$F$11)</f>
        <v>140</v>
      </c>
      <c r="G21" s="6">
        <f>SUMPRODUCT(架构比较!H$11:H$11,映射分析!$F$11:$F$11)</f>
        <v>0</v>
      </c>
      <c r="H21" s="6">
        <f>SUMPRODUCT(架构比较!I$11:I$11,映射分析!$F$11:$F$11)</f>
        <v>0</v>
      </c>
      <c r="I21" s="6">
        <f>SUMPRODUCT(架构比较!J$11:J$11,映射分析!$F$11:$F$11)</f>
        <v>60</v>
      </c>
      <c r="J21" s="6">
        <f>映射分析!F$12</f>
        <v>5</v>
      </c>
      <c r="K21" s="17">
        <f>IF(资源数比较!B5&lt;&gt;0,算法分析!B5/资源数比较!B21,"")</f>
        <v>0.2</v>
      </c>
      <c r="L21" s="17">
        <f>IF(资源数比较!C5&lt;&gt;0,算法分析!C5/资源数比较!C21,"")</f>
        <v>0.05</v>
      </c>
      <c r="M21" s="17">
        <f>IF(资源数比较!D5&lt;&gt;0,算法分析!D5/资源数比较!D21,"")</f>
        <v>0</v>
      </c>
      <c r="N21" s="17">
        <f>IF(资源数比较!E5&lt;&gt;0,算法分析!E5/资源数比较!E21,"")</f>
        <v>0.3</v>
      </c>
      <c r="O21" s="17">
        <f>IF(资源数比较!F5&lt;&gt;0,算法分析!F5/资源数比较!F21,"")</f>
        <v>1.4285714285714285E-2</v>
      </c>
      <c r="P21" s="17" t="str">
        <f t="shared" si="2"/>
        <v/>
      </c>
      <c r="Q21" s="17" t="str">
        <f t="shared" si="2"/>
        <v/>
      </c>
      <c r="R21" s="17">
        <f t="shared" si="2"/>
        <v>-1</v>
      </c>
      <c r="S21" s="17">
        <f t="shared" si="2"/>
        <v>0.2</v>
      </c>
    </row>
    <row r="22" spans="1:19" x14ac:dyDescent="0.25">
      <c r="A22" s="5" t="str">
        <f>算法分析!A$6</f>
        <v>RC5</v>
      </c>
      <c r="B22" s="6">
        <f>SUMPRODUCT(架构比较!C$11:C$11,映射分析!$G$11:$G$11)</f>
        <v>16</v>
      </c>
      <c r="C22" s="6">
        <f>SUMPRODUCT(架构比较!D$11:D$11,映射分析!$G$11:$G$11)</f>
        <v>16</v>
      </c>
      <c r="D22" s="6">
        <f>SUMPRODUCT(架构比较!E$11:E$11,映射分析!$G$11:$G$11)</f>
        <v>16</v>
      </c>
      <c r="E22" s="6">
        <f>SUMPRODUCT(架构比较!F$11:F$11,映射分析!$G$11:$G$11)</f>
        <v>16</v>
      </c>
      <c r="F22" s="6">
        <f>SUMPRODUCT(架构比较!G$11:G$11,映射分析!$G$11:$G$11)</f>
        <v>112</v>
      </c>
      <c r="G22" s="6">
        <f>SUMPRODUCT(架构比较!H$11:H$11,映射分析!$G$11:$G$11)</f>
        <v>0</v>
      </c>
      <c r="H22" s="6">
        <f>SUMPRODUCT(架构比较!I$11:I$11,映射分析!$G$11:$G$11)</f>
        <v>0</v>
      </c>
      <c r="I22" s="6">
        <f>SUMPRODUCT(架构比较!J$11:J$11,映射分析!$G$11:$G$11)</f>
        <v>48</v>
      </c>
      <c r="J22" s="6">
        <f>映射分析!G$12</f>
        <v>4</v>
      </c>
      <c r="K22" s="17">
        <f>IF(资源数比较!B6&lt;&gt;0,算法分析!B6/资源数比较!B22,"")</f>
        <v>0.125</v>
      </c>
      <c r="L22" s="17">
        <f>IF(资源数比较!C6&lt;&gt;0,算法分析!C6/资源数比较!C22,"")</f>
        <v>0.125</v>
      </c>
      <c r="M22" s="17">
        <f>IF(资源数比较!D6&lt;&gt;0,算法分析!D6/资源数比较!D22,"")</f>
        <v>0</v>
      </c>
      <c r="N22" s="17">
        <f>IF(资源数比较!E6&lt;&gt;0,算法分析!E6/资源数比较!E22,"")</f>
        <v>0.125</v>
      </c>
      <c r="O22" s="17">
        <f>IF(资源数比较!F6&lt;&gt;0,算法分析!F6/资源数比较!F22,"")</f>
        <v>0</v>
      </c>
      <c r="P22" s="17" t="str">
        <f t="shared" si="2"/>
        <v/>
      </c>
      <c r="Q22" s="17" t="str">
        <f t="shared" si="2"/>
        <v/>
      </c>
      <c r="R22" s="17">
        <f t="shared" si="2"/>
        <v>-1</v>
      </c>
      <c r="S22" s="17">
        <f t="shared" si="2"/>
        <v>0</v>
      </c>
    </row>
    <row r="23" spans="1:19" x14ac:dyDescent="0.25">
      <c r="A23" s="5" t="str">
        <f>算法分析!A$7</f>
        <v>BLOWFISH</v>
      </c>
      <c r="B23" s="6">
        <f>SUMPRODUCT(架构比较!C$11:C$11,映射分析!$H$11:$H$11)</f>
        <v>12</v>
      </c>
      <c r="C23" s="6">
        <f>SUMPRODUCT(架构比较!D$11:D$11,映射分析!$H$11:$H$11)</f>
        <v>12</v>
      </c>
      <c r="D23" s="6">
        <f>SUMPRODUCT(架构比较!E$11:E$11,映射分析!$H$11:$H$11)</f>
        <v>12</v>
      </c>
      <c r="E23" s="6">
        <f>SUMPRODUCT(架构比较!F$11:F$11,映射分析!$H$11:$H$11)</f>
        <v>12</v>
      </c>
      <c r="F23" s="6">
        <f>SUMPRODUCT(架构比较!G$11:G$11,映射分析!$H$11:$H$11)</f>
        <v>84</v>
      </c>
      <c r="G23" s="6">
        <f>SUMPRODUCT(架构比较!H$11:H$11,映射分析!$H$11:$H$11)</f>
        <v>0</v>
      </c>
      <c r="H23" s="6">
        <f>SUMPRODUCT(架构比较!I$11:I$11,映射分析!$H$11:$H$11)</f>
        <v>0</v>
      </c>
      <c r="I23" s="6">
        <f>SUMPRODUCT(架构比较!J$11:J$11,映射分析!$H$11:$H$11)</f>
        <v>36</v>
      </c>
      <c r="J23" s="6">
        <f>映射分析!H$12</f>
        <v>3</v>
      </c>
      <c r="K23" s="17">
        <f>IF(资源数比较!B7&lt;&gt;0,算法分析!B7/资源数比较!B23,"")</f>
        <v>0.25</v>
      </c>
      <c r="L23" s="17">
        <f>IF(资源数比较!C7&lt;&gt;0,算法分析!C7/资源数比较!C23,"")</f>
        <v>0</v>
      </c>
      <c r="M23" s="17">
        <f>IF(资源数比较!D7&lt;&gt;0,算法分析!D7/资源数比较!D23,"")</f>
        <v>0</v>
      </c>
      <c r="N23" s="17">
        <f>IF(资源数比较!E7&lt;&gt;0,算法分析!E7/资源数比较!E23,"")</f>
        <v>0.25</v>
      </c>
      <c r="O23" s="17">
        <f>IF(资源数比较!F7&lt;&gt;0,算法分析!F7/资源数比较!F23,"")</f>
        <v>1.1904761904761904E-2</v>
      </c>
      <c r="P23" s="17" t="str">
        <f t="shared" si="2"/>
        <v/>
      </c>
      <c r="Q23" s="17" t="str">
        <f t="shared" si="2"/>
        <v/>
      </c>
      <c r="R23" s="17">
        <f t="shared" si="2"/>
        <v>-1</v>
      </c>
      <c r="S23" s="17">
        <f t="shared" si="2"/>
        <v>0</v>
      </c>
    </row>
    <row r="24" spans="1:19" x14ac:dyDescent="0.25">
      <c r="A24" s="2"/>
    </row>
    <row r="25" spans="1:19" x14ac:dyDescent="0.25">
      <c r="A25" s="5" t="str">
        <f>映射分析!A13</f>
        <v>RCPA</v>
      </c>
    </row>
    <row r="26" spans="1:19" x14ac:dyDescent="0.25">
      <c r="A26" s="5" t="str">
        <f>算法分析!A$2</f>
        <v>AES</v>
      </c>
      <c r="B26" s="6">
        <f>SUMPRODUCT(架构比较!C$13:C$13,映射分析!$C$13:$C$13)</f>
        <v>8</v>
      </c>
      <c r="C26" s="6">
        <f>SUMPRODUCT(架构比较!D$13:D$13,映射分析!$C$13:$C$13)</f>
        <v>8</v>
      </c>
      <c r="D26" s="6">
        <f>SUMPRODUCT(架构比较!E$13:E$13,映射分析!$C$13:$C$13)</f>
        <v>8</v>
      </c>
      <c r="E26" s="6">
        <f>SUMPRODUCT(架构比较!F$13:F$13,映射分析!$C$13:$C$13)</f>
        <v>16</v>
      </c>
      <c r="F26" s="6">
        <f>SUMPRODUCT(架构比较!G$13:G$13,映射分析!$C$13:$C$13)</f>
        <v>16</v>
      </c>
      <c r="G26" s="6">
        <f>SUMPRODUCT(架构比较!H$13:H$13,映射分析!$C$13:$C$13)</f>
        <v>8</v>
      </c>
      <c r="H26" s="6">
        <f>SUMPRODUCT(架构比较!I$13:I$13,映射分析!$C$13:$C$13)</f>
        <v>0</v>
      </c>
      <c r="I26" s="6">
        <f>SUMPRODUCT(架构比较!J$13:J$13,映射分析!$C$13:$C$13)</f>
        <v>0</v>
      </c>
      <c r="J26" s="6">
        <f>映射分析!C$12</f>
        <v>2</v>
      </c>
      <c r="K26" s="17">
        <f>IF(资源数比较!B2&lt;&gt;0,算法分析!B2/资源数比较!B26,"")</f>
        <v>0</v>
      </c>
      <c r="L26" s="17">
        <f>IF(资源数比较!C2&lt;&gt;0,算法分析!C2/资源数比较!C26,"")</f>
        <v>0</v>
      </c>
      <c r="M26" s="17">
        <f>IF(资源数比较!D2&lt;&gt;0,算法分析!D2/资源数比较!D26,"")</f>
        <v>0</v>
      </c>
      <c r="N26" s="17">
        <f>IF(资源数比较!E2&lt;&gt;0,算法分析!E2/资源数比较!E26,"")</f>
        <v>0.25</v>
      </c>
      <c r="O26" s="17">
        <f>IF(资源数比较!F2&lt;&gt;0,算法分析!F2/资源数比较!F26,"")</f>
        <v>0.25</v>
      </c>
      <c r="P26" s="17">
        <f>IF(资源数比较!G2&lt;&gt;0,算法分析!G2/资源数比较!G26,"")</f>
        <v>0.5</v>
      </c>
      <c r="Q26" s="17" t="str">
        <f t="shared" ref="K26:S31" si="3">IF(H26&lt;&gt;0,(H2-H26)/H26,"")</f>
        <v/>
      </c>
      <c r="R26" s="17" t="str">
        <f t="shared" si="3"/>
        <v/>
      </c>
      <c r="S26" s="17">
        <f t="shared" si="3"/>
        <v>0.5</v>
      </c>
    </row>
    <row r="27" spans="1:19" x14ac:dyDescent="0.25">
      <c r="A27" s="5" t="str">
        <f>算法分析!A$3</f>
        <v>DES</v>
      </c>
      <c r="B27" s="6">
        <f>SUMPRODUCT(架构比较!C$13:C$13,映射分析!$D$13:$D$13)</f>
        <v>12</v>
      </c>
      <c r="C27" s="6">
        <f>SUMPRODUCT(架构比较!D$13:D$13,映射分析!$D$13:$D$13)</f>
        <v>12</v>
      </c>
      <c r="D27" s="6">
        <f>SUMPRODUCT(架构比较!E$13:E$13,映射分析!$D$13:$D$13)</f>
        <v>12</v>
      </c>
      <c r="E27" s="6">
        <f>SUMPRODUCT(架构比较!F$13:F$13,映射分析!$D$13:$D$13)</f>
        <v>24</v>
      </c>
      <c r="F27" s="6">
        <f>SUMPRODUCT(架构比较!G$13:G$13,映射分析!$D$13:$D$13)</f>
        <v>24</v>
      </c>
      <c r="G27" s="6">
        <f>SUMPRODUCT(架构比较!H$13:H$13,映射分析!$D$13:$D$13)</f>
        <v>12</v>
      </c>
      <c r="H27" s="6">
        <f>SUMPRODUCT(架构比较!I$13:I$13,映射分析!$D$13:$D$13)</f>
        <v>0</v>
      </c>
      <c r="I27" s="6">
        <f>SUMPRODUCT(架构比较!J$13:J$13,映射分析!$D$13:$D$13)</f>
        <v>0</v>
      </c>
      <c r="J27" s="6">
        <f>映射分析!D$12</f>
        <v>3</v>
      </c>
      <c r="K27" s="17">
        <f>IF(资源数比较!B3&lt;&gt;0,算法分析!B3/资源数比较!B27,"")</f>
        <v>0</v>
      </c>
      <c r="L27" s="17">
        <f>IF(资源数比较!C3&lt;&gt;0,算法分析!C3/资源数比较!C27,"")</f>
        <v>0</v>
      </c>
      <c r="M27" s="17">
        <f>IF(资源数比较!D3&lt;&gt;0,算法分析!D3/资源数比较!D27,"")</f>
        <v>0.16666666666666666</v>
      </c>
      <c r="N27" s="17">
        <f>IF(资源数比较!E3&lt;&gt;0,算法分析!E3/资源数比较!E27,"")</f>
        <v>8.3333333333333329E-2</v>
      </c>
      <c r="O27" s="17">
        <f>IF(资源数比较!F3&lt;&gt;0,算法分析!F3/资源数比较!F27,"")</f>
        <v>8.3333333333333329E-2</v>
      </c>
      <c r="P27" s="17">
        <f>IF(资源数比较!G3&lt;&gt;0,算法分析!G3/资源数比较!G27,"")</f>
        <v>0</v>
      </c>
      <c r="Q27" s="17" t="str">
        <f t="shared" si="3"/>
        <v/>
      </c>
      <c r="R27" s="17" t="str">
        <f t="shared" si="3"/>
        <v/>
      </c>
      <c r="S27" s="17">
        <f t="shared" si="3"/>
        <v>0</v>
      </c>
    </row>
    <row r="28" spans="1:19" x14ac:dyDescent="0.25">
      <c r="A28" s="5" t="str">
        <f>算法分析!A$4</f>
        <v>SM4</v>
      </c>
      <c r="B28" s="6">
        <f>SUMPRODUCT(架构比较!C$13:C$13,映射分析!$E$13:$E$13)</f>
        <v>16</v>
      </c>
      <c r="C28" s="6">
        <f>SUMPRODUCT(架构比较!D$13:D$13,映射分析!$E$13:$E$13)</f>
        <v>16</v>
      </c>
      <c r="D28" s="6">
        <f>SUMPRODUCT(架构比较!E$13:E$13,映射分析!$E$13:$E$13)</f>
        <v>16</v>
      </c>
      <c r="E28" s="6">
        <f>SUMPRODUCT(架构比较!F$13:F$13,映射分析!$E$13:$E$13)</f>
        <v>32</v>
      </c>
      <c r="F28" s="6">
        <f>SUMPRODUCT(架构比较!G$13:G$13,映射分析!$E$13:$E$13)</f>
        <v>32</v>
      </c>
      <c r="G28" s="6">
        <f>SUMPRODUCT(架构比较!H$13:H$13,映射分析!$E$13:$E$13)</f>
        <v>16</v>
      </c>
      <c r="H28" s="6">
        <f>SUMPRODUCT(架构比较!I$13:I$13,映射分析!$E$13:$E$13)</f>
        <v>0</v>
      </c>
      <c r="I28" s="6">
        <f>SUMPRODUCT(架构比较!J$13:J$13,映射分析!$E$13:$E$13)</f>
        <v>0</v>
      </c>
      <c r="J28" s="6">
        <f>映射分析!E$12</f>
        <v>4</v>
      </c>
      <c r="K28" s="17">
        <f>IF(资源数比较!B4&lt;&gt;0,算法分析!B4/资源数比较!B28,"")</f>
        <v>0</v>
      </c>
      <c r="L28" s="17">
        <f>IF(资源数比较!C4&lt;&gt;0,算法分析!C4/资源数比较!C28,"")</f>
        <v>0.25</v>
      </c>
      <c r="M28" s="17">
        <f>IF(资源数比较!D4&lt;&gt;0,算法分析!D4/资源数比较!D28,"")</f>
        <v>0</v>
      </c>
      <c r="N28" s="17">
        <f>IF(资源数比较!E4&lt;&gt;0,算法分析!E4/资源数比较!E28,"")</f>
        <v>0.125</v>
      </c>
      <c r="O28" s="17">
        <f>IF(资源数比较!F4&lt;&gt;0,算法分析!F4/资源数比较!F28,"")</f>
        <v>3.125E-2</v>
      </c>
      <c r="P28" s="17">
        <f>IF(资源数比较!G4&lt;&gt;0,算法分析!G4/资源数比较!G28,"")</f>
        <v>0</v>
      </c>
      <c r="Q28" s="17" t="str">
        <f t="shared" si="3"/>
        <v/>
      </c>
      <c r="R28" s="17" t="str">
        <f t="shared" si="3"/>
        <v/>
      </c>
      <c r="S28" s="17">
        <f t="shared" si="3"/>
        <v>-0.25</v>
      </c>
    </row>
    <row r="29" spans="1:19" x14ac:dyDescent="0.25">
      <c r="A29" s="5" t="str">
        <f>算法分析!A$5</f>
        <v>TWOFISH</v>
      </c>
      <c r="B29" s="6">
        <f>SUMPRODUCT(架构比较!C$13:C$13,映射分析!$F$13:$F$13)</f>
        <v>20</v>
      </c>
      <c r="C29" s="6">
        <f>SUMPRODUCT(架构比较!D$13:D$13,映射分析!$F$13:$F$13)</f>
        <v>20</v>
      </c>
      <c r="D29" s="6">
        <f>SUMPRODUCT(架构比较!E$13:E$13,映射分析!$F$13:$F$13)</f>
        <v>20</v>
      </c>
      <c r="E29" s="6">
        <f>SUMPRODUCT(架构比较!F$13:F$13,映射分析!$F$13:$F$13)</f>
        <v>40</v>
      </c>
      <c r="F29" s="6">
        <f>SUMPRODUCT(架构比较!G$13:G$13,映射分析!$F$13:$F$13)</f>
        <v>40</v>
      </c>
      <c r="G29" s="6">
        <f>SUMPRODUCT(架构比较!H$13:H$13,映射分析!$F$13:$F$13)</f>
        <v>20</v>
      </c>
      <c r="H29" s="6">
        <f>SUMPRODUCT(架构比较!I$13:I$13,映射分析!$F$13:$F$13)</f>
        <v>0</v>
      </c>
      <c r="I29" s="6">
        <f>SUMPRODUCT(架构比较!J$13:J$13,映射分析!$F$13:$F$13)</f>
        <v>0</v>
      </c>
      <c r="J29" s="6">
        <f>映射分析!F$12</f>
        <v>5</v>
      </c>
      <c r="K29" s="17">
        <f>IF(资源数比较!B5&lt;&gt;0,算法分析!B5/资源数比较!B29,"")</f>
        <v>0.2</v>
      </c>
      <c r="L29" s="17">
        <f>IF(资源数比较!C5&lt;&gt;0,算法分析!C5/资源数比较!C29,"")</f>
        <v>0.05</v>
      </c>
      <c r="M29" s="17">
        <f>IF(资源数比较!D5&lt;&gt;0,算法分析!D5/资源数比较!D29,"")</f>
        <v>0</v>
      </c>
      <c r="N29" s="17">
        <f>IF(资源数比较!E5&lt;&gt;0,算法分析!E5/资源数比较!E29,"")</f>
        <v>0.15</v>
      </c>
      <c r="O29" s="17">
        <f>IF(资源数比较!F5&lt;&gt;0,算法分析!F5/资源数比较!F29,"")</f>
        <v>0.05</v>
      </c>
      <c r="P29" s="17">
        <f>IF(资源数比较!G5&lt;&gt;0,算法分析!G5/资源数比较!G29,"")</f>
        <v>0.1</v>
      </c>
      <c r="Q29" s="17" t="str">
        <f t="shared" si="3"/>
        <v/>
      </c>
      <c r="R29" s="17" t="str">
        <f t="shared" si="3"/>
        <v/>
      </c>
      <c r="S29" s="17">
        <f t="shared" si="3"/>
        <v>0.2</v>
      </c>
    </row>
    <row r="30" spans="1:19" x14ac:dyDescent="0.25">
      <c r="A30" s="5" t="str">
        <f>算法分析!A$6</f>
        <v>RC5</v>
      </c>
      <c r="B30" s="6">
        <f>SUMPRODUCT(架构比较!C$13:C$13,映射分析!$G$13:$G$13)</f>
        <v>16</v>
      </c>
      <c r="C30" s="6">
        <f>SUMPRODUCT(架构比较!D$13:D$13,映射分析!$G$13:$G$13)</f>
        <v>16</v>
      </c>
      <c r="D30" s="6">
        <f>SUMPRODUCT(架构比较!E$13:E$13,映射分析!$G$13:$G$13)</f>
        <v>16</v>
      </c>
      <c r="E30" s="6">
        <f>SUMPRODUCT(架构比较!F$13:F$13,映射分析!$G$13:$G$13)</f>
        <v>32</v>
      </c>
      <c r="F30" s="6">
        <f>SUMPRODUCT(架构比较!G$13:G$13,映射分析!$G$13:$G$13)</f>
        <v>32</v>
      </c>
      <c r="G30" s="6">
        <f>SUMPRODUCT(架构比较!H$13:H$13,映射分析!$G$13:$G$13)</f>
        <v>16</v>
      </c>
      <c r="H30" s="6">
        <f>SUMPRODUCT(架构比较!I$13:I$13,映射分析!$G$13:$G$13)</f>
        <v>0</v>
      </c>
      <c r="I30" s="6">
        <f>SUMPRODUCT(架构比较!J$13:J$13,映射分析!$G$13:$G$13)</f>
        <v>0</v>
      </c>
      <c r="J30" s="6">
        <f>映射分析!G$12</f>
        <v>4</v>
      </c>
      <c r="K30" s="17">
        <f>IF(资源数比较!B6&lt;&gt;0,算法分析!B6/资源数比较!B30,"")</f>
        <v>0.125</v>
      </c>
      <c r="L30" s="17">
        <f>IF(资源数比较!C6&lt;&gt;0,算法分析!C6/资源数比较!C30,"")</f>
        <v>0.125</v>
      </c>
      <c r="M30" s="17">
        <f>IF(资源数比较!D6&lt;&gt;0,算法分析!D6/资源数比较!D30,"")</f>
        <v>0</v>
      </c>
      <c r="N30" s="17">
        <f>IF(资源数比较!E6&lt;&gt;0,算法分析!E6/资源数比较!E30,"")</f>
        <v>6.25E-2</v>
      </c>
      <c r="O30" s="17">
        <f>IF(资源数比较!F6&lt;&gt;0,算法分析!F6/资源数比较!F30,"")</f>
        <v>0</v>
      </c>
      <c r="P30" s="17">
        <f>IF(资源数比较!G6&lt;&gt;0,算法分析!G6/资源数比较!G30,"")</f>
        <v>0</v>
      </c>
      <c r="Q30" s="17" t="str">
        <f t="shared" si="3"/>
        <v/>
      </c>
      <c r="R30" s="17" t="str">
        <f t="shared" si="3"/>
        <v/>
      </c>
      <c r="S30" s="17">
        <f t="shared" si="3"/>
        <v>0</v>
      </c>
    </row>
    <row r="31" spans="1:19" x14ac:dyDescent="0.25">
      <c r="A31" s="5" t="str">
        <f>算法分析!A$7</f>
        <v>BLOWFISH</v>
      </c>
      <c r="B31" s="6">
        <f>SUMPRODUCT(架构比较!C$13:C$13,映射分析!$H$13:$H$13)</f>
        <v>12</v>
      </c>
      <c r="C31" s="6">
        <f>SUMPRODUCT(架构比较!D$13:D$13,映射分析!$H$13:$H$13)</f>
        <v>12</v>
      </c>
      <c r="D31" s="6">
        <f>SUMPRODUCT(架构比较!E$13:E$13,映射分析!$H$13:$H$13)</f>
        <v>12</v>
      </c>
      <c r="E31" s="6">
        <f>SUMPRODUCT(架构比较!F$13:F$13,映射分析!$H$13:$H$13)</f>
        <v>24</v>
      </c>
      <c r="F31" s="6">
        <f>SUMPRODUCT(架构比较!G$13:G$13,映射分析!$H$13:$H$13)</f>
        <v>24</v>
      </c>
      <c r="G31" s="6">
        <f>SUMPRODUCT(架构比较!H$13:H$13,映射分析!$H$13:$H$13)</f>
        <v>12</v>
      </c>
      <c r="H31" s="6">
        <f>SUMPRODUCT(架构比较!I$13:I$13,映射分析!$H$13:$H$13)</f>
        <v>0</v>
      </c>
      <c r="I31" s="6">
        <f>SUMPRODUCT(架构比较!J$13:J$13,映射分析!$H$13:$H$13)</f>
        <v>0</v>
      </c>
      <c r="J31" s="6">
        <f>映射分析!H$12</f>
        <v>3</v>
      </c>
      <c r="K31" s="17">
        <f>IF(资源数比较!B7&lt;&gt;0,算法分析!B7/资源数比较!B31,"")</f>
        <v>0.25</v>
      </c>
      <c r="L31" s="17">
        <f>IF(资源数比较!C7&lt;&gt;0,算法分析!C7/资源数比较!C31,"")</f>
        <v>0</v>
      </c>
      <c r="M31" s="17">
        <f>IF(资源数比较!D7&lt;&gt;0,算法分析!D7/资源数比较!D31,"")</f>
        <v>0</v>
      </c>
      <c r="N31" s="17">
        <f>IF(资源数比较!E7&lt;&gt;0,算法分析!E7/资源数比较!E31,"")</f>
        <v>0.125</v>
      </c>
      <c r="O31" s="17">
        <f>IF(资源数比较!F7&lt;&gt;0,算法分析!F7/资源数比较!F31,"")</f>
        <v>4.1666666666666664E-2</v>
      </c>
      <c r="P31" s="17">
        <f>IF(资源数比较!G7&lt;&gt;0,算法分析!G7/资源数比较!G31,"")</f>
        <v>0</v>
      </c>
      <c r="Q31" s="17" t="str">
        <f t="shared" si="3"/>
        <v/>
      </c>
      <c r="R31" s="17" t="str">
        <f t="shared" si="3"/>
        <v/>
      </c>
      <c r="S31" s="17">
        <f t="shared" si="3"/>
        <v>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F23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topLeftCell="J22" workbookViewId="0">
      <selection activeCell="Q27" sqref="Q27"/>
    </sheetView>
  </sheetViews>
  <sheetFormatPr defaultRowHeight="15" x14ac:dyDescent="0.15"/>
  <cols>
    <col min="1" max="1" width="11.75" style="2" customWidth="1"/>
    <col min="2" max="5" width="9" style="2"/>
    <col min="6" max="6" width="11.875" style="2" customWidth="1"/>
    <col min="7" max="9" width="9" style="2"/>
    <col min="10" max="10" width="15" style="2" customWidth="1"/>
    <col min="11" max="11" width="10.25" style="24" bestFit="1" customWidth="1"/>
    <col min="12" max="12" width="10.625" style="2" customWidth="1"/>
    <col min="13" max="17" width="9" style="2"/>
    <col min="18" max="18" width="13.625" style="2" customWidth="1"/>
    <col min="19" max="21" width="9" style="2"/>
    <col min="22" max="22" width="12.75" style="2" customWidth="1"/>
    <col min="23" max="23" width="10.875" style="2" customWidth="1"/>
    <col min="24" max="16384" width="9" style="2"/>
  </cols>
  <sheetData>
    <row r="1" spans="1:23" s="3" customFormat="1" x14ac:dyDescent="0.15">
      <c r="A1" s="8" t="str">
        <f>架构比较!A2</f>
        <v>本文</v>
      </c>
      <c r="B1" s="8" t="str">
        <f>资源数比较!B1</f>
        <v>AU</v>
      </c>
      <c r="C1" s="8" t="str">
        <f>资源数比较!C1</f>
        <v>SH</v>
      </c>
      <c r="D1" s="8" t="str">
        <f>资源数比较!D1</f>
        <v>PER</v>
      </c>
      <c r="E1" s="8" t="str">
        <f>资源数比较!E1</f>
        <v>LOU</v>
      </c>
      <c r="F1" s="8" t="str">
        <f>资源数比较!F1</f>
        <v>4*LUT256*8</v>
      </c>
      <c r="G1" s="8" t="str">
        <f>资源数比较!G1</f>
        <v>GFM</v>
      </c>
      <c r="H1" s="8" t="str">
        <f>资源数比较!H1</f>
        <v>X2</v>
      </c>
      <c r="I1" s="8" t="str">
        <f>资源数比较!I1</f>
        <v>BR</v>
      </c>
      <c r="J1" s="8" t="str">
        <f>资源数比较!J1</f>
        <v>CR</v>
      </c>
      <c r="K1" s="22" t="s">
        <v>30</v>
      </c>
      <c r="L1" s="20" t="s">
        <v>31</v>
      </c>
      <c r="M1" s="9"/>
    </row>
    <row r="2" spans="1:23" x14ac:dyDescent="0.15">
      <c r="A2" s="5" t="str">
        <f>算法分析!A$2</f>
        <v>AES</v>
      </c>
      <c r="B2" s="5">
        <f>资源数比较!B2*单元面积!B$9</f>
        <v>15336</v>
      </c>
      <c r="C2" s="5">
        <f>资源数比较!C2*单元面积!C$9</f>
        <v>42594</v>
      </c>
      <c r="D2" s="5">
        <f>资源数比较!D2*单元面积!D$9</f>
        <v>9192</v>
      </c>
      <c r="E2" s="5">
        <f>资源数比较!E2*单元面积!E$9</f>
        <v>19368</v>
      </c>
      <c r="F2" s="5">
        <f>资源数比较!F2*单元面积!F$9</f>
        <v>51191</v>
      </c>
      <c r="G2" s="5">
        <f>资源数比较!G2*单元面积!G$9</f>
        <v>32000</v>
      </c>
      <c r="H2" s="5">
        <f>资源数比较!H2*单元面积!H$9</f>
        <v>0</v>
      </c>
      <c r="I2" s="5">
        <f>资源数比较!I2*单元面积!I$9</f>
        <v>0</v>
      </c>
      <c r="J2" s="5">
        <f>资源数比较!J2*单元面积!J$9</f>
        <v>23228.400000000001</v>
      </c>
      <c r="K2" s="23">
        <f t="shared" ref="K2:K7" si="0">SUM(B2:J2)</f>
        <v>192909.4</v>
      </c>
      <c r="L2" s="5">
        <f t="shared" ref="L2:L7" si="1">K2/K$2</f>
        <v>1</v>
      </c>
      <c r="M2" s="10"/>
    </row>
    <row r="3" spans="1:23" x14ac:dyDescent="0.15">
      <c r="A3" s="5" t="str">
        <f>算法分析!A$3</f>
        <v>DES</v>
      </c>
      <c r="B3" s="5">
        <f>资源数比较!B3*单元面积!B$9</f>
        <v>15336</v>
      </c>
      <c r="C3" s="5">
        <f>资源数比较!C3*单元面积!C$9</f>
        <v>42594</v>
      </c>
      <c r="D3" s="5">
        <f>资源数比较!D3*单元面积!D$9</f>
        <v>9192</v>
      </c>
      <c r="E3" s="5">
        <f>资源数比较!E3*单元面积!E$9</f>
        <v>19368</v>
      </c>
      <c r="F3" s="5">
        <f>资源数比较!F3*单元面积!F$9</f>
        <v>51191</v>
      </c>
      <c r="G3" s="5">
        <f>资源数比较!G3*单元面积!G$9</f>
        <v>32000</v>
      </c>
      <c r="H3" s="5">
        <f>资源数比较!H3*单元面积!H$9</f>
        <v>0</v>
      </c>
      <c r="I3" s="5">
        <f>资源数比较!I3*单元面积!I$9</f>
        <v>0</v>
      </c>
      <c r="J3" s="5">
        <f>资源数比较!J3*单元面积!J$9</f>
        <v>23228.400000000001</v>
      </c>
      <c r="K3" s="23">
        <f t="shared" si="0"/>
        <v>192909.4</v>
      </c>
      <c r="L3" s="5">
        <f t="shared" si="1"/>
        <v>1</v>
      </c>
      <c r="M3" s="10"/>
    </row>
    <row r="4" spans="1:23" x14ac:dyDescent="0.15">
      <c r="A4" s="5" t="str">
        <f>算法分析!A$4</f>
        <v>SM4</v>
      </c>
      <c r="B4" s="5">
        <f>资源数比较!B4*单元面积!B$9</f>
        <v>15336</v>
      </c>
      <c r="C4" s="5">
        <f>资源数比较!C4*单元面积!C$9</f>
        <v>42594</v>
      </c>
      <c r="D4" s="5">
        <f>资源数比较!D4*单元面积!D$9</f>
        <v>9192</v>
      </c>
      <c r="E4" s="5">
        <f>资源数比较!E4*单元面积!E$9</f>
        <v>19368</v>
      </c>
      <c r="F4" s="5">
        <f>资源数比较!F4*单元面积!F$9</f>
        <v>51191</v>
      </c>
      <c r="G4" s="5">
        <f>资源数比较!G4*单元面积!G$9</f>
        <v>32000</v>
      </c>
      <c r="H4" s="5">
        <f>资源数比较!H4*单元面积!H$9</f>
        <v>0</v>
      </c>
      <c r="I4" s="5">
        <f>资源数比较!I4*单元面积!I$9</f>
        <v>0</v>
      </c>
      <c r="J4" s="5">
        <f>资源数比较!J4*单元面积!J$9</f>
        <v>23228.400000000001</v>
      </c>
      <c r="K4" s="23">
        <f t="shared" si="0"/>
        <v>192909.4</v>
      </c>
      <c r="L4" s="5">
        <f t="shared" si="1"/>
        <v>1</v>
      </c>
      <c r="M4" s="10"/>
    </row>
    <row r="5" spans="1:23" x14ac:dyDescent="0.15">
      <c r="A5" s="5" t="str">
        <f>算法分析!A$5</f>
        <v>TWOFISH</v>
      </c>
      <c r="B5" s="5">
        <f>资源数比较!B5*单元面积!B$9</f>
        <v>30672</v>
      </c>
      <c r="C5" s="5">
        <f>资源数比较!C5*单元面积!C$9</f>
        <v>85188</v>
      </c>
      <c r="D5" s="5">
        <f>资源数比较!D5*单元面积!D$9</f>
        <v>18384</v>
      </c>
      <c r="E5" s="5">
        <f>资源数比较!E5*单元面积!E$9</f>
        <v>38736</v>
      </c>
      <c r="F5" s="5">
        <f>资源数比较!F5*单元面积!F$9</f>
        <v>102382</v>
      </c>
      <c r="G5" s="5">
        <f>资源数比较!G5*单元面积!G$9</f>
        <v>64000</v>
      </c>
      <c r="H5" s="5">
        <f>资源数比较!H5*单元面积!H$9</f>
        <v>0</v>
      </c>
      <c r="I5" s="5">
        <f>资源数比较!I5*单元面积!I$9</f>
        <v>0</v>
      </c>
      <c r="J5" s="5">
        <f>资源数比较!J5*单元面积!J$9</f>
        <v>46456.800000000003</v>
      </c>
      <c r="K5" s="23">
        <f t="shared" si="0"/>
        <v>385818.8</v>
      </c>
      <c r="L5" s="5">
        <f t="shared" si="1"/>
        <v>2</v>
      </c>
      <c r="M5" s="10"/>
    </row>
    <row r="6" spans="1:23" x14ac:dyDescent="0.15">
      <c r="A6" s="5" t="str">
        <f>算法分析!A$6</f>
        <v>RC5</v>
      </c>
      <c r="B6" s="5">
        <f>资源数比较!B6*单元面积!B$9</f>
        <v>20447.999999999996</v>
      </c>
      <c r="C6" s="5">
        <f>资源数比较!C6*单元面积!C$9</f>
        <v>56791.999999999993</v>
      </c>
      <c r="D6" s="5">
        <f>资源数比较!D6*单元面积!D$9</f>
        <v>12256</v>
      </c>
      <c r="E6" s="5">
        <f>资源数比较!E6*单元面积!E$9</f>
        <v>25823.999999999996</v>
      </c>
      <c r="F6" s="5">
        <f>资源数比较!F6*单元面积!F$9</f>
        <v>68254.666666666657</v>
      </c>
      <c r="G6" s="5">
        <f>资源数比较!G6*单元面积!G$9</f>
        <v>42666.666666666664</v>
      </c>
      <c r="H6" s="5">
        <f>资源数比较!H6*单元面积!H$9</f>
        <v>0</v>
      </c>
      <c r="I6" s="5">
        <f>资源数比较!I6*单元面积!I$9</f>
        <v>0</v>
      </c>
      <c r="J6" s="5">
        <f>资源数比较!J6*单元面积!J$9</f>
        <v>30971.200000000001</v>
      </c>
      <c r="K6" s="23">
        <f t="shared" si="0"/>
        <v>257212.5333333333</v>
      </c>
      <c r="L6" s="12">
        <f t="shared" si="1"/>
        <v>1.3333333333333333</v>
      </c>
      <c r="M6" s="10"/>
    </row>
    <row r="7" spans="1:23" x14ac:dyDescent="0.15">
      <c r="A7" s="5" t="str">
        <f>算法分析!A$7</f>
        <v>BLOWFISH</v>
      </c>
      <c r="B7" s="5">
        <f>资源数比较!B7*单元面积!B$9</f>
        <v>15336</v>
      </c>
      <c r="C7" s="5">
        <f>资源数比较!C7*单元面积!C$9</f>
        <v>42594</v>
      </c>
      <c r="D7" s="5">
        <f>资源数比较!D7*单元面积!D$9</f>
        <v>9192</v>
      </c>
      <c r="E7" s="5">
        <f>资源数比较!E7*单元面积!E$9</f>
        <v>19368</v>
      </c>
      <c r="F7" s="5">
        <f>资源数比较!F7*单元面积!F$9</f>
        <v>51191</v>
      </c>
      <c r="G7" s="5">
        <f>资源数比较!G7*单元面积!G$9</f>
        <v>32000</v>
      </c>
      <c r="H7" s="5">
        <f>资源数比较!H7*单元面积!H$9</f>
        <v>0</v>
      </c>
      <c r="I7" s="5">
        <f>资源数比较!I7*单元面积!I$9</f>
        <v>0</v>
      </c>
      <c r="J7" s="5">
        <f>资源数比较!J7*单元面积!J$9</f>
        <v>23228.400000000001</v>
      </c>
      <c r="K7" s="23">
        <f t="shared" si="0"/>
        <v>192909.4</v>
      </c>
      <c r="L7" s="5">
        <f t="shared" si="1"/>
        <v>1</v>
      </c>
      <c r="M7" s="10"/>
    </row>
    <row r="9" spans="1:23" x14ac:dyDescent="0.15">
      <c r="A9" s="2" t="str">
        <f>架构比较!A8</f>
        <v>TH</v>
      </c>
      <c r="N9" s="8" t="str">
        <f t="shared" ref="N9:V9" si="2">B1</f>
        <v>AU</v>
      </c>
      <c r="O9" s="8" t="str">
        <f t="shared" si="2"/>
        <v>SH</v>
      </c>
      <c r="P9" s="8" t="str">
        <f t="shared" si="2"/>
        <v>PER</v>
      </c>
      <c r="Q9" s="8" t="str">
        <f t="shared" si="2"/>
        <v>LOU</v>
      </c>
      <c r="R9" s="8" t="str">
        <f t="shared" si="2"/>
        <v>4*LUT256*8</v>
      </c>
      <c r="S9" s="8" t="str">
        <f t="shared" si="2"/>
        <v>GFM</v>
      </c>
      <c r="T9" s="8" t="str">
        <f t="shared" si="2"/>
        <v>X2</v>
      </c>
      <c r="U9" s="8" t="str">
        <f t="shared" si="2"/>
        <v>BR</v>
      </c>
      <c r="V9" s="8" t="str">
        <f t="shared" si="2"/>
        <v>CR</v>
      </c>
      <c r="W9" s="20" t="s">
        <v>33</v>
      </c>
    </row>
    <row r="10" spans="1:23" x14ac:dyDescent="0.15">
      <c r="A10" s="5" t="str">
        <f>算法分析!A$2</f>
        <v>AES</v>
      </c>
      <c r="B10" s="5">
        <f>资源数比较!B10*单元面积!B$9</f>
        <v>10224</v>
      </c>
      <c r="C10" s="5">
        <f>资源数比较!C10*单元面积!C$9</f>
        <v>28396</v>
      </c>
      <c r="D10" s="5">
        <f>资源数比较!D10*单元面积!D$9</f>
        <v>9192</v>
      </c>
      <c r="E10" s="5">
        <f>资源数比较!E10*单元面积!E$9</f>
        <v>77472</v>
      </c>
      <c r="F10" s="5">
        <f>资源数比较!F10*单元面积!F$9</f>
        <v>204764</v>
      </c>
      <c r="G10" s="5">
        <f>资源数比较!G10*单元面积!G$9</f>
        <v>0</v>
      </c>
      <c r="H10" s="5">
        <f>资源数比较!H10*单元面积!H$9</f>
        <v>4000</v>
      </c>
      <c r="I10" s="5">
        <f>资源数比较!I10*单元面积!I$9</f>
        <v>0</v>
      </c>
      <c r="J10" s="5">
        <f>资源数比较!J10*单元面积!K$9</f>
        <v>77428</v>
      </c>
      <c r="K10" s="23">
        <f t="shared" ref="K10:K15" si="3">SUM(B10:J10)</f>
        <v>411476</v>
      </c>
      <c r="L10" s="5">
        <f t="shared" ref="L10:L15" si="4">K10/K$10</f>
        <v>1</v>
      </c>
      <c r="M10" s="19"/>
      <c r="N10" s="18">
        <f t="shared" ref="N10:V15" si="5">(B10-B2)/($K10-$K2)</f>
        <v>-2.3388751986808596E-2</v>
      </c>
      <c r="O10" s="18">
        <f t="shared" si="5"/>
        <v>-6.4959604989966446E-2</v>
      </c>
      <c r="P10" s="18">
        <f t="shared" si="5"/>
        <v>0</v>
      </c>
      <c r="Q10" s="18">
        <f t="shared" si="5"/>
        <v>0.26584116694865545</v>
      </c>
      <c r="R10" s="18">
        <f t="shared" si="5"/>
        <v>0.70263709093704163</v>
      </c>
      <c r="S10" s="18">
        <f t="shared" si="5"/>
        <v>-0.14640846314121186</v>
      </c>
      <c r="T10" s="18">
        <f t="shared" si="5"/>
        <v>1.8301057892651483E-2</v>
      </c>
      <c r="U10" s="18">
        <f t="shared" si="5"/>
        <v>0</v>
      </c>
      <c r="V10" s="18">
        <f t="shared" si="5"/>
        <v>0.24797750433963833</v>
      </c>
      <c r="W10" s="16">
        <f>(K10-K2)/K10</f>
        <v>0.53117703098115077</v>
      </c>
    </row>
    <row r="11" spans="1:23" x14ac:dyDescent="0.15">
      <c r="A11" s="5" t="str">
        <f>算法分析!A$3</f>
        <v>DES</v>
      </c>
      <c r="B11" s="5">
        <f>资源数比较!B11*单元面积!B$9</f>
        <v>20448</v>
      </c>
      <c r="C11" s="5">
        <f>资源数比较!C11*单元面积!C$9</f>
        <v>56792</v>
      </c>
      <c r="D11" s="5">
        <f>资源数比较!D11*单元面积!D$9</f>
        <v>18384</v>
      </c>
      <c r="E11" s="5">
        <f>资源数比较!E11*单元面积!E$9</f>
        <v>154944</v>
      </c>
      <c r="F11" s="5">
        <f>资源数比较!F11*单元面积!F$9</f>
        <v>409528</v>
      </c>
      <c r="G11" s="5">
        <f>资源数比较!G11*单元面积!G$9</f>
        <v>0</v>
      </c>
      <c r="H11" s="5">
        <f>资源数比较!H11*单元面积!H$9</f>
        <v>8000</v>
      </c>
      <c r="I11" s="5">
        <f>资源数比较!I11*单元面积!I$9</f>
        <v>0</v>
      </c>
      <c r="J11" s="5">
        <f>资源数比较!J11*单元面积!K$9</f>
        <v>154856</v>
      </c>
      <c r="K11" s="23">
        <f t="shared" si="3"/>
        <v>822952</v>
      </c>
      <c r="L11" s="5">
        <f t="shared" si="4"/>
        <v>2</v>
      </c>
      <c r="M11" s="19"/>
      <c r="N11" s="18">
        <f t="shared" si="5"/>
        <v>8.1137370711123341E-3</v>
      </c>
      <c r="O11" s="18">
        <f t="shared" si="5"/>
        <v>2.2534984142342122E-2</v>
      </c>
      <c r="P11" s="18">
        <f t="shared" si="5"/>
        <v>1.4589489663079925E-2</v>
      </c>
      <c r="Q11" s="18">
        <f t="shared" si="5"/>
        <v>0.21518544936485248</v>
      </c>
      <c r="R11" s="18">
        <f t="shared" si="5"/>
        <v>0.56875043052644381</v>
      </c>
      <c r="S11" s="18">
        <f t="shared" si="5"/>
        <v>-5.0790216407588948E-2</v>
      </c>
      <c r="T11" s="18">
        <f t="shared" si="5"/>
        <v>1.2697554101897237E-2</v>
      </c>
      <c r="U11" s="18">
        <f t="shared" si="5"/>
        <v>0</v>
      </c>
      <c r="V11" s="18">
        <f t="shared" si="5"/>
        <v>0.20891857153786111</v>
      </c>
      <c r="W11" s="16">
        <f t="shared" ref="W11:W15" si="6">(K11-K3)/K11</f>
        <v>0.76558851549057538</v>
      </c>
    </row>
    <row r="12" spans="1:23" x14ac:dyDescent="0.15">
      <c r="A12" s="5" t="str">
        <f>算法分析!A$4</f>
        <v>SM4</v>
      </c>
      <c r="B12" s="5">
        <f>资源数比较!B12*单元面积!B$9</f>
        <v>20448</v>
      </c>
      <c r="C12" s="5">
        <f>资源数比较!C12*单元面积!C$9</f>
        <v>56792</v>
      </c>
      <c r="D12" s="5">
        <f>资源数比较!D12*单元面积!D$9</f>
        <v>18384</v>
      </c>
      <c r="E12" s="5">
        <f>资源数比较!E12*单元面积!E$9</f>
        <v>154944</v>
      </c>
      <c r="F12" s="5">
        <f>资源数比较!F12*单元面积!F$9</f>
        <v>409528</v>
      </c>
      <c r="G12" s="5">
        <f>资源数比较!G12*单元面积!G$9</f>
        <v>0</v>
      </c>
      <c r="H12" s="5">
        <f>资源数比较!H12*单元面积!H$9</f>
        <v>8000</v>
      </c>
      <c r="I12" s="5">
        <f>资源数比较!I12*单元面积!I$9</f>
        <v>0</v>
      </c>
      <c r="J12" s="5">
        <f>资源数比较!J12*单元面积!K$9</f>
        <v>154856</v>
      </c>
      <c r="K12" s="23">
        <f t="shared" si="3"/>
        <v>822952</v>
      </c>
      <c r="L12" s="5">
        <f t="shared" si="4"/>
        <v>2</v>
      </c>
      <c r="M12" s="19"/>
      <c r="N12" s="18">
        <f t="shared" si="5"/>
        <v>8.1137370711123341E-3</v>
      </c>
      <c r="O12" s="18">
        <f t="shared" si="5"/>
        <v>2.2534984142342122E-2</v>
      </c>
      <c r="P12" s="18">
        <f t="shared" si="5"/>
        <v>1.4589489663079925E-2</v>
      </c>
      <c r="Q12" s="18">
        <f t="shared" si="5"/>
        <v>0.21518544936485248</v>
      </c>
      <c r="R12" s="18">
        <f t="shared" si="5"/>
        <v>0.56875043052644381</v>
      </c>
      <c r="S12" s="18">
        <f t="shared" si="5"/>
        <v>-5.0790216407588948E-2</v>
      </c>
      <c r="T12" s="18">
        <f t="shared" si="5"/>
        <v>1.2697554101897237E-2</v>
      </c>
      <c r="U12" s="18">
        <f t="shared" si="5"/>
        <v>0</v>
      </c>
      <c r="V12" s="18">
        <f t="shared" si="5"/>
        <v>0.20891857153786111</v>
      </c>
      <c r="W12" s="16">
        <f t="shared" si="6"/>
        <v>0.76558851549057538</v>
      </c>
    </row>
    <row r="13" spans="1:23" x14ac:dyDescent="0.15">
      <c r="A13" s="5" t="str">
        <f>算法分析!A$5</f>
        <v>TWOFISH</v>
      </c>
      <c r="B13" s="5">
        <f>资源数比较!B13*单元面积!B$9</f>
        <v>30672</v>
      </c>
      <c r="C13" s="5">
        <f>资源数比较!C13*单元面积!C$9</f>
        <v>85188</v>
      </c>
      <c r="D13" s="5">
        <f>资源数比较!D13*单元面积!D$9</f>
        <v>27576</v>
      </c>
      <c r="E13" s="5">
        <f>资源数比较!E13*单元面积!E$9</f>
        <v>232416</v>
      </c>
      <c r="F13" s="5">
        <f>资源数比较!F13*单元面积!F$9</f>
        <v>614292</v>
      </c>
      <c r="G13" s="5">
        <f>资源数比较!G13*单元面积!G$9</f>
        <v>0</v>
      </c>
      <c r="H13" s="5">
        <f>资源数比较!H13*单元面积!H$9</f>
        <v>12000</v>
      </c>
      <c r="I13" s="5">
        <f>资源数比较!I13*单元面积!I$9</f>
        <v>0</v>
      </c>
      <c r="J13" s="5">
        <f>资源数比较!J13*单元面积!K$9</f>
        <v>232284</v>
      </c>
      <c r="K13" s="23">
        <f t="shared" si="3"/>
        <v>1234428</v>
      </c>
      <c r="L13" s="5">
        <f t="shared" si="4"/>
        <v>3</v>
      </c>
      <c r="M13" s="19"/>
      <c r="N13" s="18">
        <f t="shared" si="5"/>
        <v>0</v>
      </c>
      <c r="O13" s="18">
        <f t="shared" si="5"/>
        <v>0</v>
      </c>
      <c r="P13" s="18">
        <f t="shared" si="5"/>
        <v>1.0831841087746869E-2</v>
      </c>
      <c r="Q13" s="18">
        <f t="shared" si="5"/>
        <v>0.22823226521701628</v>
      </c>
      <c r="R13" s="18">
        <f t="shared" si="5"/>
        <v>0.60323409173504128</v>
      </c>
      <c r="S13" s="18">
        <f t="shared" si="5"/>
        <v>-7.5417518452545657E-2</v>
      </c>
      <c r="T13" s="18">
        <f t="shared" si="5"/>
        <v>1.4140784709852309E-2</v>
      </c>
      <c r="U13" s="18">
        <f t="shared" si="5"/>
        <v>0</v>
      </c>
      <c r="V13" s="18">
        <f t="shared" si="5"/>
        <v>0.21897853570288894</v>
      </c>
      <c r="W13" s="16">
        <f t="shared" si="6"/>
        <v>0.68745135398743384</v>
      </c>
    </row>
    <row r="14" spans="1:23" x14ac:dyDescent="0.15">
      <c r="A14" s="5" t="str">
        <f>算法分析!A$6</f>
        <v>RC5</v>
      </c>
      <c r="B14" s="5">
        <f>资源数比较!B14*单元面积!B$9</f>
        <v>20448</v>
      </c>
      <c r="C14" s="5">
        <f>资源数比较!C14*单元面积!C$9</f>
        <v>56792</v>
      </c>
      <c r="D14" s="5">
        <f>资源数比较!D14*单元面积!D$9</f>
        <v>18384</v>
      </c>
      <c r="E14" s="5">
        <f>资源数比较!E14*单元面积!E$9</f>
        <v>154944</v>
      </c>
      <c r="F14" s="5">
        <f>资源数比较!F14*单元面积!F$9</f>
        <v>409528</v>
      </c>
      <c r="G14" s="5">
        <f>资源数比较!G14*单元面积!G$9</f>
        <v>0</v>
      </c>
      <c r="H14" s="5">
        <f>资源数比较!H14*单元面积!H$9</f>
        <v>8000</v>
      </c>
      <c r="I14" s="5">
        <f>资源数比较!I14*单元面积!I$9</f>
        <v>0</v>
      </c>
      <c r="J14" s="5">
        <f>资源数比较!J14*单元面积!K$9</f>
        <v>154856</v>
      </c>
      <c r="K14" s="23">
        <f t="shared" si="3"/>
        <v>822952</v>
      </c>
      <c r="L14" s="5">
        <f t="shared" si="4"/>
        <v>2</v>
      </c>
      <c r="M14" s="19"/>
      <c r="N14" s="18">
        <f t="shared" si="5"/>
        <v>6.4304843862611546E-18</v>
      </c>
      <c r="O14" s="18">
        <f t="shared" si="5"/>
        <v>1.2860968772522309E-17</v>
      </c>
      <c r="P14" s="18">
        <f t="shared" si="5"/>
        <v>1.0831841087746869E-2</v>
      </c>
      <c r="Q14" s="18">
        <f t="shared" si="5"/>
        <v>0.22823226521701626</v>
      </c>
      <c r="R14" s="18">
        <f t="shared" si="5"/>
        <v>0.60323409173504139</v>
      </c>
      <c r="S14" s="18">
        <f t="shared" si="5"/>
        <v>-7.5417518452545643E-2</v>
      </c>
      <c r="T14" s="18">
        <f t="shared" si="5"/>
        <v>1.4140784709852309E-2</v>
      </c>
      <c r="U14" s="18">
        <f t="shared" si="5"/>
        <v>0</v>
      </c>
      <c r="V14" s="18">
        <f t="shared" si="5"/>
        <v>0.21897853570288892</v>
      </c>
      <c r="W14" s="16">
        <f t="shared" si="6"/>
        <v>0.68745135398743384</v>
      </c>
    </row>
    <row r="15" spans="1:23" x14ac:dyDescent="0.15">
      <c r="A15" s="5" t="str">
        <f>算法分析!A$7</f>
        <v>BLOWFISH</v>
      </c>
      <c r="B15" s="5">
        <f>资源数比较!B15*单元面积!B$9</f>
        <v>20448</v>
      </c>
      <c r="C15" s="5">
        <f>资源数比较!C15*单元面积!C$9</f>
        <v>56792</v>
      </c>
      <c r="D15" s="5">
        <f>资源数比较!D15*单元面积!D$9</f>
        <v>18384</v>
      </c>
      <c r="E15" s="5">
        <f>资源数比较!E15*单元面积!E$9</f>
        <v>154944</v>
      </c>
      <c r="F15" s="5">
        <f>资源数比较!F15*单元面积!F$9</f>
        <v>409528</v>
      </c>
      <c r="G15" s="5">
        <f>资源数比较!G15*单元面积!G$9</f>
        <v>0</v>
      </c>
      <c r="H15" s="5">
        <f>资源数比较!H15*单元面积!H$9</f>
        <v>8000</v>
      </c>
      <c r="I15" s="5">
        <f>资源数比较!I15*单元面积!I$9</f>
        <v>0</v>
      </c>
      <c r="J15" s="5">
        <f>资源数比较!J15*单元面积!K$9</f>
        <v>154856</v>
      </c>
      <c r="K15" s="23">
        <f t="shared" si="3"/>
        <v>822952</v>
      </c>
      <c r="L15" s="5">
        <f t="shared" si="4"/>
        <v>2</v>
      </c>
      <c r="M15" s="19"/>
      <c r="N15" s="18">
        <f t="shared" si="5"/>
        <v>8.1137370711123341E-3</v>
      </c>
      <c r="O15" s="18">
        <f t="shared" si="5"/>
        <v>2.2534984142342122E-2</v>
      </c>
      <c r="P15" s="18">
        <f t="shared" si="5"/>
        <v>1.4589489663079925E-2</v>
      </c>
      <c r="Q15" s="18">
        <f t="shared" si="5"/>
        <v>0.21518544936485248</v>
      </c>
      <c r="R15" s="18">
        <f t="shared" si="5"/>
        <v>0.56875043052644381</v>
      </c>
      <c r="S15" s="18">
        <f t="shared" si="5"/>
        <v>-5.0790216407588948E-2</v>
      </c>
      <c r="T15" s="18">
        <f t="shared" si="5"/>
        <v>1.2697554101897237E-2</v>
      </c>
      <c r="U15" s="18">
        <f t="shared" si="5"/>
        <v>0</v>
      </c>
      <c r="V15" s="18">
        <f t="shared" si="5"/>
        <v>0.20891857153786111</v>
      </c>
      <c r="W15" s="16">
        <f t="shared" si="6"/>
        <v>0.76558851549057538</v>
      </c>
    </row>
    <row r="16" spans="1:23" x14ac:dyDescent="0.15">
      <c r="M16" s="10"/>
    </row>
    <row r="17" spans="1:23" x14ac:dyDescent="0.15">
      <c r="A17" s="5" t="str">
        <f>架构比较!A11</f>
        <v>Cyptoraptor</v>
      </c>
    </row>
    <row r="18" spans="1:23" x14ac:dyDescent="0.15">
      <c r="A18" s="5" t="str">
        <f>算法分析!A$2</f>
        <v>AES</v>
      </c>
      <c r="B18" s="5">
        <f>资源数比较!B18*单元面积!B$9</f>
        <v>10224</v>
      </c>
      <c r="C18" s="5">
        <f>资源数比较!C18*单元面积!C$9</f>
        <v>28396</v>
      </c>
      <c r="D18" s="5">
        <f>资源数比较!D18*单元面积!D$9</f>
        <v>18384</v>
      </c>
      <c r="E18" s="5">
        <f>资源数比较!E18*单元面积!E$9</f>
        <v>12912</v>
      </c>
      <c r="F18" s="5">
        <f>资源数比较!F18*单元面积!F$9</f>
        <v>716674</v>
      </c>
      <c r="G18" s="5">
        <f>资源数比较!G18*单元面积!G$9</f>
        <v>0</v>
      </c>
      <c r="H18" s="5">
        <f>资源数比较!H18*单元面积!H$9</f>
        <v>0</v>
      </c>
      <c r="I18" s="5">
        <f>资源数比较!I18*单元面积!I$9</f>
        <v>9600</v>
      </c>
      <c r="J18" s="5">
        <f>资源数比较!J18*单元面积!K$9</f>
        <v>77428</v>
      </c>
      <c r="K18" s="23">
        <f t="shared" ref="K18:K23" si="7">SUM(B18:J18)</f>
        <v>873618</v>
      </c>
      <c r="L18" s="5">
        <f t="shared" ref="L18:L23" si="8">K18/K$18</f>
        <v>1</v>
      </c>
      <c r="M18" s="10"/>
      <c r="N18" s="16">
        <f t="shared" ref="N18:V23" si="9">(B18-B2)/($K18-$K2)</f>
        <v>-7.5098213831880489E-3</v>
      </c>
      <c r="O18" s="18">
        <f t="shared" si="9"/>
        <v>-2.0857676838517979E-2</v>
      </c>
      <c r="P18" s="18">
        <f t="shared" si="9"/>
        <v>1.3503575538784144E-2</v>
      </c>
      <c r="Q18" s="18">
        <f t="shared" si="9"/>
        <v>-9.4842345167961747E-3</v>
      </c>
      <c r="R18" s="18">
        <f t="shared" si="9"/>
        <v>0.97763271978641086</v>
      </c>
      <c r="S18" s="18">
        <f t="shared" si="9"/>
        <v>-4.7009836514479181E-2</v>
      </c>
      <c r="T18" s="18">
        <f t="shared" si="9"/>
        <v>0</v>
      </c>
      <c r="U18" s="18">
        <f t="shared" si="9"/>
        <v>1.4102950954343753E-2</v>
      </c>
      <c r="V18" s="18">
        <f t="shared" si="9"/>
        <v>7.9622322973442669E-2</v>
      </c>
      <c r="W18" s="16">
        <f>(K18-K2)/K18</f>
        <v>0.77918335015990969</v>
      </c>
    </row>
    <row r="19" spans="1:23" x14ac:dyDescent="0.15">
      <c r="A19" s="5" t="str">
        <f>算法分析!A$3</f>
        <v>DES</v>
      </c>
      <c r="B19" s="5">
        <f>资源数比较!B19*单元面积!B$9</f>
        <v>15336</v>
      </c>
      <c r="C19" s="5">
        <f>资源数比较!C19*单元面积!C$9</f>
        <v>42594</v>
      </c>
      <c r="D19" s="5">
        <f>资源数比较!D19*单元面积!D$9</f>
        <v>27576</v>
      </c>
      <c r="E19" s="5">
        <f>资源数比较!E19*单元面积!E$9</f>
        <v>19368</v>
      </c>
      <c r="F19" s="5">
        <f>资源数比较!F19*单元面积!F$9</f>
        <v>1075011</v>
      </c>
      <c r="G19" s="5">
        <f>资源数比较!G19*单元面积!G$9</f>
        <v>0</v>
      </c>
      <c r="H19" s="5">
        <f>资源数比较!H19*单元面积!H$9</f>
        <v>0</v>
      </c>
      <c r="I19" s="5">
        <f>资源数比较!I19*单元面积!I$9</f>
        <v>14400</v>
      </c>
      <c r="J19" s="5">
        <f>资源数比较!J19*单元面积!K$9</f>
        <v>116142</v>
      </c>
      <c r="K19" s="23">
        <f t="shared" si="7"/>
        <v>1310427</v>
      </c>
      <c r="L19" s="5">
        <f t="shared" si="8"/>
        <v>1.5</v>
      </c>
      <c r="M19" s="10"/>
      <c r="N19" s="16">
        <f t="shared" si="9"/>
        <v>0</v>
      </c>
      <c r="O19" s="18">
        <f t="shared" si="9"/>
        <v>0</v>
      </c>
      <c r="P19" s="18">
        <f t="shared" si="9"/>
        <v>1.6450747621334999E-2</v>
      </c>
      <c r="Q19" s="18">
        <f t="shared" si="9"/>
        <v>0</v>
      </c>
      <c r="R19" s="18">
        <f t="shared" si="9"/>
        <v>0.91615559343315922</v>
      </c>
      <c r="S19" s="18">
        <f t="shared" si="9"/>
        <v>-2.8634895772558747E-2</v>
      </c>
      <c r="T19" s="18">
        <f t="shared" si="9"/>
        <v>0</v>
      </c>
      <c r="U19" s="18">
        <f t="shared" si="9"/>
        <v>1.2885703097651436E-2</v>
      </c>
      <c r="V19" s="18">
        <f t="shared" si="9"/>
        <v>8.3142851620412961E-2</v>
      </c>
      <c r="W19" s="16">
        <f t="shared" ref="W19:W23" si="10">(K19-K3)/K19</f>
        <v>0.85278890010660657</v>
      </c>
    </row>
    <row r="20" spans="1:23" x14ac:dyDescent="0.15">
      <c r="A20" s="5" t="str">
        <f>算法分析!A$4</f>
        <v>SM4</v>
      </c>
      <c r="B20" s="5">
        <f>资源数比较!B20*单元面积!B$9</f>
        <v>20448</v>
      </c>
      <c r="C20" s="5">
        <f>资源数比较!C20*单元面积!C$9</f>
        <v>56792</v>
      </c>
      <c r="D20" s="5">
        <f>资源数比较!D20*单元面积!D$9</f>
        <v>36768</v>
      </c>
      <c r="E20" s="5">
        <f>资源数比较!E20*单元面积!E$9</f>
        <v>25824</v>
      </c>
      <c r="F20" s="5">
        <f>资源数比较!F20*单元面积!F$9</f>
        <v>1433348</v>
      </c>
      <c r="G20" s="5">
        <f>资源数比较!G20*单元面积!G$9</f>
        <v>0</v>
      </c>
      <c r="H20" s="5">
        <f>资源数比较!H20*单元面积!H$9</f>
        <v>0</v>
      </c>
      <c r="I20" s="5">
        <f>资源数比较!I20*单元面积!I$9</f>
        <v>19200</v>
      </c>
      <c r="J20" s="5">
        <f>资源数比较!J20*单元面积!K$9</f>
        <v>154856</v>
      </c>
      <c r="K20" s="23">
        <f t="shared" si="7"/>
        <v>1747236</v>
      </c>
      <c r="L20" s="5">
        <f t="shared" si="8"/>
        <v>2</v>
      </c>
      <c r="M20" s="10"/>
      <c r="N20" s="16">
        <f t="shared" si="9"/>
        <v>3.2888840736560771E-3</v>
      </c>
      <c r="O20" s="18">
        <f t="shared" si="9"/>
        <v>9.1345023626308655E-3</v>
      </c>
      <c r="P20" s="18">
        <f t="shared" si="9"/>
        <v>1.7741445073384189E-2</v>
      </c>
      <c r="Q20" s="18">
        <f t="shared" si="9"/>
        <v>4.1535672103919473E-3</v>
      </c>
      <c r="R20" s="18">
        <f t="shared" si="9"/>
        <v>0.88923203141476181</v>
      </c>
      <c r="S20" s="18">
        <f t="shared" si="9"/>
        <v>-2.0587693731806429E-2</v>
      </c>
      <c r="T20" s="18">
        <f t="shared" si="9"/>
        <v>0</v>
      </c>
      <c r="U20" s="18">
        <f t="shared" si="9"/>
        <v>1.2352616239083857E-2</v>
      </c>
      <c r="V20" s="18">
        <f t="shared" si="9"/>
        <v>8.468464735789763E-2</v>
      </c>
      <c r="W20" s="16">
        <f t="shared" si="10"/>
        <v>0.88959167507995496</v>
      </c>
    </row>
    <row r="21" spans="1:23" x14ac:dyDescent="0.15">
      <c r="A21" s="5" t="str">
        <f>算法分析!A$5</f>
        <v>TWOFISH</v>
      </c>
      <c r="B21" s="5">
        <f>资源数比较!B21*单元面积!B$9</f>
        <v>25560</v>
      </c>
      <c r="C21" s="5">
        <f>资源数比较!C21*单元面积!C$9</f>
        <v>70990</v>
      </c>
      <c r="D21" s="5">
        <f>资源数比较!D21*单元面积!D$9</f>
        <v>45960</v>
      </c>
      <c r="E21" s="5">
        <f>资源数比较!E21*单元面积!E$9</f>
        <v>32280</v>
      </c>
      <c r="F21" s="5">
        <f>资源数比较!F21*单元面积!F$9</f>
        <v>1791685</v>
      </c>
      <c r="G21" s="5">
        <f>资源数比较!G21*单元面积!G$9</f>
        <v>0</v>
      </c>
      <c r="H21" s="5">
        <f>资源数比较!H21*单元面积!H$9</f>
        <v>0</v>
      </c>
      <c r="I21" s="5">
        <f>资源数比较!I21*单元面积!I$9</f>
        <v>24000</v>
      </c>
      <c r="J21" s="5">
        <f>资源数比较!J21*单元面积!K$9</f>
        <v>193570</v>
      </c>
      <c r="K21" s="23">
        <f t="shared" si="7"/>
        <v>2184045</v>
      </c>
      <c r="L21" s="5">
        <f t="shared" si="8"/>
        <v>2.5</v>
      </c>
      <c r="M21" s="10"/>
      <c r="N21" s="16">
        <f t="shared" si="9"/>
        <v>-2.8428014228688249E-3</v>
      </c>
      <c r="O21" s="18">
        <f t="shared" si="9"/>
        <v>-7.8955584119506216E-3</v>
      </c>
      <c r="P21" s="18">
        <f t="shared" si="9"/>
        <v>1.5335111900827605E-2</v>
      </c>
      <c r="Q21" s="18">
        <f t="shared" si="9"/>
        <v>-3.5902046138578119E-3</v>
      </c>
      <c r="R21" s="18">
        <f t="shared" si="9"/>
        <v>0.93942742019886039</v>
      </c>
      <c r="S21" s="18">
        <f t="shared" si="9"/>
        <v>-3.5590628142332707E-2</v>
      </c>
      <c r="T21" s="18">
        <f t="shared" si="9"/>
        <v>0</v>
      </c>
      <c r="U21" s="18">
        <f t="shared" si="9"/>
        <v>1.3346485553374764E-2</v>
      </c>
      <c r="V21" s="18">
        <f t="shared" si="9"/>
        <v>8.1810174937947192E-2</v>
      </c>
      <c r="W21" s="16">
        <f t="shared" si="10"/>
        <v>0.82334668012792778</v>
      </c>
    </row>
    <row r="22" spans="1:23" x14ac:dyDescent="0.15">
      <c r="A22" s="5" t="str">
        <f>算法分析!A$6</f>
        <v>RC5</v>
      </c>
      <c r="B22" s="5">
        <f>资源数比较!B22*单元面积!B$9</f>
        <v>20448</v>
      </c>
      <c r="C22" s="5">
        <f>资源数比较!C22*单元面积!C$9</f>
        <v>56792</v>
      </c>
      <c r="D22" s="5">
        <f>资源数比较!D22*单元面积!D$9</f>
        <v>36768</v>
      </c>
      <c r="E22" s="5">
        <f>资源数比较!E22*单元面积!E$9</f>
        <v>25824</v>
      </c>
      <c r="F22" s="5">
        <f>资源数比较!F22*单元面积!F$9</f>
        <v>1433348</v>
      </c>
      <c r="G22" s="5">
        <f>资源数比较!G22*单元面积!G$9</f>
        <v>0</v>
      </c>
      <c r="H22" s="5">
        <f>资源数比较!H22*单元面积!H$9</f>
        <v>0</v>
      </c>
      <c r="I22" s="5">
        <f>资源数比较!I22*单元面积!I$9</f>
        <v>19200</v>
      </c>
      <c r="J22" s="5">
        <f>资源数比较!J22*单元面积!K$9</f>
        <v>154856</v>
      </c>
      <c r="K22" s="23">
        <f t="shared" si="7"/>
        <v>1747236</v>
      </c>
      <c r="L22" s="5">
        <f t="shared" si="8"/>
        <v>2</v>
      </c>
      <c r="M22" s="10"/>
      <c r="N22" s="16">
        <f t="shared" si="9"/>
        <v>2.4415580616527063E-18</v>
      </c>
      <c r="O22" s="18">
        <f t="shared" si="9"/>
        <v>4.8831161233054126E-18</v>
      </c>
      <c r="P22" s="18">
        <f t="shared" si="9"/>
        <v>1.6450747621334999E-2</v>
      </c>
      <c r="Q22" s="18">
        <f t="shared" si="9"/>
        <v>2.4415580616527063E-18</v>
      </c>
      <c r="R22" s="18">
        <f t="shared" si="9"/>
        <v>0.91615559343315922</v>
      </c>
      <c r="S22" s="18">
        <f t="shared" si="9"/>
        <v>-2.8634895772558747E-2</v>
      </c>
      <c r="T22" s="18">
        <f t="shared" si="9"/>
        <v>0</v>
      </c>
      <c r="U22" s="18">
        <f t="shared" si="9"/>
        <v>1.2885703097651436E-2</v>
      </c>
      <c r="V22" s="18">
        <f t="shared" si="9"/>
        <v>8.3142851620412947E-2</v>
      </c>
      <c r="W22" s="16">
        <f t="shared" si="10"/>
        <v>0.85278890010660657</v>
      </c>
    </row>
    <row r="23" spans="1:23" x14ac:dyDescent="0.15">
      <c r="A23" s="5" t="str">
        <f>算法分析!A$7</f>
        <v>BLOWFISH</v>
      </c>
      <c r="B23" s="5">
        <f>资源数比较!B23*单元面积!B$9</f>
        <v>15336</v>
      </c>
      <c r="C23" s="5">
        <f>资源数比较!C23*单元面积!C$9</f>
        <v>42594</v>
      </c>
      <c r="D23" s="5">
        <f>资源数比较!D23*单元面积!D$9</f>
        <v>27576</v>
      </c>
      <c r="E23" s="5">
        <f>资源数比较!E23*单元面积!E$9</f>
        <v>19368</v>
      </c>
      <c r="F23" s="5">
        <f>资源数比较!F23*单元面积!F$9</f>
        <v>1075011</v>
      </c>
      <c r="G23" s="5">
        <f>资源数比较!G23*单元面积!G$9</f>
        <v>0</v>
      </c>
      <c r="H23" s="5">
        <f>资源数比较!H23*单元面积!H$9</f>
        <v>0</v>
      </c>
      <c r="I23" s="5">
        <f>资源数比较!I23*单元面积!I$9</f>
        <v>14400</v>
      </c>
      <c r="J23" s="5">
        <f>资源数比较!J23*单元面积!K$9</f>
        <v>116142</v>
      </c>
      <c r="K23" s="23">
        <f t="shared" si="7"/>
        <v>1310427</v>
      </c>
      <c r="L23" s="5">
        <f t="shared" si="8"/>
        <v>1.5</v>
      </c>
      <c r="M23" s="10"/>
      <c r="N23" s="16">
        <f t="shared" si="9"/>
        <v>0</v>
      </c>
      <c r="O23" s="18">
        <f t="shared" si="9"/>
        <v>0</v>
      </c>
      <c r="P23" s="18">
        <f t="shared" si="9"/>
        <v>1.6450747621334999E-2</v>
      </c>
      <c r="Q23" s="18">
        <f t="shared" si="9"/>
        <v>0</v>
      </c>
      <c r="R23" s="18">
        <f t="shared" si="9"/>
        <v>0.91615559343315922</v>
      </c>
      <c r="S23" s="18">
        <f t="shared" si="9"/>
        <v>-2.8634895772558747E-2</v>
      </c>
      <c r="T23" s="18">
        <f t="shared" si="9"/>
        <v>0</v>
      </c>
      <c r="U23" s="18">
        <f t="shared" si="9"/>
        <v>1.2885703097651436E-2</v>
      </c>
      <c r="V23" s="18">
        <f t="shared" si="9"/>
        <v>8.3142851620412961E-2</v>
      </c>
      <c r="W23" s="16">
        <f t="shared" si="10"/>
        <v>0.85278890010660657</v>
      </c>
    </row>
    <row r="25" spans="1:23" x14ac:dyDescent="0.15">
      <c r="A25" s="5" t="str">
        <f>架构比较!A13</f>
        <v>RCPA</v>
      </c>
    </row>
    <row r="26" spans="1:23" x14ac:dyDescent="0.15">
      <c r="A26" s="5" t="str">
        <f>算法分析!A$2</f>
        <v>AES</v>
      </c>
      <c r="B26" s="5">
        <f>资源数比较!B26*单元面积!B$9</f>
        <v>10224</v>
      </c>
      <c r="C26" s="5">
        <f>资源数比较!C26*单元面积!C$9</f>
        <v>28396</v>
      </c>
      <c r="D26" s="5">
        <f>资源数比较!D26*单元面积!D$9</f>
        <v>18384</v>
      </c>
      <c r="E26" s="5">
        <f>资源数比较!E26*单元面积!E$9</f>
        <v>25824</v>
      </c>
      <c r="F26" s="5">
        <f>资源数比较!F26*单元面积!F$9</f>
        <v>204764</v>
      </c>
      <c r="G26" s="5">
        <f>资源数比较!G26*单元面积!G$9</f>
        <v>64000</v>
      </c>
      <c r="H26" s="5">
        <f>资源数比较!H26*单元面积!H$9</f>
        <v>0</v>
      </c>
      <c r="I26" s="5">
        <f>资源数比较!I26*单元面积!I$9</f>
        <v>0</v>
      </c>
      <c r="J26" s="5">
        <f>资源数比较!J26*单元面积!J$9</f>
        <v>15485.6</v>
      </c>
      <c r="K26" s="23">
        <f t="shared" ref="K26:K31" si="11">SUM(B26:J26)</f>
        <v>367077.6</v>
      </c>
      <c r="L26" s="5">
        <f t="shared" ref="L26:L31" si="12">K26/K$26</f>
        <v>1</v>
      </c>
      <c r="M26" s="10"/>
      <c r="N26" s="16">
        <f t="shared" ref="N26:V31" si="13">(B26-B2)/($K26-$K2)</f>
        <v>-2.9350937771648329E-2</v>
      </c>
      <c r="O26" s="16">
        <f t="shared" si="13"/>
        <v>-8.1518899546530313E-2</v>
      </c>
      <c r="P26" s="16">
        <f t="shared" si="13"/>
        <v>5.2776568857001459E-2</v>
      </c>
      <c r="Q26" s="16">
        <f t="shared" si="13"/>
        <v>3.7067616246823476E-2</v>
      </c>
      <c r="R26" s="16">
        <f t="shared" si="13"/>
        <v>0.88175108888993525</v>
      </c>
      <c r="S26" s="16">
        <f t="shared" si="13"/>
        <v>0.18373043988512255</v>
      </c>
      <c r="T26" s="16">
        <f t="shared" si="13"/>
        <v>0</v>
      </c>
      <c r="U26" s="16">
        <f t="shared" si="13"/>
        <v>0</v>
      </c>
      <c r="V26" s="16">
        <f t="shared" si="13"/>
        <v>-4.4455876560703975E-2</v>
      </c>
      <c r="W26" s="16">
        <f>(K26-K2)/K26</f>
        <v>0.47447242762838154</v>
      </c>
    </row>
    <row r="27" spans="1:23" x14ac:dyDescent="0.15">
      <c r="A27" s="5" t="str">
        <f>算法分析!A$3</f>
        <v>DES</v>
      </c>
      <c r="B27" s="5">
        <f>资源数比较!B27*单元面积!B$9</f>
        <v>15336</v>
      </c>
      <c r="C27" s="5">
        <f>资源数比较!C27*单元面积!C$9</f>
        <v>42594</v>
      </c>
      <c r="D27" s="5">
        <f>资源数比较!D27*单元面积!D$9</f>
        <v>27576</v>
      </c>
      <c r="E27" s="5">
        <f>资源数比较!E27*单元面积!E$9</f>
        <v>38736</v>
      </c>
      <c r="F27" s="5">
        <f>资源数比较!F27*单元面积!F$9</f>
        <v>307146</v>
      </c>
      <c r="G27" s="5">
        <f>资源数比较!G27*单元面积!G$9</f>
        <v>96000</v>
      </c>
      <c r="H27" s="5">
        <f>资源数比较!H27*单元面积!H$9</f>
        <v>0</v>
      </c>
      <c r="I27" s="5">
        <f>资源数比较!I27*单元面积!I$9</f>
        <v>0</v>
      </c>
      <c r="J27" s="5">
        <f>资源数比较!J27*单元面积!J$9</f>
        <v>23228.400000000001</v>
      </c>
      <c r="K27" s="23">
        <f t="shared" si="11"/>
        <v>550616.4</v>
      </c>
      <c r="L27" s="5">
        <f t="shared" si="12"/>
        <v>1.5000000000000002</v>
      </c>
      <c r="M27" s="10"/>
      <c r="N27" s="16">
        <f t="shared" si="13"/>
        <v>0</v>
      </c>
      <c r="O27" s="16">
        <f t="shared" si="13"/>
        <v>0</v>
      </c>
      <c r="P27" s="16">
        <f t="shared" si="13"/>
        <v>5.1394018009152741E-2</v>
      </c>
      <c r="Q27" s="16">
        <f t="shared" si="13"/>
        <v>5.4144872758989902E-2</v>
      </c>
      <c r="R27" s="16">
        <f t="shared" si="13"/>
        <v>0.71554372712862757</v>
      </c>
      <c r="S27" s="16">
        <f t="shared" si="13"/>
        <v>0.17891738210322974</v>
      </c>
      <c r="T27" s="16">
        <f t="shared" si="13"/>
        <v>0</v>
      </c>
      <c r="U27" s="16">
        <f t="shared" si="13"/>
        <v>0</v>
      </c>
      <c r="V27" s="16">
        <f t="shared" si="13"/>
        <v>0</v>
      </c>
      <c r="W27" s="16">
        <f t="shared" ref="W27:W31" si="14">(K27-K3)/K27</f>
        <v>0.6496482850855877</v>
      </c>
    </row>
    <row r="28" spans="1:23" x14ac:dyDescent="0.15">
      <c r="A28" s="5" t="str">
        <f>算法分析!A$4</f>
        <v>SM4</v>
      </c>
      <c r="B28" s="5">
        <f>资源数比较!B28*单元面积!B$9</f>
        <v>20448</v>
      </c>
      <c r="C28" s="5">
        <f>资源数比较!C28*单元面积!C$9</f>
        <v>56792</v>
      </c>
      <c r="D28" s="5">
        <f>资源数比较!D28*单元面积!D$9</f>
        <v>36768</v>
      </c>
      <c r="E28" s="5">
        <f>资源数比较!E28*单元面积!E$9</f>
        <v>51648</v>
      </c>
      <c r="F28" s="5">
        <f>资源数比较!F28*单元面积!F$9</f>
        <v>409528</v>
      </c>
      <c r="G28" s="5">
        <f>资源数比较!G28*单元面积!G$9</f>
        <v>128000</v>
      </c>
      <c r="H28" s="5">
        <f>资源数比较!H28*单元面积!H$9</f>
        <v>0</v>
      </c>
      <c r="I28" s="5">
        <f>资源数比较!I28*单元面积!I$9</f>
        <v>0</v>
      </c>
      <c r="J28" s="5">
        <f>资源数比较!J28*单元面积!J$9</f>
        <v>30971.200000000001</v>
      </c>
      <c r="K28" s="23">
        <f t="shared" si="11"/>
        <v>734155.2</v>
      </c>
      <c r="L28" s="5">
        <f t="shared" si="12"/>
        <v>2</v>
      </c>
      <c r="M28" s="10"/>
      <c r="N28" s="16">
        <f t="shared" si="13"/>
        <v>9.444876985650514E-3</v>
      </c>
      <c r="O28" s="16">
        <f t="shared" si="13"/>
        <v>2.623207422579538E-2</v>
      </c>
      <c r="P28" s="16">
        <f t="shared" si="13"/>
        <v>5.094912514794573E-2</v>
      </c>
      <c r="Q28" s="16">
        <f t="shared" si="13"/>
        <v>5.9640185660563103E-2</v>
      </c>
      <c r="R28" s="16">
        <f t="shared" si="13"/>
        <v>0.66205964092469638</v>
      </c>
      <c r="S28" s="16">
        <f t="shared" si="13"/>
        <v>0.17736858189015048</v>
      </c>
      <c r="T28" s="16">
        <f t="shared" si="13"/>
        <v>0</v>
      </c>
      <c r="U28" s="16">
        <f t="shared" si="13"/>
        <v>0</v>
      </c>
      <c r="V28" s="16">
        <f t="shared" si="13"/>
        <v>1.4305515165198511E-2</v>
      </c>
      <c r="W28" s="16">
        <f t="shared" si="14"/>
        <v>0.73723621381419069</v>
      </c>
    </row>
    <row r="29" spans="1:23" x14ac:dyDescent="0.15">
      <c r="A29" s="5" t="str">
        <f>算法分析!A$5</f>
        <v>TWOFISH</v>
      </c>
      <c r="B29" s="5">
        <f>资源数比较!B29*单元面积!B$9</f>
        <v>25560</v>
      </c>
      <c r="C29" s="5">
        <f>资源数比较!C29*单元面积!C$9</f>
        <v>70990</v>
      </c>
      <c r="D29" s="5">
        <f>资源数比较!D29*单元面积!D$9</f>
        <v>45960</v>
      </c>
      <c r="E29" s="5">
        <f>资源数比较!E29*单元面积!E$9</f>
        <v>64560</v>
      </c>
      <c r="F29" s="5">
        <f>资源数比较!F29*单元面积!F$9</f>
        <v>511910</v>
      </c>
      <c r="G29" s="5">
        <f>资源数比较!G29*单元面积!G$9</f>
        <v>160000</v>
      </c>
      <c r="H29" s="5">
        <f>资源数比较!H29*单元面积!H$9</f>
        <v>0</v>
      </c>
      <c r="I29" s="5">
        <f>资源数比较!I29*单元面积!I$9</f>
        <v>0</v>
      </c>
      <c r="J29" s="5">
        <f>资源数比较!J29*单元面积!J$9</f>
        <v>38714</v>
      </c>
      <c r="K29" s="23">
        <f t="shared" si="11"/>
        <v>917694</v>
      </c>
      <c r="L29" s="5">
        <f t="shared" si="12"/>
        <v>2.5</v>
      </c>
      <c r="M29" s="10"/>
      <c r="N29" s="16">
        <f t="shared" si="13"/>
        <v>-9.6112772319521585E-3</v>
      </c>
      <c r="O29" s="16">
        <f t="shared" si="13"/>
        <v>-2.6694232030371037E-2</v>
      </c>
      <c r="P29" s="16">
        <f t="shared" si="13"/>
        <v>5.1846749011798261E-2</v>
      </c>
      <c r="Q29" s="16">
        <f t="shared" si="13"/>
        <v>4.8552743199908557E-2</v>
      </c>
      <c r="R29" s="16">
        <f t="shared" si="13"/>
        <v>0.76997009824861173</v>
      </c>
      <c r="S29" s="16">
        <f t="shared" si="13"/>
        <v>0.18049346914464146</v>
      </c>
      <c r="T29" s="16">
        <f t="shared" si="13"/>
        <v>0</v>
      </c>
      <c r="U29" s="16">
        <f t="shared" si="13"/>
        <v>0</v>
      </c>
      <c r="V29" s="16">
        <f t="shared" si="13"/>
        <v>-1.4557550342636776E-2</v>
      </c>
      <c r="W29" s="16">
        <f t="shared" si="14"/>
        <v>0.57957794210270519</v>
      </c>
    </row>
    <row r="30" spans="1:23" x14ac:dyDescent="0.15">
      <c r="A30" s="5" t="str">
        <f>算法分析!A$6</f>
        <v>RC5</v>
      </c>
      <c r="B30" s="5">
        <f>资源数比较!B30*单元面积!B$9</f>
        <v>20448</v>
      </c>
      <c r="C30" s="5">
        <f>资源数比较!C30*单元面积!C$9</f>
        <v>56792</v>
      </c>
      <c r="D30" s="5">
        <f>资源数比较!D30*单元面积!D$9</f>
        <v>36768</v>
      </c>
      <c r="E30" s="5">
        <f>资源数比较!E30*单元面积!E$9</f>
        <v>51648</v>
      </c>
      <c r="F30" s="5">
        <f>资源数比较!F30*单元面积!F$9</f>
        <v>409528</v>
      </c>
      <c r="G30" s="5">
        <f>资源数比较!G30*单元面积!G$9</f>
        <v>128000</v>
      </c>
      <c r="H30" s="5">
        <f>资源数比较!H30*单元面积!H$9</f>
        <v>0</v>
      </c>
      <c r="I30" s="5">
        <f>资源数比较!I30*单元面积!I$9</f>
        <v>0</v>
      </c>
      <c r="J30" s="5">
        <f>资源数比较!J30*单元面积!J$9</f>
        <v>30971.200000000001</v>
      </c>
      <c r="K30" s="23">
        <f t="shared" si="11"/>
        <v>734155.2</v>
      </c>
      <c r="L30" s="5">
        <f t="shared" si="12"/>
        <v>2</v>
      </c>
      <c r="M30" s="10"/>
      <c r="N30" s="16">
        <f t="shared" si="13"/>
        <v>7.627706769279843E-18</v>
      </c>
      <c r="O30" s="16">
        <f t="shared" si="13"/>
        <v>1.5255413538559686E-17</v>
      </c>
      <c r="P30" s="16">
        <f t="shared" si="13"/>
        <v>5.1394018009152748E-2</v>
      </c>
      <c r="Q30" s="16">
        <f t="shared" si="13"/>
        <v>5.4144872758989909E-2</v>
      </c>
      <c r="R30" s="16">
        <f t="shared" si="13"/>
        <v>0.71554372712862779</v>
      </c>
      <c r="S30" s="16">
        <f t="shared" si="13"/>
        <v>0.17891738210322977</v>
      </c>
      <c r="T30" s="16">
        <f t="shared" si="13"/>
        <v>0</v>
      </c>
      <c r="U30" s="16">
        <f t="shared" si="13"/>
        <v>0</v>
      </c>
      <c r="V30" s="16">
        <f t="shared" si="13"/>
        <v>0</v>
      </c>
      <c r="W30" s="16">
        <f t="shared" si="14"/>
        <v>0.6496482850855877</v>
      </c>
    </row>
    <row r="31" spans="1:23" x14ac:dyDescent="0.15">
      <c r="A31" s="5" t="str">
        <f>算法分析!A$7</f>
        <v>BLOWFISH</v>
      </c>
      <c r="B31" s="5">
        <f>资源数比较!B31*单元面积!B$9</f>
        <v>15336</v>
      </c>
      <c r="C31" s="5">
        <f>资源数比较!C31*单元面积!C$9</f>
        <v>42594</v>
      </c>
      <c r="D31" s="5">
        <f>资源数比较!D31*单元面积!D$9</f>
        <v>27576</v>
      </c>
      <c r="E31" s="5">
        <f>资源数比较!E31*单元面积!E$9</f>
        <v>38736</v>
      </c>
      <c r="F31" s="5">
        <f>资源数比较!F31*单元面积!F$9</f>
        <v>307146</v>
      </c>
      <c r="G31" s="5">
        <f>资源数比较!G31*单元面积!G$9</f>
        <v>96000</v>
      </c>
      <c r="H31" s="5">
        <f>资源数比较!H31*单元面积!H$9</f>
        <v>0</v>
      </c>
      <c r="I31" s="5">
        <f>资源数比较!I31*单元面积!I$9</f>
        <v>0</v>
      </c>
      <c r="J31" s="5">
        <f>资源数比较!J31*单元面积!J$9</f>
        <v>23228.400000000001</v>
      </c>
      <c r="K31" s="23">
        <f t="shared" si="11"/>
        <v>550616.4</v>
      </c>
      <c r="L31" s="5">
        <f t="shared" si="12"/>
        <v>1.5000000000000002</v>
      </c>
      <c r="M31" s="10"/>
      <c r="N31" s="16">
        <f t="shared" si="13"/>
        <v>0</v>
      </c>
      <c r="O31" s="16">
        <f t="shared" si="13"/>
        <v>0</v>
      </c>
      <c r="P31" s="16">
        <f t="shared" si="13"/>
        <v>5.1394018009152741E-2</v>
      </c>
      <c r="Q31" s="16">
        <f t="shared" si="13"/>
        <v>5.4144872758989902E-2</v>
      </c>
      <c r="R31" s="16">
        <f t="shared" si="13"/>
        <v>0.71554372712862757</v>
      </c>
      <c r="S31" s="16">
        <f t="shared" si="13"/>
        <v>0.17891738210322974</v>
      </c>
      <c r="T31" s="16">
        <f t="shared" si="13"/>
        <v>0</v>
      </c>
      <c r="U31" s="16">
        <f t="shared" si="13"/>
        <v>0</v>
      </c>
      <c r="V31" s="16">
        <f t="shared" si="13"/>
        <v>0</v>
      </c>
      <c r="W31" s="16">
        <f t="shared" si="14"/>
        <v>0.6496482850855877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算法分析</vt:lpstr>
      <vt:lpstr>单元面积</vt:lpstr>
      <vt:lpstr>架构比较</vt:lpstr>
      <vt:lpstr>架构面积</vt:lpstr>
      <vt:lpstr>映射分析</vt:lpstr>
      <vt:lpstr>资源数比较</vt:lpstr>
      <vt:lpstr>Sheet1</vt:lpstr>
      <vt:lpstr>面积比较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2016-03-23T14:44:11Z</dcterms:modified>
</cp:coreProperties>
</file>